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24226"/>
  <xr:revisionPtr revIDLastSave="0" documentId="8_{2328995B-20BF-4E7A-BA32-1D2DC5B0D7FA}" xr6:coauthVersionLast="45" xr6:coauthVersionMax="45" xr10:uidLastSave="{00000000-0000-0000-0000-000000000000}"/>
  <bookViews>
    <workbookView xWindow="-120" yWindow="-120" windowWidth="20730" windowHeight="11160" tabRatio="594" activeTab="3" xr2:uid="{00000000-000D-0000-FFFF-FFFF00000000}"/>
  </bookViews>
  <sheets>
    <sheet name="C.1 - Cuadro resumen AIF" sheetId="3" r:id="rId1"/>
    <sheet name="C.2 - Económico" sheetId="5" r:id="rId2"/>
    <sheet name="C.3 - Finalidad" sheetId="4" r:id="rId3"/>
    <sheet name="C.4 - Jurisdicción" sheetId="18" r:id="rId4"/>
    <sheet name="DNU 193" sheetId="19" r:id="rId5"/>
    <sheet name="DA 194" sheetId="20" r:id="rId6"/>
    <sheet name="DA 288" sheetId="21" r:id="rId7"/>
    <sheet name="DA 398" sheetId="22" r:id="rId8"/>
    <sheet name="DA 567" sheetId="23" r:id="rId9"/>
    <sheet name="DA 732" sheetId="24" r:id="rId10"/>
    <sheet name="DNU 668" sheetId="25" r:id="rId11"/>
    <sheet name="DA 847" sheetId="26" r:id="rId12"/>
    <sheet name="DNU 740" sheetId="27" r:id="rId13"/>
    <sheet name="DA 961" sheetId="28" r:id="rId14"/>
    <sheet name="DA 1" sheetId="30" r:id="rId15"/>
    <sheet name="DA 2" sheetId="31" r:id="rId16"/>
    <sheet name="DA 3" sheetId="32" r:id="rId17"/>
  </sheets>
  <externalReferences>
    <externalReference r:id="rId1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2" l="1"/>
  <c r="B14" i="32"/>
  <c r="O9" i="3"/>
  <c r="P11" i="4"/>
  <c r="P10" i="4"/>
  <c r="P9" i="4"/>
  <c r="P8" i="4"/>
  <c r="O9" i="5"/>
  <c r="O12" i="4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O24" i="18"/>
  <c r="P8" i="5"/>
  <c r="B29" i="32"/>
  <c r="B11" i="32"/>
  <c r="B13" i="32" l="1"/>
  <c r="B24" i="32" s="1"/>
  <c r="B25" i="32" s="1"/>
  <c r="B23" i="32"/>
  <c r="Q11" i="3"/>
  <c r="Q10" i="3"/>
  <c r="B14" i="31"/>
  <c r="B13" i="31" s="1"/>
  <c r="B35" i="31"/>
  <c r="B34" i="31"/>
  <c r="B26" i="32" l="1"/>
  <c r="B20" i="32"/>
  <c r="B27" i="32"/>
  <c r="B33" i="31"/>
  <c r="B31" i="31"/>
  <c r="B23" i="31"/>
  <c r="B27" i="31" s="1"/>
  <c r="B28" i="31" s="1"/>
  <c r="B19" i="31"/>
  <c r="B11" i="31"/>
  <c r="N9" i="3"/>
  <c r="N24" i="18"/>
  <c r="N12" i="4"/>
  <c r="N9" i="5"/>
  <c r="B18" i="31" l="1"/>
  <c r="B26" i="31"/>
  <c r="Q11" i="4"/>
  <c r="Q10" i="4"/>
  <c r="Q9" i="4"/>
  <c r="Q8" i="4"/>
  <c r="M24" i="18"/>
  <c r="M12" i="4"/>
  <c r="M9" i="5"/>
  <c r="B15" i="30"/>
  <c r="B14" i="30" s="1"/>
  <c r="B39" i="30"/>
  <c r="B38" i="30" s="1"/>
  <c r="M11" i="3" s="1"/>
  <c r="B27" i="30"/>
  <c r="B26" i="30" s="1"/>
  <c r="B20" i="30"/>
  <c r="B35" i="30"/>
  <c r="M10" i="3" s="1"/>
  <c r="B22" i="30"/>
  <c r="B11" i="30"/>
  <c r="B29" i="31" l="1"/>
  <c r="B30" i="31"/>
  <c r="B30" i="30"/>
  <c r="M7" i="3" s="1"/>
  <c r="P7" i="3" s="1"/>
  <c r="Q7" i="3" s="1"/>
  <c r="B31" i="30"/>
  <c r="B21" i="30"/>
  <c r="B32" i="30" l="1"/>
  <c r="B34" i="30" s="1"/>
  <c r="M8" i="3"/>
  <c r="M9" i="3"/>
  <c r="B33" i="30"/>
  <c r="R8" i="5" l="1"/>
  <c r="R7" i="5"/>
  <c r="B18" i="28"/>
  <c r="B39" i="28"/>
  <c r="P24" i="18"/>
  <c r="L24" i="18"/>
  <c r="L12" i="4"/>
  <c r="L9" i="5"/>
  <c r="L9" i="3"/>
  <c r="B42" i="28"/>
  <c r="B30" i="28"/>
  <c r="B17" i="28" l="1"/>
  <c r="B35" i="28" s="1"/>
  <c r="B36" i="28" s="1"/>
  <c r="B26" i="28"/>
  <c r="B10" i="28"/>
  <c r="B34" i="28" s="1"/>
  <c r="Q9" i="5"/>
  <c r="K9" i="3"/>
  <c r="K12" i="4"/>
  <c r="Q7" i="18"/>
  <c r="K24" i="18"/>
  <c r="B43" i="27"/>
  <c r="B40" i="27"/>
  <c r="B31" i="27"/>
  <c r="B27" i="27"/>
  <c r="B19" i="27"/>
  <c r="B36" i="27" s="1"/>
  <c r="B37" i="27" s="1"/>
  <c r="B12" i="27"/>
  <c r="B20" i="27"/>
  <c r="B25" i="28" l="1"/>
  <c r="B38" i="28"/>
  <c r="B35" i="27"/>
  <c r="B39" i="27" s="1"/>
  <c r="B26" i="27"/>
  <c r="K9" i="5"/>
  <c r="Q8" i="18"/>
  <c r="Q9" i="18"/>
  <c r="Q10" i="18"/>
  <c r="Q11" i="18"/>
  <c r="Q12" i="18"/>
  <c r="Q13" i="18"/>
  <c r="Q14" i="18"/>
  <c r="Q15" i="18"/>
  <c r="B37" i="28" l="1"/>
  <c r="B38" i="27"/>
  <c r="B27" i="26" l="1"/>
  <c r="B24" i="26"/>
  <c r="B22" i="26"/>
  <c r="B19" i="26"/>
  <c r="B18" i="26"/>
  <c r="B29" i="26"/>
  <c r="B34" i="26" s="1"/>
  <c r="B38" i="26"/>
  <c r="B41" i="26"/>
  <c r="B11" i="26"/>
  <c r="B26" i="26" s="1"/>
  <c r="J24" i="18"/>
  <c r="I24" i="18"/>
  <c r="J9" i="3"/>
  <c r="J9" i="5"/>
  <c r="J12" i="4"/>
  <c r="B33" i="26" l="1"/>
  <c r="B36" i="26"/>
  <c r="B35" i="26"/>
  <c r="B37" i="26" s="1"/>
  <c r="Q17" i="18" l="1"/>
  <c r="Q16" i="18"/>
  <c r="Q23" i="18"/>
  <c r="Q22" i="18"/>
  <c r="Q21" i="18"/>
  <c r="Q20" i="18"/>
  <c r="Q19" i="18"/>
  <c r="Q18" i="18"/>
  <c r="B22" i="25"/>
  <c r="B20" i="25" s="1"/>
  <c r="B34" i="25"/>
  <c r="B15" i="25"/>
  <c r="B18" i="25"/>
  <c r="B42" i="25"/>
  <c r="B39" i="25"/>
  <c r="B33" i="25"/>
  <c r="B32" i="25"/>
  <c r="B23" i="25"/>
  <c r="I12" i="4"/>
  <c r="I9" i="5"/>
  <c r="I9" i="3"/>
  <c r="Q24" i="18" l="1"/>
  <c r="B19" i="25"/>
  <c r="B28" i="25" s="1"/>
  <c r="B26" i="24"/>
  <c r="B31" i="24"/>
  <c r="B39" i="24"/>
  <c r="B18" i="24"/>
  <c r="B15" i="24"/>
  <c r="B12" i="24" s="1"/>
  <c r="B44" i="24"/>
  <c r="B42" i="24"/>
  <c r="B29" i="24"/>
  <c r="B20" i="24"/>
  <c r="B19" i="24" s="1"/>
  <c r="B33" i="24"/>
  <c r="B32" i="24"/>
  <c r="B23" i="24"/>
  <c r="H24" i="18"/>
  <c r="H12" i="4"/>
  <c r="H9" i="5"/>
  <c r="G24" i="18"/>
  <c r="G12" i="4"/>
  <c r="G9" i="5"/>
  <c r="H9" i="3"/>
  <c r="G9" i="3"/>
  <c r="B42" i="23"/>
  <c r="B39" i="23"/>
  <c r="B30" i="23"/>
  <c r="B26" i="23"/>
  <c r="B23" i="23"/>
  <c r="B18" i="23"/>
  <c r="B16" i="23"/>
  <c r="B15" i="23"/>
  <c r="B14" i="23"/>
  <c r="B10" i="23" s="1"/>
  <c r="B13" i="23"/>
  <c r="B17" i="23" l="1"/>
  <c r="B35" i="23" s="1"/>
  <c r="B36" i="23" s="1"/>
  <c r="B35" i="25"/>
  <c r="B36" i="25" s="1"/>
  <c r="B38" i="25" s="1"/>
  <c r="B35" i="24"/>
  <c r="B36" i="24" s="1"/>
  <c r="B28" i="24"/>
  <c r="B34" i="24"/>
  <c r="B34" i="23"/>
  <c r="B22" i="22"/>
  <c r="B21" i="22"/>
  <c r="B10" i="22"/>
  <c r="B33" i="22"/>
  <c r="B30" i="22"/>
  <c r="B14" i="22"/>
  <c r="B26" i="22" s="1"/>
  <c r="B27" i="22" s="1"/>
  <c r="B15" i="22"/>
  <c r="F9" i="3"/>
  <c r="F24" i="18"/>
  <c r="F12" i="4"/>
  <c r="F9" i="5"/>
  <c r="B20" i="22" l="1"/>
  <c r="B25" i="22"/>
  <c r="B28" i="22" s="1"/>
  <c r="B25" i="23"/>
  <c r="B37" i="25"/>
  <c r="B38" i="24"/>
  <c r="B37" i="24"/>
  <c r="B38" i="23"/>
  <c r="B37" i="23"/>
  <c r="B32" i="21"/>
  <c r="B29" i="21"/>
  <c r="B10" i="21"/>
  <c r="B24" i="21" s="1"/>
  <c r="B18" i="21"/>
  <c r="B23" i="21"/>
  <c r="B22" i="21"/>
  <c r="B15" i="21"/>
  <c r="B14" i="21" s="1"/>
  <c r="E24" i="18"/>
  <c r="E9" i="5"/>
  <c r="E12" i="4"/>
  <c r="E9" i="3"/>
  <c r="B29" i="22" l="1"/>
  <c r="B19" i="21"/>
  <c r="B21" i="21"/>
  <c r="B25" i="21" l="1"/>
  <c r="B27" i="21" s="1"/>
  <c r="B17" i="20"/>
  <c r="B32" i="20"/>
  <c r="B30" i="20"/>
  <c r="B10" i="20"/>
  <c r="B20" i="20"/>
  <c r="B23" i="20"/>
  <c r="B22" i="20" s="1"/>
  <c r="D9" i="5"/>
  <c r="D24" i="18"/>
  <c r="D12" i="4"/>
  <c r="B14" i="20"/>
  <c r="B13" i="20" s="1"/>
  <c r="D9" i="3"/>
  <c r="B25" i="20" l="1"/>
  <c r="B26" i="21"/>
  <c r="B28" i="21" s="1"/>
  <c r="B19" i="20"/>
  <c r="B26" i="20"/>
  <c r="B28" i="20" s="1"/>
  <c r="B29" i="19"/>
  <c r="B16" i="19"/>
  <c r="B15" i="19" s="1"/>
  <c r="B22" i="19"/>
  <c r="B31" i="19"/>
  <c r="B13" i="19"/>
  <c r="B24" i="19" s="1"/>
  <c r="B27" i="20" l="1"/>
  <c r="B29" i="20" s="1"/>
  <c r="B25" i="19"/>
  <c r="B26" i="19" s="1"/>
  <c r="B28" i="19"/>
  <c r="B20" i="19"/>
  <c r="B9" i="3"/>
  <c r="B27" i="19" l="1"/>
  <c r="C7" i="4"/>
  <c r="P7" i="4" l="1"/>
  <c r="C8" i="3"/>
  <c r="C9" i="3" l="1"/>
  <c r="P8" i="3"/>
  <c r="Q7" i="4"/>
  <c r="Q12" i="4" s="1"/>
  <c r="P12" i="4"/>
  <c r="B12" i="4"/>
  <c r="Q8" i="3" l="1"/>
  <c r="P9" i="3"/>
  <c r="Q9" i="3" s="1"/>
  <c r="C24" i="18"/>
  <c r="B24" i="18"/>
  <c r="C12" i="4" l="1"/>
  <c r="C9" i="5"/>
  <c r="B9" i="5"/>
  <c r="R9" i="5" l="1"/>
</calcChain>
</file>

<file path=xl/sharedStrings.xml><?xml version="1.0" encoding="utf-8"?>
<sst xmlns="http://schemas.openxmlformats.org/spreadsheetml/2006/main" count="598" uniqueCount="167">
  <si>
    <t>En millones de pesos</t>
  </si>
  <si>
    <t>Recursos totales</t>
  </si>
  <si>
    <t>Gastos totales</t>
  </si>
  <si>
    <t>Resultado Financiero</t>
  </si>
  <si>
    <t>Fuentes Financieras</t>
  </si>
  <si>
    <t>Aplicaciones Financieras</t>
  </si>
  <si>
    <t>AIF</t>
  </si>
  <si>
    <t>Finalidades</t>
  </si>
  <si>
    <t>Administración Gubernamental</t>
  </si>
  <si>
    <t>Servicios de Defensa y Seguridad</t>
  </si>
  <si>
    <t>Servicios Sociales</t>
  </si>
  <si>
    <t>Servicios Económicos</t>
  </si>
  <si>
    <t>Deuda Pública</t>
  </si>
  <si>
    <t>Total gastos corrientes y de capital</t>
  </si>
  <si>
    <t>Gastos corrientes</t>
  </si>
  <si>
    <t>Gastos de capital</t>
  </si>
  <si>
    <t>01 - Poder Legislativo Nacional</t>
  </si>
  <si>
    <t>20 - Presidencia de la Nación</t>
  </si>
  <si>
    <t>25 - Jefatura de Gabinete de Ministros</t>
  </si>
  <si>
    <t>30 - Ministerio del Interior, Obras Públicas y Vivienda</t>
  </si>
  <si>
    <t>45 - Ministerio de Defensa</t>
  </si>
  <si>
    <t>50 - Ministerio de Hacienda</t>
  </si>
  <si>
    <t>57 - Ministerio de Transporte</t>
  </si>
  <si>
    <t>90 - Servicio de la Deuda Pública</t>
  </si>
  <si>
    <t>91 - Obligaciones a Cargo del Tesoro</t>
  </si>
  <si>
    <t>FINALIDADES</t>
  </si>
  <si>
    <t>ECONÓMICO</t>
  </si>
  <si>
    <t>10 - Ministerio Público</t>
  </si>
  <si>
    <t>40 - Ministerio de Justicia y Derechos Humanos</t>
  </si>
  <si>
    <t>41 - Ministerio de Seguridad</t>
  </si>
  <si>
    <t>35 - Ministerio de Relaciones Exteriores y Culto</t>
  </si>
  <si>
    <t>05 - Poder Judicial de la Nación</t>
  </si>
  <si>
    <t xml:space="preserve"> Carácter Económico</t>
  </si>
  <si>
    <t>Dif (2)-(1)</t>
  </si>
  <si>
    <t>Crédito Inicial (CI) (1)</t>
  </si>
  <si>
    <t>Crédito Vigente (CV) (2)</t>
  </si>
  <si>
    <t>Otras medidas</t>
  </si>
  <si>
    <t>Jurisdicción</t>
  </si>
  <si>
    <t xml:space="preserve">JURISDICCIONAL </t>
  </si>
  <si>
    <t>MODIFICACIONES PRESUPUESTARIAS  - PRESUPUESTO 2019 APN</t>
  </si>
  <si>
    <t>MODIFICACIONES PRESUPUESTARIAS - PRESUPUESTO 2019 APN</t>
  </si>
  <si>
    <t>CUENTA AHORRO INVERSIÓN FINANCIAMIENTO</t>
  </si>
  <si>
    <t>DNU 193</t>
  </si>
  <si>
    <t>DNU 193/2019</t>
  </si>
  <si>
    <t>51 - Ministerio de Producción y Trabajo</t>
  </si>
  <si>
    <t>70 - Ministerio de Educación, Cultura, Ciencia y Tecnología</t>
  </si>
  <si>
    <t>85 - Ministerio de Salud y Desarrollo Social</t>
  </si>
  <si>
    <t>Cuentas</t>
  </si>
  <si>
    <t>Monto</t>
  </si>
  <si>
    <t>I) Ingresos Corrientes</t>
  </si>
  <si>
    <t>II) Gastos Corrientes</t>
  </si>
  <si>
    <t>III) Result. Econ.: Ahorro/Desahorro (I - II)</t>
  </si>
  <si>
    <t>IV) Recursos de Capital</t>
  </si>
  <si>
    <t>V) Gastos de Capital</t>
  </si>
  <si>
    <t>VI) Recursos Totales (I + IV)</t>
  </si>
  <si>
    <t>VII) Gastos Totales (II + V)</t>
  </si>
  <si>
    <t>VIII) Gasto Primario</t>
  </si>
  <si>
    <t>IX) Resultado Financiero (VI-VII)</t>
  </si>
  <si>
    <t>X) Resultado Primario</t>
  </si>
  <si>
    <t>XI) Fuentes Financieras</t>
  </si>
  <si>
    <t>XII) Aplicaciones Financieras</t>
  </si>
  <si>
    <t>Rentas de la Propiedad</t>
  </si>
  <si>
    <t>CUENTA AHORRRO INVERSIÓN FINANCIAMIENTO</t>
  </si>
  <si>
    <t>Inversión Financiera</t>
  </si>
  <si>
    <t>Gastos de Consumo</t>
  </si>
  <si>
    <t>Transferencias Corrientes</t>
  </si>
  <si>
    <t>Remuneraciones</t>
  </si>
  <si>
    <t>Bienes y Servicios</t>
  </si>
  <si>
    <t>Endeudamiento Público e Inc. de Otros Pasivos</t>
  </si>
  <si>
    <t>Amortización de la Deuda y Dism. de Otros Pasivos</t>
  </si>
  <si>
    <t>Otorgamiento de avales</t>
  </si>
  <si>
    <t>Emisión y colocación de Letras del Tesoro</t>
  </si>
  <si>
    <t>Autorización para contratar obras en el marco del artículo 11 de la Ley de Presupuesto</t>
  </si>
  <si>
    <t>DA 194</t>
  </si>
  <si>
    <t>DA 194/2019</t>
  </si>
  <si>
    <t>Inversión Real Directa</t>
  </si>
  <si>
    <t>Transferencias de Capital</t>
  </si>
  <si>
    <t>Otros gastos corrientes</t>
  </si>
  <si>
    <t>Ingresos no tributarios</t>
  </si>
  <si>
    <t>Recursos propios de capital</t>
  </si>
  <si>
    <t>DA 288</t>
  </si>
  <si>
    <t>DA 288/2019</t>
  </si>
  <si>
    <t>Venta de Bienes y Servicios</t>
  </si>
  <si>
    <t>Disminución de la Inversión Financiera</t>
  </si>
  <si>
    <t>DA 398</t>
  </si>
  <si>
    <t>DA 398/2019</t>
  </si>
  <si>
    <t>DA 567/19</t>
  </si>
  <si>
    <t>I) Ingresos corrientes</t>
  </si>
  <si>
    <t>Ingresos Tributarios</t>
  </si>
  <si>
    <t>Conbribuciones a la Seguridad Social</t>
  </si>
  <si>
    <t>Ingresos no Tributarios</t>
  </si>
  <si>
    <t>Ventas de Bienes y Servicios</t>
  </si>
  <si>
    <t>II) Gastos corrientes</t>
  </si>
  <si>
    <t>Gastos de consumo</t>
  </si>
  <si>
    <t xml:space="preserve">Remuneraciones </t>
  </si>
  <si>
    <t>Intereses y Otras Rentas de la Propiedad</t>
  </si>
  <si>
    <t>Prestaciones de la Seguridad Social</t>
  </si>
  <si>
    <t>Otros Gastos</t>
  </si>
  <si>
    <t>III) Resultado económico</t>
  </si>
  <si>
    <t>IV) Recursos de capital</t>
  </si>
  <si>
    <t>Recursos Propios de capital</t>
  </si>
  <si>
    <t>Transferencias de capital</t>
  </si>
  <si>
    <t>Disminución de la inversión financiera</t>
  </si>
  <si>
    <t>v) Gastos de capital</t>
  </si>
  <si>
    <t>VI)  Ingresos Totales</t>
  </si>
  <si>
    <t>VII) Gastos totales</t>
  </si>
  <si>
    <t>VIII) Gasto primario</t>
  </si>
  <si>
    <t>Intereses en moneda nacional</t>
  </si>
  <si>
    <t>Intereses en moneda extranjera</t>
  </si>
  <si>
    <t>DA 567</t>
  </si>
  <si>
    <t>DA 732</t>
  </si>
  <si>
    <t>DA 537</t>
  </si>
  <si>
    <t>DA 732/2019</t>
  </si>
  <si>
    <t xml:space="preserve">                  Incorporcion de 8 cargos en el Poder Judicial.</t>
  </si>
  <si>
    <t xml:space="preserve">                  Ampliación del límite establecido en el art. 33 de la Ley de Presupuesto para la cancelación de deudas previsionales</t>
  </si>
  <si>
    <t xml:space="preserve">DNU 668 </t>
  </si>
  <si>
    <t>DNU 668</t>
  </si>
  <si>
    <t>DA 668</t>
  </si>
  <si>
    <t xml:space="preserve">               Programa de Asistencia para la Recomposición Financiera </t>
  </si>
  <si>
    <t>DA 668/2019</t>
  </si>
  <si>
    <t>DA 847</t>
  </si>
  <si>
    <t>DA 847/2019</t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</si>
  <si>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14/3/2019</t>
    </r>
  </si>
  <si>
    <r>
      <rPr>
        <b/>
        <u/>
        <sz val="10"/>
        <color theme="1" tint="0.249977111117893"/>
        <rFont val="GothamBook"/>
        <family val="3"/>
      </rPr>
      <t>Motivo</t>
    </r>
    <r>
      <rPr>
        <b/>
        <sz val="10"/>
        <color theme="1" tint="0.249977111117893"/>
        <rFont val="GothamBook"/>
        <family val="3"/>
      </rPr>
      <t>:   Modificación presupuestaria que afecta varias jurisdicciones de la APN</t>
    </r>
  </si>
  <si>
    <r>
      <t xml:space="preserve">En millones de $ </t>
    </r>
    <r>
      <rPr>
        <sz val="10"/>
        <color theme="1" tint="0.249977111117893"/>
        <rFont val="GothamBook"/>
        <family val="3"/>
      </rPr>
      <t>(sin erogaciones ni contribuciones figurativas)</t>
    </r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</si>
  <si>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20/3/2019</t>
    </r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</si>
  <si>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16/4/2019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</si>
  <si>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-$21.578 millones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</si>
  <si>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-$5.554 millones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</si>
  <si>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-$15.980 millones</t>
    </r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</si>
  <si>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17/5/2019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</si>
  <si>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-$11.820 millones</t>
    </r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</si>
  <si>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03/07/19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</si>
  <si>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-$7.475 millones</t>
    </r>
  </si>
  <si>
    <r>
      <rPr>
        <b/>
        <u/>
        <sz val="10"/>
        <color theme="1" tint="0.14999847407452621"/>
        <rFont val="GothamBook"/>
        <family val="3"/>
      </rPr>
      <t>Fecha</t>
    </r>
    <r>
      <rPr>
        <b/>
        <sz val="10"/>
        <color theme="1" tint="0.14999847407452621"/>
        <rFont val="GothamBook"/>
        <family val="3"/>
      </rPr>
      <t>: 28/8/2019</t>
    </r>
  </si>
  <si>
    <r>
      <rPr>
        <b/>
        <u/>
        <sz val="10"/>
        <color theme="1" tint="0.14999847407452621"/>
        <rFont val="GothamBook"/>
        <family val="3"/>
      </rPr>
      <t>Impacto en el Resultado Financiero</t>
    </r>
    <r>
      <rPr>
        <b/>
        <sz val="10"/>
        <color theme="1" tint="0.14999847407452621"/>
        <rFont val="GothamBook"/>
        <family val="3"/>
      </rPr>
      <t>: -$16.538</t>
    </r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</si>
  <si>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27/9/2019</t>
    </r>
  </si>
  <si>
    <r>
      <rPr>
        <b/>
        <u/>
        <sz val="10"/>
        <color theme="1" tint="0.249977111117893"/>
        <rFont val="GothamBook"/>
        <family val="3"/>
      </rPr>
      <t>Motivo</t>
    </r>
    <r>
      <rPr>
        <b/>
        <sz val="10"/>
        <color theme="1" tint="0.249977111117893"/>
        <rFont val="GothamBook"/>
        <family val="3"/>
      </rPr>
      <t xml:space="preserve">: Refuerzo presupuestario para la atención de Emergencia Alimentaria    </t>
    </r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</si>
  <si>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15/10/2019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</si>
  <si>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-$23.091 millones.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</si>
  <si>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-$9.105 millones.</t>
    </r>
  </si>
  <si>
    <t xml:space="preserve">                Ampliación del límite establecido en el art. 33 de la Ley de Presupuesto para la cancelación de deudas previsionales</t>
  </si>
  <si>
    <t>DNU 740</t>
  </si>
  <si>
    <t>DNU 740/2019</t>
  </si>
  <si>
    <t>Modificación planilla anexa a art 40 sobre operaciones de crédito público</t>
  </si>
  <si>
    <t>Contribuciones a la Seguridad Social</t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</si>
  <si>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28/10/2019</t>
    </r>
  </si>
  <si>
    <r>
      <rPr>
        <b/>
        <u/>
        <sz val="10"/>
        <color theme="1" tint="0.249977111117893"/>
        <rFont val="GothamBook"/>
        <family val="3"/>
      </rPr>
      <t>Motivo</t>
    </r>
    <r>
      <rPr>
        <b/>
        <sz val="10"/>
        <color theme="1" tint="0.249977111117893"/>
        <rFont val="GothamBook"/>
        <family val="3"/>
      </rPr>
      <t>: Modificación presupuestaria que afecta varias jurisdicciones de la APN</t>
    </r>
  </si>
  <si>
    <r>
      <t xml:space="preserve">En millones de $ </t>
    </r>
    <r>
      <rPr>
        <sz val="10"/>
        <color theme="1" tint="0.249977111117893"/>
        <rFont val="GothamBook"/>
        <family val="3"/>
      </rPr>
      <t>(sin erogaciones ni contribuciones figurativas)</t>
    </r>
  </si>
  <si>
    <t>Amort. de la Deuda y Dism. de Otros Pasivos</t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</si>
  <si>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-$337.979 millones.</t>
    </r>
  </si>
  <si>
    <t>DA 961/2019</t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</si>
  <si>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27/11/2019</t>
    </r>
  </si>
  <si>
    <t>DA 961</t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</si>
  <si>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+$27.842 millones.</t>
    </r>
  </si>
  <si>
    <t>DA 1</t>
  </si>
  <si>
    <t>DA 1/2019</t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</si>
  <si>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19/12/2019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</si>
  <si>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-$39.770 millones.</t>
    </r>
  </si>
  <si>
    <t>DA 2</t>
  </si>
  <si>
    <t>DA 2/2019</t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</si>
  <si>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24/12/2019</t>
    </r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</si>
  <si>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$106.180 millones.</t>
    </r>
  </si>
  <si>
    <t>DA 3/2019</t>
  </si>
  <si>
    <r>
      <rPr>
        <b/>
        <u/>
        <sz val="10"/>
        <color theme="1" tint="0.249977111117893"/>
        <rFont val="GothamBook"/>
        <family val="3"/>
      </rPr>
      <t>Fecha</t>
    </r>
    <r>
      <rPr>
        <b/>
        <sz val="10"/>
        <color theme="1" tint="0.249977111117893"/>
        <rFont val="GothamBook"/>
        <family val="3"/>
      </rPr>
      <t>: 30/12/2019</t>
    </r>
  </si>
  <si>
    <t>DA 3</t>
  </si>
  <si>
    <r>
      <rPr>
        <b/>
        <u/>
        <sz val="10"/>
        <color theme="1" tint="0.249977111117893"/>
        <rFont val="GothamBook"/>
        <family val="3"/>
      </rPr>
      <t>Impacto en el Resultado Financiero</t>
    </r>
    <r>
      <rPr>
        <b/>
        <sz val="10"/>
        <color theme="1" tint="0.249977111117893"/>
        <rFont val="GothamBook"/>
        <family val="3"/>
      </rPr>
      <t>: -$2.000 millones.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</si>
</sst>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_-* #,##0.0_-;\-* #,##0.0_-;_-* &quot;-&quot;?_-;_-@_-"/>
    <numFmt numFmtId="166" formatCode="#,##0.0_ ;\-#,##0.0\ "/>
    <numFmt numFmtId="167" formatCode="#,##0.0"/>
    <numFmt numFmtId="168" formatCode="0.0%"/>
    <numFmt numFmtId="169" formatCode="_-* #,##0_-;\-* #,##0_-;_-* &quot;-&quot;??_-;_-@_-"/>
    <numFmt numFmtId="170" formatCode="#,##0_ ;\-#,##0\ "/>
    <numFmt numFmtId="171" formatCode="_-* #,##0.0000_-;\-* #,##0.0000_-;_-* &quot;-&quot;??_-;_-@_-"/>
  </numFmts>
  <fonts count="24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sz val="11"/>
      <color theme="1"/>
      <name val="Raleway"/>
      <family val="2"/>
    </font>
    <font>
      <sz val="10"/>
      <color theme="1" tint="0.249977111117893"/>
      <name val="Raleway"/>
      <family val="2"/>
    </font>
    <font>
      <sz val="11"/>
      <color theme="1"/>
      <name val="Calibri"/>
      <family val="2"/>
    </font>
    <font>
      <b/>
      <sz val="10"/>
      <color theme="1" tint="0.249977111117893"/>
      <name val="GothamBook"/>
      <family val="3"/>
    </font>
    <font>
      <sz val="10"/>
      <color theme="1"/>
      <name val="GothamBook"/>
      <family val="3"/>
    </font>
    <font>
      <sz val="10"/>
      <color theme="1" tint="0.249977111117893"/>
      <name val="GothamBook"/>
      <family val="3"/>
    </font>
    <font>
      <b/>
      <sz val="10"/>
      <color theme="0"/>
      <name val="GothamBook"/>
      <family val="3"/>
    </font>
    <font>
      <b/>
      <sz val="10"/>
      <color theme="1"/>
      <name val="GothamBook"/>
      <family val="3"/>
    </font>
    <font>
      <sz val="11"/>
      <color theme="1"/>
      <name val="GothamBook"/>
      <family val="3"/>
    </font>
    <font>
      <b/>
      <u/>
      <sz val="10"/>
      <color theme="1" tint="0.249977111117893"/>
      <name val="GothamBook"/>
      <family val="3"/>
    </font>
    <font>
      <sz val="11"/>
      <color theme="1" tint="0.249977111117893"/>
      <name val="GothamBook"/>
      <family val="3"/>
    </font>
    <font>
      <b/>
      <sz val="10"/>
      <color theme="1" tint="0.14999847407452621"/>
      <name val="GothamBook"/>
      <family val="3"/>
    </font>
    <font>
      <b/>
      <u/>
      <sz val="10"/>
      <color theme="1" tint="0.14999847407452621"/>
      <name val="GothamBook"/>
      <family val="3"/>
    </font>
    <font>
      <b/>
      <sz val="11"/>
      <color theme="1"/>
      <name val="GothamBook"/>
      <family val="3"/>
    </font>
    <font>
      <b/>
      <sz val="10"/>
      <color theme="0"/>
      <name val="GothamBook"/>
      <family val="3"/>
    </font>
    <font>
      <b/>
      <sz val="10"/>
      <color theme="1" tint="0.249977111117893"/>
      <name val="GothamBook"/>
      <family val="3"/>
    </font>
    <font>
      <sz val="11"/>
      <color theme="1" tint="0.249977111117893"/>
      <name val="GothamBook"/>
      <family val="3"/>
    </font>
    <font>
      <sz val="11"/>
      <color theme="1"/>
      <name val="GothamBook"/>
      <family val="3"/>
    </font>
    <font>
      <sz val="10"/>
      <color theme="1" tint="0.249977111117893"/>
      <name val="GothamBook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1" applyNumberFormat="0" applyFill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6" fillId="3" borderId="2" xfId="0" applyFont="1" applyFill="1" applyBorder="1" applyAlignment="1">
      <alignment horizontal="left" vertical="top" wrapText="1" indent="3"/>
    </xf>
    <xf numFmtId="167" fontId="6" fillId="4" borderId="2" xfId="0" applyNumberFormat="1" applyFont="1" applyFill="1" applyBorder="1" applyAlignment="1">
      <alignment horizontal="right" vertical="center" wrapText="1"/>
    </xf>
    <xf numFmtId="0" fontId="5" fillId="0" borderId="0" xfId="12" applyFont="1"/>
    <xf numFmtId="10" fontId="5" fillId="0" borderId="0" xfId="13" applyNumberFormat="1" applyFont="1"/>
    <xf numFmtId="3" fontId="5" fillId="0" borderId="0" xfId="12" applyNumberFormat="1" applyFont="1"/>
    <xf numFmtId="4" fontId="5" fillId="0" borderId="0" xfId="12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9" fillId="0" borderId="0" xfId="0" applyNumberFormat="1" applyFont="1"/>
    <xf numFmtId="0" fontId="11" fillId="7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9" fontId="9" fillId="0" borderId="0" xfId="11" applyNumberFormat="1" applyFont="1"/>
    <xf numFmtId="168" fontId="9" fillId="0" borderId="0" xfId="11" applyNumberFormat="1" applyFont="1"/>
    <xf numFmtId="164" fontId="9" fillId="0" borderId="0" xfId="1" applyNumberFormat="1" applyFont="1"/>
    <xf numFmtId="10" fontId="9" fillId="0" borderId="0" xfId="0" applyNumberFormat="1" applyFont="1"/>
    <xf numFmtId="0" fontId="8" fillId="2" borderId="2" xfId="0" applyFont="1" applyFill="1" applyBorder="1" applyAlignment="1">
      <alignment horizontal="left" vertical="top" wrapText="1"/>
    </xf>
    <xf numFmtId="168" fontId="9" fillId="0" borderId="0" xfId="0" applyNumberFormat="1" applyFont="1"/>
    <xf numFmtId="169" fontId="9" fillId="0" borderId="0" xfId="1" applyNumberFormat="1" applyFont="1"/>
    <xf numFmtId="170" fontId="9" fillId="0" borderId="2" xfId="1" applyNumberFormat="1" applyFont="1" applyBorder="1" applyAlignment="1">
      <alignment horizontal="center"/>
    </xf>
    <xf numFmtId="170" fontId="9" fillId="0" borderId="2" xfId="1" applyNumberFormat="1" applyFont="1" applyFill="1" applyBorder="1" applyAlignment="1">
      <alignment horizontal="center"/>
    </xf>
    <xf numFmtId="170" fontId="8" fillId="2" borderId="2" xfId="1" applyNumberFormat="1" applyFont="1" applyFill="1" applyBorder="1" applyAlignment="1">
      <alignment horizontal="center"/>
    </xf>
    <xf numFmtId="165" fontId="9" fillId="0" borderId="0" xfId="0" applyNumberFormat="1" applyFont="1"/>
    <xf numFmtId="164" fontId="9" fillId="0" borderId="0" xfId="0" applyNumberFormat="1" applyFont="1"/>
    <xf numFmtId="169" fontId="9" fillId="0" borderId="2" xfId="1" applyNumberFormat="1" applyFont="1" applyBorder="1" applyAlignment="1">
      <alignment horizontal="center"/>
    </xf>
    <xf numFmtId="169" fontId="9" fillId="0" borderId="2" xfId="1" applyNumberFormat="1" applyFont="1" applyFill="1" applyBorder="1" applyAlignment="1">
      <alignment horizontal="center"/>
    </xf>
    <xf numFmtId="169" fontId="8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0" borderId="0" xfId="1" applyNumberFormat="1" applyFont="1" applyAlignment="1">
      <alignment shrinkToFit="1"/>
    </xf>
    <xf numFmtId="164" fontId="9" fillId="0" borderId="0" xfId="1" applyNumberFormat="1" applyFont="1" applyAlignment="1">
      <alignment horizontal="left" shrinkToFit="1"/>
    </xf>
    <xf numFmtId="164" fontId="12" fillId="0" borderId="0" xfId="1" applyNumberFormat="1" applyFont="1" applyAlignment="1">
      <alignment shrinkToFit="1"/>
    </xf>
    <xf numFmtId="164" fontId="12" fillId="0" borderId="0" xfId="1" applyNumberFormat="1" applyFont="1" applyAlignment="1">
      <alignment horizontal="left" shrinkToFit="1"/>
    </xf>
    <xf numFmtId="0" fontId="9" fillId="3" borderId="2" xfId="3" applyFont="1" applyFill="1" applyBorder="1" applyAlignment="1">
      <alignment horizontal="left" vertical="top" wrapText="1"/>
    </xf>
    <xf numFmtId="169" fontId="9" fillId="3" borderId="2" xfId="1" applyNumberFormat="1" applyFont="1" applyFill="1" applyBorder="1" applyAlignment="1">
      <alignment horizontal="left" vertical="top" shrinkToFit="1"/>
    </xf>
    <xf numFmtId="169" fontId="9" fillId="0" borderId="2" xfId="1" applyNumberFormat="1" applyFont="1" applyFill="1" applyBorder="1" applyAlignment="1">
      <alignment horizontal="left" vertical="top" shrinkToFit="1"/>
    </xf>
    <xf numFmtId="0" fontId="11" fillId="7" borderId="0" xfId="0" applyFont="1" applyFill="1"/>
    <xf numFmtId="0" fontId="13" fillId="0" borderId="0" xfId="0" applyFont="1"/>
    <xf numFmtId="0" fontId="15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6"/>
    </xf>
    <xf numFmtId="0" fontId="12" fillId="0" borderId="0" xfId="0" applyFont="1"/>
    <xf numFmtId="0" fontId="11" fillId="7" borderId="2" xfId="0" applyFont="1" applyFill="1" applyBorder="1" applyAlignment="1">
      <alignment horizontal="right" vertical="center" wrapText="1"/>
    </xf>
    <xf numFmtId="0" fontId="8" fillId="5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top" wrapText="1" indent="3"/>
    </xf>
    <xf numFmtId="0" fontId="10" fillId="3" borderId="2" xfId="0" applyFont="1" applyFill="1" applyBorder="1" applyAlignment="1">
      <alignment horizontal="left" vertical="top" wrapText="1" indent="5"/>
    </xf>
    <xf numFmtId="0" fontId="8" fillId="6" borderId="2" xfId="0" applyFont="1" applyFill="1" applyBorder="1" applyAlignment="1">
      <alignment horizontal="left" vertical="top" wrapText="1"/>
    </xf>
    <xf numFmtId="167" fontId="13" fillId="0" borderId="0" xfId="0" applyNumberFormat="1" applyFont="1"/>
    <xf numFmtId="3" fontId="8" fillId="5" borderId="2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0" fillId="4" borderId="2" xfId="0" applyNumberFormat="1" applyFont="1" applyFill="1" applyBorder="1" applyAlignment="1">
      <alignment horizontal="right" vertical="center" wrapText="1"/>
    </xf>
    <xf numFmtId="3" fontId="8" fillId="6" borderId="2" xfId="0" applyNumberFormat="1" applyFont="1" applyFill="1" applyBorder="1" applyAlignment="1">
      <alignment horizontal="right" vertical="center" wrapText="1"/>
    </xf>
    <xf numFmtId="0" fontId="13" fillId="0" borderId="0" xfId="12" applyFont="1"/>
    <xf numFmtId="3" fontId="13" fillId="0" borderId="0" xfId="12" applyNumberFormat="1" applyFont="1"/>
    <xf numFmtId="0" fontId="10" fillId="3" borderId="2" xfId="0" applyFont="1" applyFill="1" applyBorder="1" applyAlignment="1">
      <alignment horizontal="left" vertical="top" wrapText="1" indent="6"/>
    </xf>
    <xf numFmtId="4" fontId="13" fillId="0" borderId="0" xfId="12" applyNumberFormat="1" applyFont="1"/>
    <xf numFmtId="164" fontId="11" fillId="7" borderId="0" xfId="1" applyNumberFormat="1" applyFont="1" applyFill="1"/>
    <xf numFmtId="0" fontId="16" fillId="0" borderId="0" xfId="0" applyFont="1" applyAlignment="1">
      <alignment horizontal="left"/>
    </xf>
    <xf numFmtId="164" fontId="15" fillId="0" borderId="0" xfId="1" applyNumberFormat="1" applyFont="1"/>
    <xf numFmtId="164" fontId="11" fillId="7" borderId="2" xfId="1" applyNumberFormat="1" applyFont="1" applyFill="1" applyBorder="1" applyAlignment="1">
      <alignment horizontal="center" vertical="center" wrapText="1"/>
    </xf>
    <xf numFmtId="10" fontId="13" fillId="0" borderId="0" xfId="13" applyNumberFormat="1" applyFont="1"/>
    <xf numFmtId="0" fontId="10" fillId="3" borderId="2" xfId="0" applyFont="1" applyFill="1" applyBorder="1" applyAlignment="1">
      <alignment horizontal="left" vertical="top" wrapText="1" indent="4"/>
    </xf>
    <xf numFmtId="0" fontId="9" fillId="0" borderId="0" xfId="12" applyFont="1"/>
    <xf numFmtId="0" fontId="10" fillId="3" borderId="2" xfId="0" applyFont="1" applyFill="1" applyBorder="1" applyAlignment="1">
      <alignment horizontal="left" vertical="center" wrapText="1" indent="3"/>
    </xf>
    <xf numFmtId="164" fontId="10" fillId="3" borderId="2" xfId="1" applyNumberFormat="1" applyFont="1" applyFill="1" applyBorder="1" applyAlignment="1">
      <alignment horizontal="left" vertical="center" wrapText="1" indent="3"/>
    </xf>
    <xf numFmtId="164" fontId="13" fillId="0" borderId="0" xfId="1" applyNumberFormat="1" applyFont="1"/>
    <xf numFmtId="169" fontId="10" fillId="3" borderId="2" xfId="1" applyNumberFormat="1" applyFont="1" applyFill="1" applyBorder="1" applyAlignment="1">
      <alignment horizontal="left" vertical="top" wrapText="1" indent="6"/>
    </xf>
    <xf numFmtId="169" fontId="10" fillId="3" borderId="2" xfId="1" applyNumberFormat="1" applyFont="1" applyFill="1" applyBorder="1" applyAlignment="1">
      <alignment horizontal="left" vertical="top" wrapText="1" indent="4"/>
    </xf>
    <xf numFmtId="169" fontId="8" fillId="5" borderId="2" xfId="1" applyNumberFormat="1" applyFont="1" applyFill="1" applyBorder="1" applyAlignment="1">
      <alignment horizontal="left" vertical="top" wrapText="1" indent="1"/>
    </xf>
    <xf numFmtId="169" fontId="10" fillId="3" borderId="2" xfId="1" applyNumberFormat="1" applyFont="1" applyFill="1" applyBorder="1" applyAlignment="1">
      <alignment horizontal="left" vertical="top" wrapText="1" indent="7"/>
    </xf>
    <xf numFmtId="169" fontId="10" fillId="3" borderId="2" xfId="1" applyNumberFormat="1" applyFont="1" applyFill="1" applyBorder="1" applyAlignment="1">
      <alignment horizontal="left" vertical="top" wrapText="1" indent="5"/>
    </xf>
    <xf numFmtId="169" fontId="8" fillId="6" borderId="2" xfId="0" applyNumberFormat="1" applyFont="1" applyFill="1" applyBorder="1" applyAlignment="1">
      <alignment horizontal="left" vertical="center" wrapText="1" indent="1"/>
    </xf>
    <xf numFmtId="169" fontId="10" fillId="3" borderId="2" xfId="1" applyNumberFormat="1" applyFont="1" applyFill="1" applyBorder="1" applyAlignment="1">
      <alignment horizontal="left" vertical="center" wrapText="1" indent="4"/>
    </xf>
    <xf numFmtId="169" fontId="8" fillId="5" borderId="2" xfId="1" applyNumberFormat="1" applyFont="1" applyFill="1" applyBorder="1" applyAlignment="1">
      <alignment horizontal="left" vertical="top" wrapText="1" indent="2"/>
    </xf>
    <xf numFmtId="169" fontId="10" fillId="3" borderId="2" xfId="1" applyNumberFormat="1" applyFont="1" applyFill="1" applyBorder="1" applyAlignment="1">
      <alignment horizontal="left" vertical="top" wrapText="1" indent="8"/>
    </xf>
    <xf numFmtId="169" fontId="8" fillId="6" borderId="2" xfId="0" applyNumberFormat="1" applyFont="1" applyFill="1" applyBorder="1" applyAlignment="1">
      <alignment horizontal="left" vertical="center" wrapText="1" indent="2"/>
    </xf>
    <xf numFmtId="169" fontId="10" fillId="3" borderId="2" xfId="1" applyNumberFormat="1" applyFont="1" applyFill="1" applyBorder="1" applyAlignment="1">
      <alignment horizontal="left" vertical="center" wrapText="1" indent="5"/>
    </xf>
    <xf numFmtId="164" fontId="11" fillId="7" borderId="0" xfId="1" applyNumberFormat="1" applyFont="1" applyFill="1" applyAlignment="1"/>
    <xf numFmtId="164" fontId="10" fillId="0" borderId="0" xfId="1" applyNumberFormat="1" applyFont="1" applyAlignment="1"/>
    <xf numFmtId="0" fontId="9" fillId="0" borderId="0" xfId="0" applyFont="1" applyAlignment="1"/>
    <xf numFmtId="169" fontId="13" fillId="0" borderId="0" xfId="1" applyNumberFormat="1" applyFont="1"/>
    <xf numFmtId="0" fontId="13" fillId="0" borderId="0" xfId="0" applyFont="1" applyAlignment="1"/>
    <xf numFmtId="169" fontId="18" fillId="0" borderId="0" xfId="1" applyNumberFormat="1" applyFont="1"/>
    <xf numFmtId="165" fontId="13" fillId="0" borderId="0" xfId="0" applyNumberFormat="1" applyFont="1" applyAlignment="1"/>
    <xf numFmtId="169" fontId="8" fillId="5" borderId="2" xfId="0" applyNumberFormat="1" applyFont="1" applyFill="1" applyBorder="1" applyAlignment="1">
      <alignment horizontal="left" vertical="top" wrapText="1" indent="1"/>
    </xf>
    <xf numFmtId="169" fontId="10" fillId="3" borderId="2" xfId="0" applyNumberFormat="1" applyFont="1" applyFill="1" applyBorder="1" applyAlignment="1">
      <alignment horizontal="left" vertical="top" wrapText="1" indent="1"/>
    </xf>
    <xf numFmtId="169" fontId="10" fillId="3" borderId="2" xfId="1" applyNumberFormat="1" applyFont="1" applyFill="1" applyBorder="1" applyAlignment="1">
      <alignment horizontal="left" vertical="top" wrapText="1" indent="1"/>
    </xf>
    <xf numFmtId="169" fontId="10" fillId="3" borderId="2" xfId="1" applyNumberFormat="1" applyFont="1" applyFill="1" applyBorder="1" applyAlignment="1">
      <alignment horizontal="left" vertical="center" wrapText="1" inden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169" fontId="9" fillId="0" borderId="2" xfId="1" applyNumberFormat="1" applyFont="1" applyBorder="1" applyAlignment="1">
      <alignment horizontal="center" vertical="center"/>
    </xf>
    <xf numFmtId="169" fontId="9" fillId="0" borderId="2" xfId="1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4" fontId="9" fillId="0" borderId="0" xfId="1" applyNumberFormat="1" applyFont="1" applyAlignment="1">
      <alignment vertical="center"/>
    </xf>
    <xf numFmtId="43" fontId="9" fillId="0" borderId="0" xfId="1" applyNumberFormat="1" applyFont="1" applyAlignment="1">
      <alignment vertical="center"/>
    </xf>
    <xf numFmtId="170" fontId="9" fillId="0" borderId="0" xfId="0" applyNumberFormat="1" applyFont="1"/>
    <xf numFmtId="170" fontId="9" fillId="0" borderId="0" xfId="0" applyNumberFormat="1" applyFont="1" applyAlignment="1">
      <alignment horizontal="center"/>
    </xf>
    <xf numFmtId="0" fontId="0" fillId="0" borderId="0" xfId="0" applyAlignment="1"/>
    <xf numFmtId="0" fontId="19" fillId="7" borderId="0" xfId="0" applyFont="1" applyFill="1"/>
    <xf numFmtId="164" fontId="19" fillId="7" borderId="0" xfId="1" applyNumberFormat="1" applyFont="1" applyFill="1" applyAlignment="1"/>
    <xf numFmtId="0" fontId="20" fillId="0" borderId="0" xfId="0" applyFont="1" applyAlignment="1">
      <alignment horizontal="left"/>
    </xf>
    <xf numFmtId="164" fontId="21" fillId="0" borderId="0" xfId="1" applyNumberFormat="1" applyFont="1" applyAlignment="1"/>
    <xf numFmtId="0" fontId="20" fillId="0" borderId="0" xfId="0" applyFont="1" applyAlignment="1">
      <alignment horizontal="left" indent="6"/>
    </xf>
    <xf numFmtId="0" fontId="22" fillId="0" borderId="0" xfId="0" applyFont="1"/>
    <xf numFmtId="0" fontId="22" fillId="0" borderId="0" xfId="0" applyFont="1" applyAlignment="1"/>
    <xf numFmtId="0" fontId="20" fillId="0" borderId="0" xfId="0" applyFont="1"/>
    <xf numFmtId="0" fontId="19" fillId="7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left" vertical="top" wrapText="1"/>
    </xf>
    <xf numFmtId="169" fontId="20" fillId="5" borderId="2" xfId="1" applyNumberFormat="1" applyFont="1" applyFill="1" applyBorder="1" applyAlignment="1">
      <alignment vertical="top" wrapText="1"/>
    </xf>
    <xf numFmtId="0" fontId="23" fillId="3" borderId="2" xfId="0" applyFont="1" applyFill="1" applyBorder="1" applyAlignment="1">
      <alignment horizontal="left" vertical="top" wrapText="1" indent="3"/>
    </xf>
    <xf numFmtId="169" fontId="23" fillId="3" borderId="2" xfId="1" applyNumberFormat="1" applyFont="1" applyFill="1" applyBorder="1" applyAlignment="1">
      <alignment vertical="top" wrapText="1"/>
    </xf>
    <xf numFmtId="169" fontId="20" fillId="5" borderId="2" xfId="0" applyNumberFormat="1" applyFont="1" applyFill="1" applyBorder="1" applyAlignment="1">
      <alignment vertical="top" wrapText="1"/>
    </xf>
    <xf numFmtId="0" fontId="23" fillId="3" borderId="2" xfId="0" applyFont="1" applyFill="1" applyBorder="1" applyAlignment="1">
      <alignment horizontal="left" vertical="top" wrapText="1" indent="6"/>
    </xf>
    <xf numFmtId="0" fontId="20" fillId="6" borderId="2" xfId="0" applyFont="1" applyFill="1" applyBorder="1" applyAlignment="1">
      <alignment horizontal="left" vertical="top" wrapText="1"/>
    </xf>
    <xf numFmtId="169" fontId="20" fillId="6" borderId="2" xfId="0" applyNumberFormat="1" applyFont="1" applyFill="1" applyBorder="1" applyAlignment="1">
      <alignment horizontal="left" vertical="center" wrapText="1" indent="1"/>
    </xf>
    <xf numFmtId="0" fontId="23" fillId="3" borderId="2" xfId="0" applyFont="1" applyFill="1" applyBorder="1" applyAlignment="1">
      <alignment horizontal="left" vertical="center" wrapText="1" indent="3"/>
    </xf>
    <xf numFmtId="169" fontId="23" fillId="3" borderId="2" xfId="1" applyNumberFormat="1" applyFont="1" applyFill="1" applyBorder="1" applyAlignment="1">
      <alignment vertical="center" wrapText="1"/>
    </xf>
    <xf numFmtId="169" fontId="20" fillId="5" borderId="2" xfId="0" applyNumberFormat="1" applyFont="1" applyFill="1" applyBorder="1" applyAlignment="1">
      <alignment horizontal="left" vertical="top" wrapText="1" indent="1"/>
    </xf>
    <xf numFmtId="43" fontId="9" fillId="0" borderId="0" xfId="1" applyFont="1"/>
    <xf numFmtId="169" fontId="0" fillId="0" borderId="0" xfId="0" applyNumberFormat="1"/>
    <xf numFmtId="169" fontId="0" fillId="0" borderId="0" xfId="0" applyNumberFormat="1" applyAlignment="1"/>
    <xf numFmtId="169" fontId="9" fillId="0" borderId="0" xfId="0" applyNumberFormat="1" applyFont="1"/>
    <xf numFmtId="168" fontId="0" fillId="0" borderId="0" xfId="11" applyNumberFormat="1" applyFont="1"/>
    <xf numFmtId="168" fontId="0" fillId="0" borderId="0" xfId="0" applyNumberFormat="1"/>
    <xf numFmtId="3" fontId="0" fillId="0" borderId="0" xfId="0" applyNumberFormat="1"/>
    <xf numFmtId="169" fontId="9" fillId="0" borderId="2" xfId="1" applyNumberFormat="1" applyFont="1" applyBorder="1" applyAlignment="1">
      <alignment horizontal="left" vertical="center" indent="5"/>
    </xf>
    <xf numFmtId="169" fontId="8" fillId="2" borderId="2" xfId="0" applyNumberFormat="1" applyFont="1" applyFill="1" applyBorder="1" applyAlignment="1">
      <alignment horizontal="left" vertical="center" indent="5"/>
    </xf>
    <xf numFmtId="169" fontId="0" fillId="0" borderId="0" xfId="1" applyNumberFormat="1" applyFont="1"/>
    <xf numFmtId="171" fontId="9" fillId="0" borderId="0" xfId="1" applyNumberFormat="1" applyFont="1"/>
    <xf numFmtId="169" fontId="9" fillId="0" borderId="0" xfId="0" applyNumberFormat="1" applyFont="1" applyAlignment="1">
      <alignment vertical="center"/>
    </xf>
    <xf numFmtId="169" fontId="9" fillId="3" borderId="2" xfId="1" applyNumberFormat="1" applyFont="1" applyFill="1" applyBorder="1" applyAlignment="1">
      <alignment horizontal="center"/>
    </xf>
    <xf numFmtId="43" fontId="9" fillId="0" borderId="0" xfId="1" applyNumberFormat="1" applyFont="1"/>
    <xf numFmtId="43" fontId="9" fillId="0" borderId="0" xfId="0" applyNumberFormat="1" applyFont="1"/>
  </cellXfs>
  <cellStyles count="14">
    <cellStyle name="Millares" xfId="1" builtinId="3"/>
    <cellStyle name="Millares 2" xfId="4" xr:uid="{00000000-0005-0000-0000-000001000000}"/>
    <cellStyle name="Millares 3" xfId="9" xr:uid="{00000000-0005-0000-0000-000002000000}"/>
    <cellStyle name="Millares 4" xfId="10" xr:uid="{00000000-0005-0000-0000-000003000000}"/>
    <cellStyle name="Normal" xfId="0" builtinId="0"/>
    <cellStyle name="Normal 2" xfId="2" xr:uid="{00000000-0005-0000-0000-000005000000}"/>
    <cellStyle name="Normal 3" xfId="6" xr:uid="{00000000-0005-0000-0000-000006000000}"/>
    <cellStyle name="Normal 4" xfId="8" xr:uid="{00000000-0005-0000-0000-000007000000}"/>
    <cellStyle name="Normal 5" xfId="12" xr:uid="{2EFE2BED-7328-475D-A864-1004404FCDAB}"/>
    <cellStyle name="Normal_SAF 2" xfId="3" xr:uid="{00000000-0005-0000-0000-000008000000}"/>
    <cellStyle name="Porcentaje" xfId="11" builtinId="5"/>
    <cellStyle name="Porcentaje 2" xfId="5" xr:uid="{00000000-0005-0000-0000-00000A000000}"/>
    <cellStyle name="Porcentaje 3" xfId="13" xr:uid="{5BFF2ADC-A746-43C5-915F-8E59B95F4F81}"/>
    <cellStyle name="Título 1" xfId="7" xr:uid="{00000000-0005-0000-0000-00000B000000}"/>
  </cellStyles>
  <dxfs count="0"/>
  <tableStyles count="0" defaultTableStyle="TableStyleMedium9" defaultPivotStyle="PivotStyleLight16"/>
  <colors>
    <mruColors>
      <color rgb="FFDFF27E"/>
      <color rgb="FFDA9996"/>
      <color rgb="FFD58B87"/>
      <color rgb="FFDDA29F"/>
      <color rgb="FFD387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Anexo%20informe%20MP%20al%2004-07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F tipo"/>
      <sheetName val="C.1 - Cuadro resumen AIF"/>
      <sheetName val="C.2 - Económico"/>
      <sheetName val="C.3 - Finalidad"/>
      <sheetName val="C.4 - Jurisdicción"/>
      <sheetName val="DA 567"/>
      <sheetName val="DNU 193"/>
      <sheetName val="DA 194"/>
      <sheetName val="DA 288"/>
      <sheetName val="DA 398"/>
      <sheetName val="Hoja4"/>
      <sheetName val="Hoja5"/>
      <sheetName val="soporte1"/>
      <sheetName val="soporte2"/>
      <sheetName val="resumen DA 5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L9">
            <v>744.65830000000005</v>
          </cell>
        </row>
        <row r="11">
          <cell r="L11">
            <v>17.545774000000002</v>
          </cell>
        </row>
        <row r="13">
          <cell r="L13">
            <v>4100</v>
          </cell>
        </row>
        <row r="17">
          <cell r="L17">
            <v>4942.6604200000002</v>
          </cell>
        </row>
        <row r="34">
          <cell r="B34">
            <v>10582.870253999999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topLeftCell="H1" zoomScale="85" zoomScaleNormal="85" workbookViewId="0">
      <selection activeCell="S14" sqref="S14"/>
    </sheetView>
  </sheetViews>
  <sheetFormatPr baseColWidth="10" defaultColWidth="11.42578125" defaultRowHeight="12" x14ac:dyDescent="0.15"/>
  <cols>
    <col min="1" max="1" width="30.5703125" style="8" customWidth="1"/>
    <col min="2" max="2" width="15.140625" style="8" customWidth="1"/>
    <col min="3" max="3" width="15.42578125" style="8" customWidth="1"/>
    <col min="4" max="4" width="15.85546875" style="8" customWidth="1"/>
    <col min="5" max="15" width="15.5703125" style="8" customWidth="1"/>
    <col min="16" max="16" width="19" style="8" bestFit="1" customWidth="1"/>
    <col min="17" max="17" width="16.5703125" style="8" customWidth="1"/>
    <col min="18" max="18" width="15.7109375" style="8" bestFit="1" customWidth="1"/>
    <col min="19" max="19" width="14.85546875" style="8" bestFit="1" customWidth="1"/>
    <col min="20" max="20" width="11.42578125" style="8"/>
    <col min="21" max="21" width="12.140625" style="8" bestFit="1" customWidth="1"/>
    <col min="22" max="22" width="12.85546875" style="8" bestFit="1" customWidth="1"/>
    <col min="23" max="16384" width="11.42578125" style="8"/>
  </cols>
  <sheetData>
    <row r="1" spans="1:22" x14ac:dyDescent="0.15">
      <c r="A1" s="7" t="s">
        <v>39</v>
      </c>
    </row>
    <row r="2" spans="1:22" x14ac:dyDescent="0.15">
      <c r="A2" s="7" t="s">
        <v>41</v>
      </c>
    </row>
    <row r="3" spans="1:22" x14ac:dyDescent="0.15">
      <c r="A3" s="7"/>
    </row>
    <row r="4" spans="1:22" x14ac:dyDescent="0.15">
      <c r="A4" s="9"/>
      <c r="P4" s="10"/>
      <c r="Q4" s="10"/>
    </row>
    <row r="5" spans="1:22" x14ac:dyDescent="0.15">
      <c r="A5" s="7" t="s">
        <v>0</v>
      </c>
      <c r="P5" s="10"/>
      <c r="Q5" s="10"/>
    </row>
    <row r="6" spans="1:22" ht="24" x14ac:dyDescent="0.15">
      <c r="A6" s="11" t="s">
        <v>6</v>
      </c>
      <c r="B6" s="11" t="s">
        <v>34</v>
      </c>
      <c r="C6" s="11" t="s">
        <v>42</v>
      </c>
      <c r="D6" s="11" t="s">
        <v>73</v>
      </c>
      <c r="E6" s="11" t="s">
        <v>80</v>
      </c>
      <c r="F6" s="11" t="s">
        <v>84</v>
      </c>
      <c r="G6" s="11" t="s">
        <v>109</v>
      </c>
      <c r="H6" s="11" t="s">
        <v>110</v>
      </c>
      <c r="I6" s="11" t="s">
        <v>115</v>
      </c>
      <c r="J6" s="11" t="s">
        <v>120</v>
      </c>
      <c r="K6" s="11" t="s">
        <v>142</v>
      </c>
      <c r="L6" s="11" t="s">
        <v>153</v>
      </c>
      <c r="M6" s="11" t="s">
        <v>155</v>
      </c>
      <c r="N6" s="11" t="s">
        <v>159</v>
      </c>
      <c r="O6" s="11" t="s">
        <v>165</v>
      </c>
      <c r="P6" s="11" t="s">
        <v>35</v>
      </c>
      <c r="Q6" s="11" t="s">
        <v>33</v>
      </c>
      <c r="S6" s="10"/>
    </row>
    <row r="7" spans="1:22" x14ac:dyDescent="0.15">
      <c r="A7" s="12" t="s">
        <v>1</v>
      </c>
      <c r="B7" s="20">
        <v>3572026.5</v>
      </c>
      <c r="C7" s="20">
        <v>13000</v>
      </c>
      <c r="D7" s="20">
        <v>180.1</v>
      </c>
      <c r="E7" s="20">
        <v>644.73702400000002</v>
      </c>
      <c r="F7" s="20">
        <v>1781</v>
      </c>
      <c r="G7" s="20">
        <v>10285.344583</v>
      </c>
      <c r="H7" s="20">
        <v>8250.6496289999995</v>
      </c>
      <c r="I7" s="20">
        <v>0</v>
      </c>
      <c r="J7" s="20">
        <v>5118.5624619999999</v>
      </c>
      <c r="K7" s="20">
        <v>326100</v>
      </c>
      <c r="L7" s="20">
        <v>10628.798349000001</v>
      </c>
      <c r="M7" s="20">
        <f>+'DA 1'!B30</f>
        <v>492</v>
      </c>
      <c r="N7" s="20">
        <v>20000</v>
      </c>
      <c r="O7" s="20">
        <v>2523.3000000000002</v>
      </c>
      <c r="P7" s="21">
        <f>+SUM(B7:O7)</f>
        <v>3971030.9920470002</v>
      </c>
      <c r="Q7" s="20">
        <f>+P7-B7</f>
        <v>399004.49204700021</v>
      </c>
      <c r="R7" s="98"/>
      <c r="S7" s="13"/>
    </row>
    <row r="8" spans="1:22" x14ac:dyDescent="0.15">
      <c r="A8" s="12" t="s">
        <v>2</v>
      </c>
      <c r="B8" s="20">
        <v>4172312.1999999997</v>
      </c>
      <c r="C8" s="20">
        <f>34477.1+100.9</f>
        <v>34578</v>
      </c>
      <c r="D8" s="20">
        <v>5734</v>
      </c>
      <c r="E8" s="20">
        <v>16624.4355</v>
      </c>
      <c r="F8" s="20">
        <v>13600.8</v>
      </c>
      <c r="G8" s="20">
        <v>17759.926276999999</v>
      </c>
      <c r="H8" s="20">
        <v>24788.216387</v>
      </c>
      <c r="I8" s="20">
        <v>9105.2000000000007</v>
      </c>
      <c r="J8" s="20">
        <v>28209.1</v>
      </c>
      <c r="K8" s="99">
        <v>664079.49273500009</v>
      </c>
      <c r="L8" s="20">
        <v>-17212.295797999999</v>
      </c>
      <c r="M8" s="20">
        <f>+'DA 1'!B31</f>
        <v>40261.9</v>
      </c>
      <c r="N8" s="20">
        <v>-86180</v>
      </c>
      <c r="O8" s="20">
        <v>4523.3</v>
      </c>
      <c r="P8" s="21">
        <f>+SUM(B8:O8)</f>
        <v>4928184.2751009995</v>
      </c>
      <c r="Q8" s="20">
        <f>+P8-B8</f>
        <v>755872.07510099979</v>
      </c>
      <c r="R8" s="14"/>
      <c r="S8" s="131"/>
      <c r="T8" s="15"/>
      <c r="U8" s="15"/>
      <c r="V8" s="16"/>
    </row>
    <row r="9" spans="1:22" x14ac:dyDescent="0.15">
      <c r="A9" s="17" t="s">
        <v>3</v>
      </c>
      <c r="B9" s="22">
        <f t="shared" ref="B9:F9" si="0">+B7-B8</f>
        <v>-600285.69999999972</v>
      </c>
      <c r="C9" s="22">
        <f t="shared" si="0"/>
        <v>-21578</v>
      </c>
      <c r="D9" s="22">
        <f t="shared" si="0"/>
        <v>-5553.9</v>
      </c>
      <c r="E9" s="22">
        <f t="shared" si="0"/>
        <v>-15979.698476</v>
      </c>
      <c r="F9" s="22">
        <f t="shared" si="0"/>
        <v>-11819.8</v>
      </c>
      <c r="G9" s="22">
        <f t="shared" ref="G9:N9" si="1">+G7-G8</f>
        <v>-7474.5816939999986</v>
      </c>
      <c r="H9" s="22">
        <f t="shared" si="1"/>
        <v>-16537.566758000001</v>
      </c>
      <c r="I9" s="22">
        <f t="shared" si="1"/>
        <v>-9105.2000000000007</v>
      </c>
      <c r="J9" s="22">
        <f t="shared" si="1"/>
        <v>-23090.537537999997</v>
      </c>
      <c r="K9" s="22">
        <f t="shared" si="1"/>
        <v>-337979.49273500009</v>
      </c>
      <c r="L9" s="22">
        <f t="shared" si="1"/>
        <v>27841.094147</v>
      </c>
      <c r="M9" s="22">
        <f t="shared" si="1"/>
        <v>-39769.9</v>
      </c>
      <c r="N9" s="22">
        <f t="shared" si="1"/>
        <v>106180</v>
      </c>
      <c r="O9" s="22">
        <f>+O7-O8</f>
        <v>-2000</v>
      </c>
      <c r="P9" s="22">
        <f>+P7-P8</f>
        <v>-957153.2830539993</v>
      </c>
      <c r="Q9" s="22">
        <f>+P9-B9</f>
        <v>-356867.58305399958</v>
      </c>
      <c r="R9" s="14"/>
      <c r="S9" s="14"/>
      <c r="T9" s="14"/>
      <c r="U9" s="14"/>
      <c r="V9" s="18"/>
    </row>
    <row r="10" spans="1:22" x14ac:dyDescent="0.15">
      <c r="A10" s="12" t="s">
        <v>4</v>
      </c>
      <c r="B10" s="20">
        <v>3217392.6110109999</v>
      </c>
      <c r="C10" s="20">
        <v>123104</v>
      </c>
      <c r="D10" s="20">
        <v>5403.9</v>
      </c>
      <c r="E10" s="20">
        <v>12993.666977000001</v>
      </c>
      <c r="F10" s="20">
        <v>8439.7000000000007</v>
      </c>
      <c r="G10" s="20">
        <v>9464</v>
      </c>
      <c r="H10" s="20">
        <v>2998.6755039999998</v>
      </c>
      <c r="I10" s="20">
        <v>69105.2</v>
      </c>
      <c r="J10" s="20">
        <v>2241.0502430000001</v>
      </c>
      <c r="K10" s="20">
        <v>1796432.3</v>
      </c>
      <c r="L10" s="20">
        <v>-292.72253499999999</v>
      </c>
      <c r="M10" s="20">
        <f>+'DA 1'!B35</f>
        <v>-20.3</v>
      </c>
      <c r="N10" s="20">
        <v>60000</v>
      </c>
      <c r="O10" s="20">
        <v>0</v>
      </c>
      <c r="P10" s="21">
        <v>5320038.45</v>
      </c>
      <c r="Q10" s="20">
        <f>+P10-B10</f>
        <v>2102645.8389890003</v>
      </c>
      <c r="R10" s="98"/>
      <c r="S10" s="19"/>
      <c r="T10" s="14"/>
    </row>
    <row r="11" spans="1:22" x14ac:dyDescent="0.15">
      <c r="A11" s="12" t="s">
        <v>5</v>
      </c>
      <c r="B11" s="20">
        <v>2617106.9</v>
      </c>
      <c r="C11" s="20">
        <v>101526</v>
      </c>
      <c r="D11" s="20">
        <v>-150</v>
      </c>
      <c r="E11" s="20">
        <v>-2986.0314990000002</v>
      </c>
      <c r="F11" s="20">
        <v>-3380.13</v>
      </c>
      <c r="G11" s="20">
        <v>1989.418306</v>
      </c>
      <c r="H11" s="20">
        <v>-13538.891254</v>
      </c>
      <c r="I11" s="20">
        <v>60000</v>
      </c>
      <c r="J11" s="20">
        <v>-20849.518233999999</v>
      </c>
      <c r="K11" s="20">
        <v>1458452.766418</v>
      </c>
      <c r="L11" s="20">
        <v>27548.371611999999</v>
      </c>
      <c r="M11" s="20">
        <f>+'DA 1'!B38</f>
        <v>-39790.300000000003</v>
      </c>
      <c r="N11" s="20">
        <v>166180</v>
      </c>
      <c r="O11" s="20">
        <v>-2000</v>
      </c>
      <c r="P11" s="21">
        <v>4362884.9000000004</v>
      </c>
      <c r="Q11" s="20">
        <f>+P11-B11</f>
        <v>1745778.0000000005</v>
      </c>
      <c r="R11" s="98"/>
      <c r="S11" s="19"/>
    </row>
    <row r="12" spans="1:22" x14ac:dyDescent="0.15"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S12" s="19"/>
    </row>
    <row r="13" spans="1:22" x14ac:dyDescent="0.15">
      <c r="P13" s="10"/>
      <c r="Q13" s="10"/>
      <c r="R13" s="10"/>
    </row>
    <row r="14" spans="1:22" x14ac:dyDescent="0.15">
      <c r="I14" s="98"/>
      <c r="J14" s="134"/>
      <c r="P14" s="98"/>
      <c r="Q14" s="98"/>
      <c r="R14" s="14"/>
    </row>
    <row r="15" spans="1:22" x14ac:dyDescent="0.15">
      <c r="I15" s="98"/>
      <c r="J15" s="134"/>
      <c r="P15" s="14"/>
      <c r="Q15" s="98"/>
      <c r="R15" s="14"/>
    </row>
    <row r="16" spans="1:22" x14ac:dyDescent="0.15">
      <c r="I16" s="98"/>
      <c r="P16" s="98"/>
      <c r="Q16" s="98"/>
      <c r="R16" s="98"/>
    </row>
    <row r="17" spans="16:18" x14ac:dyDescent="0.15">
      <c r="P17" s="121"/>
      <c r="Q17" s="98"/>
      <c r="R17" s="16"/>
    </row>
    <row r="18" spans="16:18" x14ac:dyDescent="0.15">
      <c r="P18" s="135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136D-51B6-4F9B-8285-C83D43ECF49A}">
  <dimension ref="A1:F51"/>
  <sheetViews>
    <sheetView topLeftCell="A10" workbookViewId="0">
      <selection activeCell="F30" sqref="F30"/>
    </sheetView>
  </sheetViews>
  <sheetFormatPr baseColWidth="10" defaultRowHeight="13.5" x14ac:dyDescent="0.15"/>
  <cols>
    <col min="1" max="1" width="49.140625" style="52" customWidth="1"/>
    <col min="2" max="2" width="17.140625" style="65" bestFit="1" customWidth="1"/>
    <col min="3" max="3" width="19" style="52" bestFit="1" customWidth="1"/>
    <col min="4" max="4" width="17.42578125" style="52" bestFit="1" customWidth="1"/>
    <col min="5" max="6" width="19" style="52" bestFit="1" customWidth="1"/>
    <col min="7" max="7" width="13.7109375" style="52" bestFit="1" customWidth="1"/>
    <col min="8" max="8" width="16.42578125" style="52" bestFit="1" customWidth="1"/>
    <col min="9" max="9" width="17.42578125" style="52" bestFit="1" customWidth="1"/>
    <col min="10" max="16384" width="11.42578125" style="52"/>
  </cols>
  <sheetData>
    <row r="1" spans="1:3" x14ac:dyDescent="0.15">
      <c r="A1" s="36" t="s">
        <v>112</v>
      </c>
      <c r="B1" s="56"/>
    </row>
    <row r="2" spans="1:3" x14ac:dyDescent="0.15">
      <c r="A2" s="57" t="s">
        <v>134</v>
      </c>
      <c r="B2" s="58"/>
    </row>
    <row r="3" spans="1:3" x14ac:dyDescent="0.15">
      <c r="A3" s="57" t="s">
        <v>135</v>
      </c>
      <c r="B3" s="58"/>
    </row>
    <row r="4" spans="1:3" x14ac:dyDescent="0.15">
      <c r="A4" s="39" t="s">
        <v>123</v>
      </c>
      <c r="B4" s="58"/>
    </row>
    <row r="5" spans="1:3" x14ac:dyDescent="0.15">
      <c r="A5" s="39" t="s">
        <v>113</v>
      </c>
      <c r="B5" s="58"/>
    </row>
    <row r="6" spans="1:3" x14ac:dyDescent="0.15">
      <c r="A6" s="39" t="s">
        <v>114</v>
      </c>
      <c r="B6" s="58"/>
    </row>
    <row r="7" spans="1:3" x14ac:dyDescent="0.15">
      <c r="A7" s="9"/>
      <c r="B7" s="58"/>
    </row>
    <row r="8" spans="1:3" x14ac:dyDescent="0.15">
      <c r="A8" s="7" t="s">
        <v>62</v>
      </c>
      <c r="B8" s="58"/>
    </row>
    <row r="9" spans="1:3" x14ac:dyDescent="0.15">
      <c r="A9" s="7" t="s">
        <v>124</v>
      </c>
      <c r="B9" s="58"/>
    </row>
    <row r="11" spans="1:3" x14ac:dyDescent="0.15">
      <c r="A11" s="11" t="s">
        <v>47</v>
      </c>
      <c r="B11" s="59" t="s">
        <v>48</v>
      </c>
    </row>
    <row r="12" spans="1:3" x14ac:dyDescent="0.15">
      <c r="A12" s="43" t="s">
        <v>87</v>
      </c>
      <c r="B12" s="68">
        <f>+SUM(B13:B18)</f>
        <v>8211.9599999999991</v>
      </c>
      <c r="C12" s="60"/>
    </row>
    <row r="13" spans="1:3" x14ac:dyDescent="0.15">
      <c r="A13" s="44" t="s">
        <v>88</v>
      </c>
      <c r="B13" s="67">
        <v>1130</v>
      </c>
    </row>
    <row r="14" spans="1:3" x14ac:dyDescent="0.15">
      <c r="A14" s="44" t="s">
        <v>89</v>
      </c>
      <c r="B14" s="67">
        <v>3200</v>
      </c>
    </row>
    <row r="15" spans="1:3" x14ac:dyDescent="0.15">
      <c r="A15" s="44" t="s">
        <v>90</v>
      </c>
      <c r="B15" s="67">
        <f>608.4+85.3+385.3</f>
        <v>1079</v>
      </c>
    </row>
    <row r="16" spans="1:3" x14ac:dyDescent="0.15">
      <c r="A16" s="44" t="s">
        <v>91</v>
      </c>
      <c r="B16" s="67">
        <v>101.4</v>
      </c>
    </row>
    <row r="17" spans="1:4" x14ac:dyDescent="0.15">
      <c r="A17" s="44" t="s">
        <v>61</v>
      </c>
      <c r="B17" s="67">
        <v>2699.9</v>
      </c>
      <c r="C17" s="53"/>
    </row>
    <row r="18" spans="1:4" x14ac:dyDescent="0.15">
      <c r="A18" s="44" t="s">
        <v>65</v>
      </c>
      <c r="B18" s="67">
        <f>0.8+0.86</f>
        <v>1.6600000000000001</v>
      </c>
      <c r="C18" s="53"/>
    </row>
    <row r="19" spans="1:4" x14ac:dyDescent="0.15">
      <c r="A19" s="43" t="s">
        <v>92</v>
      </c>
      <c r="B19" s="68">
        <f>+B20+B23+B26+B27</f>
        <v>20985.205560000002</v>
      </c>
      <c r="C19" s="60"/>
      <c r="D19" s="53"/>
    </row>
    <row r="20" spans="1:4" x14ac:dyDescent="0.15">
      <c r="A20" s="44" t="s">
        <v>93</v>
      </c>
      <c r="B20" s="67">
        <f>+B21+B22</f>
        <v>3504.3</v>
      </c>
      <c r="C20" s="60"/>
      <c r="D20" s="53"/>
    </row>
    <row r="21" spans="1:4" x14ac:dyDescent="0.15">
      <c r="A21" s="54" t="s">
        <v>94</v>
      </c>
      <c r="B21" s="69">
        <v>-3697.5</v>
      </c>
      <c r="C21" s="53"/>
    </row>
    <row r="22" spans="1:4" x14ac:dyDescent="0.15">
      <c r="A22" s="54" t="s">
        <v>67</v>
      </c>
      <c r="B22" s="69">
        <v>7201.8</v>
      </c>
    </row>
    <row r="23" spans="1:4" x14ac:dyDescent="0.15">
      <c r="A23" s="44" t="s">
        <v>95</v>
      </c>
      <c r="B23" s="67">
        <f>5560/1000000</f>
        <v>5.5599999999999998E-3</v>
      </c>
    </row>
    <row r="24" spans="1:4" hidden="1" x14ac:dyDescent="0.15">
      <c r="A24" s="61" t="s">
        <v>107</v>
      </c>
      <c r="B24" s="70"/>
    </row>
    <row r="25" spans="1:4" hidden="1" x14ac:dyDescent="0.15">
      <c r="A25" s="61" t="s">
        <v>108</v>
      </c>
      <c r="B25" s="70"/>
    </row>
    <row r="26" spans="1:4" x14ac:dyDescent="0.15">
      <c r="A26" s="44" t="s">
        <v>65</v>
      </c>
      <c r="B26" s="67">
        <f>8711.7+8105.8+654.7</f>
        <v>17472.2</v>
      </c>
    </row>
    <row r="27" spans="1:4" x14ac:dyDescent="0.15">
      <c r="A27" s="44" t="s">
        <v>97</v>
      </c>
      <c r="B27" s="67">
        <v>8.6999999999999993</v>
      </c>
    </row>
    <row r="28" spans="1:4" x14ac:dyDescent="0.15">
      <c r="A28" s="43" t="s">
        <v>98</v>
      </c>
      <c r="B28" s="68">
        <f>+B12-B19</f>
        <v>-12773.245560000003</v>
      </c>
    </row>
    <row r="29" spans="1:4" x14ac:dyDescent="0.15">
      <c r="A29" s="43" t="s">
        <v>99</v>
      </c>
      <c r="B29" s="68">
        <f>+SUM(B30:B30)</f>
        <v>38.700000000000003</v>
      </c>
      <c r="C29" s="60"/>
    </row>
    <row r="30" spans="1:4" x14ac:dyDescent="0.15">
      <c r="A30" s="44" t="s">
        <v>101</v>
      </c>
      <c r="B30" s="67">
        <v>38.700000000000003</v>
      </c>
    </row>
    <row r="31" spans="1:4" x14ac:dyDescent="0.15">
      <c r="A31" s="43" t="s">
        <v>103</v>
      </c>
      <c r="B31" s="68">
        <f>+B32+B33</f>
        <v>3803</v>
      </c>
      <c r="C31" s="60"/>
    </row>
    <row r="32" spans="1:4" x14ac:dyDescent="0.15">
      <c r="A32" s="44" t="s">
        <v>75</v>
      </c>
      <c r="B32" s="67">
        <f>-420.8+38.3</f>
        <v>-382.5</v>
      </c>
    </row>
    <row r="33" spans="1:6" x14ac:dyDescent="0.15">
      <c r="A33" s="44" t="s">
        <v>101</v>
      </c>
      <c r="B33" s="67">
        <f>10+4175.5</f>
        <v>4185.5</v>
      </c>
    </row>
    <row r="34" spans="1:6" x14ac:dyDescent="0.15">
      <c r="A34" s="43" t="s">
        <v>104</v>
      </c>
      <c r="B34" s="68">
        <f>+B12+B29</f>
        <v>8250.66</v>
      </c>
      <c r="C34" s="60"/>
    </row>
    <row r="35" spans="1:6" x14ac:dyDescent="0.15">
      <c r="A35" s="43" t="s">
        <v>105</v>
      </c>
      <c r="B35" s="68">
        <f>+B19+B31</f>
        <v>24788.205560000002</v>
      </c>
      <c r="C35" s="60"/>
    </row>
    <row r="36" spans="1:6" x14ac:dyDescent="0.15">
      <c r="A36" s="43" t="s">
        <v>106</v>
      </c>
      <c r="B36" s="68">
        <f>+B35-B23</f>
        <v>24788.2</v>
      </c>
      <c r="C36" s="60"/>
    </row>
    <row r="37" spans="1:6" x14ac:dyDescent="0.15">
      <c r="A37" s="46" t="s">
        <v>57</v>
      </c>
      <c r="B37" s="71">
        <f>+B34-B35</f>
        <v>-16537.545560000002</v>
      </c>
    </row>
    <row r="38" spans="1:6" x14ac:dyDescent="0.15">
      <c r="A38" s="43" t="s">
        <v>58</v>
      </c>
      <c r="B38" s="68">
        <f>+B34-B36</f>
        <v>-16537.54</v>
      </c>
    </row>
    <row r="39" spans="1:6" x14ac:dyDescent="0.15">
      <c r="A39" s="43" t="s">
        <v>59</v>
      </c>
      <c r="B39" s="68">
        <f>+B40+B41</f>
        <v>2998.6000000000004</v>
      </c>
    </row>
    <row r="40" spans="1:6" s="62" customFormat="1" ht="12" x14ac:dyDescent="0.15">
      <c r="A40" s="44" t="s">
        <v>83</v>
      </c>
      <c r="B40" s="67">
        <v>825.7</v>
      </c>
    </row>
    <row r="41" spans="1:6" s="62" customFormat="1" ht="24" x14ac:dyDescent="0.15">
      <c r="A41" s="63" t="s">
        <v>68</v>
      </c>
      <c r="B41" s="72">
        <v>2172.9</v>
      </c>
    </row>
    <row r="42" spans="1:6" x14ac:dyDescent="0.15">
      <c r="A42" s="43" t="s">
        <v>60</v>
      </c>
      <c r="B42" s="68">
        <f>+B43+B44</f>
        <v>-13538.927550000002</v>
      </c>
    </row>
    <row r="43" spans="1:6" s="62" customFormat="1" ht="12.75" customHeight="1" x14ac:dyDescent="0.15">
      <c r="A43" s="63" t="s">
        <v>63</v>
      </c>
      <c r="B43" s="72">
        <v>1568.9</v>
      </c>
    </row>
    <row r="44" spans="1:6" s="62" customFormat="1" ht="24" x14ac:dyDescent="0.15">
      <c r="A44" s="63" t="s">
        <v>69</v>
      </c>
      <c r="B44" s="72">
        <f>-16853+0.17245+1745</f>
        <v>-15107.827550000002</v>
      </c>
    </row>
    <row r="47" spans="1:6" x14ac:dyDescent="0.15">
      <c r="C47" s="55"/>
      <c r="D47" s="55"/>
      <c r="E47" s="55"/>
      <c r="F47" s="55"/>
    </row>
    <row r="51" spans="3:3" x14ac:dyDescent="0.15">
      <c r="C51" s="55"/>
    </row>
  </sheetData>
  <sheetProtection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7E4C-54A0-4C20-AA96-E6AAB8C85F54}">
  <dimension ref="A1:F51"/>
  <sheetViews>
    <sheetView workbookViewId="0">
      <selection activeCell="D34" sqref="C34:D34"/>
    </sheetView>
  </sheetViews>
  <sheetFormatPr baseColWidth="10" defaultRowHeight="13.5" x14ac:dyDescent="0.15"/>
  <cols>
    <col min="1" max="1" width="49.140625" style="52" customWidth="1"/>
    <col min="2" max="2" width="17.140625" style="65" bestFit="1" customWidth="1"/>
    <col min="3" max="3" width="19" style="52" bestFit="1" customWidth="1"/>
    <col min="4" max="4" width="17.42578125" style="52" bestFit="1" customWidth="1"/>
    <col min="5" max="6" width="19" style="52" bestFit="1" customWidth="1"/>
    <col min="7" max="7" width="13.7109375" style="52" bestFit="1" customWidth="1"/>
    <col min="8" max="8" width="16.42578125" style="52" bestFit="1" customWidth="1"/>
    <col min="9" max="9" width="17.42578125" style="52" bestFit="1" customWidth="1"/>
    <col min="10" max="16384" width="11.42578125" style="52"/>
  </cols>
  <sheetData>
    <row r="1" spans="1:3" x14ac:dyDescent="0.15">
      <c r="A1" s="36" t="s">
        <v>119</v>
      </c>
      <c r="B1" s="56"/>
    </row>
    <row r="2" spans="1:3" x14ac:dyDescent="0.15">
      <c r="A2" s="39" t="s">
        <v>136</v>
      </c>
      <c r="B2" s="58"/>
    </row>
    <row r="3" spans="1:3" x14ac:dyDescent="0.15">
      <c r="A3" s="39" t="s">
        <v>140</v>
      </c>
      <c r="B3" s="58"/>
    </row>
    <row r="4" spans="1:3" x14ac:dyDescent="0.15">
      <c r="A4" s="39" t="s">
        <v>137</v>
      </c>
      <c r="B4" s="58"/>
    </row>
    <row r="5" spans="1:3" x14ac:dyDescent="0.15">
      <c r="A5" s="39" t="s">
        <v>118</v>
      </c>
      <c r="B5" s="58"/>
    </row>
    <row r="6" spans="1:3" x14ac:dyDescent="0.15">
      <c r="A6" s="39"/>
      <c r="B6" s="58"/>
    </row>
    <row r="7" spans="1:3" x14ac:dyDescent="0.15">
      <c r="A7" s="9"/>
      <c r="B7" s="58"/>
    </row>
    <row r="8" spans="1:3" x14ac:dyDescent="0.15">
      <c r="A8" s="7" t="s">
        <v>62</v>
      </c>
      <c r="B8" s="58"/>
    </row>
    <row r="9" spans="1:3" x14ac:dyDescent="0.15">
      <c r="A9" s="7" t="s">
        <v>124</v>
      </c>
      <c r="B9" s="58"/>
    </row>
    <row r="11" spans="1:3" x14ac:dyDescent="0.15">
      <c r="A11" s="11" t="s">
        <v>47</v>
      </c>
      <c r="B11" s="59" t="s">
        <v>48</v>
      </c>
    </row>
    <row r="12" spans="1:3" x14ac:dyDescent="0.15">
      <c r="A12" s="43" t="s">
        <v>87</v>
      </c>
      <c r="B12" s="73">
        <v>0</v>
      </c>
      <c r="C12" s="60"/>
    </row>
    <row r="13" spans="1:3" hidden="1" x14ac:dyDescent="0.15">
      <c r="A13" s="44" t="s">
        <v>88</v>
      </c>
      <c r="B13" s="70">
        <v>1130</v>
      </c>
    </row>
    <row r="14" spans="1:3" hidden="1" x14ac:dyDescent="0.15">
      <c r="A14" s="44" t="s">
        <v>89</v>
      </c>
      <c r="B14" s="70">
        <v>3200</v>
      </c>
    </row>
    <row r="15" spans="1:3" hidden="1" x14ac:dyDescent="0.15">
      <c r="A15" s="44" t="s">
        <v>90</v>
      </c>
      <c r="B15" s="70">
        <f>608.4+85.3+385.3</f>
        <v>1079</v>
      </c>
    </row>
    <row r="16" spans="1:3" hidden="1" x14ac:dyDescent="0.15">
      <c r="A16" s="44" t="s">
        <v>91</v>
      </c>
      <c r="B16" s="70">
        <v>101.4</v>
      </c>
    </row>
    <row r="17" spans="1:4" hidden="1" x14ac:dyDescent="0.15">
      <c r="A17" s="44" t="s">
        <v>61</v>
      </c>
      <c r="B17" s="70">
        <v>2699.9</v>
      </c>
      <c r="C17" s="53"/>
    </row>
    <row r="18" spans="1:4" hidden="1" x14ac:dyDescent="0.15">
      <c r="A18" s="44" t="s">
        <v>65</v>
      </c>
      <c r="B18" s="70">
        <f>0.8+0.86</f>
        <v>1.6600000000000001</v>
      </c>
      <c r="C18" s="53"/>
    </row>
    <row r="19" spans="1:4" x14ac:dyDescent="0.15">
      <c r="A19" s="43" t="s">
        <v>92</v>
      </c>
      <c r="B19" s="73">
        <f>+B20+B23+B26+B27</f>
        <v>9105.2055599999985</v>
      </c>
      <c r="C19" s="60"/>
      <c r="D19" s="53"/>
    </row>
    <row r="20" spans="1:4" x14ac:dyDescent="0.15">
      <c r="A20" s="44" t="s">
        <v>93</v>
      </c>
      <c r="B20" s="70">
        <f>+B21+B22</f>
        <v>4220.8999999999996</v>
      </c>
      <c r="C20" s="60"/>
      <c r="D20" s="53"/>
    </row>
    <row r="21" spans="1:4" hidden="1" x14ac:dyDescent="0.15">
      <c r="A21" s="54" t="s">
        <v>94</v>
      </c>
      <c r="B21" s="74"/>
      <c r="C21" s="53"/>
    </row>
    <row r="22" spans="1:4" x14ac:dyDescent="0.15">
      <c r="A22" s="54" t="s">
        <v>67</v>
      </c>
      <c r="B22" s="74">
        <f>4071.9+149</f>
        <v>4220.8999999999996</v>
      </c>
    </row>
    <row r="23" spans="1:4" hidden="1" x14ac:dyDescent="0.15">
      <c r="A23" s="44" t="s">
        <v>95</v>
      </c>
      <c r="B23" s="70">
        <f>5560/1000000</f>
        <v>5.5599999999999998E-3</v>
      </c>
    </row>
    <row r="24" spans="1:4" hidden="1" x14ac:dyDescent="0.15">
      <c r="A24" s="61" t="s">
        <v>107</v>
      </c>
      <c r="B24" s="66"/>
    </row>
    <row r="25" spans="1:4" hidden="1" x14ac:dyDescent="0.15">
      <c r="A25" s="61" t="s">
        <v>108</v>
      </c>
      <c r="B25" s="66"/>
    </row>
    <row r="26" spans="1:4" x14ac:dyDescent="0.15">
      <c r="A26" s="44" t="s">
        <v>65</v>
      </c>
      <c r="B26" s="70">
        <v>4884.3</v>
      </c>
    </row>
    <row r="27" spans="1:4" hidden="1" x14ac:dyDescent="0.15">
      <c r="A27" s="44" t="s">
        <v>97</v>
      </c>
      <c r="B27" s="70"/>
    </row>
    <row r="28" spans="1:4" x14ac:dyDescent="0.15">
      <c r="A28" s="43" t="s">
        <v>98</v>
      </c>
      <c r="B28" s="73">
        <f>+B12-B19</f>
        <v>-9105.2055599999985</v>
      </c>
    </row>
    <row r="29" spans="1:4" x14ac:dyDescent="0.15">
      <c r="A29" s="43" t="s">
        <v>99</v>
      </c>
      <c r="B29" s="73">
        <v>0</v>
      </c>
      <c r="C29" s="60"/>
    </row>
    <row r="30" spans="1:4" hidden="1" x14ac:dyDescent="0.15">
      <c r="A30" s="44" t="s">
        <v>101</v>
      </c>
      <c r="B30" s="70">
        <v>38.700000000000003</v>
      </c>
    </row>
    <row r="31" spans="1:4" x14ac:dyDescent="0.15">
      <c r="A31" s="43" t="s">
        <v>103</v>
      </c>
      <c r="B31" s="73">
        <v>0</v>
      </c>
      <c r="C31" s="60"/>
    </row>
    <row r="32" spans="1:4" hidden="1" x14ac:dyDescent="0.15">
      <c r="A32" s="44" t="s">
        <v>75</v>
      </c>
      <c r="B32" s="70">
        <f>-420.8+38.3</f>
        <v>-382.5</v>
      </c>
    </row>
    <row r="33" spans="1:6" hidden="1" x14ac:dyDescent="0.15">
      <c r="A33" s="44" t="s">
        <v>101</v>
      </c>
      <c r="B33" s="70">
        <f>10+4175.5</f>
        <v>4185.5</v>
      </c>
    </row>
    <row r="34" spans="1:6" x14ac:dyDescent="0.15">
      <c r="A34" s="43" t="s">
        <v>104</v>
      </c>
      <c r="B34" s="73">
        <f>+B12+B29</f>
        <v>0</v>
      </c>
      <c r="C34" s="60"/>
    </row>
    <row r="35" spans="1:6" x14ac:dyDescent="0.15">
      <c r="A35" s="43" t="s">
        <v>105</v>
      </c>
      <c r="B35" s="73">
        <f>+B19+B31</f>
        <v>9105.2055599999985</v>
      </c>
      <c r="C35" s="60"/>
    </row>
    <row r="36" spans="1:6" x14ac:dyDescent="0.15">
      <c r="A36" s="43" t="s">
        <v>106</v>
      </c>
      <c r="B36" s="73">
        <f>+B35-B23</f>
        <v>9105.1999999999989</v>
      </c>
      <c r="C36" s="60"/>
    </row>
    <row r="37" spans="1:6" x14ac:dyDescent="0.15">
      <c r="A37" s="46" t="s">
        <v>57</v>
      </c>
      <c r="B37" s="75">
        <f>+B34-B35</f>
        <v>-9105.2055599999985</v>
      </c>
    </row>
    <row r="38" spans="1:6" x14ac:dyDescent="0.15">
      <c r="A38" s="43" t="s">
        <v>58</v>
      </c>
      <c r="B38" s="73">
        <f>+B34-B36</f>
        <v>-9105.1999999999989</v>
      </c>
    </row>
    <row r="39" spans="1:6" x14ac:dyDescent="0.15">
      <c r="A39" s="43" t="s">
        <v>59</v>
      </c>
      <c r="B39" s="73">
        <f>+B40+B41</f>
        <v>69105.2</v>
      </c>
    </row>
    <row r="40" spans="1:6" s="62" customFormat="1" ht="12" hidden="1" x14ac:dyDescent="0.15">
      <c r="A40" s="44" t="s">
        <v>83</v>
      </c>
      <c r="B40" s="70"/>
    </row>
    <row r="41" spans="1:6" s="62" customFormat="1" ht="24" x14ac:dyDescent="0.15">
      <c r="A41" s="63" t="s">
        <v>68</v>
      </c>
      <c r="B41" s="76">
        <v>69105.2</v>
      </c>
    </row>
    <row r="42" spans="1:6" x14ac:dyDescent="0.15">
      <c r="A42" s="43" t="s">
        <v>60</v>
      </c>
      <c r="B42" s="73">
        <f>+B43+B44</f>
        <v>60000</v>
      </c>
    </row>
    <row r="43" spans="1:6" s="62" customFormat="1" ht="12.75" customHeight="1" x14ac:dyDescent="0.15">
      <c r="A43" s="63" t="s">
        <v>63</v>
      </c>
      <c r="B43" s="76">
        <v>60000</v>
      </c>
    </row>
    <row r="44" spans="1:6" s="62" customFormat="1" ht="12.75" hidden="1" customHeight="1" x14ac:dyDescent="0.15">
      <c r="A44" s="63" t="s">
        <v>69</v>
      </c>
      <c r="B44" s="64"/>
    </row>
    <row r="47" spans="1:6" x14ac:dyDescent="0.15">
      <c r="C47" s="55"/>
      <c r="D47" s="55"/>
      <c r="E47" s="55"/>
      <c r="F47" s="55"/>
    </row>
    <row r="51" spans="3:3" x14ac:dyDescent="0.15">
      <c r="C51" s="5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ABA8-271E-4E14-A8FE-EEFCC7A1AF01}">
  <dimension ref="A1:H46"/>
  <sheetViews>
    <sheetView workbookViewId="0">
      <selection activeCell="A36" sqref="A36:B36"/>
    </sheetView>
  </sheetViews>
  <sheetFormatPr baseColWidth="10" defaultRowHeight="13.5" x14ac:dyDescent="0.15"/>
  <cols>
    <col min="1" max="1" width="52.7109375" style="37" customWidth="1"/>
    <col min="2" max="2" width="12.28515625" style="81" bestFit="1" customWidth="1"/>
    <col min="3" max="5" width="11.42578125" style="37"/>
    <col min="6" max="6" width="11.7109375" style="37" customWidth="1"/>
    <col min="7" max="16384" width="11.42578125" style="37"/>
  </cols>
  <sheetData>
    <row r="1" spans="1:8" x14ac:dyDescent="0.15">
      <c r="A1" s="36" t="s">
        <v>121</v>
      </c>
      <c r="B1" s="77"/>
      <c r="C1" s="62"/>
      <c r="D1" s="62"/>
    </row>
    <row r="2" spans="1:8" x14ac:dyDescent="0.15">
      <c r="A2" s="39" t="s">
        <v>138</v>
      </c>
      <c r="B2" s="78"/>
      <c r="C2" s="62"/>
      <c r="D2" s="62"/>
    </row>
    <row r="3" spans="1:8" x14ac:dyDescent="0.15">
      <c r="A3" s="39" t="s">
        <v>139</v>
      </c>
      <c r="B3" s="78"/>
      <c r="C3" s="62"/>
      <c r="D3" s="62"/>
    </row>
    <row r="4" spans="1:8" x14ac:dyDescent="0.15">
      <c r="A4" s="39" t="s">
        <v>123</v>
      </c>
      <c r="B4" s="78"/>
      <c r="C4" s="62"/>
      <c r="D4" s="62"/>
    </row>
    <row r="5" spans="1:8" x14ac:dyDescent="0.15">
      <c r="A5" s="39" t="s">
        <v>141</v>
      </c>
      <c r="B5" s="78"/>
      <c r="C5" s="62"/>
      <c r="D5" s="62"/>
    </row>
    <row r="6" spans="1:8" x14ac:dyDescent="0.15">
      <c r="A6" s="9"/>
      <c r="B6" s="78"/>
      <c r="C6" s="62"/>
      <c r="D6" s="62"/>
    </row>
    <row r="7" spans="1:8" x14ac:dyDescent="0.15">
      <c r="A7" s="7" t="s">
        <v>62</v>
      </c>
      <c r="B7" s="78"/>
      <c r="C7" s="62"/>
      <c r="D7" s="62"/>
    </row>
    <row r="8" spans="1:8" x14ac:dyDescent="0.15">
      <c r="A8" s="7" t="s">
        <v>124</v>
      </c>
      <c r="B8" s="78"/>
      <c r="C8" s="62"/>
      <c r="D8" s="62"/>
    </row>
    <row r="9" spans="1:8" x14ac:dyDescent="0.15">
      <c r="A9" s="8"/>
      <c r="B9" s="79"/>
      <c r="C9" s="8"/>
      <c r="D9" s="8"/>
    </row>
    <row r="10" spans="1:8" x14ac:dyDescent="0.15">
      <c r="A10" s="11" t="s">
        <v>47</v>
      </c>
      <c r="B10" s="11" t="s">
        <v>48</v>
      </c>
      <c r="C10" s="8"/>
      <c r="D10" s="8"/>
      <c r="H10" s="65"/>
    </row>
    <row r="11" spans="1:8" x14ac:dyDescent="0.15">
      <c r="A11" s="43" t="s">
        <v>87</v>
      </c>
      <c r="B11" s="84">
        <f>+SUM(B12:B17)</f>
        <v>5117.8015919999998</v>
      </c>
      <c r="C11" s="8"/>
      <c r="D11" s="8"/>
      <c r="H11" s="65"/>
    </row>
    <row r="12" spans="1:8" x14ac:dyDescent="0.15">
      <c r="A12" s="44" t="s">
        <v>88</v>
      </c>
      <c r="B12" s="85">
        <v>4454.7997820000001</v>
      </c>
      <c r="C12" s="8"/>
      <c r="D12" s="8"/>
      <c r="H12" s="65"/>
    </row>
    <row r="13" spans="1:8" x14ac:dyDescent="0.15">
      <c r="A13" s="44" t="s">
        <v>89</v>
      </c>
      <c r="B13" s="85">
        <v>-46.815812000000001</v>
      </c>
      <c r="C13" s="8"/>
      <c r="D13" s="8"/>
      <c r="H13" s="65"/>
    </row>
    <row r="14" spans="1:8" x14ac:dyDescent="0.15">
      <c r="A14" s="44" t="s">
        <v>90</v>
      </c>
      <c r="B14" s="85">
        <v>234.905079</v>
      </c>
      <c r="C14" s="8"/>
      <c r="D14" s="8"/>
      <c r="H14" s="65"/>
    </row>
    <row r="15" spans="1:8" x14ac:dyDescent="0.15">
      <c r="A15" s="44" t="s">
        <v>91</v>
      </c>
      <c r="B15" s="85">
        <v>134.40924999999999</v>
      </c>
      <c r="C15" s="8"/>
      <c r="D15" s="8"/>
      <c r="H15" s="65"/>
    </row>
    <row r="16" spans="1:8" x14ac:dyDescent="0.15">
      <c r="A16" s="44" t="s">
        <v>61</v>
      </c>
      <c r="B16" s="85">
        <v>343.32858099999999</v>
      </c>
      <c r="C16" s="8"/>
      <c r="D16" s="8"/>
      <c r="H16" s="65"/>
    </row>
    <row r="17" spans="1:4" x14ac:dyDescent="0.15">
      <c r="A17" s="44" t="s">
        <v>65</v>
      </c>
      <c r="B17" s="85">
        <v>-2.825288</v>
      </c>
      <c r="C17" s="8"/>
      <c r="D17" s="8"/>
    </row>
    <row r="18" spans="1:4" x14ac:dyDescent="0.15">
      <c r="A18" s="43" t="s">
        <v>92</v>
      </c>
      <c r="B18" s="68">
        <f>+B19+B22+B23+B24+B25</f>
        <v>15116.267</v>
      </c>
      <c r="C18" s="8"/>
      <c r="D18" s="8"/>
    </row>
    <row r="19" spans="1:4" x14ac:dyDescent="0.15">
      <c r="A19" s="44" t="s">
        <v>93</v>
      </c>
      <c r="B19" s="86">
        <f>+B20+B21</f>
        <v>5149.5740000000005</v>
      </c>
      <c r="C19" s="8"/>
      <c r="D19" s="8"/>
    </row>
    <row r="20" spans="1:4" x14ac:dyDescent="0.15">
      <c r="A20" s="54" t="s">
        <v>94</v>
      </c>
      <c r="B20" s="86">
        <v>3243.145</v>
      </c>
      <c r="C20" s="8"/>
      <c r="D20" s="8"/>
    </row>
    <row r="21" spans="1:4" x14ac:dyDescent="0.15">
      <c r="A21" s="54" t="s">
        <v>67</v>
      </c>
      <c r="B21" s="86">
        <v>1906.4290000000001</v>
      </c>
      <c r="C21" s="8"/>
      <c r="D21" s="8"/>
    </row>
    <row r="22" spans="1:4" x14ac:dyDescent="0.15">
      <c r="A22" s="44" t="s">
        <v>95</v>
      </c>
      <c r="B22" s="86">
        <f>2.5+0.4</f>
        <v>2.9</v>
      </c>
      <c r="C22" s="8"/>
      <c r="D22" s="8"/>
    </row>
    <row r="23" spans="1:4" x14ac:dyDescent="0.15">
      <c r="A23" s="44" t="s">
        <v>96</v>
      </c>
      <c r="B23" s="86">
        <v>586.74699999999996</v>
      </c>
      <c r="C23" s="8"/>
      <c r="D23" s="8"/>
    </row>
    <row r="24" spans="1:4" x14ac:dyDescent="0.15">
      <c r="A24" s="44" t="s">
        <v>65</v>
      </c>
      <c r="B24" s="86">
        <f>739.552+8637.494</f>
        <v>9377.0460000000003</v>
      </c>
      <c r="C24" s="8"/>
      <c r="D24" s="8"/>
    </row>
    <row r="25" spans="1:4" x14ac:dyDescent="0.15">
      <c r="A25" s="44" t="s">
        <v>97</v>
      </c>
      <c r="B25" s="86">
        <v>0</v>
      </c>
      <c r="C25" s="8"/>
      <c r="D25" s="8"/>
    </row>
    <row r="26" spans="1:4" x14ac:dyDescent="0.15">
      <c r="A26" s="43" t="s">
        <v>98</v>
      </c>
      <c r="B26" s="84">
        <f>+B11-B18</f>
        <v>-9998.465408</v>
      </c>
      <c r="C26" s="8"/>
      <c r="D26" s="8"/>
    </row>
    <row r="27" spans="1:4" x14ac:dyDescent="0.15">
      <c r="A27" s="43" t="s">
        <v>99</v>
      </c>
      <c r="B27" s="84">
        <f>+B28</f>
        <v>0.76087000000000005</v>
      </c>
      <c r="C27" s="8"/>
      <c r="D27" s="8"/>
    </row>
    <row r="28" spans="1:4" x14ac:dyDescent="0.15">
      <c r="A28" s="44" t="s">
        <v>101</v>
      </c>
      <c r="B28" s="85">
        <v>0.76087000000000005</v>
      </c>
      <c r="C28" s="8"/>
      <c r="D28" s="8"/>
    </row>
    <row r="29" spans="1:4" x14ac:dyDescent="0.15">
      <c r="A29" s="43" t="s">
        <v>103</v>
      </c>
      <c r="B29" s="68">
        <f>+SUM(B30:B32)</f>
        <v>13092.862314</v>
      </c>
      <c r="C29" s="8"/>
      <c r="D29" s="8"/>
    </row>
    <row r="30" spans="1:4" x14ac:dyDescent="0.15">
      <c r="A30" s="44" t="s">
        <v>75</v>
      </c>
      <c r="B30" s="86">
        <v>2857.8417469999999</v>
      </c>
      <c r="C30" s="8"/>
      <c r="D30" s="8"/>
    </row>
    <row r="31" spans="1:4" x14ac:dyDescent="0.15">
      <c r="A31" s="44" t="s">
        <v>101</v>
      </c>
      <c r="B31" s="86">
        <v>4435.0205669999996</v>
      </c>
      <c r="C31" s="8"/>
      <c r="D31" s="8"/>
    </row>
    <row r="32" spans="1:4" x14ac:dyDescent="0.15">
      <c r="A32" s="44" t="s">
        <v>63</v>
      </c>
      <c r="B32" s="86">
        <v>5800</v>
      </c>
      <c r="C32" s="8"/>
      <c r="D32" s="8"/>
    </row>
    <row r="33" spans="1:5" x14ac:dyDescent="0.15">
      <c r="A33" s="43" t="s">
        <v>104</v>
      </c>
      <c r="B33" s="84">
        <f>+B27+B11</f>
        <v>5118.5624619999999</v>
      </c>
      <c r="C33" s="8"/>
      <c r="D33" s="23"/>
    </row>
    <row r="34" spans="1:5" x14ac:dyDescent="0.15">
      <c r="A34" s="43" t="s">
        <v>105</v>
      </c>
      <c r="B34" s="68">
        <f>+B29+B18</f>
        <v>28209.129313999998</v>
      </c>
      <c r="C34" s="8"/>
      <c r="D34" s="8"/>
    </row>
    <row r="35" spans="1:5" x14ac:dyDescent="0.15">
      <c r="A35" s="43" t="s">
        <v>106</v>
      </c>
      <c r="B35" s="68">
        <f>+B34-B22</f>
        <v>28206.229313999997</v>
      </c>
      <c r="C35" s="8"/>
      <c r="D35" s="8"/>
    </row>
    <row r="36" spans="1:5" x14ac:dyDescent="0.15">
      <c r="A36" s="46" t="s">
        <v>57</v>
      </c>
      <c r="B36" s="71">
        <f>+B33-B34</f>
        <v>-23090.566851999996</v>
      </c>
      <c r="C36" s="8"/>
      <c r="D36" s="8"/>
    </row>
    <row r="37" spans="1:5" x14ac:dyDescent="0.15">
      <c r="A37" s="43" t="s">
        <v>58</v>
      </c>
      <c r="B37" s="84">
        <f>+B33-B35</f>
        <v>-23087.666851999995</v>
      </c>
      <c r="C37" s="8"/>
      <c r="D37" s="8"/>
    </row>
    <row r="38" spans="1:5" x14ac:dyDescent="0.15">
      <c r="A38" s="43" t="s">
        <v>59</v>
      </c>
      <c r="B38" s="84">
        <f>+B39+B40</f>
        <v>2241.0502430000001</v>
      </c>
      <c r="C38" s="8"/>
      <c r="D38" s="8"/>
    </row>
    <row r="39" spans="1:5" x14ac:dyDescent="0.15">
      <c r="A39" s="44" t="s">
        <v>83</v>
      </c>
      <c r="B39" s="86">
        <v>-3104.4497569999999</v>
      </c>
      <c r="C39" s="8"/>
      <c r="D39" s="8"/>
    </row>
    <row r="40" spans="1:5" x14ac:dyDescent="0.15">
      <c r="A40" s="63" t="s">
        <v>68</v>
      </c>
      <c r="B40" s="87">
        <v>5345.5</v>
      </c>
      <c r="C40" s="8"/>
      <c r="D40" s="8"/>
    </row>
    <row r="41" spans="1:5" x14ac:dyDescent="0.15">
      <c r="A41" s="43" t="s">
        <v>60</v>
      </c>
      <c r="B41" s="68">
        <f>+B42+B43</f>
        <v>-20849.518233999999</v>
      </c>
      <c r="C41" s="8"/>
      <c r="D41" s="8"/>
    </row>
    <row r="42" spans="1:5" x14ac:dyDescent="0.15">
      <c r="A42" s="63" t="s">
        <v>63</v>
      </c>
      <c r="B42" s="87">
        <v>-6535.7932449999998</v>
      </c>
      <c r="C42" s="8"/>
      <c r="D42" s="8"/>
      <c r="E42" s="80"/>
    </row>
    <row r="43" spans="1:5" ht="24" x14ac:dyDescent="0.15">
      <c r="A43" s="63" t="s">
        <v>69</v>
      </c>
      <c r="B43" s="87">
        <v>-14313.724989</v>
      </c>
      <c r="C43" s="8"/>
      <c r="D43" s="8"/>
      <c r="E43" s="80"/>
    </row>
    <row r="44" spans="1:5" x14ac:dyDescent="0.15">
      <c r="E44" s="82"/>
    </row>
    <row r="45" spans="1:5" x14ac:dyDescent="0.15">
      <c r="B45" s="83"/>
      <c r="E45" s="80"/>
    </row>
    <row r="46" spans="1:5" x14ac:dyDescent="0.15">
      <c r="E46" s="80"/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E11D-C264-4AE2-B8DB-757A56B144DE}">
  <dimension ref="A1:D46"/>
  <sheetViews>
    <sheetView zoomScaleNormal="100" workbookViewId="0">
      <selection sqref="A1:C45"/>
    </sheetView>
  </sheetViews>
  <sheetFormatPr baseColWidth="10" defaultRowHeight="15" x14ac:dyDescent="0.25"/>
  <cols>
    <col min="1" max="1" width="50.85546875" customWidth="1"/>
    <col min="2" max="2" width="14.28515625" style="100" customWidth="1"/>
  </cols>
  <sheetData>
    <row r="1" spans="1:3" x14ac:dyDescent="0.25">
      <c r="A1" s="101" t="s">
        <v>143</v>
      </c>
      <c r="B1" s="102"/>
      <c r="C1" s="52"/>
    </row>
    <row r="2" spans="1:3" x14ac:dyDescent="0.25">
      <c r="A2" s="103" t="s">
        <v>146</v>
      </c>
      <c r="B2" s="104"/>
      <c r="C2" s="52"/>
    </row>
    <row r="3" spans="1:3" x14ac:dyDescent="0.25">
      <c r="A3" s="103" t="s">
        <v>150</v>
      </c>
      <c r="B3" s="104"/>
      <c r="C3" s="52"/>
    </row>
    <row r="4" spans="1:3" x14ac:dyDescent="0.25">
      <c r="A4" s="103" t="s">
        <v>147</v>
      </c>
      <c r="B4" s="104"/>
      <c r="C4" s="52"/>
    </row>
    <row r="5" spans="1:3" x14ac:dyDescent="0.25">
      <c r="A5" s="105" t="s">
        <v>72</v>
      </c>
      <c r="B5" s="104"/>
      <c r="C5" s="52"/>
    </row>
    <row r="6" spans="1:3" x14ac:dyDescent="0.25">
      <c r="A6" s="105" t="s">
        <v>144</v>
      </c>
      <c r="B6" s="104"/>
      <c r="C6" s="52"/>
    </row>
    <row r="7" spans="1:3" x14ac:dyDescent="0.25">
      <c r="A7" s="106"/>
      <c r="B7" s="107"/>
    </row>
    <row r="8" spans="1:3" x14ac:dyDescent="0.25">
      <c r="A8" s="108" t="s">
        <v>62</v>
      </c>
      <c r="B8" s="107"/>
    </row>
    <row r="9" spans="1:3" x14ac:dyDescent="0.25">
      <c r="A9" s="108" t="s">
        <v>148</v>
      </c>
      <c r="B9" s="107"/>
    </row>
    <row r="10" spans="1:3" x14ac:dyDescent="0.25">
      <c r="A10" s="106"/>
      <c r="B10" s="107"/>
    </row>
    <row r="11" spans="1:3" x14ac:dyDescent="0.25">
      <c r="A11" s="109" t="s">
        <v>47</v>
      </c>
      <c r="B11" s="109" t="s">
        <v>48</v>
      </c>
      <c r="C11" s="126"/>
    </row>
    <row r="12" spans="1:3" x14ac:dyDescent="0.25">
      <c r="A12" s="110" t="s">
        <v>87</v>
      </c>
      <c r="B12" s="111">
        <f>+SUM(B13:B18)</f>
        <v>316744.5</v>
      </c>
    </row>
    <row r="13" spans="1:3" x14ac:dyDescent="0.25">
      <c r="A13" s="112" t="s">
        <v>88</v>
      </c>
      <c r="B13" s="113">
        <v>58006</v>
      </c>
      <c r="C13" s="125"/>
    </row>
    <row r="14" spans="1:3" x14ac:dyDescent="0.25">
      <c r="A14" s="112" t="s">
        <v>145</v>
      </c>
      <c r="B14" s="113">
        <v>19773.099999999999</v>
      </c>
      <c r="C14" s="125"/>
    </row>
    <row r="15" spans="1:3" x14ac:dyDescent="0.25">
      <c r="A15" s="112" t="s">
        <v>90</v>
      </c>
      <c r="B15" s="113">
        <v>4020.1</v>
      </c>
      <c r="C15" s="125"/>
    </row>
    <row r="16" spans="1:3" x14ac:dyDescent="0.25">
      <c r="A16" s="112" t="s">
        <v>91</v>
      </c>
      <c r="B16" s="113">
        <v>5.8</v>
      </c>
      <c r="C16" s="125"/>
    </row>
    <row r="17" spans="1:3" x14ac:dyDescent="0.25">
      <c r="A17" s="112" t="s">
        <v>61</v>
      </c>
      <c r="B17" s="113">
        <v>234515.8</v>
      </c>
      <c r="C17" s="125"/>
    </row>
    <row r="18" spans="1:3" x14ac:dyDescent="0.25">
      <c r="A18" s="112" t="s">
        <v>65</v>
      </c>
      <c r="B18" s="113">
        <v>423.7</v>
      </c>
    </row>
    <row r="19" spans="1:3" x14ac:dyDescent="0.25">
      <c r="A19" s="110" t="s">
        <v>92</v>
      </c>
      <c r="B19" s="114">
        <f>+B20+B23+B24+B25</f>
        <v>579716.30576499994</v>
      </c>
    </row>
    <row r="20" spans="1:3" x14ac:dyDescent="0.25">
      <c r="A20" s="112" t="s">
        <v>93</v>
      </c>
      <c r="B20" s="113">
        <f>+B21+B22</f>
        <v>26369.298974999991</v>
      </c>
    </row>
    <row r="21" spans="1:3" x14ac:dyDescent="0.25">
      <c r="A21" s="115" t="s">
        <v>94</v>
      </c>
      <c r="B21" s="113">
        <v>22190.34597799999</v>
      </c>
    </row>
    <row r="22" spans="1:3" x14ac:dyDescent="0.25">
      <c r="A22" s="115" t="s">
        <v>67</v>
      </c>
      <c r="B22" s="113">
        <v>4178.9529970000003</v>
      </c>
    </row>
    <row r="23" spans="1:3" x14ac:dyDescent="0.25">
      <c r="A23" s="112" t="s">
        <v>95</v>
      </c>
      <c r="B23" s="113">
        <v>305791.829692</v>
      </c>
    </row>
    <row r="24" spans="1:3" x14ac:dyDescent="0.25">
      <c r="A24" s="112" t="s">
        <v>96</v>
      </c>
      <c r="B24" s="113">
        <v>90312.715769000002</v>
      </c>
    </row>
    <row r="25" spans="1:3" x14ac:dyDescent="0.25">
      <c r="A25" s="112" t="s">
        <v>65</v>
      </c>
      <c r="B25" s="113">
        <v>157242.46132900001</v>
      </c>
    </row>
    <row r="26" spans="1:3" x14ac:dyDescent="0.25">
      <c r="A26" s="110" t="s">
        <v>98</v>
      </c>
      <c r="B26" s="114">
        <f>+B12-B19</f>
        <v>-262971.80576499994</v>
      </c>
    </row>
    <row r="27" spans="1:3" x14ac:dyDescent="0.25">
      <c r="A27" s="110" t="s">
        <v>99</v>
      </c>
      <c r="B27" s="111">
        <f>+SUM(B28:B30)</f>
        <v>9355.5</v>
      </c>
      <c r="C27" s="125"/>
    </row>
    <row r="28" spans="1:3" x14ac:dyDescent="0.25">
      <c r="A28" s="112" t="s">
        <v>100</v>
      </c>
      <c r="B28" s="113">
        <v>0</v>
      </c>
    </row>
    <row r="29" spans="1:3" x14ac:dyDescent="0.25">
      <c r="A29" s="112" t="s">
        <v>101</v>
      </c>
      <c r="B29" s="113">
        <v>3000</v>
      </c>
    </row>
    <row r="30" spans="1:3" x14ac:dyDescent="0.25">
      <c r="A30" s="112" t="s">
        <v>102</v>
      </c>
      <c r="B30" s="113">
        <v>6355.5</v>
      </c>
    </row>
    <row r="31" spans="1:3" x14ac:dyDescent="0.25">
      <c r="A31" s="110" t="s">
        <v>103</v>
      </c>
      <c r="B31" s="111">
        <f>+SUM(B32:B34)</f>
        <v>84363.18697000001</v>
      </c>
    </row>
    <row r="32" spans="1:3" x14ac:dyDescent="0.25">
      <c r="A32" s="112" t="s">
        <v>75</v>
      </c>
      <c r="B32" s="113">
        <v>79003.194970000011</v>
      </c>
    </row>
    <row r="33" spans="1:4" x14ac:dyDescent="0.25">
      <c r="A33" s="112" t="s">
        <v>101</v>
      </c>
      <c r="B33" s="113">
        <v>-1240.008</v>
      </c>
    </row>
    <row r="34" spans="1:4" x14ac:dyDescent="0.25">
      <c r="A34" s="112" t="s">
        <v>63</v>
      </c>
      <c r="B34" s="113">
        <v>6600</v>
      </c>
    </row>
    <row r="35" spans="1:4" x14ac:dyDescent="0.25">
      <c r="A35" s="110" t="s">
        <v>104</v>
      </c>
      <c r="B35" s="111">
        <f>+B12+B27</f>
        <v>326100</v>
      </c>
    </row>
    <row r="36" spans="1:4" x14ac:dyDescent="0.25">
      <c r="A36" s="110" t="s">
        <v>105</v>
      </c>
      <c r="B36" s="114">
        <f>+B19+B31</f>
        <v>664079.49273499998</v>
      </c>
      <c r="D36" s="122"/>
    </row>
    <row r="37" spans="1:4" x14ac:dyDescent="0.25">
      <c r="A37" s="110" t="s">
        <v>106</v>
      </c>
      <c r="B37" s="114">
        <f>+B36-B23</f>
        <v>358287.66304299998</v>
      </c>
    </row>
    <row r="38" spans="1:4" x14ac:dyDescent="0.25">
      <c r="A38" s="116" t="s">
        <v>57</v>
      </c>
      <c r="B38" s="117">
        <f>+B35-B36</f>
        <v>-337979.49273499998</v>
      </c>
    </row>
    <row r="39" spans="1:4" x14ac:dyDescent="0.25">
      <c r="A39" s="110" t="s">
        <v>58</v>
      </c>
      <c r="B39" s="120">
        <f>+B35-B37</f>
        <v>-32187.663042999979</v>
      </c>
    </row>
    <row r="40" spans="1:4" x14ac:dyDescent="0.25">
      <c r="A40" s="110" t="s">
        <v>59</v>
      </c>
      <c r="B40" s="111">
        <f>+SUM(B41:B42)</f>
        <v>1796432.3</v>
      </c>
    </row>
    <row r="41" spans="1:4" x14ac:dyDescent="0.25">
      <c r="A41" s="112" t="s">
        <v>83</v>
      </c>
      <c r="B41" s="113">
        <v>196821.1</v>
      </c>
    </row>
    <row r="42" spans="1:4" x14ac:dyDescent="0.25">
      <c r="A42" s="118" t="s">
        <v>68</v>
      </c>
      <c r="B42" s="119">
        <v>1599611.2</v>
      </c>
    </row>
    <row r="43" spans="1:4" x14ac:dyDescent="0.25">
      <c r="A43" s="110" t="s">
        <v>60</v>
      </c>
      <c r="B43" s="111">
        <f>+SUM(B44:B45)</f>
        <v>1458452.766418</v>
      </c>
    </row>
    <row r="44" spans="1:4" x14ac:dyDescent="0.25">
      <c r="A44" s="118" t="s">
        <v>63</v>
      </c>
      <c r="B44" s="119">
        <v>415236.601693</v>
      </c>
    </row>
    <row r="45" spans="1:4" x14ac:dyDescent="0.25">
      <c r="A45" s="118" t="s">
        <v>149</v>
      </c>
      <c r="B45" s="119">
        <v>1043216.164725</v>
      </c>
    </row>
    <row r="46" spans="1:4" x14ac:dyDescent="0.25">
      <c r="B46" s="12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21F6D-031C-495A-A537-0D15450B2151}">
  <dimension ref="A1:K46"/>
  <sheetViews>
    <sheetView zoomScale="115" zoomScaleNormal="115" workbookViewId="0">
      <selection sqref="A1:B44"/>
    </sheetView>
  </sheetViews>
  <sheetFormatPr baseColWidth="10" defaultRowHeight="15" x14ac:dyDescent="0.25"/>
  <cols>
    <col min="1" max="1" width="52.5703125" customWidth="1"/>
    <col min="2" max="2" width="11.7109375" bestFit="1" customWidth="1"/>
    <col min="9" max="9" width="52.5703125" bestFit="1" customWidth="1"/>
    <col min="10" max="10" width="16.85546875" bestFit="1" customWidth="1"/>
    <col min="11" max="11" width="11.42578125" style="130"/>
  </cols>
  <sheetData>
    <row r="1" spans="1:10" x14ac:dyDescent="0.25">
      <c r="A1" s="36" t="s">
        <v>151</v>
      </c>
      <c r="B1" s="102"/>
    </row>
    <row r="2" spans="1:10" x14ac:dyDescent="0.25">
      <c r="A2" s="39" t="s">
        <v>152</v>
      </c>
      <c r="B2" s="104"/>
    </row>
    <row r="3" spans="1:10" x14ac:dyDescent="0.25">
      <c r="A3" s="39" t="s">
        <v>154</v>
      </c>
      <c r="B3" s="104"/>
    </row>
    <row r="4" spans="1:10" x14ac:dyDescent="0.25">
      <c r="A4" s="103" t="s">
        <v>147</v>
      </c>
      <c r="B4" s="104"/>
    </row>
    <row r="5" spans="1:10" x14ac:dyDescent="0.25">
      <c r="A5" s="106"/>
      <c r="B5" s="107"/>
    </row>
    <row r="6" spans="1:10" x14ac:dyDescent="0.25">
      <c r="A6" s="108" t="s">
        <v>62</v>
      </c>
      <c r="B6" s="107"/>
    </row>
    <row r="7" spans="1:10" x14ac:dyDescent="0.25">
      <c r="A7" s="108" t="s">
        <v>124</v>
      </c>
      <c r="B7" s="107"/>
    </row>
    <row r="8" spans="1:10" x14ac:dyDescent="0.25">
      <c r="A8" s="106"/>
      <c r="B8" s="107"/>
    </row>
    <row r="9" spans="1:10" x14ac:dyDescent="0.25">
      <c r="A9" s="109" t="s">
        <v>47</v>
      </c>
      <c r="B9" s="109" t="s">
        <v>48</v>
      </c>
    </row>
    <row r="10" spans="1:10" x14ac:dyDescent="0.25">
      <c r="A10" s="110" t="s">
        <v>87</v>
      </c>
      <c r="B10" s="111">
        <f>+SUM(B11:B16)</f>
        <v>9318.4762460000002</v>
      </c>
      <c r="J10" s="130"/>
    </row>
    <row r="11" spans="1:10" x14ac:dyDescent="0.25">
      <c r="A11" s="112" t="s">
        <v>88</v>
      </c>
      <c r="B11" s="113">
        <v>988.98243100000002</v>
      </c>
      <c r="J11" s="130"/>
    </row>
    <row r="12" spans="1:10" x14ac:dyDescent="0.25">
      <c r="A12" s="112" t="s">
        <v>145</v>
      </c>
      <c r="B12" s="113">
        <v>6514.5502669999996</v>
      </c>
      <c r="J12" s="130"/>
    </row>
    <row r="13" spans="1:10" x14ac:dyDescent="0.25">
      <c r="A13" s="112" t="s">
        <v>90</v>
      </c>
      <c r="B13" s="113">
        <v>1078.5924910000001</v>
      </c>
      <c r="J13" s="130"/>
    </row>
    <row r="14" spans="1:10" x14ac:dyDescent="0.25">
      <c r="A14" s="112" t="s">
        <v>91</v>
      </c>
      <c r="B14" s="113">
        <v>729.19997699999999</v>
      </c>
      <c r="J14" s="130"/>
    </row>
    <row r="15" spans="1:10" x14ac:dyDescent="0.25">
      <c r="A15" s="112" t="s">
        <v>61</v>
      </c>
      <c r="B15" s="113">
        <v>0</v>
      </c>
      <c r="J15" s="130"/>
    </row>
    <row r="16" spans="1:10" x14ac:dyDescent="0.25">
      <c r="A16" s="112" t="s">
        <v>65</v>
      </c>
      <c r="B16" s="113">
        <v>7.1510800000000003</v>
      </c>
      <c r="J16" s="130"/>
    </row>
    <row r="17" spans="1:10" x14ac:dyDescent="0.25">
      <c r="A17" s="110" t="s">
        <v>92</v>
      </c>
      <c r="B17" s="114">
        <f>+B18+B21+B22+B23</f>
        <v>-20948.787009</v>
      </c>
      <c r="J17" s="130"/>
    </row>
    <row r="18" spans="1:10" x14ac:dyDescent="0.25">
      <c r="A18" s="112" t="s">
        <v>93</v>
      </c>
      <c r="B18" s="113">
        <f>+B19+B20</f>
        <v>7454.8326349999998</v>
      </c>
      <c r="J18" s="130"/>
    </row>
    <row r="19" spans="1:10" x14ac:dyDescent="0.25">
      <c r="A19" s="115" t="s">
        <v>94</v>
      </c>
      <c r="B19" s="113">
        <v>2009.327059</v>
      </c>
      <c r="J19" s="130"/>
    </row>
    <row r="20" spans="1:10" x14ac:dyDescent="0.25">
      <c r="A20" s="115" t="s">
        <v>67</v>
      </c>
      <c r="B20" s="113">
        <v>5445.5055759999996</v>
      </c>
      <c r="J20" s="130"/>
    </row>
    <row r="21" spans="1:10" x14ac:dyDescent="0.25">
      <c r="A21" s="112" t="s">
        <v>95</v>
      </c>
      <c r="B21" s="113">
        <v>187.643362</v>
      </c>
      <c r="J21" s="130"/>
    </row>
    <row r="22" spans="1:10" hidden="1" x14ac:dyDescent="0.25">
      <c r="A22" s="112" t="s">
        <v>96</v>
      </c>
      <c r="B22" s="113"/>
    </row>
    <row r="23" spans="1:10" x14ac:dyDescent="0.25">
      <c r="A23" s="112" t="s">
        <v>65</v>
      </c>
      <c r="B23" s="113">
        <v>-28591.263006000001</v>
      </c>
    </row>
    <row r="24" spans="1:10" x14ac:dyDescent="0.25">
      <c r="A24" s="44" t="s">
        <v>77</v>
      </c>
      <c r="B24" s="113">
        <v>6.5760000000000002E-3</v>
      </c>
    </row>
    <row r="25" spans="1:10" x14ac:dyDescent="0.25">
      <c r="A25" s="110" t="s">
        <v>98</v>
      </c>
      <c r="B25" s="114">
        <f>+B10-B17</f>
        <v>30267.263254999998</v>
      </c>
    </row>
    <row r="26" spans="1:10" x14ac:dyDescent="0.25">
      <c r="A26" s="110" t="s">
        <v>99</v>
      </c>
      <c r="B26" s="111">
        <f>+SUM(B27:B29)</f>
        <v>1310.322103</v>
      </c>
    </row>
    <row r="27" spans="1:10" x14ac:dyDescent="0.25">
      <c r="A27" s="112" t="s">
        <v>100</v>
      </c>
      <c r="B27" s="113">
        <v>-2089.3015820000001</v>
      </c>
    </row>
    <row r="28" spans="1:10" x14ac:dyDescent="0.25">
      <c r="A28" s="112" t="s">
        <v>101</v>
      </c>
      <c r="B28" s="113">
        <v>3399.623685</v>
      </c>
    </row>
    <row r="29" spans="1:10" x14ac:dyDescent="0.25">
      <c r="A29" s="112" t="s">
        <v>102</v>
      </c>
      <c r="B29" s="113"/>
      <c r="G29" s="130"/>
    </row>
    <row r="30" spans="1:10" x14ac:dyDescent="0.25">
      <c r="A30" s="110" t="s">
        <v>103</v>
      </c>
      <c r="B30" s="111">
        <f>+SUM(B31:B33)</f>
        <v>3735.661321</v>
      </c>
      <c r="G30" s="130"/>
    </row>
    <row r="31" spans="1:10" x14ac:dyDescent="0.25">
      <c r="A31" s="112" t="s">
        <v>75</v>
      </c>
      <c r="B31" s="113">
        <v>1238.760401</v>
      </c>
      <c r="G31" s="130"/>
    </row>
    <row r="32" spans="1:10" x14ac:dyDescent="0.25">
      <c r="A32" s="112" t="s">
        <v>101</v>
      </c>
      <c r="B32" s="113">
        <v>2396.90092</v>
      </c>
      <c r="G32" s="130"/>
    </row>
    <row r="33" spans="1:7" x14ac:dyDescent="0.25">
      <c r="A33" s="112" t="s">
        <v>63</v>
      </c>
      <c r="B33" s="113">
        <v>100</v>
      </c>
      <c r="G33" s="130"/>
    </row>
    <row r="34" spans="1:7" x14ac:dyDescent="0.25">
      <c r="A34" s="110" t="s">
        <v>104</v>
      </c>
      <c r="B34" s="111">
        <f>+B10+B26</f>
        <v>10628.798349000001</v>
      </c>
      <c r="G34" s="130"/>
    </row>
    <row r="35" spans="1:7" x14ac:dyDescent="0.25">
      <c r="A35" s="110" t="s">
        <v>105</v>
      </c>
      <c r="B35" s="114">
        <f>+B17+B30</f>
        <v>-17213.125688</v>
      </c>
    </row>
    <row r="36" spans="1:7" x14ac:dyDescent="0.25">
      <c r="A36" s="110" t="s">
        <v>106</v>
      </c>
      <c r="B36" s="114">
        <f>+B35-B21</f>
        <v>-17400.769049999999</v>
      </c>
    </row>
    <row r="37" spans="1:7" x14ac:dyDescent="0.25">
      <c r="A37" s="116" t="s">
        <v>57</v>
      </c>
      <c r="B37" s="117">
        <f>+B34-B35</f>
        <v>27841.924037000001</v>
      </c>
    </row>
    <row r="38" spans="1:7" x14ac:dyDescent="0.25">
      <c r="A38" s="110" t="s">
        <v>58</v>
      </c>
      <c r="B38" s="120">
        <f>+B34-B36</f>
        <v>28029.567399</v>
      </c>
    </row>
    <row r="39" spans="1:7" x14ac:dyDescent="0.25">
      <c r="A39" s="110" t="s">
        <v>59</v>
      </c>
      <c r="B39" s="111">
        <f>+SUM(B40:B41)</f>
        <v>-292.72253499999999</v>
      </c>
    </row>
    <row r="40" spans="1:7" x14ac:dyDescent="0.25">
      <c r="A40" s="112" t="s">
        <v>83</v>
      </c>
      <c r="B40" s="113">
        <v>-292.72253499999999</v>
      </c>
    </row>
    <row r="41" spans="1:7" x14ac:dyDescent="0.25">
      <c r="A41" s="118" t="s">
        <v>68</v>
      </c>
      <c r="B41" s="119">
        <v>0</v>
      </c>
    </row>
    <row r="42" spans="1:7" x14ac:dyDescent="0.25">
      <c r="A42" s="110" t="s">
        <v>60</v>
      </c>
      <c r="B42" s="111">
        <f>+SUM(B43:B44)</f>
        <v>27548.2</v>
      </c>
    </row>
    <row r="43" spans="1:7" x14ac:dyDescent="0.25">
      <c r="A43" s="118" t="s">
        <v>63</v>
      </c>
      <c r="B43" s="119">
        <v>27186.7</v>
      </c>
    </row>
    <row r="44" spans="1:7" x14ac:dyDescent="0.25">
      <c r="A44" s="118" t="s">
        <v>149</v>
      </c>
      <c r="B44" s="119">
        <v>361.5</v>
      </c>
    </row>
    <row r="46" spans="1:7" x14ac:dyDescent="0.25">
      <c r="B46" s="122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083B-4F46-4101-90DA-6530EB35679F}">
  <dimension ref="A1:C41"/>
  <sheetViews>
    <sheetView workbookViewId="0">
      <selection sqref="A1:XFD1048576"/>
    </sheetView>
  </sheetViews>
  <sheetFormatPr baseColWidth="10" defaultRowHeight="15" x14ac:dyDescent="0.25"/>
  <cols>
    <col min="1" max="1" width="49.85546875" customWidth="1"/>
    <col min="2" max="2" width="11.7109375" bestFit="1" customWidth="1"/>
  </cols>
  <sheetData>
    <row r="1" spans="1:2" x14ac:dyDescent="0.25">
      <c r="A1" s="36" t="s">
        <v>156</v>
      </c>
      <c r="B1" s="102"/>
    </row>
    <row r="2" spans="1:2" x14ac:dyDescent="0.25">
      <c r="A2" s="39" t="s">
        <v>157</v>
      </c>
      <c r="B2" s="104"/>
    </row>
    <row r="3" spans="1:2" x14ac:dyDescent="0.25">
      <c r="A3" s="39" t="s">
        <v>158</v>
      </c>
      <c r="B3" s="104"/>
    </row>
    <row r="4" spans="1:2" x14ac:dyDescent="0.25">
      <c r="A4" s="103" t="s">
        <v>147</v>
      </c>
      <c r="B4" s="104"/>
    </row>
    <row r="5" spans="1:2" x14ac:dyDescent="0.25">
      <c r="A5" s="105"/>
      <c r="B5" s="104"/>
    </row>
    <row r="6" spans="1:2" x14ac:dyDescent="0.25">
      <c r="A6" s="105"/>
      <c r="B6" s="104"/>
    </row>
    <row r="7" spans="1:2" x14ac:dyDescent="0.25">
      <c r="A7" s="108" t="s">
        <v>62</v>
      </c>
      <c r="B7" s="107"/>
    </row>
    <row r="8" spans="1:2" x14ac:dyDescent="0.25">
      <c r="A8" s="108" t="s">
        <v>124</v>
      </c>
      <c r="B8" s="107"/>
    </row>
    <row r="9" spans="1:2" x14ac:dyDescent="0.25">
      <c r="A9" s="106"/>
      <c r="B9" s="107"/>
    </row>
    <row r="10" spans="1:2" x14ac:dyDescent="0.25">
      <c r="A10" s="109" t="s">
        <v>47</v>
      </c>
      <c r="B10" s="109" t="s">
        <v>48</v>
      </c>
    </row>
    <row r="11" spans="1:2" x14ac:dyDescent="0.25">
      <c r="A11" s="110" t="s">
        <v>87</v>
      </c>
      <c r="B11" s="111">
        <f>+SUM(B12:B13)</f>
        <v>492</v>
      </c>
    </row>
    <row r="12" spans="1:2" x14ac:dyDescent="0.25">
      <c r="A12" s="112" t="s">
        <v>90</v>
      </c>
      <c r="B12" s="113">
        <v>499</v>
      </c>
    </row>
    <row r="13" spans="1:2" x14ac:dyDescent="0.25">
      <c r="A13" s="112" t="s">
        <v>91</v>
      </c>
      <c r="B13" s="113">
        <v>-7</v>
      </c>
    </row>
    <row r="14" spans="1:2" x14ac:dyDescent="0.25">
      <c r="A14" s="110" t="s">
        <v>92</v>
      </c>
      <c r="B14" s="114">
        <f>+B15+B18+B19+B20</f>
        <v>40345.700000000004</v>
      </c>
    </row>
    <row r="15" spans="1:2" x14ac:dyDescent="0.25">
      <c r="A15" s="112" t="s">
        <v>93</v>
      </c>
      <c r="B15" s="113">
        <f>+B16+B17</f>
        <v>-2149.6999999999998</v>
      </c>
    </row>
    <row r="16" spans="1:2" x14ac:dyDescent="0.25">
      <c r="A16" s="115" t="s">
        <v>94</v>
      </c>
      <c r="B16" s="113">
        <v>284.3</v>
      </c>
    </row>
    <row r="17" spans="1:3" x14ac:dyDescent="0.25">
      <c r="A17" s="115" t="s">
        <v>67</v>
      </c>
      <c r="B17" s="113">
        <v>-2434</v>
      </c>
    </row>
    <row r="18" spans="1:3" hidden="1" x14ac:dyDescent="0.25">
      <c r="A18" s="112" t="s">
        <v>95</v>
      </c>
      <c r="B18" s="113"/>
    </row>
    <row r="19" spans="1:3" x14ac:dyDescent="0.25">
      <c r="A19" s="112" t="s">
        <v>96</v>
      </c>
      <c r="B19" s="113">
        <v>5210</v>
      </c>
    </row>
    <row r="20" spans="1:3" x14ac:dyDescent="0.25">
      <c r="A20" s="112" t="s">
        <v>65</v>
      </c>
      <c r="B20" s="113">
        <f>30168.3+7117.1</f>
        <v>37285.4</v>
      </c>
    </row>
    <row r="21" spans="1:3" x14ac:dyDescent="0.25">
      <c r="A21" s="110" t="s">
        <v>98</v>
      </c>
      <c r="B21" s="114">
        <f>+B11-B14</f>
        <v>-39853.700000000004</v>
      </c>
    </row>
    <row r="22" spans="1:3" x14ac:dyDescent="0.25">
      <c r="A22" s="110" t="s">
        <v>99</v>
      </c>
      <c r="B22" s="111">
        <f>+SUM(B23:B25)</f>
        <v>0</v>
      </c>
    </row>
    <row r="23" spans="1:3" hidden="1" x14ac:dyDescent="0.25">
      <c r="A23" s="112" t="s">
        <v>100</v>
      </c>
      <c r="B23" s="113"/>
    </row>
    <row r="24" spans="1:3" hidden="1" x14ac:dyDescent="0.25">
      <c r="A24" s="112" t="s">
        <v>101</v>
      </c>
      <c r="B24" s="113"/>
    </row>
    <row r="25" spans="1:3" hidden="1" x14ac:dyDescent="0.25">
      <c r="A25" s="112" t="s">
        <v>102</v>
      </c>
      <c r="B25" s="113"/>
    </row>
    <row r="26" spans="1:3" x14ac:dyDescent="0.25">
      <c r="A26" s="110" t="s">
        <v>103</v>
      </c>
      <c r="B26" s="111">
        <f>+SUM(B27:B29)</f>
        <v>-83.8</v>
      </c>
    </row>
    <row r="27" spans="1:3" x14ac:dyDescent="0.25">
      <c r="A27" s="112" t="s">
        <v>75</v>
      </c>
      <c r="B27" s="113">
        <f>-81.1-2.7</f>
        <v>-83.8</v>
      </c>
    </row>
    <row r="28" spans="1:3" hidden="1" x14ac:dyDescent="0.25">
      <c r="A28" s="112" t="s">
        <v>101</v>
      </c>
      <c r="B28" s="113"/>
    </row>
    <row r="29" spans="1:3" hidden="1" x14ac:dyDescent="0.25">
      <c r="A29" s="112" t="s">
        <v>63</v>
      </c>
      <c r="B29" s="113"/>
    </row>
    <row r="30" spans="1:3" x14ac:dyDescent="0.25">
      <c r="A30" s="110" t="s">
        <v>104</v>
      </c>
      <c r="B30" s="111">
        <f>+B11+B22</f>
        <v>492</v>
      </c>
    </row>
    <row r="31" spans="1:3" x14ac:dyDescent="0.25">
      <c r="A31" s="110" t="s">
        <v>105</v>
      </c>
      <c r="B31" s="114">
        <f>+B14+B26</f>
        <v>40261.9</v>
      </c>
      <c r="C31" s="122"/>
    </row>
    <row r="32" spans="1:3" x14ac:dyDescent="0.25">
      <c r="A32" s="110" t="s">
        <v>106</v>
      </c>
      <c r="B32" s="114">
        <f>+B31-B18</f>
        <v>40261.9</v>
      </c>
    </row>
    <row r="33" spans="1:3" x14ac:dyDescent="0.25">
      <c r="A33" s="116" t="s">
        <v>57</v>
      </c>
      <c r="B33" s="117">
        <f>+B30-B31</f>
        <v>-39769.9</v>
      </c>
    </row>
    <row r="34" spans="1:3" x14ac:dyDescent="0.25">
      <c r="A34" s="110" t="s">
        <v>58</v>
      </c>
      <c r="B34" s="120">
        <f>+B30-B32</f>
        <v>-39769.9</v>
      </c>
    </row>
    <row r="35" spans="1:3" x14ac:dyDescent="0.25">
      <c r="A35" s="110" t="s">
        <v>59</v>
      </c>
      <c r="B35" s="111">
        <f>+SUM(B36:B37)</f>
        <v>-20.3</v>
      </c>
    </row>
    <row r="36" spans="1:3" x14ac:dyDescent="0.25">
      <c r="A36" s="112" t="s">
        <v>83</v>
      </c>
      <c r="B36" s="113">
        <v>-20.3</v>
      </c>
      <c r="C36" s="122"/>
    </row>
    <row r="37" spans="1:3" x14ac:dyDescent="0.25">
      <c r="A37" s="118" t="s">
        <v>68</v>
      </c>
      <c r="B37" s="119"/>
    </row>
    <row r="38" spans="1:3" x14ac:dyDescent="0.25">
      <c r="A38" s="110" t="s">
        <v>60</v>
      </c>
      <c r="B38" s="111">
        <f>+SUM(B39:B40)</f>
        <v>-39790.300000000003</v>
      </c>
      <c r="C38" s="122"/>
    </row>
    <row r="39" spans="1:3" x14ac:dyDescent="0.25">
      <c r="A39" s="118" t="s">
        <v>63</v>
      </c>
      <c r="B39" s="119">
        <f>18000-57840.3</f>
        <v>-39840.300000000003</v>
      </c>
      <c r="C39" s="122"/>
    </row>
    <row r="40" spans="1:3" x14ac:dyDescent="0.25">
      <c r="A40" s="118" t="s">
        <v>149</v>
      </c>
      <c r="B40" s="119">
        <v>50</v>
      </c>
      <c r="C40" s="122"/>
    </row>
    <row r="41" spans="1:3" x14ac:dyDescent="0.25">
      <c r="B41" s="12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BE75-4AF3-41EC-889A-DE47F8176BC6}">
  <dimension ref="A1:C36"/>
  <sheetViews>
    <sheetView workbookViewId="0">
      <selection activeCell="J28" sqref="J28"/>
    </sheetView>
  </sheetViews>
  <sheetFormatPr baseColWidth="10" defaultRowHeight="15" x14ac:dyDescent="0.25"/>
  <cols>
    <col min="1" max="1" width="49.85546875" customWidth="1"/>
    <col min="2" max="2" width="11.7109375" bestFit="1" customWidth="1"/>
  </cols>
  <sheetData>
    <row r="1" spans="1:2" x14ac:dyDescent="0.25">
      <c r="A1" s="36" t="s">
        <v>160</v>
      </c>
      <c r="B1" s="102"/>
    </row>
    <row r="2" spans="1:2" x14ac:dyDescent="0.25">
      <c r="A2" s="39" t="s">
        <v>161</v>
      </c>
      <c r="B2" s="104"/>
    </row>
    <row r="3" spans="1:2" x14ac:dyDescent="0.25">
      <c r="A3" s="39" t="s">
        <v>162</v>
      </c>
      <c r="B3" s="104"/>
    </row>
    <row r="4" spans="1:2" x14ac:dyDescent="0.25">
      <c r="A4" s="103" t="s">
        <v>147</v>
      </c>
      <c r="B4" s="104"/>
    </row>
    <row r="5" spans="1:2" x14ac:dyDescent="0.25">
      <c r="A5" s="105"/>
      <c r="B5" s="104"/>
    </row>
    <row r="6" spans="1:2" x14ac:dyDescent="0.25">
      <c r="A6" s="105"/>
      <c r="B6" s="104"/>
    </row>
    <row r="7" spans="1:2" x14ac:dyDescent="0.25">
      <c r="A7" s="108" t="s">
        <v>62</v>
      </c>
      <c r="B7" s="107"/>
    </row>
    <row r="8" spans="1:2" x14ac:dyDescent="0.25">
      <c r="A8" s="108" t="s">
        <v>124</v>
      </c>
      <c r="B8" s="107"/>
    </row>
    <row r="9" spans="1:2" x14ac:dyDescent="0.25">
      <c r="A9" s="106"/>
      <c r="B9" s="107"/>
    </row>
    <row r="10" spans="1:2" x14ac:dyDescent="0.25">
      <c r="A10" s="109" t="s">
        <v>47</v>
      </c>
      <c r="B10" s="109" t="s">
        <v>48</v>
      </c>
    </row>
    <row r="11" spans="1:2" x14ac:dyDescent="0.25">
      <c r="A11" s="110" t="s">
        <v>87</v>
      </c>
      <c r="B11" s="111">
        <f>+SUM(B12:B12)</f>
        <v>20000</v>
      </c>
    </row>
    <row r="12" spans="1:2" x14ac:dyDescent="0.25">
      <c r="A12" s="44" t="s">
        <v>61</v>
      </c>
      <c r="B12" s="113">
        <v>20000</v>
      </c>
    </row>
    <row r="13" spans="1:2" x14ac:dyDescent="0.25">
      <c r="A13" s="110" t="s">
        <v>92</v>
      </c>
      <c r="B13" s="114">
        <f>+B14+B17</f>
        <v>-86180</v>
      </c>
    </row>
    <row r="14" spans="1:2" x14ac:dyDescent="0.25">
      <c r="A14" s="112" t="s">
        <v>93</v>
      </c>
      <c r="B14" s="113">
        <f>+B15</f>
        <v>-907.8</v>
      </c>
    </row>
    <row r="15" spans="1:2" x14ac:dyDescent="0.25">
      <c r="A15" s="115" t="s">
        <v>67</v>
      </c>
      <c r="B15" s="113">
        <v>-907.8</v>
      </c>
    </row>
    <row r="16" spans="1:2" hidden="1" x14ac:dyDescent="0.25">
      <c r="A16" s="112" t="s">
        <v>95</v>
      </c>
      <c r="B16" s="113"/>
    </row>
    <row r="17" spans="1:3" x14ac:dyDescent="0.25">
      <c r="A17" s="44" t="s">
        <v>95</v>
      </c>
      <c r="B17" s="113">
        <v>-85272.2</v>
      </c>
    </row>
    <row r="18" spans="1:3" x14ac:dyDescent="0.25">
      <c r="A18" s="110" t="s">
        <v>98</v>
      </c>
      <c r="B18" s="114">
        <f>+B11-B13</f>
        <v>106180</v>
      </c>
    </row>
    <row r="19" spans="1:3" x14ac:dyDescent="0.25">
      <c r="A19" s="110" t="s">
        <v>99</v>
      </c>
      <c r="B19" s="111">
        <f>+SUM(B20:B22)</f>
        <v>0</v>
      </c>
    </row>
    <row r="20" spans="1:3" hidden="1" x14ac:dyDescent="0.25">
      <c r="A20" s="112" t="s">
        <v>100</v>
      </c>
      <c r="B20" s="113"/>
    </row>
    <row r="21" spans="1:3" hidden="1" x14ac:dyDescent="0.25">
      <c r="A21" s="112" t="s">
        <v>101</v>
      </c>
      <c r="B21" s="113"/>
    </row>
    <row r="22" spans="1:3" hidden="1" x14ac:dyDescent="0.25">
      <c r="A22" s="112" t="s">
        <v>102</v>
      </c>
      <c r="B22" s="113"/>
    </row>
    <row r="23" spans="1:3" x14ac:dyDescent="0.25">
      <c r="A23" s="110" t="s">
        <v>103</v>
      </c>
      <c r="B23" s="111">
        <f>+SUM(B24:B25)</f>
        <v>0</v>
      </c>
    </row>
    <row r="24" spans="1:3" hidden="1" x14ac:dyDescent="0.25">
      <c r="A24" s="112" t="s">
        <v>101</v>
      </c>
      <c r="B24" s="113"/>
    </row>
    <row r="25" spans="1:3" hidden="1" x14ac:dyDescent="0.25">
      <c r="A25" s="112" t="s">
        <v>63</v>
      </c>
      <c r="B25" s="113"/>
    </row>
    <row r="26" spans="1:3" x14ac:dyDescent="0.25">
      <c r="A26" s="110" t="s">
        <v>104</v>
      </c>
      <c r="B26" s="111">
        <f>+B11+B19</f>
        <v>20000</v>
      </c>
    </row>
    <row r="27" spans="1:3" x14ac:dyDescent="0.25">
      <c r="A27" s="110" t="s">
        <v>105</v>
      </c>
      <c r="B27" s="114">
        <f>+B13+B23</f>
        <v>-86180</v>
      </c>
      <c r="C27" s="122"/>
    </row>
    <row r="28" spans="1:3" x14ac:dyDescent="0.25">
      <c r="A28" s="110" t="s">
        <v>106</v>
      </c>
      <c r="B28" s="114">
        <f>+B27-B17</f>
        <v>-907.80000000000291</v>
      </c>
    </row>
    <row r="29" spans="1:3" x14ac:dyDescent="0.25">
      <c r="A29" s="116" t="s">
        <v>57</v>
      </c>
      <c r="B29" s="117">
        <f>+B26-B27</f>
        <v>106180</v>
      </c>
    </row>
    <row r="30" spans="1:3" x14ac:dyDescent="0.25">
      <c r="A30" s="110" t="s">
        <v>58</v>
      </c>
      <c r="B30" s="120">
        <f>+B26-B28</f>
        <v>20907.800000000003</v>
      </c>
    </row>
    <row r="31" spans="1:3" x14ac:dyDescent="0.25">
      <c r="A31" s="110" t="s">
        <v>59</v>
      </c>
      <c r="B31" s="111">
        <f>+SUM(B32:B32)</f>
        <v>60000</v>
      </c>
    </row>
    <row r="32" spans="1:3" x14ac:dyDescent="0.25">
      <c r="A32" s="112" t="s">
        <v>83</v>
      </c>
      <c r="B32" s="113">
        <v>60000</v>
      </c>
      <c r="C32" s="122"/>
    </row>
    <row r="33" spans="1:3" x14ac:dyDescent="0.25">
      <c r="A33" s="110" t="s">
        <v>60</v>
      </c>
      <c r="B33" s="111">
        <f>+SUM(B34:B35)</f>
        <v>166180.00000000003</v>
      </c>
      <c r="C33" s="122"/>
    </row>
    <row r="34" spans="1:3" x14ac:dyDescent="0.25">
      <c r="A34" s="118" t="s">
        <v>63</v>
      </c>
      <c r="B34" s="119">
        <f>16500-41112</f>
        <v>-24612</v>
      </c>
      <c r="C34" s="122"/>
    </row>
    <row r="35" spans="1:3" x14ac:dyDescent="0.25">
      <c r="A35" s="118" t="s">
        <v>149</v>
      </c>
      <c r="B35" s="119">
        <f>-25100-48694.9+293622.9-29036</f>
        <v>190792.00000000003</v>
      </c>
      <c r="C35" s="122"/>
    </row>
    <row r="36" spans="1:3" x14ac:dyDescent="0.25">
      <c r="B36" s="12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61970-66F6-4F2A-95A0-743094F6353E}">
  <dimension ref="A1:C31"/>
  <sheetViews>
    <sheetView workbookViewId="0">
      <selection activeCell="J32" sqref="J32"/>
    </sheetView>
  </sheetViews>
  <sheetFormatPr baseColWidth="10" defaultRowHeight="15" x14ac:dyDescent="0.25"/>
  <cols>
    <col min="1" max="1" width="61.140625" customWidth="1"/>
    <col min="2" max="2" width="11.7109375" bestFit="1" customWidth="1"/>
  </cols>
  <sheetData>
    <row r="1" spans="1:3" x14ac:dyDescent="0.25">
      <c r="A1" s="36" t="s">
        <v>163</v>
      </c>
      <c r="B1" s="102"/>
      <c r="C1" s="52"/>
    </row>
    <row r="2" spans="1:3" x14ac:dyDescent="0.25">
      <c r="A2" s="39" t="s">
        <v>164</v>
      </c>
      <c r="B2" s="104"/>
      <c r="C2" s="52"/>
    </row>
    <row r="3" spans="1:3" x14ac:dyDescent="0.25">
      <c r="A3" s="39" t="s">
        <v>166</v>
      </c>
      <c r="B3" s="104"/>
      <c r="C3" s="52"/>
    </row>
    <row r="4" spans="1:3" x14ac:dyDescent="0.25">
      <c r="A4" s="103" t="s">
        <v>147</v>
      </c>
      <c r="B4" s="104"/>
      <c r="C4" s="52"/>
    </row>
    <row r="5" spans="1:3" x14ac:dyDescent="0.25">
      <c r="A5" s="105"/>
      <c r="B5" s="104"/>
      <c r="C5" s="52"/>
    </row>
    <row r="6" spans="1:3" x14ac:dyDescent="0.25">
      <c r="A6" s="106"/>
      <c r="B6" s="107"/>
    </row>
    <row r="7" spans="1:3" x14ac:dyDescent="0.25">
      <c r="A7" s="108" t="s">
        <v>62</v>
      </c>
      <c r="B7" s="107"/>
    </row>
    <row r="8" spans="1:3" x14ac:dyDescent="0.25">
      <c r="A8" s="108" t="s">
        <v>124</v>
      </c>
      <c r="B8" s="107"/>
    </row>
    <row r="9" spans="1:3" x14ac:dyDescent="0.25">
      <c r="A9" s="106"/>
      <c r="B9" s="107"/>
    </row>
    <row r="10" spans="1:3" x14ac:dyDescent="0.25">
      <c r="A10" s="109" t="s">
        <v>47</v>
      </c>
      <c r="B10" s="109" t="s">
        <v>48</v>
      </c>
      <c r="C10" s="126"/>
    </row>
    <row r="11" spans="1:3" x14ac:dyDescent="0.25">
      <c r="A11" s="110" t="s">
        <v>87</v>
      </c>
      <c r="B11" s="111">
        <f>+SUM(B12:B12)</f>
        <v>2523.3000000000002</v>
      </c>
    </row>
    <row r="12" spans="1:3" x14ac:dyDescent="0.25">
      <c r="A12" s="112" t="s">
        <v>88</v>
      </c>
      <c r="B12" s="113">
        <v>2523.3000000000002</v>
      </c>
      <c r="C12" s="125"/>
    </row>
    <row r="13" spans="1:3" x14ac:dyDescent="0.25">
      <c r="A13" s="110" t="s">
        <v>92</v>
      </c>
      <c r="B13" s="114">
        <f>+B14+B17+B18+B19</f>
        <v>4523.2479999999996</v>
      </c>
    </row>
    <row r="14" spans="1:3" x14ac:dyDescent="0.25">
      <c r="A14" s="112" t="s">
        <v>93</v>
      </c>
      <c r="B14" s="113">
        <f>+B15+B16</f>
        <v>94.2</v>
      </c>
    </row>
    <row r="15" spans="1:3" hidden="1" x14ac:dyDescent="0.25">
      <c r="A15" s="115" t="s">
        <v>94</v>
      </c>
      <c r="B15" s="113"/>
    </row>
    <row r="16" spans="1:3" x14ac:dyDescent="0.25">
      <c r="A16" s="115" t="s">
        <v>67</v>
      </c>
      <c r="B16" s="113">
        <v>94.2</v>
      </c>
    </row>
    <row r="17" spans="1:3" hidden="1" x14ac:dyDescent="0.25">
      <c r="A17" s="112" t="s">
        <v>95</v>
      </c>
      <c r="B17" s="113"/>
    </row>
    <row r="18" spans="1:3" hidden="1" x14ac:dyDescent="0.25">
      <c r="A18" s="112" t="s">
        <v>96</v>
      </c>
      <c r="B18" s="113"/>
    </row>
    <row r="19" spans="1:3" x14ac:dyDescent="0.25">
      <c r="A19" s="112" t="s">
        <v>65</v>
      </c>
      <c r="B19" s="113">
        <f>2429.048+2000</f>
        <v>4429.0479999999998</v>
      </c>
    </row>
    <row r="20" spans="1:3" x14ac:dyDescent="0.25">
      <c r="A20" s="110" t="s">
        <v>98</v>
      </c>
      <c r="B20" s="114">
        <f>+B11-B13</f>
        <v>-1999.9479999999994</v>
      </c>
    </row>
    <row r="21" spans="1:3" x14ac:dyDescent="0.25">
      <c r="A21" s="110" t="s">
        <v>99</v>
      </c>
      <c r="B21" s="111">
        <v>0</v>
      </c>
      <c r="C21" s="125"/>
    </row>
    <row r="22" spans="1:3" x14ac:dyDescent="0.25">
      <c r="A22" s="110" t="s">
        <v>103</v>
      </c>
      <c r="B22" s="111">
        <v>0</v>
      </c>
    </row>
    <row r="23" spans="1:3" x14ac:dyDescent="0.25">
      <c r="A23" s="110" t="s">
        <v>104</v>
      </c>
      <c r="B23" s="111">
        <f>+B11+B21</f>
        <v>2523.3000000000002</v>
      </c>
    </row>
    <row r="24" spans="1:3" x14ac:dyDescent="0.25">
      <c r="A24" s="110" t="s">
        <v>105</v>
      </c>
      <c r="B24" s="114">
        <f>+B13+B22</f>
        <v>4523.2479999999996</v>
      </c>
    </row>
    <row r="25" spans="1:3" x14ac:dyDescent="0.25">
      <c r="A25" s="110" t="s">
        <v>106</v>
      </c>
      <c r="B25" s="114">
        <f>+B24-B17</f>
        <v>4523.2479999999996</v>
      </c>
    </row>
    <row r="26" spans="1:3" x14ac:dyDescent="0.25">
      <c r="A26" s="116" t="s">
        <v>57</v>
      </c>
      <c r="B26" s="117">
        <f>+B23-B24</f>
        <v>-1999.9479999999994</v>
      </c>
    </row>
    <row r="27" spans="1:3" x14ac:dyDescent="0.25">
      <c r="A27" s="110" t="s">
        <v>58</v>
      </c>
      <c r="B27" s="120">
        <f>+B23-B25</f>
        <v>-1999.9479999999994</v>
      </c>
    </row>
    <row r="28" spans="1:3" x14ac:dyDescent="0.25">
      <c r="A28" s="110" t="s">
        <v>59</v>
      </c>
      <c r="B28" s="111">
        <v>0</v>
      </c>
    </row>
    <row r="29" spans="1:3" x14ac:dyDescent="0.25">
      <c r="A29" s="110" t="s">
        <v>60</v>
      </c>
      <c r="B29" s="111">
        <f>+SUM(B30:B30)</f>
        <v>-2000</v>
      </c>
    </row>
    <row r="30" spans="1:3" x14ac:dyDescent="0.25">
      <c r="A30" s="118" t="s">
        <v>63</v>
      </c>
      <c r="B30" s="119">
        <v>-2000</v>
      </c>
    </row>
    <row r="31" spans="1:3" x14ac:dyDescent="0.25">
      <c r="B31" s="1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"/>
  <sheetViews>
    <sheetView topLeftCell="K1" workbookViewId="0">
      <selection activeCell="P8" sqref="P8"/>
    </sheetView>
  </sheetViews>
  <sheetFormatPr baseColWidth="10" defaultColWidth="11.42578125" defaultRowHeight="12" x14ac:dyDescent="0.15"/>
  <cols>
    <col min="1" max="1" width="40.140625" style="8" customWidth="1"/>
    <col min="2" max="2" width="13.7109375" style="8" customWidth="1"/>
    <col min="3" max="7" width="11.85546875" style="8" customWidth="1"/>
    <col min="8" max="8" width="13.5703125" style="8" bestFit="1" customWidth="1"/>
    <col min="9" max="15" width="13.5703125" style="8" customWidth="1"/>
    <col min="16" max="16" width="11.85546875" style="8" bestFit="1" customWidth="1"/>
    <col min="17" max="17" width="15.140625" style="8" customWidth="1"/>
    <col min="18" max="18" width="12.85546875" style="8" bestFit="1" customWidth="1"/>
    <col min="19" max="19" width="14.5703125" style="8" bestFit="1" customWidth="1"/>
    <col min="20" max="20" width="17.7109375" style="8" bestFit="1" customWidth="1"/>
    <col min="21" max="16384" width="11.42578125" style="8"/>
  </cols>
  <sheetData>
    <row r="1" spans="1:19" x14ac:dyDescent="0.15">
      <c r="A1" s="7" t="s">
        <v>40</v>
      </c>
    </row>
    <row r="2" spans="1:19" x14ac:dyDescent="0.15">
      <c r="A2" s="7" t="s">
        <v>26</v>
      </c>
    </row>
    <row r="3" spans="1:19" x14ac:dyDescent="0.15">
      <c r="A3" s="9"/>
    </row>
    <row r="4" spans="1:19" x14ac:dyDescent="0.15">
      <c r="A4" s="9"/>
    </row>
    <row r="5" spans="1:19" x14ac:dyDescent="0.15">
      <c r="A5" s="7" t="s">
        <v>0</v>
      </c>
    </row>
    <row r="6" spans="1:19" ht="36" x14ac:dyDescent="0.15">
      <c r="A6" s="11" t="s">
        <v>32</v>
      </c>
      <c r="B6" s="11" t="s">
        <v>34</v>
      </c>
      <c r="C6" s="11" t="s">
        <v>42</v>
      </c>
      <c r="D6" s="11" t="s">
        <v>73</v>
      </c>
      <c r="E6" s="11" t="s">
        <v>80</v>
      </c>
      <c r="F6" s="11" t="s">
        <v>84</v>
      </c>
      <c r="G6" s="11" t="s">
        <v>109</v>
      </c>
      <c r="H6" s="11" t="s">
        <v>110</v>
      </c>
      <c r="I6" s="11" t="s">
        <v>116</v>
      </c>
      <c r="J6" s="11" t="s">
        <v>120</v>
      </c>
      <c r="K6" s="11" t="s">
        <v>142</v>
      </c>
      <c r="L6" s="11" t="s">
        <v>153</v>
      </c>
      <c r="M6" s="11" t="s">
        <v>155</v>
      </c>
      <c r="N6" s="11" t="s">
        <v>159</v>
      </c>
      <c r="O6" s="11" t="s">
        <v>165</v>
      </c>
      <c r="P6" s="11" t="s">
        <v>36</v>
      </c>
      <c r="Q6" s="11" t="s">
        <v>35</v>
      </c>
      <c r="R6" s="11" t="s">
        <v>33</v>
      </c>
    </row>
    <row r="7" spans="1:19" x14ac:dyDescent="0.15">
      <c r="A7" s="12" t="s">
        <v>14</v>
      </c>
      <c r="B7" s="25">
        <v>3988065.4</v>
      </c>
      <c r="C7" s="25">
        <v>34477.199999999997</v>
      </c>
      <c r="D7" s="25">
        <v>5656.9</v>
      </c>
      <c r="E7" s="25">
        <v>3588.263191</v>
      </c>
      <c r="F7" s="25">
        <v>4370.2</v>
      </c>
      <c r="G7" s="25">
        <v>8346.0499560000007</v>
      </c>
      <c r="H7" s="25">
        <v>20985.146817000001</v>
      </c>
      <c r="I7" s="25">
        <v>9105.2000000000007</v>
      </c>
      <c r="J7" s="25">
        <v>15116.2</v>
      </c>
      <c r="K7" s="25">
        <v>579716.30576500006</v>
      </c>
      <c r="L7" s="25">
        <v>-20947.957118999999</v>
      </c>
      <c r="M7" s="25">
        <v>40345.699999999997</v>
      </c>
      <c r="N7" s="25">
        <v>-86180</v>
      </c>
      <c r="O7" s="25">
        <v>4523.3</v>
      </c>
      <c r="P7" s="133">
        <v>-3820</v>
      </c>
      <c r="Q7" s="26">
        <v>4603347</v>
      </c>
      <c r="R7" s="26">
        <f>+Q7-B7</f>
        <v>615281.60000000009</v>
      </c>
      <c r="S7" s="19"/>
    </row>
    <row r="8" spans="1:19" x14ac:dyDescent="0.15">
      <c r="A8" s="12" t="s">
        <v>15</v>
      </c>
      <c r="B8" s="25">
        <v>184246.8</v>
      </c>
      <c r="C8" s="25">
        <v>100.8</v>
      </c>
      <c r="D8" s="25">
        <v>77.099999999999994</v>
      </c>
      <c r="E8" s="25">
        <v>13036.172309</v>
      </c>
      <c r="F8" s="25">
        <v>9230.6</v>
      </c>
      <c r="G8" s="25">
        <v>9413.8763209999997</v>
      </c>
      <c r="H8" s="25">
        <v>3803.0695700000001</v>
      </c>
      <c r="I8" s="25">
        <v>0</v>
      </c>
      <c r="J8" s="25">
        <v>13092.9</v>
      </c>
      <c r="K8" s="25">
        <v>84363.186969999995</v>
      </c>
      <c r="L8" s="25">
        <v>3735.661321</v>
      </c>
      <c r="M8" s="25">
        <v>-83.7</v>
      </c>
      <c r="N8" s="25">
        <v>0</v>
      </c>
      <c r="O8" s="25">
        <v>0</v>
      </c>
      <c r="P8" s="133">
        <f>+Q8-SUM(B8+C8+D8+E8+F8+G8+H8+I8+J8+K8+L8+M8+N8+O8)</f>
        <v>3820.1965090000303</v>
      </c>
      <c r="Q8" s="26">
        <v>324836.663</v>
      </c>
      <c r="R8" s="26">
        <f>+Q8-B8</f>
        <v>140589.86300000001</v>
      </c>
      <c r="S8" s="19"/>
    </row>
    <row r="9" spans="1:19" x14ac:dyDescent="0.15">
      <c r="A9" s="28" t="s">
        <v>13</v>
      </c>
      <c r="B9" s="27">
        <f t="shared" ref="B9:E9" si="0">+B7+B8</f>
        <v>4172312.1999999997</v>
      </c>
      <c r="C9" s="27">
        <f t="shared" si="0"/>
        <v>34578</v>
      </c>
      <c r="D9" s="27">
        <f t="shared" si="0"/>
        <v>5734</v>
      </c>
      <c r="E9" s="27">
        <f t="shared" si="0"/>
        <v>16624.4355</v>
      </c>
      <c r="F9" s="27">
        <f t="shared" ref="F9:Q9" si="1">+F7+F8</f>
        <v>13600.8</v>
      </c>
      <c r="G9" s="27">
        <f t="shared" si="1"/>
        <v>17759.926276999999</v>
      </c>
      <c r="H9" s="27">
        <f t="shared" si="1"/>
        <v>24788.216387</v>
      </c>
      <c r="I9" s="27">
        <f t="shared" si="1"/>
        <v>9105.2000000000007</v>
      </c>
      <c r="J9" s="27">
        <f t="shared" si="1"/>
        <v>28209.1</v>
      </c>
      <c r="K9" s="27">
        <f t="shared" si="1"/>
        <v>664079.49273500009</v>
      </c>
      <c r="L9" s="27">
        <f t="shared" si="1"/>
        <v>-17212.295797999999</v>
      </c>
      <c r="M9" s="27">
        <f>+SUM(M7:M8)</f>
        <v>40262</v>
      </c>
      <c r="N9" s="27">
        <f>+N7+N8</f>
        <v>-86180</v>
      </c>
      <c r="O9" s="27">
        <f>+O7+O8</f>
        <v>4523.3</v>
      </c>
      <c r="P9" s="27">
        <v>0</v>
      </c>
      <c r="Q9" s="27">
        <f t="shared" si="1"/>
        <v>4928183.6629999997</v>
      </c>
      <c r="R9" s="27">
        <f t="shared" ref="R9" si="2">+R7+R8</f>
        <v>755871.46300000011</v>
      </c>
      <c r="S9" s="19"/>
    </row>
    <row r="10" spans="1:19" x14ac:dyDescent="0.15">
      <c r="Q10" s="24"/>
    </row>
    <row r="11" spans="1:19" x14ac:dyDescent="0.15">
      <c r="Q11" s="124"/>
    </row>
    <row r="12" spans="1:19" ht="15" x14ac:dyDescent="0.25">
      <c r="L12" s="127"/>
      <c r="M12" s="127"/>
      <c r="N12" s="127"/>
      <c r="O12" s="127"/>
      <c r="P12" s="19"/>
    </row>
    <row r="13" spans="1:19" ht="15" x14ac:dyDescent="0.25">
      <c r="L13" s="127"/>
      <c r="M13" s="127"/>
      <c r="N13" s="127"/>
      <c r="O13" s="127"/>
      <c r="P13" s="19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"/>
  <sheetViews>
    <sheetView topLeftCell="L3" zoomScale="85" zoomScaleNormal="85" workbookViewId="0">
      <selection activeCell="E37" sqref="E31:M37"/>
    </sheetView>
  </sheetViews>
  <sheetFormatPr baseColWidth="10" defaultColWidth="11.42578125" defaultRowHeight="12" x14ac:dyDescent="0.25"/>
  <cols>
    <col min="1" max="1" width="39.28515625" style="89" customWidth="1"/>
    <col min="2" max="11" width="15.42578125" style="89" customWidth="1"/>
    <col min="12" max="12" width="15.7109375" style="89" customWidth="1"/>
    <col min="13" max="13" width="16.42578125" style="89" bestFit="1" customWidth="1"/>
    <col min="14" max="14" width="16" style="89" bestFit="1" customWidth="1"/>
    <col min="15" max="15" width="16" style="89" customWidth="1"/>
    <col min="16" max="16" width="18.85546875" style="89" bestFit="1" customWidth="1"/>
    <col min="17" max="17" width="15.42578125" style="89" customWidth="1"/>
    <col min="18" max="16384" width="11.42578125" style="89"/>
  </cols>
  <sheetData>
    <row r="1" spans="1:19" x14ac:dyDescent="0.25">
      <c r="A1" s="88" t="s">
        <v>40</v>
      </c>
    </row>
    <row r="2" spans="1:19" x14ac:dyDescent="0.25">
      <c r="A2" s="88" t="s">
        <v>25</v>
      </c>
    </row>
    <row r="3" spans="1:19" x14ac:dyDescent="0.25">
      <c r="A3" s="90"/>
    </row>
    <row r="4" spans="1:19" x14ac:dyDescent="0.25">
      <c r="A4" s="90"/>
    </row>
    <row r="5" spans="1:19" x14ac:dyDescent="0.25">
      <c r="A5" s="88" t="s">
        <v>0</v>
      </c>
    </row>
    <row r="6" spans="1:19" ht="24" x14ac:dyDescent="0.25">
      <c r="A6" s="11" t="s">
        <v>7</v>
      </c>
      <c r="B6" s="11" t="s">
        <v>34</v>
      </c>
      <c r="C6" s="11" t="s">
        <v>42</v>
      </c>
      <c r="D6" s="11" t="s">
        <v>73</v>
      </c>
      <c r="E6" s="11" t="s">
        <v>80</v>
      </c>
      <c r="F6" s="11" t="s">
        <v>84</v>
      </c>
      <c r="G6" s="11" t="s">
        <v>109</v>
      </c>
      <c r="H6" s="11" t="s">
        <v>110</v>
      </c>
      <c r="I6" s="11" t="s">
        <v>117</v>
      </c>
      <c r="J6" s="11" t="s">
        <v>120</v>
      </c>
      <c r="K6" s="11" t="s">
        <v>142</v>
      </c>
      <c r="L6" s="11" t="s">
        <v>153</v>
      </c>
      <c r="M6" s="11" t="s">
        <v>155</v>
      </c>
      <c r="N6" s="11" t="s">
        <v>159</v>
      </c>
      <c r="O6" s="11" t="s">
        <v>165</v>
      </c>
      <c r="P6" s="11" t="s">
        <v>35</v>
      </c>
      <c r="Q6" s="11" t="s">
        <v>33</v>
      </c>
    </row>
    <row r="7" spans="1:19" x14ac:dyDescent="0.25">
      <c r="A7" s="91" t="s">
        <v>8</v>
      </c>
      <c r="B7" s="92">
        <v>167936.16896700001</v>
      </c>
      <c r="C7" s="92">
        <f>350+13000</f>
        <v>13350</v>
      </c>
      <c r="D7" s="92">
        <v>3333.6249499999999</v>
      </c>
      <c r="E7" s="92">
        <v>2658.3319019999999</v>
      </c>
      <c r="F7" s="92">
        <v>465.91222900000002</v>
      </c>
      <c r="G7" s="92">
        <v>5134.2238619999998</v>
      </c>
      <c r="H7" s="92">
        <v>3526.0495350000001</v>
      </c>
      <c r="I7" s="92">
        <v>0</v>
      </c>
      <c r="J7" s="92">
        <v>3818.7441920000001</v>
      </c>
      <c r="K7" s="92">
        <v>39575.928013999997</v>
      </c>
      <c r="L7" s="92">
        <v>3207.0591439999998</v>
      </c>
      <c r="M7" s="92">
        <v>8181.1</v>
      </c>
      <c r="N7" s="92">
        <v>0</v>
      </c>
      <c r="O7" s="92">
        <v>2523.3000000000002</v>
      </c>
      <c r="P7" s="93">
        <f>+SUM(B7:O7)</f>
        <v>253710.44279500004</v>
      </c>
      <c r="Q7" s="93">
        <f>+P7-B7</f>
        <v>85774.273828000034</v>
      </c>
      <c r="S7" s="132"/>
    </row>
    <row r="8" spans="1:19" x14ac:dyDescent="0.25">
      <c r="A8" s="91" t="s">
        <v>9</v>
      </c>
      <c r="B8" s="92">
        <v>187771.41244799999</v>
      </c>
      <c r="C8" s="92">
        <v>0</v>
      </c>
      <c r="D8" s="92">
        <v>-25.021153000000002</v>
      </c>
      <c r="E8" s="92">
        <v>37.799283000000003</v>
      </c>
      <c r="F8" s="92">
        <v>3584.2427269999998</v>
      </c>
      <c r="G8" s="92">
        <v>-60.952750000000002</v>
      </c>
      <c r="H8" s="92">
        <v>3243.846994</v>
      </c>
      <c r="I8" s="92">
        <v>0</v>
      </c>
      <c r="J8" s="92">
        <v>594.04955399999994</v>
      </c>
      <c r="K8" s="92">
        <v>5395.5606429999998</v>
      </c>
      <c r="L8" s="92">
        <v>1247.220777</v>
      </c>
      <c r="M8" s="92">
        <v>1505.4</v>
      </c>
      <c r="N8" s="92">
        <v>0</v>
      </c>
      <c r="O8" s="92"/>
      <c r="P8" s="93">
        <f>+SUM(B8:O8)</f>
        <v>203293.55852299999</v>
      </c>
      <c r="Q8" s="93">
        <f>+P8-B8</f>
        <v>15522.146074999997</v>
      </c>
      <c r="S8" s="132"/>
    </row>
    <row r="9" spans="1:19" x14ac:dyDescent="0.25">
      <c r="A9" s="91" t="s">
        <v>10</v>
      </c>
      <c r="B9" s="92">
        <v>2642080.198477</v>
      </c>
      <c r="C9" s="92">
        <v>14728</v>
      </c>
      <c r="D9" s="92">
        <v>-1223.5999999999999</v>
      </c>
      <c r="E9" s="92">
        <v>2447.5175869999998</v>
      </c>
      <c r="F9" s="92">
        <v>992.14082499999995</v>
      </c>
      <c r="G9" s="92">
        <v>9761.1222340000004</v>
      </c>
      <c r="H9" s="92">
        <v>13524.265432</v>
      </c>
      <c r="I9" s="92">
        <v>9105.2000000000007</v>
      </c>
      <c r="J9" s="92">
        <v>12777.493429</v>
      </c>
      <c r="K9" s="92">
        <v>135592.31175200001</v>
      </c>
      <c r="L9" s="92">
        <v>18164.760029000001</v>
      </c>
      <c r="M9" s="92">
        <v>31009.1</v>
      </c>
      <c r="N9" s="92">
        <v>0</v>
      </c>
      <c r="O9" s="92">
        <v>2000</v>
      </c>
      <c r="P9" s="93">
        <f>+SUM(B9:O9)</f>
        <v>2890958.5097650005</v>
      </c>
      <c r="Q9" s="93">
        <f>+P9-B9</f>
        <v>248878.31128800055</v>
      </c>
      <c r="S9" s="132"/>
    </row>
    <row r="10" spans="1:19" x14ac:dyDescent="0.25">
      <c r="A10" s="91" t="s">
        <v>11</v>
      </c>
      <c r="B10" s="92">
        <v>428135.31013</v>
      </c>
      <c r="C10" s="92">
        <v>6500</v>
      </c>
      <c r="D10" s="92">
        <v>3649</v>
      </c>
      <c r="E10" s="92">
        <v>11480.786727999999</v>
      </c>
      <c r="F10" s="92">
        <v>6188.1559989999996</v>
      </c>
      <c r="G10" s="92">
        <v>2925.5329310000002</v>
      </c>
      <c r="H10" s="92">
        <v>4494.0488660000001</v>
      </c>
      <c r="I10" s="92">
        <v>0</v>
      </c>
      <c r="J10" s="92">
        <v>11016.343763999999</v>
      </c>
      <c r="K10" s="92">
        <v>174723.86263399976</v>
      </c>
      <c r="L10" s="128">
        <v>-40027.825955</v>
      </c>
      <c r="M10" s="128">
        <v>-433.7</v>
      </c>
      <c r="N10" s="128">
        <v>0</v>
      </c>
      <c r="O10" s="128"/>
      <c r="P10" s="93">
        <f>+SUM(B10:O10)</f>
        <v>608651.51509699982</v>
      </c>
      <c r="Q10" s="93">
        <f>+P10-B10</f>
        <v>180516.20496699982</v>
      </c>
      <c r="S10" s="132"/>
    </row>
    <row r="11" spans="1:19" x14ac:dyDescent="0.25">
      <c r="A11" s="91" t="s">
        <v>12</v>
      </c>
      <c r="B11" s="92">
        <v>746389.14941900002</v>
      </c>
      <c r="C11" s="92">
        <v>0</v>
      </c>
      <c r="D11" s="92"/>
      <c r="E11" s="92"/>
      <c r="F11" s="92">
        <v>2370.3666480000002</v>
      </c>
      <c r="G11" s="92"/>
      <c r="H11" s="92">
        <v>5.5599999999999998E-3</v>
      </c>
      <c r="I11" s="92">
        <v>0</v>
      </c>
      <c r="J11" s="92">
        <v>2.5</v>
      </c>
      <c r="K11" s="92">
        <v>308791.829692</v>
      </c>
      <c r="L11" s="92">
        <v>196.5</v>
      </c>
      <c r="M11" s="92">
        <v>0</v>
      </c>
      <c r="N11" s="92">
        <v>-86180</v>
      </c>
      <c r="O11" s="92"/>
      <c r="P11" s="93">
        <f>+SUM(B11:O11)</f>
        <v>971570.35131899989</v>
      </c>
      <c r="Q11" s="93">
        <f>+P11-B11</f>
        <v>225181.20189999987</v>
      </c>
      <c r="S11" s="132"/>
    </row>
    <row r="12" spans="1:19" x14ac:dyDescent="0.25">
      <c r="A12" s="28" t="s">
        <v>13</v>
      </c>
      <c r="B12" s="27">
        <f>+SUM(B7:B11)</f>
        <v>4172312.2394409999</v>
      </c>
      <c r="C12" s="27">
        <f t="shared" ref="C12:P12" si="0">+SUM(C7:C11)</f>
        <v>34578</v>
      </c>
      <c r="D12" s="27">
        <f t="shared" si="0"/>
        <v>5734.0037969999994</v>
      </c>
      <c r="E12" s="27">
        <f t="shared" si="0"/>
        <v>16624.4355</v>
      </c>
      <c r="F12" s="27">
        <f t="shared" si="0"/>
        <v>13600.818427999999</v>
      </c>
      <c r="G12" s="27">
        <f t="shared" si="0"/>
        <v>17759.926277000002</v>
      </c>
      <c r="H12" s="27">
        <f t="shared" si="0"/>
        <v>24788.216387</v>
      </c>
      <c r="I12" s="27">
        <f t="shared" si="0"/>
        <v>9105.2000000000007</v>
      </c>
      <c r="J12" s="27">
        <f t="shared" si="0"/>
        <v>28209.130939000002</v>
      </c>
      <c r="K12" s="27">
        <f t="shared" si="0"/>
        <v>664079.49273499986</v>
      </c>
      <c r="L12" s="129">
        <f t="shared" si="0"/>
        <v>-17212.286005000002</v>
      </c>
      <c r="M12" s="129">
        <f t="shared" si="0"/>
        <v>40261.9</v>
      </c>
      <c r="N12" s="129">
        <f t="shared" si="0"/>
        <v>-86180</v>
      </c>
      <c r="O12" s="129">
        <f t="shared" si="0"/>
        <v>4523.3</v>
      </c>
      <c r="P12" s="129">
        <f t="shared" si="0"/>
        <v>4928184.3774990002</v>
      </c>
      <c r="Q12" s="27">
        <f>+SUM(Q7:Q11)</f>
        <v>755872.13805800024</v>
      </c>
      <c r="S12" s="132"/>
    </row>
    <row r="13" spans="1:19" ht="14.25" customHeight="1" x14ac:dyDescent="0.25">
      <c r="B13" s="94"/>
      <c r="P13" s="95"/>
    </row>
    <row r="14" spans="1:19" x14ac:dyDescent="0.25">
      <c r="P14" s="95"/>
    </row>
    <row r="16" spans="1:19" x14ac:dyDescent="0.25">
      <c r="P16" s="96"/>
    </row>
    <row r="17" spans="16:16" x14ac:dyDescent="0.25">
      <c r="P17" s="96"/>
    </row>
    <row r="18" spans="16:16" x14ac:dyDescent="0.25">
      <c r="P18" s="96"/>
    </row>
    <row r="19" spans="16:16" x14ac:dyDescent="0.25">
      <c r="P19" s="96"/>
    </row>
    <row r="20" spans="16:16" x14ac:dyDescent="0.25">
      <c r="P20" s="97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"/>
  <sheetViews>
    <sheetView tabSelected="1" topLeftCell="A6" workbookViewId="0">
      <selection activeCell="A37" sqref="A37"/>
    </sheetView>
  </sheetViews>
  <sheetFormatPr baseColWidth="10" defaultRowHeight="12" x14ac:dyDescent="0.15"/>
  <cols>
    <col min="1" max="1" width="57.140625" style="8" customWidth="1"/>
    <col min="2" max="2" width="14.5703125" style="29" customWidth="1"/>
    <col min="3" max="3" width="13.140625" style="30" customWidth="1"/>
    <col min="4" max="4" width="12.5703125" style="30" customWidth="1"/>
    <col min="5" max="15" width="12.7109375" style="30" customWidth="1"/>
    <col min="16" max="16" width="12.85546875" style="8" bestFit="1" customWidth="1"/>
    <col min="17" max="18" width="11.42578125" style="8"/>
    <col min="19" max="19" width="16.140625" style="8" bestFit="1" customWidth="1"/>
    <col min="20" max="20" width="12.28515625" style="8" bestFit="1" customWidth="1"/>
    <col min="21" max="16384" width="11.42578125" style="8"/>
  </cols>
  <sheetData>
    <row r="1" spans="1:20" x14ac:dyDescent="0.15">
      <c r="A1" s="7" t="s">
        <v>40</v>
      </c>
    </row>
    <row r="2" spans="1:20" x14ac:dyDescent="0.15">
      <c r="A2" s="7" t="s">
        <v>38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20" x14ac:dyDescent="0.15">
      <c r="A3" s="7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20" x14ac:dyDescent="0.15">
      <c r="A4" s="7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20" x14ac:dyDescent="0.15">
      <c r="A5" s="7" t="s">
        <v>0</v>
      </c>
      <c r="P5" s="29"/>
    </row>
    <row r="6" spans="1:20" ht="36" x14ac:dyDescent="0.15">
      <c r="A6" s="11" t="s">
        <v>37</v>
      </c>
      <c r="B6" s="11" t="s">
        <v>34</v>
      </c>
      <c r="C6" s="11" t="s">
        <v>42</v>
      </c>
      <c r="D6" s="11" t="s">
        <v>73</v>
      </c>
      <c r="E6" s="11" t="s">
        <v>80</v>
      </c>
      <c r="F6" s="11" t="s">
        <v>84</v>
      </c>
      <c r="G6" s="11" t="s">
        <v>111</v>
      </c>
      <c r="H6" s="11" t="s">
        <v>110</v>
      </c>
      <c r="I6" s="11" t="s">
        <v>117</v>
      </c>
      <c r="J6" s="11" t="s">
        <v>120</v>
      </c>
      <c r="K6" s="11" t="s">
        <v>142</v>
      </c>
      <c r="L6" s="11" t="s">
        <v>153</v>
      </c>
      <c r="M6" s="11" t="s">
        <v>155</v>
      </c>
      <c r="N6" s="11" t="s">
        <v>159</v>
      </c>
      <c r="O6" s="11" t="s">
        <v>165</v>
      </c>
      <c r="P6" s="11" t="s">
        <v>35</v>
      </c>
      <c r="Q6" s="11" t="s">
        <v>33</v>
      </c>
    </row>
    <row r="7" spans="1:20" x14ac:dyDescent="0.15">
      <c r="A7" s="33" t="s">
        <v>16</v>
      </c>
      <c r="B7" s="34">
        <v>26253.92338</v>
      </c>
      <c r="C7" s="34"/>
      <c r="D7" s="34">
        <v>1.1000000000000001</v>
      </c>
      <c r="E7" s="34"/>
      <c r="F7" s="34">
        <v>10</v>
      </c>
      <c r="G7" s="34">
        <v>35</v>
      </c>
      <c r="H7" s="34">
        <v>191.172158</v>
      </c>
      <c r="I7" s="34">
        <v>0</v>
      </c>
      <c r="J7" s="34">
        <v>1106.0440799999999</v>
      </c>
      <c r="K7" s="34">
        <v>1852.8371520000001</v>
      </c>
      <c r="L7" s="34">
        <v>146.734059</v>
      </c>
      <c r="M7" s="34">
        <v>19.8</v>
      </c>
      <c r="N7" s="34"/>
      <c r="O7" s="34"/>
      <c r="P7" s="35">
        <f>+SUM(B7:O7)</f>
        <v>29616.610828999997</v>
      </c>
      <c r="Q7" s="34">
        <f t="shared" ref="Q7:Q15" si="0">+P7-B7</f>
        <v>3362.6874489999973</v>
      </c>
      <c r="T7" s="19"/>
    </row>
    <row r="8" spans="1:20" x14ac:dyDescent="0.15">
      <c r="A8" s="33" t="s">
        <v>31</v>
      </c>
      <c r="B8" s="34">
        <v>46761.765644999999</v>
      </c>
      <c r="C8" s="34">
        <v>350</v>
      </c>
      <c r="D8" s="34"/>
      <c r="E8" s="34"/>
      <c r="F8" s="34">
        <v>0</v>
      </c>
      <c r="G8" s="34"/>
      <c r="H8" s="34"/>
      <c r="I8" s="34">
        <v>0</v>
      </c>
      <c r="J8" s="34"/>
      <c r="K8" s="34">
        <v>9287.1332710000006</v>
      </c>
      <c r="L8" s="34">
        <v>280</v>
      </c>
      <c r="M8" s="34">
        <v>0</v>
      </c>
      <c r="N8" s="34"/>
      <c r="O8" s="34"/>
      <c r="P8" s="35">
        <f t="shared" ref="P8:P23" si="1">+SUM(B8:O8)</f>
        <v>56678.898915999998</v>
      </c>
      <c r="Q8" s="34">
        <f t="shared" si="0"/>
        <v>9917.1332709999988</v>
      </c>
      <c r="T8" s="19"/>
    </row>
    <row r="9" spans="1:20" x14ac:dyDescent="0.15">
      <c r="A9" s="33" t="s">
        <v>27</v>
      </c>
      <c r="B9" s="34">
        <v>16621.332829999999</v>
      </c>
      <c r="C9" s="34"/>
      <c r="D9" s="34"/>
      <c r="E9" s="34">
        <v>11.321709</v>
      </c>
      <c r="F9" s="34">
        <v>53.250999999999998</v>
      </c>
      <c r="G9" s="34">
        <v>80.096444000000005</v>
      </c>
      <c r="H9" s="34"/>
      <c r="I9" s="34">
        <v>0</v>
      </c>
      <c r="J9" s="34"/>
      <c r="K9" s="34">
        <v>3422.761966</v>
      </c>
      <c r="L9" s="34">
        <v>0</v>
      </c>
      <c r="M9" s="34">
        <v>265.10000000000002</v>
      </c>
      <c r="N9" s="34"/>
      <c r="O9" s="34"/>
      <c r="P9" s="35">
        <f t="shared" si="1"/>
        <v>20453.863948999999</v>
      </c>
      <c r="Q9" s="34">
        <f t="shared" si="0"/>
        <v>3832.5311189999993</v>
      </c>
      <c r="T9" s="19"/>
    </row>
    <row r="10" spans="1:20" x14ac:dyDescent="0.15">
      <c r="A10" s="33" t="s">
        <v>17</v>
      </c>
      <c r="B10" s="34">
        <v>148758.94974000001</v>
      </c>
      <c r="C10" s="34"/>
      <c r="D10" s="34">
        <v>451.4</v>
      </c>
      <c r="E10" s="34">
        <v>-29.196432999999999</v>
      </c>
      <c r="F10" s="34">
        <v>337.50285700000001</v>
      </c>
      <c r="G10" s="34">
        <v>914.65750000000003</v>
      </c>
      <c r="H10" s="34">
        <v>818.78135199999997</v>
      </c>
      <c r="I10" s="34">
        <v>0</v>
      </c>
      <c r="J10" s="34">
        <v>400</v>
      </c>
      <c r="K10" s="34">
        <v>11014.47294</v>
      </c>
      <c r="L10" s="34">
        <v>122.359634</v>
      </c>
      <c r="M10" s="34">
        <v>5210</v>
      </c>
      <c r="N10" s="34"/>
      <c r="O10" s="34">
        <v>2000</v>
      </c>
      <c r="P10" s="35">
        <f t="shared" si="1"/>
        <v>169998.92759000001</v>
      </c>
      <c r="Q10" s="34">
        <f t="shared" si="0"/>
        <v>21239.977849999996</v>
      </c>
      <c r="T10" s="19"/>
    </row>
    <row r="11" spans="1:20" x14ac:dyDescent="0.15">
      <c r="A11" s="33" t="s">
        <v>18</v>
      </c>
      <c r="B11" s="34">
        <v>13671.077692000001</v>
      </c>
      <c r="C11" s="34"/>
      <c r="D11" s="34">
        <v>-3</v>
      </c>
      <c r="E11" s="34"/>
      <c r="F11" s="34">
        <v>-65.556607</v>
      </c>
      <c r="G11" s="34">
        <v>-26.25</v>
      </c>
      <c r="H11" s="34">
        <v>108.579307</v>
      </c>
      <c r="I11" s="34">
        <v>0</v>
      </c>
      <c r="J11" s="34">
        <v>1.75329</v>
      </c>
      <c r="K11" s="34">
        <v>228.71014</v>
      </c>
      <c r="L11" s="34">
        <v>142.14254399999999</v>
      </c>
      <c r="M11" s="34"/>
      <c r="N11" s="34"/>
      <c r="O11" s="34"/>
      <c r="P11" s="35">
        <f t="shared" si="1"/>
        <v>14057.456366</v>
      </c>
      <c r="Q11" s="34">
        <f t="shared" si="0"/>
        <v>386.37867399999959</v>
      </c>
      <c r="T11" s="19"/>
    </row>
    <row r="12" spans="1:20" x14ac:dyDescent="0.15">
      <c r="A12" s="33" t="s">
        <v>19</v>
      </c>
      <c r="B12" s="34">
        <v>67602.722930000004</v>
      </c>
      <c r="C12" s="34"/>
      <c r="D12" s="34">
        <v>3381.9</v>
      </c>
      <c r="E12" s="34">
        <v>6114.6638970000004</v>
      </c>
      <c r="F12" s="34">
        <v>-103.308905</v>
      </c>
      <c r="G12" s="34">
        <v>1332</v>
      </c>
      <c r="H12" s="34">
        <v>2389.0331860000001</v>
      </c>
      <c r="I12" s="34">
        <v>0</v>
      </c>
      <c r="J12" s="34">
        <v>6119.5</v>
      </c>
      <c r="K12" s="34">
        <v>500</v>
      </c>
      <c r="L12" s="34">
        <v>2671.529121</v>
      </c>
      <c r="M12" s="34"/>
      <c r="N12" s="34">
        <v>2200</v>
      </c>
      <c r="O12" s="34"/>
      <c r="P12" s="35">
        <f t="shared" si="1"/>
        <v>92208.040229000006</v>
      </c>
      <c r="Q12" s="34">
        <f t="shared" si="0"/>
        <v>24605.317299000002</v>
      </c>
      <c r="T12" s="19"/>
    </row>
    <row r="13" spans="1:20" x14ac:dyDescent="0.15">
      <c r="A13" s="33" t="s">
        <v>30</v>
      </c>
      <c r="B13" s="34">
        <v>13700.785533</v>
      </c>
      <c r="C13" s="34"/>
      <c r="D13" s="34">
        <v>-245.8</v>
      </c>
      <c r="E13" s="34">
        <v>1566</v>
      </c>
      <c r="F13" s="34">
        <v>0.52546000000000004</v>
      </c>
      <c r="G13" s="34">
        <v>1.25</v>
      </c>
      <c r="H13" s="34">
        <v>1040.75</v>
      </c>
      <c r="I13" s="34">
        <v>0</v>
      </c>
      <c r="J13" s="34">
        <v>2527.0962589999999</v>
      </c>
      <c r="K13" s="34"/>
      <c r="L13" s="34">
        <v>1499.8325179999999</v>
      </c>
      <c r="M13" s="34"/>
      <c r="N13" s="34"/>
      <c r="O13" s="34">
        <v>2523.3000000000002</v>
      </c>
      <c r="P13" s="35">
        <f t="shared" si="1"/>
        <v>22613.73977</v>
      </c>
      <c r="Q13" s="34">
        <f t="shared" si="0"/>
        <v>8912.9542369999999</v>
      </c>
      <c r="T13" s="19"/>
    </row>
    <row r="14" spans="1:20" x14ac:dyDescent="0.15">
      <c r="A14" s="33" t="s">
        <v>28</v>
      </c>
      <c r="B14" s="34">
        <v>29450.592832999999</v>
      </c>
      <c r="C14" s="34"/>
      <c r="D14" s="34">
        <v>-875.1</v>
      </c>
      <c r="E14" s="34"/>
      <c r="F14" s="34">
        <v>0</v>
      </c>
      <c r="G14" s="34">
        <v>118.279771</v>
      </c>
      <c r="H14" s="34">
        <v>848.4</v>
      </c>
      <c r="I14" s="34">
        <v>0</v>
      </c>
      <c r="J14" s="34"/>
      <c r="K14" s="34">
        <v>110</v>
      </c>
      <c r="L14" s="34">
        <v>2265.4106109999998</v>
      </c>
      <c r="M14" s="34">
        <v>441.4</v>
      </c>
      <c r="N14" s="34"/>
      <c r="O14" s="34"/>
      <c r="P14" s="35">
        <f t="shared" si="1"/>
        <v>32358.983215000004</v>
      </c>
      <c r="Q14" s="34">
        <f t="shared" si="0"/>
        <v>2908.390382000005</v>
      </c>
      <c r="T14" s="19"/>
    </row>
    <row r="15" spans="1:20" x14ac:dyDescent="0.15">
      <c r="A15" s="33" t="s">
        <v>29</v>
      </c>
      <c r="B15" s="34">
        <v>159564.11046</v>
      </c>
      <c r="C15" s="34"/>
      <c r="D15" s="34">
        <v>2</v>
      </c>
      <c r="E15" s="34">
        <v>37.799283000000003</v>
      </c>
      <c r="F15" s="34">
        <v>3133.4562999999998</v>
      </c>
      <c r="G15" s="34">
        <v>15</v>
      </c>
      <c r="H15" s="34">
        <v>896</v>
      </c>
      <c r="I15" s="34">
        <v>0</v>
      </c>
      <c r="J15" s="34">
        <v>2534.217744</v>
      </c>
      <c r="K15" s="34">
        <v>8585.5384030000005</v>
      </c>
      <c r="L15" s="34">
        <v>3733.825061</v>
      </c>
      <c r="M15" s="34">
        <v>2.2204460492503131E-15</v>
      </c>
      <c r="N15" s="34"/>
      <c r="O15" s="34"/>
      <c r="P15" s="35">
        <f t="shared" si="1"/>
        <v>178501.94725100001</v>
      </c>
      <c r="Q15" s="34">
        <f t="shared" si="0"/>
        <v>18937.836791000009</v>
      </c>
      <c r="T15" s="19"/>
    </row>
    <row r="16" spans="1:20" x14ac:dyDescent="0.15">
      <c r="A16" s="33" t="s">
        <v>20</v>
      </c>
      <c r="B16" s="34">
        <v>151355.514058</v>
      </c>
      <c r="C16" s="34"/>
      <c r="D16" s="34">
        <v>0</v>
      </c>
      <c r="E16" s="34">
        <v>58.265999999999998</v>
      </c>
      <c r="F16" s="34">
        <v>1290.6514320000001</v>
      </c>
      <c r="G16" s="34">
        <v>0</v>
      </c>
      <c r="H16" s="34">
        <v>1263.8016029999999</v>
      </c>
      <c r="I16" s="34">
        <v>0</v>
      </c>
      <c r="J16" s="34">
        <v>3422.1112320000002</v>
      </c>
      <c r="K16" s="34">
        <v>4905.9626619999999</v>
      </c>
      <c r="L16" s="34">
        <v>321.80240400000002</v>
      </c>
      <c r="M16" s="34">
        <v>2051.8000000000002</v>
      </c>
      <c r="N16" s="34"/>
      <c r="O16" s="34"/>
      <c r="P16" s="35">
        <f t="shared" si="1"/>
        <v>164669.90939099999</v>
      </c>
      <c r="Q16" s="34">
        <f t="shared" ref="Q16:Q23" si="2">+P16-B16</f>
        <v>13314.395332999993</v>
      </c>
      <c r="T16" s="19"/>
    </row>
    <row r="17" spans="1:20" x14ac:dyDescent="0.15">
      <c r="A17" s="33" t="s">
        <v>21</v>
      </c>
      <c r="B17" s="34">
        <v>169931.93793099999</v>
      </c>
      <c r="C17" s="34"/>
      <c r="D17" s="34">
        <v>465.8</v>
      </c>
      <c r="E17" s="34">
        <v>7807.5799969999998</v>
      </c>
      <c r="F17" s="34">
        <v>3277.2652520000001</v>
      </c>
      <c r="G17" s="34">
        <v>747.90923899999996</v>
      </c>
      <c r="H17" s="34">
        <v>3917.9204490000002</v>
      </c>
      <c r="I17" s="34">
        <v>0</v>
      </c>
      <c r="J17" s="34">
        <v>-3306.2784000000001</v>
      </c>
      <c r="K17" s="34">
        <v>80121.3</v>
      </c>
      <c r="L17" s="34">
        <v>-40040.521368000002</v>
      </c>
      <c r="M17" s="34"/>
      <c r="N17" s="34"/>
      <c r="O17" s="34"/>
      <c r="P17" s="35">
        <f t="shared" si="1"/>
        <v>222922.91309999995</v>
      </c>
      <c r="Q17" s="34">
        <f t="shared" si="2"/>
        <v>52990.975168999954</v>
      </c>
      <c r="T17" s="19"/>
    </row>
    <row r="18" spans="1:20" x14ac:dyDescent="0.15">
      <c r="A18" s="33" t="s">
        <v>44</v>
      </c>
      <c r="B18" s="34">
        <v>37674.039950999999</v>
      </c>
      <c r="C18" s="34"/>
      <c r="D18" s="34"/>
      <c r="E18" s="34">
        <v>901.47872800000005</v>
      </c>
      <c r="F18" s="34">
        <v>450.16154</v>
      </c>
      <c r="G18" s="34">
        <v>2186.90101</v>
      </c>
      <c r="H18" s="34">
        <v>908.29276200000004</v>
      </c>
      <c r="I18" s="34">
        <v>0</v>
      </c>
      <c r="J18" s="34">
        <v>804.48825499999998</v>
      </c>
      <c r="K18" s="34"/>
      <c r="L18" s="34">
        <v>2497.4102520000001</v>
      </c>
      <c r="M18" s="34">
        <v>9.8000000000000007</v>
      </c>
      <c r="N18" s="34"/>
      <c r="O18" s="34"/>
      <c r="P18" s="35">
        <f t="shared" si="1"/>
        <v>45432.572498000001</v>
      </c>
      <c r="Q18" s="34">
        <f t="shared" si="2"/>
        <v>7758.5325470000025</v>
      </c>
      <c r="T18" s="19"/>
    </row>
    <row r="19" spans="1:20" x14ac:dyDescent="0.15">
      <c r="A19" s="33" t="s">
        <v>22</v>
      </c>
      <c r="B19" s="34">
        <v>100771.347239</v>
      </c>
      <c r="C19" s="34">
        <v>6500</v>
      </c>
      <c r="D19" s="34"/>
      <c r="E19" s="34">
        <v>-1538.4970000000001</v>
      </c>
      <c r="F19" s="34">
        <v>4773.7348819999997</v>
      </c>
      <c r="G19" s="34">
        <v>8834.4800890000006</v>
      </c>
      <c r="H19" s="34">
        <v>-883.04853600000001</v>
      </c>
      <c r="I19" s="34">
        <v>0</v>
      </c>
      <c r="J19" s="34">
        <v>3763.2389750000002</v>
      </c>
      <c r="K19" s="34">
        <v>86067.664480000007</v>
      </c>
      <c r="L19" s="34">
        <v>459.015559</v>
      </c>
      <c r="M19" s="34"/>
      <c r="N19" s="34"/>
      <c r="O19" s="34"/>
      <c r="P19" s="35">
        <f t="shared" si="1"/>
        <v>208747.935688</v>
      </c>
      <c r="Q19" s="34">
        <f t="shared" si="2"/>
        <v>107976.588449</v>
      </c>
      <c r="T19" s="19"/>
    </row>
    <row r="20" spans="1:20" x14ac:dyDescent="0.15">
      <c r="A20" s="33" t="s">
        <v>45</v>
      </c>
      <c r="B20" s="34">
        <v>224524.99638200001</v>
      </c>
      <c r="C20" s="34"/>
      <c r="D20" s="34">
        <v>61.1</v>
      </c>
      <c r="E20" s="34">
        <v>1547.647299</v>
      </c>
      <c r="F20" s="34">
        <v>61.429488999999997</v>
      </c>
      <c r="G20" s="34">
        <v>796.40074200000004</v>
      </c>
      <c r="H20" s="34">
        <v>121.215138</v>
      </c>
      <c r="I20" s="34">
        <v>0</v>
      </c>
      <c r="J20" s="34">
        <v>-38.815323999999997</v>
      </c>
      <c r="K20" s="34"/>
      <c r="L20" s="34">
        <v>10180.159471000001</v>
      </c>
      <c r="M20" s="34">
        <v>-1.4210854715202004E-14</v>
      </c>
      <c r="N20" s="34"/>
      <c r="O20" s="34"/>
      <c r="P20" s="35">
        <f t="shared" si="1"/>
        <v>237254.13319700002</v>
      </c>
      <c r="Q20" s="34">
        <f t="shared" si="2"/>
        <v>12729.136815000005</v>
      </c>
      <c r="T20" s="19"/>
    </row>
    <row r="21" spans="1:20" x14ac:dyDescent="0.15">
      <c r="A21" s="33" t="s">
        <v>46</v>
      </c>
      <c r="B21" s="34">
        <v>2032164.7899269999</v>
      </c>
      <c r="C21" s="34">
        <v>14728</v>
      </c>
      <c r="D21" s="34">
        <v>-46</v>
      </c>
      <c r="E21" s="34">
        <v>213.36402000000001</v>
      </c>
      <c r="F21" s="34">
        <v>822.48861299999999</v>
      </c>
      <c r="G21" s="34">
        <v>6631.089481</v>
      </c>
      <c r="H21" s="34">
        <v>15749.931366000001</v>
      </c>
      <c r="I21" s="34">
        <v>9105.2000000000007</v>
      </c>
      <c r="J21" s="34">
        <v>5615.4725570000001</v>
      </c>
      <c r="K21" s="34">
        <v>102123.89839</v>
      </c>
      <c r="L21" s="34">
        <v>8888.3748539999997</v>
      </c>
      <c r="M21" s="34">
        <v>27110</v>
      </c>
      <c r="N21" s="34"/>
      <c r="O21" s="34"/>
      <c r="P21" s="35">
        <f t="shared" si="1"/>
        <v>2223106.6092079999</v>
      </c>
      <c r="Q21" s="35">
        <f t="shared" si="2"/>
        <v>190941.81928099995</v>
      </c>
      <c r="T21" s="19"/>
    </row>
    <row r="22" spans="1:20" x14ac:dyDescent="0.15">
      <c r="A22" s="33" t="s">
        <v>23</v>
      </c>
      <c r="B22" s="34">
        <v>745652</v>
      </c>
      <c r="C22" s="34"/>
      <c r="D22" s="34"/>
      <c r="E22" s="34"/>
      <c r="F22" s="34">
        <v>2370.3666480000002</v>
      </c>
      <c r="G22" s="34"/>
      <c r="H22" s="34"/>
      <c r="I22" s="34">
        <v>0</v>
      </c>
      <c r="J22" s="34"/>
      <c r="K22" s="34">
        <v>308693</v>
      </c>
      <c r="L22" s="34">
        <v>0</v>
      </c>
      <c r="M22" s="34"/>
      <c r="N22" s="34">
        <v>-86180</v>
      </c>
      <c r="O22" s="34"/>
      <c r="P22" s="35">
        <f t="shared" si="1"/>
        <v>970535.36664799997</v>
      </c>
      <c r="Q22" s="34">
        <f t="shared" si="2"/>
        <v>224883.36664799997</v>
      </c>
    </row>
    <row r="23" spans="1:20" x14ac:dyDescent="0.15">
      <c r="A23" s="33" t="s">
        <v>24</v>
      </c>
      <c r="B23" s="34">
        <v>187852.35290999999</v>
      </c>
      <c r="C23" s="34">
        <v>13000</v>
      </c>
      <c r="D23" s="34">
        <v>2540.6</v>
      </c>
      <c r="E23" s="34">
        <v>-65.992000000000004</v>
      </c>
      <c r="F23" s="34">
        <v>-2811.1495329999998</v>
      </c>
      <c r="G23" s="34">
        <v>-3906.887999</v>
      </c>
      <c r="H23" s="34">
        <v>-2582.6123980000002</v>
      </c>
      <c r="I23" s="34">
        <v>0</v>
      </c>
      <c r="J23" s="34">
        <v>5260.3022709999996</v>
      </c>
      <c r="K23" s="34">
        <v>47166.213330999999</v>
      </c>
      <c r="L23" s="34">
        <v>-10380.370518</v>
      </c>
      <c r="M23" s="34">
        <v>5154</v>
      </c>
      <c r="N23" s="34">
        <v>-2200</v>
      </c>
      <c r="O23" s="34"/>
      <c r="P23" s="35">
        <f t="shared" si="1"/>
        <v>239026.456064</v>
      </c>
      <c r="Q23" s="34">
        <f t="shared" si="2"/>
        <v>51174.103154000011</v>
      </c>
    </row>
    <row r="24" spans="1:20" x14ac:dyDescent="0.15">
      <c r="A24" s="28" t="s">
        <v>13</v>
      </c>
      <c r="B24" s="27">
        <f t="shared" ref="B24:H24" si="3">+SUM(B7:B23)</f>
        <v>4172312.2394409999</v>
      </c>
      <c r="C24" s="27">
        <f t="shared" si="3"/>
        <v>34578</v>
      </c>
      <c r="D24" s="27">
        <f t="shared" si="3"/>
        <v>5734</v>
      </c>
      <c r="E24" s="27">
        <f t="shared" si="3"/>
        <v>16624.435500000003</v>
      </c>
      <c r="F24" s="27">
        <f t="shared" si="3"/>
        <v>13600.818427999999</v>
      </c>
      <c r="G24" s="27">
        <f t="shared" si="3"/>
        <v>17759.926277000002</v>
      </c>
      <c r="H24" s="27">
        <f t="shared" si="3"/>
        <v>24788.216386999997</v>
      </c>
      <c r="I24" s="27">
        <f t="shared" ref="I24:Q24" si="4">+SUM(I7:I23)</f>
        <v>9105.2000000000007</v>
      </c>
      <c r="J24" s="27">
        <f t="shared" si="4"/>
        <v>28209.130939000002</v>
      </c>
      <c r="K24" s="27">
        <f t="shared" si="4"/>
        <v>664079.49273499998</v>
      </c>
      <c r="L24" s="27">
        <f t="shared" si="4"/>
        <v>-17212.295798000003</v>
      </c>
      <c r="M24" s="27">
        <f t="shared" si="4"/>
        <v>40261.9</v>
      </c>
      <c r="N24" s="27">
        <f t="shared" si="4"/>
        <v>-86180</v>
      </c>
      <c r="O24" s="27">
        <f t="shared" si="4"/>
        <v>4523.3</v>
      </c>
      <c r="P24" s="27">
        <f t="shared" si="4"/>
        <v>4928184.3639089996</v>
      </c>
      <c r="Q24" s="27">
        <f t="shared" si="4"/>
        <v>755872.12446799991</v>
      </c>
    </row>
    <row r="25" spans="1:20" x14ac:dyDescent="0.15">
      <c r="P25" s="24"/>
    </row>
    <row r="26" spans="1:20" x14ac:dyDescent="0.15">
      <c r="P26" s="23"/>
    </row>
    <row r="28" spans="1:20" ht="12.75" customHeight="1" x14ac:dyDescent="0.15"/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4"/>
  <sheetViews>
    <sheetView workbookViewId="0">
      <selection activeCell="F21" sqref="F21"/>
    </sheetView>
  </sheetViews>
  <sheetFormatPr baseColWidth="10" defaultRowHeight="13.5" x14ac:dyDescent="0.15"/>
  <cols>
    <col min="1" max="1" width="49.28515625" style="37" customWidth="1"/>
    <col min="2" max="2" width="11.42578125" style="37" customWidth="1"/>
    <col min="3" max="3" width="34.85546875" style="37" customWidth="1"/>
    <col min="4" max="16384" width="11.42578125" style="37"/>
  </cols>
  <sheetData>
    <row r="1" spans="1:6" x14ac:dyDescent="0.15">
      <c r="A1" s="36" t="s">
        <v>43</v>
      </c>
      <c r="B1" s="36"/>
    </row>
    <row r="2" spans="1:6" x14ac:dyDescent="0.15">
      <c r="A2" s="7" t="s">
        <v>122</v>
      </c>
      <c r="B2" s="38"/>
      <c r="C2" s="38"/>
      <c r="D2" s="38"/>
      <c r="E2" s="38"/>
    </row>
    <row r="3" spans="1:6" x14ac:dyDescent="0.15">
      <c r="A3" s="7" t="s">
        <v>127</v>
      </c>
      <c r="B3" s="38"/>
      <c r="C3" s="38"/>
      <c r="D3" s="38"/>
      <c r="E3" s="38"/>
    </row>
    <row r="4" spans="1:6" x14ac:dyDescent="0.15">
      <c r="A4" s="39" t="s">
        <v>123</v>
      </c>
      <c r="B4" s="38"/>
      <c r="C4" s="38"/>
      <c r="D4" s="38"/>
      <c r="E4" s="38"/>
    </row>
    <row r="5" spans="1:6" x14ac:dyDescent="0.15">
      <c r="A5" s="40" t="s">
        <v>70</v>
      </c>
      <c r="B5" s="38"/>
      <c r="C5" s="38"/>
      <c r="D5" s="38"/>
      <c r="E5" s="38"/>
    </row>
    <row r="6" spans="1:6" x14ac:dyDescent="0.15">
      <c r="A6" s="40" t="s">
        <v>71</v>
      </c>
      <c r="B6" s="38"/>
      <c r="C6" s="38"/>
      <c r="D6" s="38"/>
      <c r="E6" s="38"/>
    </row>
    <row r="7" spans="1:6" x14ac:dyDescent="0.15">
      <c r="A7" s="40" t="s">
        <v>72</v>
      </c>
      <c r="B7" s="38"/>
      <c r="C7" s="38"/>
      <c r="D7" s="38"/>
      <c r="E7" s="38"/>
    </row>
    <row r="8" spans="1:6" x14ac:dyDescent="0.15">
      <c r="A8" s="9"/>
      <c r="B8" s="38"/>
      <c r="C8" s="38"/>
      <c r="D8" s="38"/>
      <c r="E8" s="38"/>
    </row>
    <row r="9" spans="1:6" x14ac:dyDescent="0.15">
      <c r="A9" s="7" t="s">
        <v>62</v>
      </c>
      <c r="B9" s="38"/>
      <c r="C9" s="38"/>
      <c r="D9" s="38"/>
      <c r="E9" s="38"/>
      <c r="F9" s="38"/>
    </row>
    <row r="10" spans="1:6" x14ac:dyDescent="0.15">
      <c r="A10" s="7" t="s">
        <v>124</v>
      </c>
      <c r="B10" s="38"/>
      <c r="C10" s="38"/>
      <c r="D10" s="38"/>
      <c r="E10" s="38"/>
    </row>
    <row r="11" spans="1:6" x14ac:dyDescent="0.15">
      <c r="A11" s="41"/>
    </row>
    <row r="12" spans="1:6" x14ac:dyDescent="0.15">
      <c r="A12" s="11" t="s">
        <v>47</v>
      </c>
      <c r="B12" s="42" t="s">
        <v>48</v>
      </c>
    </row>
    <row r="13" spans="1:6" x14ac:dyDescent="0.15">
      <c r="A13" s="43" t="s">
        <v>49</v>
      </c>
      <c r="B13" s="48">
        <f>+B14</f>
        <v>13000</v>
      </c>
    </row>
    <row r="14" spans="1:6" x14ac:dyDescent="0.15">
      <c r="A14" s="44" t="s">
        <v>61</v>
      </c>
      <c r="B14" s="49">
        <v>13000</v>
      </c>
    </row>
    <row r="15" spans="1:6" x14ac:dyDescent="0.15">
      <c r="A15" s="43" t="s">
        <v>50</v>
      </c>
      <c r="B15" s="48">
        <f>+B16+B19</f>
        <v>34477.15</v>
      </c>
    </row>
    <row r="16" spans="1:6" x14ac:dyDescent="0.15">
      <c r="A16" s="44" t="s">
        <v>64</v>
      </c>
      <c r="B16" s="50">
        <f>+B17+B18</f>
        <v>249.15</v>
      </c>
    </row>
    <row r="17" spans="1:2" x14ac:dyDescent="0.15">
      <c r="A17" s="45" t="s">
        <v>66</v>
      </c>
      <c r="B17" s="50">
        <v>0</v>
      </c>
    </row>
    <row r="18" spans="1:2" x14ac:dyDescent="0.15">
      <c r="A18" s="45" t="s">
        <v>67</v>
      </c>
      <c r="B18" s="50">
        <v>249.15</v>
      </c>
    </row>
    <row r="19" spans="1:2" x14ac:dyDescent="0.15">
      <c r="A19" s="44" t="s">
        <v>65</v>
      </c>
      <c r="B19" s="50">
        <v>34228</v>
      </c>
    </row>
    <row r="20" spans="1:2" x14ac:dyDescent="0.15">
      <c r="A20" s="43" t="s">
        <v>51</v>
      </c>
      <c r="B20" s="48">
        <f>+B13-B15</f>
        <v>-21477.15</v>
      </c>
    </row>
    <row r="21" spans="1:2" x14ac:dyDescent="0.15">
      <c r="A21" s="43" t="s">
        <v>52</v>
      </c>
      <c r="B21" s="48">
        <v>0</v>
      </c>
    </row>
    <row r="22" spans="1:2" x14ac:dyDescent="0.15">
      <c r="A22" s="43" t="s">
        <v>53</v>
      </c>
      <c r="B22" s="48">
        <f>+B23</f>
        <v>100.8</v>
      </c>
    </row>
    <row r="23" spans="1:2" x14ac:dyDescent="0.15">
      <c r="A23" s="44" t="s">
        <v>75</v>
      </c>
      <c r="B23" s="50">
        <v>100.8</v>
      </c>
    </row>
    <row r="24" spans="1:2" x14ac:dyDescent="0.15">
      <c r="A24" s="43" t="s">
        <v>54</v>
      </c>
      <c r="B24" s="48">
        <f>+B13+B21</f>
        <v>13000</v>
      </c>
    </row>
    <row r="25" spans="1:2" x14ac:dyDescent="0.15">
      <c r="A25" s="43" t="s">
        <v>55</v>
      </c>
      <c r="B25" s="48">
        <f>+B15+B22</f>
        <v>34577.950000000004</v>
      </c>
    </row>
    <row r="26" spans="1:2" x14ac:dyDescent="0.15">
      <c r="A26" s="43" t="s">
        <v>56</v>
      </c>
      <c r="B26" s="48">
        <f>+B25</f>
        <v>34577.950000000004</v>
      </c>
    </row>
    <row r="27" spans="1:2" x14ac:dyDescent="0.15">
      <c r="A27" s="46" t="s">
        <v>57</v>
      </c>
      <c r="B27" s="51">
        <f>+B24-B25</f>
        <v>-21577.950000000004</v>
      </c>
    </row>
    <row r="28" spans="1:2" x14ac:dyDescent="0.15">
      <c r="A28" s="43" t="s">
        <v>58</v>
      </c>
      <c r="B28" s="48">
        <f>+B24-B26</f>
        <v>-21577.950000000004</v>
      </c>
    </row>
    <row r="29" spans="1:2" x14ac:dyDescent="0.15">
      <c r="A29" s="43" t="s">
        <v>59</v>
      </c>
      <c r="B29" s="48">
        <f>+B30</f>
        <v>123104</v>
      </c>
    </row>
    <row r="30" spans="1:2" ht="24" x14ac:dyDescent="0.15">
      <c r="A30" s="44" t="s">
        <v>68</v>
      </c>
      <c r="B30" s="50">
        <v>123104</v>
      </c>
    </row>
    <row r="31" spans="1:2" x14ac:dyDescent="0.15">
      <c r="A31" s="43" t="s">
        <v>60</v>
      </c>
      <c r="B31" s="48">
        <f>+B32+B33</f>
        <v>101526</v>
      </c>
    </row>
    <row r="32" spans="1:2" x14ac:dyDescent="0.15">
      <c r="A32" s="44" t="s">
        <v>63</v>
      </c>
      <c r="B32" s="50">
        <v>12650</v>
      </c>
    </row>
    <row r="33" spans="1:2" ht="24" x14ac:dyDescent="0.15">
      <c r="A33" s="44" t="s">
        <v>69</v>
      </c>
      <c r="B33" s="50">
        <v>88876</v>
      </c>
    </row>
    <row r="34" spans="1:2" x14ac:dyDescent="0.15">
      <c r="B34" s="47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>
      <selection activeCell="I23" sqref="I23"/>
    </sheetView>
  </sheetViews>
  <sheetFormatPr baseColWidth="10" defaultRowHeight="13.5" x14ac:dyDescent="0.15"/>
  <cols>
    <col min="1" max="1" width="45.140625" style="37" customWidth="1"/>
    <col min="2" max="2" width="12" style="37" bestFit="1" customWidth="1"/>
    <col min="3" max="3" width="8" style="37" customWidth="1"/>
    <col min="4" max="4" width="11.42578125" style="37" customWidth="1"/>
    <col min="5" max="8" width="11.42578125" style="37"/>
    <col min="9" max="9" width="37.42578125" style="37" bestFit="1" customWidth="1"/>
    <col min="10" max="10" width="13.42578125" style="37" bestFit="1" customWidth="1"/>
    <col min="11" max="16384" width="11.42578125" style="37"/>
  </cols>
  <sheetData>
    <row r="1" spans="1:3" x14ac:dyDescent="0.15">
      <c r="A1" s="36" t="s">
        <v>74</v>
      </c>
      <c r="B1" s="36"/>
    </row>
    <row r="2" spans="1:3" x14ac:dyDescent="0.15">
      <c r="A2" s="7" t="s">
        <v>125</v>
      </c>
      <c r="B2" s="38"/>
      <c r="C2" s="38"/>
    </row>
    <row r="3" spans="1:3" x14ac:dyDescent="0.15">
      <c r="A3" s="7" t="s">
        <v>128</v>
      </c>
      <c r="B3" s="38"/>
      <c r="C3" s="38"/>
    </row>
    <row r="4" spans="1:3" x14ac:dyDescent="0.15">
      <c r="A4" s="39" t="s">
        <v>123</v>
      </c>
      <c r="B4" s="38"/>
      <c r="C4" s="38"/>
    </row>
    <row r="5" spans="1:3" x14ac:dyDescent="0.15">
      <c r="A5" s="9"/>
      <c r="B5" s="38"/>
      <c r="C5" s="38"/>
    </row>
    <row r="6" spans="1:3" x14ac:dyDescent="0.15">
      <c r="A6" s="7" t="s">
        <v>62</v>
      </c>
      <c r="B6" s="38"/>
      <c r="C6" s="38"/>
    </row>
    <row r="7" spans="1:3" x14ac:dyDescent="0.15">
      <c r="A7" s="7" t="s">
        <v>124</v>
      </c>
      <c r="B7" s="38"/>
      <c r="C7" s="38"/>
    </row>
    <row r="8" spans="1:3" x14ac:dyDescent="0.15">
      <c r="A8" s="41"/>
    </row>
    <row r="9" spans="1:3" x14ac:dyDescent="0.15">
      <c r="A9" s="11" t="s">
        <v>47</v>
      </c>
      <c r="B9" s="11" t="s">
        <v>48</v>
      </c>
    </row>
    <row r="10" spans="1:3" x14ac:dyDescent="0.15">
      <c r="A10" s="43" t="s">
        <v>49</v>
      </c>
      <c r="B10" s="48">
        <f>+B11+B12</f>
        <v>119.1</v>
      </c>
    </row>
    <row r="11" spans="1:3" x14ac:dyDescent="0.15">
      <c r="A11" s="44" t="s">
        <v>78</v>
      </c>
      <c r="B11" s="50">
        <v>118</v>
      </c>
    </row>
    <row r="12" spans="1:3" x14ac:dyDescent="0.15">
      <c r="A12" s="44" t="s">
        <v>65</v>
      </c>
      <c r="B12" s="50">
        <v>1.1000000000000001</v>
      </c>
    </row>
    <row r="13" spans="1:3" x14ac:dyDescent="0.15">
      <c r="A13" s="43" t="s">
        <v>50</v>
      </c>
      <c r="B13" s="48">
        <f>+B14+B17+B18</f>
        <v>5656.9</v>
      </c>
    </row>
    <row r="14" spans="1:3" x14ac:dyDescent="0.15">
      <c r="A14" s="44" t="s">
        <v>64</v>
      </c>
      <c r="B14" s="50">
        <f>+B15+B16</f>
        <v>5473.5</v>
      </c>
    </row>
    <row r="15" spans="1:3" x14ac:dyDescent="0.15">
      <c r="A15" s="45" t="s">
        <v>66</v>
      </c>
      <c r="B15" s="50">
        <v>4394.6000000000004</v>
      </c>
    </row>
    <row r="16" spans="1:3" x14ac:dyDescent="0.15">
      <c r="A16" s="45" t="s">
        <v>67</v>
      </c>
      <c r="B16" s="50">
        <v>1078.9000000000001</v>
      </c>
    </row>
    <row r="17" spans="1:2" x14ac:dyDescent="0.15">
      <c r="A17" s="44" t="s">
        <v>65</v>
      </c>
      <c r="B17" s="50">
        <f>74+108.4</f>
        <v>182.4</v>
      </c>
    </row>
    <row r="18" spans="1:2" x14ac:dyDescent="0.15">
      <c r="A18" s="44" t="s">
        <v>77</v>
      </c>
      <c r="B18" s="50">
        <v>1</v>
      </c>
    </row>
    <row r="19" spans="1:2" x14ac:dyDescent="0.15">
      <c r="A19" s="43" t="s">
        <v>51</v>
      </c>
      <c r="B19" s="48">
        <f>+B10-B13</f>
        <v>-5537.7999999999993</v>
      </c>
    </row>
    <row r="20" spans="1:2" x14ac:dyDescent="0.15">
      <c r="A20" s="43" t="s">
        <v>52</v>
      </c>
      <c r="B20" s="48">
        <f>+B21</f>
        <v>61</v>
      </c>
    </row>
    <row r="21" spans="1:2" x14ac:dyDescent="0.15">
      <c r="A21" s="44" t="s">
        <v>79</v>
      </c>
      <c r="B21" s="50">
        <v>61</v>
      </c>
    </row>
    <row r="22" spans="1:2" x14ac:dyDescent="0.15">
      <c r="A22" s="43" t="s">
        <v>53</v>
      </c>
      <c r="B22" s="48">
        <f>+B23+B24</f>
        <v>77.099999999999909</v>
      </c>
    </row>
    <row r="23" spans="1:2" x14ac:dyDescent="0.15">
      <c r="A23" s="44" t="s">
        <v>75</v>
      </c>
      <c r="B23" s="50">
        <f>-2148.9+282.3</f>
        <v>-1866.6000000000001</v>
      </c>
    </row>
    <row r="24" spans="1:2" x14ac:dyDescent="0.15">
      <c r="A24" s="44" t="s">
        <v>76</v>
      </c>
      <c r="B24" s="50">
        <v>1943.7</v>
      </c>
    </row>
    <row r="25" spans="1:2" x14ac:dyDescent="0.15">
      <c r="A25" s="43" t="s">
        <v>54</v>
      </c>
      <c r="B25" s="48">
        <f>+B10+B20</f>
        <v>180.1</v>
      </c>
    </row>
    <row r="26" spans="1:2" x14ac:dyDescent="0.15">
      <c r="A26" s="43" t="s">
        <v>55</v>
      </c>
      <c r="B26" s="48">
        <f>+B13+B22</f>
        <v>5734</v>
      </c>
    </row>
    <row r="27" spans="1:2" x14ac:dyDescent="0.15">
      <c r="A27" s="43" t="s">
        <v>56</v>
      </c>
      <c r="B27" s="48">
        <f>+B26</f>
        <v>5734</v>
      </c>
    </row>
    <row r="28" spans="1:2" x14ac:dyDescent="0.15">
      <c r="A28" s="46" t="s">
        <v>57</v>
      </c>
      <c r="B28" s="51">
        <f>+B25-B26</f>
        <v>-5553.9</v>
      </c>
    </row>
    <row r="29" spans="1:2" x14ac:dyDescent="0.15">
      <c r="A29" s="43" t="s">
        <v>58</v>
      </c>
      <c r="B29" s="48">
        <f>+B25-B27</f>
        <v>-5553.9</v>
      </c>
    </row>
    <row r="30" spans="1:2" x14ac:dyDescent="0.15">
      <c r="A30" s="43" t="s">
        <v>59</v>
      </c>
      <c r="B30" s="48">
        <f>+B31</f>
        <v>5403.9</v>
      </c>
    </row>
    <row r="31" spans="1:2" ht="13.5" customHeight="1" x14ac:dyDescent="0.15">
      <c r="A31" s="44" t="s">
        <v>68</v>
      </c>
      <c r="B31" s="50">
        <v>5403.9</v>
      </c>
    </row>
    <row r="32" spans="1:2" x14ac:dyDescent="0.15">
      <c r="A32" s="43" t="s">
        <v>60</v>
      </c>
      <c r="B32" s="48">
        <f>+B33</f>
        <v>-150</v>
      </c>
    </row>
    <row r="33" spans="1:2" x14ac:dyDescent="0.15">
      <c r="A33" s="44" t="s">
        <v>63</v>
      </c>
      <c r="B33" s="50">
        <v>-150</v>
      </c>
    </row>
    <row r="34" spans="1:2" x14ac:dyDescent="0.15">
      <c r="B34" s="47"/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workbookViewId="0">
      <selection activeCell="L15" sqref="L15"/>
    </sheetView>
  </sheetViews>
  <sheetFormatPr baseColWidth="10" defaultRowHeight="13.5" x14ac:dyDescent="0.15"/>
  <cols>
    <col min="1" max="1" width="46.28515625" style="37" customWidth="1"/>
    <col min="2" max="16384" width="11.42578125" style="37"/>
  </cols>
  <sheetData>
    <row r="1" spans="1:3" x14ac:dyDescent="0.15">
      <c r="A1" s="36" t="s">
        <v>81</v>
      </c>
      <c r="B1" s="36"/>
    </row>
    <row r="2" spans="1:3" x14ac:dyDescent="0.15">
      <c r="A2" s="7" t="s">
        <v>126</v>
      </c>
      <c r="B2" s="38"/>
      <c r="C2" s="38"/>
    </row>
    <row r="3" spans="1:3" x14ac:dyDescent="0.15">
      <c r="A3" s="7" t="s">
        <v>129</v>
      </c>
      <c r="B3" s="38"/>
      <c r="C3" s="38"/>
    </row>
    <row r="4" spans="1:3" x14ac:dyDescent="0.15">
      <c r="A4" s="39" t="s">
        <v>123</v>
      </c>
      <c r="B4" s="38"/>
      <c r="C4" s="38"/>
    </row>
    <row r="5" spans="1:3" x14ac:dyDescent="0.15">
      <c r="A5" s="9"/>
      <c r="B5" s="38"/>
      <c r="C5" s="38"/>
    </row>
    <row r="6" spans="1:3" x14ac:dyDescent="0.15">
      <c r="A6" s="7" t="s">
        <v>62</v>
      </c>
      <c r="B6" s="38"/>
      <c r="C6" s="38"/>
    </row>
    <row r="7" spans="1:3" x14ac:dyDescent="0.15">
      <c r="A7" s="7" t="s">
        <v>124</v>
      </c>
      <c r="B7" s="38"/>
      <c r="C7" s="38"/>
    </row>
    <row r="8" spans="1:3" x14ac:dyDescent="0.15">
      <c r="A8" s="41"/>
    </row>
    <row r="9" spans="1:3" x14ac:dyDescent="0.15">
      <c r="A9" s="11" t="s">
        <v>47</v>
      </c>
      <c r="B9" s="11" t="s">
        <v>48</v>
      </c>
    </row>
    <row r="10" spans="1:3" x14ac:dyDescent="0.15">
      <c r="A10" s="43" t="s">
        <v>49</v>
      </c>
      <c r="B10" s="48">
        <f>+B11+B12+B13</f>
        <v>644.70000000000005</v>
      </c>
    </row>
    <row r="11" spans="1:3" x14ac:dyDescent="0.15">
      <c r="A11" s="44" t="s">
        <v>78</v>
      </c>
      <c r="B11" s="50">
        <v>-75.599999999999994</v>
      </c>
    </row>
    <row r="12" spans="1:3" x14ac:dyDescent="0.15">
      <c r="A12" s="44" t="s">
        <v>82</v>
      </c>
      <c r="B12" s="50">
        <v>11.3</v>
      </c>
    </row>
    <row r="13" spans="1:3" x14ac:dyDescent="0.15">
      <c r="A13" s="44" t="s">
        <v>65</v>
      </c>
      <c r="B13" s="50">
        <v>709</v>
      </c>
    </row>
    <row r="14" spans="1:3" x14ac:dyDescent="0.15">
      <c r="A14" s="43" t="s">
        <v>50</v>
      </c>
      <c r="B14" s="48">
        <f>+B15+B18</f>
        <v>3588.2000000000003</v>
      </c>
    </row>
    <row r="15" spans="1:3" x14ac:dyDescent="0.15">
      <c r="A15" s="44" t="s">
        <v>64</v>
      </c>
      <c r="B15" s="50">
        <f>+B16+B17</f>
        <v>3333.2000000000003</v>
      </c>
    </row>
    <row r="16" spans="1:3" x14ac:dyDescent="0.15">
      <c r="A16" s="45" t="s">
        <v>66</v>
      </c>
      <c r="B16" s="50">
        <v>645.9</v>
      </c>
    </row>
    <row r="17" spans="1:2" x14ac:dyDescent="0.15">
      <c r="A17" s="45" t="s">
        <v>67</v>
      </c>
      <c r="B17" s="50">
        <v>2687.3</v>
      </c>
    </row>
    <row r="18" spans="1:2" x14ac:dyDescent="0.15">
      <c r="A18" s="44" t="s">
        <v>65</v>
      </c>
      <c r="B18" s="50">
        <f>697.7-442.7</f>
        <v>255.00000000000006</v>
      </c>
    </row>
    <row r="19" spans="1:2" x14ac:dyDescent="0.15">
      <c r="A19" s="43" t="s">
        <v>51</v>
      </c>
      <c r="B19" s="48">
        <f>+B10-B14</f>
        <v>-2943.5</v>
      </c>
    </row>
    <row r="20" spans="1:2" x14ac:dyDescent="0.15">
      <c r="A20" s="43" t="s">
        <v>52</v>
      </c>
      <c r="B20" s="48">
        <v>0</v>
      </c>
    </row>
    <row r="21" spans="1:2" x14ac:dyDescent="0.15">
      <c r="A21" s="43" t="s">
        <v>53</v>
      </c>
      <c r="B21" s="48">
        <f>+B22+B23</f>
        <v>13036.199999999999</v>
      </c>
    </row>
    <row r="22" spans="1:2" x14ac:dyDescent="0.15">
      <c r="A22" s="44" t="s">
        <v>75</v>
      </c>
      <c r="B22" s="50">
        <f>-979.3+11.1</f>
        <v>-968.19999999999993</v>
      </c>
    </row>
    <row r="23" spans="1:2" x14ac:dyDescent="0.15">
      <c r="A23" s="44" t="s">
        <v>76</v>
      </c>
      <c r="B23" s="50">
        <f>330.8+13673.6</f>
        <v>14004.4</v>
      </c>
    </row>
    <row r="24" spans="1:2" x14ac:dyDescent="0.15">
      <c r="A24" s="43" t="s">
        <v>54</v>
      </c>
      <c r="B24" s="48">
        <f>+B10+B20</f>
        <v>644.70000000000005</v>
      </c>
    </row>
    <row r="25" spans="1:2" x14ac:dyDescent="0.15">
      <c r="A25" s="43" t="s">
        <v>55</v>
      </c>
      <c r="B25" s="48">
        <f>+B14+B21</f>
        <v>16624.399999999998</v>
      </c>
    </row>
    <row r="26" spans="1:2" x14ac:dyDescent="0.15">
      <c r="A26" s="43" t="s">
        <v>56</v>
      </c>
      <c r="B26" s="48">
        <f>+B25</f>
        <v>16624.399999999998</v>
      </c>
    </row>
    <row r="27" spans="1:2" x14ac:dyDescent="0.15">
      <c r="A27" s="46" t="s">
        <v>57</v>
      </c>
      <c r="B27" s="51">
        <f>+B24-B25</f>
        <v>-15979.699999999997</v>
      </c>
    </row>
    <row r="28" spans="1:2" x14ac:dyDescent="0.15">
      <c r="A28" s="43" t="s">
        <v>58</v>
      </c>
      <c r="B28" s="48">
        <f>+B24-B26</f>
        <v>-15979.699999999997</v>
      </c>
    </row>
    <row r="29" spans="1:2" x14ac:dyDescent="0.15">
      <c r="A29" s="43" t="s">
        <v>59</v>
      </c>
      <c r="B29" s="48">
        <f>+B30+B31</f>
        <v>12993.699999999999</v>
      </c>
    </row>
    <row r="30" spans="1:2" x14ac:dyDescent="0.15">
      <c r="A30" s="44" t="s">
        <v>83</v>
      </c>
      <c r="B30" s="50">
        <v>37.799999999999997</v>
      </c>
    </row>
    <row r="31" spans="1:2" ht="24" x14ac:dyDescent="0.15">
      <c r="A31" s="44" t="s">
        <v>68</v>
      </c>
      <c r="B31" s="50">
        <v>12955.9</v>
      </c>
    </row>
    <row r="32" spans="1:2" x14ac:dyDescent="0.15">
      <c r="A32" s="43" t="s">
        <v>60</v>
      </c>
      <c r="B32" s="48">
        <f>+B33</f>
        <v>-2986</v>
      </c>
    </row>
    <row r="33" spans="1:2" x14ac:dyDescent="0.15">
      <c r="A33" s="44" t="s">
        <v>63</v>
      </c>
      <c r="B33" s="50">
        <v>-2986</v>
      </c>
    </row>
    <row r="34" spans="1:2" x14ac:dyDescent="0.15">
      <c r="B34" s="47"/>
    </row>
  </sheetData>
  <sheetProtection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5810-F072-4BBD-9379-2E4D414171AF}">
  <dimension ref="A1:C36"/>
  <sheetViews>
    <sheetView workbookViewId="0">
      <selection activeCell="F23" sqref="F23"/>
    </sheetView>
  </sheetViews>
  <sheetFormatPr baseColWidth="10" defaultRowHeight="15" x14ac:dyDescent="0.25"/>
  <cols>
    <col min="1" max="1" width="56.140625" customWidth="1"/>
  </cols>
  <sheetData>
    <row r="1" spans="1:3" x14ac:dyDescent="0.25">
      <c r="A1" s="36" t="s">
        <v>85</v>
      </c>
      <c r="B1" s="36"/>
      <c r="C1" s="37"/>
    </row>
    <row r="2" spans="1:3" x14ac:dyDescent="0.25">
      <c r="A2" s="7" t="s">
        <v>130</v>
      </c>
      <c r="B2" s="38"/>
      <c r="C2" s="38"/>
    </row>
    <row r="3" spans="1:3" x14ac:dyDescent="0.25">
      <c r="A3" s="7" t="s">
        <v>131</v>
      </c>
      <c r="B3" s="38"/>
      <c r="C3" s="38"/>
    </row>
    <row r="4" spans="1:3" x14ac:dyDescent="0.25">
      <c r="A4" s="39" t="s">
        <v>123</v>
      </c>
      <c r="B4" s="38"/>
      <c r="C4" s="38"/>
    </row>
    <row r="5" spans="1:3" x14ac:dyDescent="0.25">
      <c r="A5" s="9"/>
      <c r="B5" s="38"/>
      <c r="C5" s="38"/>
    </row>
    <row r="6" spans="1:3" x14ac:dyDescent="0.25">
      <c r="A6" s="7" t="s">
        <v>62</v>
      </c>
      <c r="B6" s="38"/>
      <c r="C6" s="38"/>
    </row>
    <row r="7" spans="1:3" x14ac:dyDescent="0.25">
      <c r="A7" s="7" t="s">
        <v>124</v>
      </c>
      <c r="B7" s="38"/>
      <c r="C7" s="38"/>
    </row>
    <row r="8" spans="1:3" x14ac:dyDescent="0.25">
      <c r="A8" s="41"/>
      <c r="B8" s="37"/>
      <c r="C8" s="37"/>
    </row>
    <row r="9" spans="1:3" x14ac:dyDescent="0.25">
      <c r="A9" s="11" t="s">
        <v>47</v>
      </c>
      <c r="B9" s="11" t="s">
        <v>48</v>
      </c>
      <c r="C9" s="37"/>
    </row>
    <row r="10" spans="1:3" x14ac:dyDescent="0.25">
      <c r="A10" s="43" t="s">
        <v>49</v>
      </c>
      <c r="B10" s="48">
        <f>+SUM(B11:B13)</f>
        <v>1692.3</v>
      </c>
      <c r="C10" s="37"/>
    </row>
    <row r="11" spans="1:3" x14ac:dyDescent="0.25">
      <c r="A11" s="44" t="s">
        <v>78</v>
      </c>
      <c r="B11" s="50">
        <v>1214.9000000000001</v>
      </c>
      <c r="C11" s="37"/>
    </row>
    <row r="12" spans="1:3" x14ac:dyDescent="0.25">
      <c r="A12" s="44" t="s">
        <v>82</v>
      </c>
      <c r="B12" s="50">
        <v>289.3</v>
      </c>
      <c r="C12" s="37"/>
    </row>
    <row r="13" spans="1:3" x14ac:dyDescent="0.25">
      <c r="A13" s="44" t="s">
        <v>65</v>
      </c>
      <c r="B13" s="50">
        <v>188.1</v>
      </c>
      <c r="C13" s="37"/>
    </row>
    <row r="14" spans="1:3" x14ac:dyDescent="0.25">
      <c r="A14" s="43" t="s">
        <v>50</v>
      </c>
      <c r="B14" s="48">
        <f>+B15+B18+B19</f>
        <v>4370.2363990000003</v>
      </c>
      <c r="C14" s="37"/>
    </row>
    <row r="15" spans="1:3" x14ac:dyDescent="0.25">
      <c r="A15" s="44" t="s">
        <v>64</v>
      </c>
      <c r="B15" s="50">
        <f>+B16+B17</f>
        <v>3600.9363989999997</v>
      </c>
      <c r="C15" s="37"/>
    </row>
    <row r="16" spans="1:3" x14ac:dyDescent="0.25">
      <c r="A16" s="45" t="s">
        <v>66</v>
      </c>
      <c r="B16" s="50">
        <v>-1796.72172</v>
      </c>
      <c r="C16" s="37"/>
    </row>
    <row r="17" spans="1:3" x14ac:dyDescent="0.25">
      <c r="A17" s="45" t="s">
        <v>67</v>
      </c>
      <c r="B17" s="50">
        <v>5397.6581189999997</v>
      </c>
      <c r="C17" s="37"/>
    </row>
    <row r="18" spans="1:3" x14ac:dyDescent="0.25">
      <c r="A18" s="44" t="s">
        <v>65</v>
      </c>
      <c r="B18" s="50">
        <v>726.5</v>
      </c>
      <c r="C18" s="37"/>
    </row>
    <row r="19" spans="1:3" x14ac:dyDescent="0.25">
      <c r="A19" s="44" t="s">
        <v>77</v>
      </c>
      <c r="B19" s="50">
        <v>42.8</v>
      </c>
      <c r="C19" s="37"/>
    </row>
    <row r="20" spans="1:3" x14ac:dyDescent="0.25">
      <c r="A20" s="43" t="s">
        <v>51</v>
      </c>
      <c r="B20" s="48">
        <f>+B10-B14</f>
        <v>-2677.9363990000002</v>
      </c>
      <c r="C20" s="37"/>
    </row>
    <row r="21" spans="1:3" x14ac:dyDescent="0.25">
      <c r="A21" s="43" t="s">
        <v>52</v>
      </c>
      <c r="B21" s="48">
        <f>75.6+13.1</f>
        <v>88.699999999999989</v>
      </c>
      <c r="C21" s="37"/>
    </row>
    <row r="22" spans="1:3" x14ac:dyDescent="0.25">
      <c r="A22" s="43" t="s">
        <v>53</v>
      </c>
      <c r="B22" s="48">
        <f>+B23+B24</f>
        <v>9230.6</v>
      </c>
      <c r="C22" s="37"/>
    </row>
    <row r="23" spans="1:3" x14ac:dyDescent="0.25">
      <c r="A23" s="44" t="s">
        <v>75</v>
      </c>
      <c r="B23" s="50">
        <v>5637.3</v>
      </c>
      <c r="C23" s="37"/>
    </row>
    <row r="24" spans="1:3" x14ac:dyDescent="0.25">
      <c r="A24" s="44" t="s">
        <v>76</v>
      </c>
      <c r="B24" s="50">
        <v>3593.3</v>
      </c>
      <c r="C24" s="37"/>
    </row>
    <row r="25" spans="1:3" x14ac:dyDescent="0.25">
      <c r="A25" s="43" t="s">
        <v>54</v>
      </c>
      <c r="B25" s="48">
        <f>+B10+B21</f>
        <v>1781</v>
      </c>
      <c r="C25" s="37"/>
    </row>
    <row r="26" spans="1:3" x14ac:dyDescent="0.25">
      <c r="A26" s="43" t="s">
        <v>55</v>
      </c>
      <c r="B26" s="48">
        <f>+B14+B22</f>
        <v>13600.836399</v>
      </c>
      <c r="C26" s="37"/>
    </row>
    <row r="27" spans="1:3" x14ac:dyDescent="0.25">
      <c r="A27" s="43" t="s">
        <v>56</v>
      </c>
      <c r="B27" s="48">
        <f>+B26</f>
        <v>13600.836399</v>
      </c>
      <c r="C27" s="37"/>
    </row>
    <row r="28" spans="1:3" x14ac:dyDescent="0.25">
      <c r="A28" s="46" t="s">
        <v>57</v>
      </c>
      <c r="B28" s="51">
        <f>+B25-B26</f>
        <v>-11819.836399</v>
      </c>
      <c r="C28" s="37"/>
    </row>
    <row r="29" spans="1:3" x14ac:dyDescent="0.25">
      <c r="A29" s="43" t="s">
        <v>58</v>
      </c>
      <c r="B29" s="48">
        <f>+B25-B27</f>
        <v>-11819.836399</v>
      </c>
      <c r="C29" s="37"/>
    </row>
    <row r="30" spans="1:3" x14ac:dyDescent="0.25">
      <c r="A30" s="43" t="s">
        <v>59</v>
      </c>
      <c r="B30" s="48">
        <f>+B31+B32</f>
        <v>8439.7000000000007</v>
      </c>
      <c r="C30" s="37"/>
    </row>
    <row r="31" spans="1:3" x14ac:dyDescent="0.25">
      <c r="A31" s="44" t="s">
        <v>83</v>
      </c>
      <c r="B31" s="50">
        <v>3000</v>
      </c>
      <c r="C31" s="37"/>
    </row>
    <row r="32" spans="1:3" x14ac:dyDescent="0.25">
      <c r="A32" s="44" t="s">
        <v>68</v>
      </c>
      <c r="B32" s="50">
        <v>5439.7</v>
      </c>
      <c r="C32" s="37"/>
    </row>
    <row r="33" spans="1:3" x14ac:dyDescent="0.25">
      <c r="A33" s="43" t="s">
        <v>60</v>
      </c>
      <c r="B33" s="48">
        <f>+B34</f>
        <v>-3380.1</v>
      </c>
      <c r="C33" s="37"/>
    </row>
    <row r="34" spans="1:3" x14ac:dyDescent="0.25">
      <c r="A34" s="44" t="s">
        <v>63</v>
      </c>
      <c r="B34" s="50">
        <v>-3380.1</v>
      </c>
      <c r="C34" s="37"/>
    </row>
    <row r="35" spans="1:3" x14ac:dyDescent="0.25">
      <c r="A35" s="37"/>
      <c r="B35" s="47"/>
      <c r="C35" s="37"/>
    </row>
    <row r="36" spans="1:3" x14ac:dyDescent="0.25">
      <c r="A36" s="37"/>
      <c r="B36" s="37"/>
      <c r="C36" s="37"/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479A8-ECDE-45A7-9813-7E2829E0AA16}">
  <dimension ref="A1:F52"/>
  <sheetViews>
    <sheetView topLeftCell="A10" workbookViewId="0">
      <selection activeCell="D17" sqref="D17"/>
    </sheetView>
  </sheetViews>
  <sheetFormatPr baseColWidth="10" defaultRowHeight="15" x14ac:dyDescent="0.25"/>
  <cols>
    <col min="1" max="1" width="47.5703125" style="3" customWidth="1"/>
    <col min="2" max="3" width="19" style="3" bestFit="1" customWidth="1"/>
    <col min="4" max="4" width="17.42578125" style="3" bestFit="1" customWidth="1"/>
    <col min="5" max="6" width="19" style="3" bestFit="1" customWidth="1"/>
    <col min="7" max="7" width="13.7109375" style="3" bestFit="1" customWidth="1"/>
    <col min="8" max="8" width="16.42578125" style="3" bestFit="1" customWidth="1"/>
    <col min="9" max="9" width="17.42578125" style="3" bestFit="1" customWidth="1"/>
    <col min="10" max="16384" width="11.42578125" style="3"/>
  </cols>
  <sheetData>
    <row r="1" spans="1:3" x14ac:dyDescent="0.25">
      <c r="A1" s="36" t="s">
        <v>86</v>
      </c>
      <c r="B1" s="36"/>
    </row>
    <row r="2" spans="1:3" x14ac:dyDescent="0.25">
      <c r="A2" s="7" t="s">
        <v>132</v>
      </c>
      <c r="B2" s="38"/>
    </row>
    <row r="3" spans="1:3" x14ac:dyDescent="0.25">
      <c r="A3" s="7" t="s">
        <v>133</v>
      </c>
      <c r="B3" s="38"/>
    </row>
    <row r="4" spans="1:3" x14ac:dyDescent="0.25">
      <c r="A4" s="39" t="s">
        <v>123</v>
      </c>
      <c r="B4" s="38"/>
    </row>
    <row r="5" spans="1:3" x14ac:dyDescent="0.25">
      <c r="A5" s="9"/>
      <c r="B5" s="38"/>
    </row>
    <row r="6" spans="1:3" x14ac:dyDescent="0.25">
      <c r="A6" s="7" t="s">
        <v>62</v>
      </c>
      <c r="B6" s="38"/>
    </row>
    <row r="7" spans="1:3" x14ac:dyDescent="0.25">
      <c r="A7" s="7" t="s">
        <v>124</v>
      </c>
      <c r="B7" s="38"/>
    </row>
    <row r="8" spans="1:3" x14ac:dyDescent="0.25">
      <c r="A8" s="52"/>
      <c r="B8" s="52"/>
    </row>
    <row r="9" spans="1:3" x14ac:dyDescent="0.25">
      <c r="A9" s="11" t="s">
        <v>47</v>
      </c>
      <c r="B9" s="11" t="s">
        <v>48</v>
      </c>
    </row>
    <row r="10" spans="1:3" x14ac:dyDescent="0.25">
      <c r="A10" s="43" t="s">
        <v>87</v>
      </c>
      <c r="B10" s="48">
        <f>SUM(B13:B16)</f>
        <v>9804.8644940000013</v>
      </c>
      <c r="C10" s="4"/>
    </row>
    <row r="11" spans="1:3" hidden="1" x14ac:dyDescent="0.25">
      <c r="A11" s="44" t="s">
        <v>88</v>
      </c>
      <c r="B11" s="53"/>
    </row>
    <row r="12" spans="1:3" hidden="1" x14ac:dyDescent="0.25">
      <c r="A12" s="44" t="s">
        <v>89</v>
      </c>
      <c r="B12" s="53"/>
    </row>
    <row r="13" spans="1:3" x14ac:dyDescent="0.25">
      <c r="A13" s="44" t="s">
        <v>90</v>
      </c>
      <c r="B13" s="50">
        <f>+[1]soporte2!L9</f>
        <v>744.65830000000005</v>
      </c>
    </row>
    <row r="14" spans="1:3" x14ac:dyDescent="0.25">
      <c r="A14" s="44" t="s">
        <v>91</v>
      </c>
      <c r="B14" s="50">
        <f>+[1]soporte2!L11</f>
        <v>17.545774000000002</v>
      </c>
    </row>
    <row r="15" spans="1:3" x14ac:dyDescent="0.25">
      <c r="A15" s="44" t="s">
        <v>61</v>
      </c>
      <c r="B15" s="50">
        <f>+[1]soporte2!L13</f>
        <v>4100</v>
      </c>
      <c r="C15" s="5"/>
    </row>
    <row r="16" spans="1:3" x14ac:dyDescent="0.25">
      <c r="A16" s="44" t="s">
        <v>65</v>
      </c>
      <c r="B16" s="50">
        <f>+[1]soporte2!L17</f>
        <v>4942.6604200000002</v>
      </c>
      <c r="C16" s="5"/>
    </row>
    <row r="17" spans="1:4" x14ac:dyDescent="0.25">
      <c r="A17" s="43" t="s">
        <v>92</v>
      </c>
      <c r="B17" s="48">
        <f>+B18+B23+B24</f>
        <v>8346.0499560000007</v>
      </c>
      <c r="C17" s="4"/>
      <c r="D17" s="5"/>
    </row>
    <row r="18" spans="1:4" x14ac:dyDescent="0.25">
      <c r="A18" s="44" t="s">
        <v>93</v>
      </c>
      <c r="B18" s="50">
        <f>+SUM(B19:B20)</f>
        <v>-2237.8999979999999</v>
      </c>
      <c r="C18" s="4"/>
      <c r="D18" s="5"/>
    </row>
    <row r="19" spans="1:4" x14ac:dyDescent="0.25">
      <c r="A19" s="54" t="s">
        <v>94</v>
      </c>
      <c r="B19" s="50">
        <v>-5175.317591</v>
      </c>
      <c r="C19" s="5"/>
    </row>
    <row r="20" spans="1:4" x14ac:dyDescent="0.25">
      <c r="A20" s="54" t="s">
        <v>67</v>
      </c>
      <c r="B20" s="50">
        <v>2937.4175930000001</v>
      </c>
    </row>
    <row r="21" spans="1:4" hidden="1" x14ac:dyDescent="0.25">
      <c r="A21" s="44" t="s">
        <v>95</v>
      </c>
      <c r="B21" s="50"/>
    </row>
    <row r="22" spans="1:4" hidden="1" x14ac:dyDescent="0.25">
      <c r="A22" s="44" t="s">
        <v>96</v>
      </c>
      <c r="B22" s="50"/>
    </row>
    <row r="23" spans="1:4" x14ac:dyDescent="0.25">
      <c r="A23" s="44" t="s">
        <v>65</v>
      </c>
      <c r="B23" s="50">
        <f>+[1]soporte2!B34</f>
        <v>10582.870253999999</v>
      </c>
    </row>
    <row r="24" spans="1:4" x14ac:dyDescent="0.25">
      <c r="A24" s="44" t="s">
        <v>97</v>
      </c>
      <c r="B24" s="50">
        <v>1.0797000000002299</v>
      </c>
    </row>
    <row r="25" spans="1:4" x14ac:dyDescent="0.25">
      <c r="A25" s="43" t="s">
        <v>98</v>
      </c>
      <c r="B25" s="48">
        <f>+B10-B17</f>
        <v>1458.8145380000005</v>
      </c>
    </row>
    <row r="26" spans="1:4" x14ac:dyDescent="0.25">
      <c r="A26" s="43" t="s">
        <v>99</v>
      </c>
      <c r="B26" s="48">
        <f>+B28</f>
        <v>480.5</v>
      </c>
      <c r="C26" s="4"/>
    </row>
    <row r="27" spans="1:4" hidden="1" x14ac:dyDescent="0.25">
      <c r="A27" s="44" t="s">
        <v>100</v>
      </c>
      <c r="B27" s="50"/>
    </row>
    <row r="28" spans="1:4" x14ac:dyDescent="0.25">
      <c r="A28" s="44" t="s">
        <v>101</v>
      </c>
      <c r="B28" s="50">
        <v>480.5</v>
      </c>
    </row>
    <row r="29" spans="1:4" hidden="1" x14ac:dyDescent="0.25">
      <c r="A29" s="44" t="s">
        <v>102</v>
      </c>
      <c r="B29" s="50"/>
    </row>
    <row r="30" spans="1:4" x14ac:dyDescent="0.25">
      <c r="A30" s="43" t="s">
        <v>103</v>
      </c>
      <c r="B30" s="48">
        <f>+B31+B32+B33</f>
        <v>9413.8763209999997</v>
      </c>
      <c r="C30" s="4"/>
    </row>
    <row r="31" spans="1:4" x14ac:dyDescent="0.25">
      <c r="A31" s="44" t="s">
        <v>75</v>
      </c>
      <c r="B31" s="50">
        <v>8863.9518489999991</v>
      </c>
    </row>
    <row r="32" spans="1:4" x14ac:dyDescent="0.25">
      <c r="A32" s="44" t="s">
        <v>101</v>
      </c>
      <c r="B32" s="50">
        <v>549.92447200000004</v>
      </c>
    </row>
    <row r="33" spans="1:6" hidden="1" x14ac:dyDescent="0.25">
      <c r="A33" s="44" t="s">
        <v>63</v>
      </c>
      <c r="B33" s="50"/>
    </row>
    <row r="34" spans="1:6" x14ac:dyDescent="0.25">
      <c r="A34" s="43" t="s">
        <v>104</v>
      </c>
      <c r="B34" s="48">
        <f>+B10+B26</f>
        <v>10285.364494000001</v>
      </c>
      <c r="C34" s="4"/>
    </row>
    <row r="35" spans="1:6" x14ac:dyDescent="0.25">
      <c r="A35" s="43" t="s">
        <v>105</v>
      </c>
      <c r="B35" s="48">
        <f>+B17+B30</f>
        <v>17759.926276999999</v>
      </c>
      <c r="C35" s="4"/>
    </row>
    <row r="36" spans="1:6" x14ac:dyDescent="0.25">
      <c r="A36" s="43" t="s">
        <v>106</v>
      </c>
      <c r="B36" s="48">
        <f>+B35-B21</f>
        <v>17759.926276999999</v>
      </c>
      <c r="C36" s="4"/>
    </row>
    <row r="37" spans="1:6" x14ac:dyDescent="0.25">
      <c r="A37" s="46" t="s">
        <v>57</v>
      </c>
      <c r="B37" s="51">
        <f>+B34-B35</f>
        <v>-7474.5617829999974</v>
      </c>
    </row>
    <row r="38" spans="1:6" x14ac:dyDescent="0.25">
      <c r="A38" s="43" t="s">
        <v>58</v>
      </c>
      <c r="B38" s="48">
        <f>+B34-B36</f>
        <v>-7474.5617829999974</v>
      </c>
    </row>
    <row r="39" spans="1:6" x14ac:dyDescent="0.25">
      <c r="A39" s="43" t="s">
        <v>59</v>
      </c>
      <c r="B39" s="48">
        <f>+B41</f>
        <v>9464</v>
      </c>
    </row>
    <row r="40" spans="1:6" hidden="1" x14ac:dyDescent="0.25">
      <c r="A40" s="44" t="s">
        <v>83</v>
      </c>
      <c r="B40" s="50"/>
    </row>
    <row r="41" spans="1:6" ht="24" x14ac:dyDescent="0.25">
      <c r="A41" s="44" t="s">
        <v>68</v>
      </c>
      <c r="B41" s="50">
        <v>9464</v>
      </c>
    </row>
    <row r="42" spans="1:6" x14ac:dyDescent="0.25">
      <c r="A42" s="43" t="s">
        <v>60</v>
      </c>
      <c r="B42" s="48">
        <f>+B43</f>
        <v>1989.4183059999996</v>
      </c>
    </row>
    <row r="43" spans="1:6" x14ac:dyDescent="0.25">
      <c r="A43" s="44" t="s">
        <v>63</v>
      </c>
      <c r="B43" s="50">
        <v>1989.4183059999996</v>
      </c>
    </row>
    <row r="44" spans="1:6" ht="25.5" hidden="1" x14ac:dyDescent="0.25">
      <c r="A44" s="1" t="s">
        <v>69</v>
      </c>
      <c r="B44" s="2"/>
    </row>
    <row r="45" spans="1:6" x14ac:dyDescent="0.25">
      <c r="B45" s="6"/>
    </row>
    <row r="46" spans="1:6" x14ac:dyDescent="0.25">
      <c r="B46" s="6"/>
    </row>
    <row r="47" spans="1:6" x14ac:dyDescent="0.25">
      <c r="C47" s="6"/>
      <c r="D47" s="6"/>
      <c r="E47" s="6"/>
      <c r="F47" s="6"/>
    </row>
    <row r="48" spans="1:6" x14ac:dyDescent="0.25">
      <c r="B48" s="6"/>
    </row>
    <row r="49" spans="2:3" x14ac:dyDescent="0.25">
      <c r="B49" s="6"/>
    </row>
    <row r="51" spans="2:3" x14ac:dyDescent="0.25">
      <c r="B51" s="6"/>
      <c r="C51" s="6"/>
    </row>
    <row r="52" spans="2:3" x14ac:dyDescent="0.25">
      <c r="B52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C.1 - Cuadro resumen AIF</vt:lpstr>
      <vt:lpstr>C.2 - Económico</vt:lpstr>
      <vt:lpstr>C.3 - Finalidad</vt:lpstr>
      <vt:lpstr>C.4 - Jurisdicción</vt:lpstr>
      <vt:lpstr>DNU 193</vt:lpstr>
      <vt:lpstr>DA 194</vt:lpstr>
      <vt:lpstr>DA 288</vt:lpstr>
      <vt:lpstr>DA 398</vt:lpstr>
      <vt:lpstr>DA 567</vt:lpstr>
      <vt:lpstr>DA 732</vt:lpstr>
      <vt:lpstr>DNU 668</vt:lpstr>
      <vt:lpstr>DA 847</vt:lpstr>
      <vt:lpstr>DNU 740</vt:lpstr>
      <vt:lpstr>DA 961</vt:lpstr>
      <vt:lpstr>DA 1</vt:lpstr>
      <vt:lpstr>DA 2</vt:lpstr>
      <vt:lpstr>DA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2018-04-18T16:10:09Z</dcterms:created>
  <dcterms:modified xsi:type="dcterms:W3CDTF">2020-11-12T14:17:35Z</dcterms:modified>
</cp:coreProperties>
</file>