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pc1\Nextcloud2\DASDP\Deuda pública\Reestructuraciones y acuerdos\Reestructuración 2020\Informes OPC\"/>
    </mc:Choice>
  </mc:AlternateContent>
  <xr:revisionPtr revIDLastSave="0" documentId="13_ncr:1_{D46ECCAA-23CA-45C7-BA36-C3A8FFF8A4F8}" xr6:coauthVersionLast="44" xr6:coauthVersionMax="45" xr10:uidLastSave="{00000000-0000-0000-0000-000000000000}"/>
  <bookViews>
    <workbookView xWindow="-120" yWindow="-120" windowWidth="20730" windowHeight="11160" tabRatio="797" xr2:uid="{00000000-000D-0000-FFFF-FFFF00000000}"/>
  </bookViews>
  <sheets>
    <sheet name="Nota" sheetId="20" r:id="rId1"/>
    <sheet name="Resumen" sheetId="8" r:id="rId2"/>
    <sheet name="Perfil nuevos" sheetId="9" r:id="rId3"/>
    <sheet name="Intereses corridos" sheetId="5" r:id="rId4"/>
    <sheet name="Argen III - Nuevos Bonos 100VN" sheetId="10" r:id="rId5"/>
    <sheet name="Argentina III - Nuevos Bonos" sheetId="11" r:id="rId6"/>
    <sheet name="Argentina III - Canje optimo" sheetId="12" r:id="rId7"/>
    <sheet name="Argentina III - Valor propuesta" sheetId="13" r:id="rId8"/>
    <sheet name="AHBG-EBG Nuevos Bonos 100VN" sheetId="14" r:id="rId9"/>
    <sheet name="AHBG-EBG Nuevos Bonos" sheetId="15" r:id="rId10"/>
    <sheet name="AHBG-EBG Canje optimo" sheetId="17" r:id="rId11"/>
    <sheet name="AHBG-EBG Valor propuesta" sheetId="18" r:id="rId12"/>
    <sheet name="BG - Nuevos Bonos 100VN" sheetId="3" r:id="rId13"/>
    <sheet name="BG - Nuevos Bonos" sheetId="4" r:id="rId14"/>
    <sheet name="BG - Canje optimo" sheetId="6" r:id="rId15"/>
    <sheet name="BG - Valor propuesta" sheetId="7" r:id="rId16"/>
    <sheet name="Cupones promedio" sheetId="19" r:id="rId17"/>
  </sheets>
  <externalReferences>
    <externalReference r:id="rId18"/>
    <externalReference r:id="rId19"/>
  </externalReferences>
  <definedNames>
    <definedName name="_xlnm._FilterDatabase" localSheetId="10" hidden="1">'AHBG-EBG Canje optimo'!$A$5:$R$5</definedName>
    <definedName name="_xlnm._FilterDatabase" localSheetId="6" hidden="1">'Argentina III - Canje optimo'!$A$5:$O$5</definedName>
    <definedName name="_xlnm._FilterDatabase" localSheetId="7" hidden="1">'Argentina III - Valor propuesta'!$J$19:$K$24</definedName>
    <definedName name="_xlnm._FilterDatabase" localSheetId="14" hidden="1">'BG - Canje optimo'!$A$5:$P$5</definedName>
    <definedName name="_Order1" hidden="1">255</definedName>
    <definedName name="_Order2" hidden="1">255</definedName>
    <definedName name="ACwvu.PLA2." hidden="1">'[1]COP FED'!$A$1:$N$49</definedName>
    <definedName name="Swvu.PLA2." hidden="1">'[1]COP FED'!$A$1:$N$49</definedName>
    <definedName name="Z_0C2BA18A_21C0_43A0_BA72_AEF5075BA836_.wvu.Cols" hidden="1">'[2]Prog. Fin.'!$E:$E,'[2]Prog. Fin.'!$I:$J,'[2]Prog. Fin.'!$N:$N,'[2]Prog. Fin.'!$R:$S</definedName>
    <definedName name="Z_0C2BA18A_21C0_43A0_BA72_AEF5075BA836_.wvu.Rows" hidden="1">'[2]Prog. Fin.'!$9:$14,'[2]Prog. Fin.'!$17:$26,'[2]Prog. Fin.'!$31:$33,'[2]Prog. Fin.'!$40:$41,'[2]Prog. Fin.'!$44:$46,'[2]Prog. Fin.'!$81:$83,'[2]Prog. Fin.'!$157:$159</definedName>
    <definedName name="Z_AB0CFEEA_4F19_4F6A_9BEA_953016B5C36F_.wvu.Cols" hidden="1">'[2]Prog. Fin.'!$E:$E,'[2]Prog. Fin.'!$I:$J,'[2]Prog. Fin.'!$N:$N,'[2]Prog. Fin.'!$R:$S</definedName>
    <definedName name="Z_AB0CFEEA_4F19_4F6A_9BEA_953016B5C36F_.wvu.Rows" hidden="1">'[2]Prog. Fin.'!$9:$14,'[2]Prog. Fin.'!$17:$26,'[2]Prog. Fin.'!$31:$33,'[2]Prog. Fin.'!$40:$41,'[2]Prog. Fin.'!$44:$46,'[2]Prog. Fin.'!$81:$83,'[2]Prog. Fin.'!$157:$159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2" l="1"/>
  <c r="BI1172" i="19" l="1"/>
  <c r="BI1171" i="19"/>
  <c r="BI1170" i="19"/>
  <c r="BI1169" i="19"/>
  <c r="BI1168" i="19"/>
  <c r="BI1167" i="19"/>
  <c r="BI1166" i="19"/>
  <c r="BI1165" i="19"/>
  <c r="BI1164" i="19"/>
  <c r="BI1163" i="19"/>
  <c r="BI1162" i="19"/>
  <c r="BI1161" i="19"/>
  <c r="BI1160" i="19"/>
  <c r="BI1159" i="19"/>
  <c r="BI1158" i="19"/>
  <c r="BI1157" i="19"/>
  <c r="BI1156" i="19"/>
  <c r="BI1155" i="19"/>
  <c r="BI1154" i="19"/>
  <c r="BI1153" i="19"/>
  <c r="BI1152" i="19"/>
  <c r="BI1151" i="19"/>
  <c r="BI1150" i="19"/>
  <c r="BI1149" i="19"/>
  <c r="BI1148" i="19"/>
  <c r="BI1147" i="19"/>
  <c r="BI1146" i="19"/>
  <c r="BI1145" i="19"/>
  <c r="BI1144" i="19"/>
  <c r="BI1143" i="19"/>
  <c r="BI1142" i="19"/>
  <c r="BI1141" i="19"/>
  <c r="BI1140" i="19"/>
  <c r="BI1139" i="19"/>
  <c r="BI1138" i="19"/>
  <c r="BI1137" i="19"/>
  <c r="BI1136" i="19"/>
  <c r="BI1135" i="19"/>
  <c r="BI1134" i="19"/>
  <c r="BI1133" i="19"/>
  <c r="BI1132" i="19"/>
  <c r="BI1131" i="19"/>
  <c r="BI1130" i="19"/>
  <c r="BI1129" i="19"/>
  <c r="BI1128" i="19"/>
  <c r="BI1127" i="19"/>
  <c r="BI1126" i="19"/>
  <c r="BI1125" i="19"/>
  <c r="BI1124" i="19"/>
  <c r="BI1123" i="19"/>
  <c r="BI1122" i="19"/>
  <c r="BI1121" i="19"/>
  <c r="BI1120" i="19"/>
  <c r="BI1119" i="19"/>
  <c r="BI1118" i="19"/>
  <c r="BI1117" i="19"/>
  <c r="BI1116" i="19"/>
  <c r="BI1115" i="19"/>
  <c r="BI1114" i="19"/>
  <c r="BI1113" i="19"/>
  <c r="BI1112" i="19"/>
  <c r="BI1111" i="19"/>
  <c r="BI1110" i="19"/>
  <c r="BI1109" i="19"/>
  <c r="BI1108" i="19"/>
  <c r="BI1107" i="19"/>
  <c r="BI1106" i="19"/>
  <c r="BI1105" i="19"/>
  <c r="BI1104" i="19"/>
  <c r="BI1103" i="19"/>
  <c r="BI1102" i="19"/>
  <c r="BI1101" i="19"/>
  <c r="BI1100" i="19"/>
  <c r="BI1099" i="19"/>
  <c r="BI1098" i="19"/>
  <c r="BI1097" i="19"/>
  <c r="BI1096" i="19"/>
  <c r="BI1095" i="19"/>
  <c r="BI1094" i="19"/>
  <c r="BI1093" i="19"/>
  <c r="BI1092" i="19"/>
  <c r="BI1091" i="19"/>
  <c r="BI1090" i="19"/>
  <c r="BI1089" i="19"/>
  <c r="BI1088" i="19"/>
  <c r="BI1087" i="19"/>
  <c r="BI1086" i="19"/>
  <c r="BI1085" i="19"/>
  <c r="BI1084" i="19"/>
  <c r="BI1083" i="19"/>
  <c r="BI1082" i="19"/>
  <c r="BI1081" i="19"/>
  <c r="BI1080" i="19"/>
  <c r="BI1079" i="19"/>
  <c r="BI1078" i="19"/>
  <c r="BI1077" i="19"/>
  <c r="BI1076" i="19"/>
  <c r="BI1075" i="19"/>
  <c r="BI1074" i="19"/>
  <c r="BI1073" i="19"/>
  <c r="BI1072" i="19"/>
  <c r="BI1071" i="19"/>
  <c r="BI1070" i="19"/>
  <c r="BI1069" i="19"/>
  <c r="BI1068" i="19"/>
  <c r="BI1067" i="19"/>
  <c r="BI1066" i="19"/>
  <c r="BI1065" i="19"/>
  <c r="BI1064" i="19"/>
  <c r="BI1063" i="19"/>
  <c r="BI1062" i="19"/>
  <c r="BI1061" i="19"/>
  <c r="BI1060" i="19"/>
  <c r="BI1059" i="19"/>
  <c r="BI1058" i="19"/>
  <c r="BI1057" i="19"/>
  <c r="BI1056" i="19"/>
  <c r="BI1055" i="19"/>
  <c r="BI1054" i="19"/>
  <c r="BI1053" i="19"/>
  <c r="BI1052" i="19"/>
  <c r="BI1051" i="19"/>
  <c r="BI1050" i="19"/>
  <c r="BI1049" i="19"/>
  <c r="BI1048" i="19"/>
  <c r="BI1047" i="19"/>
  <c r="BI1046" i="19"/>
  <c r="BI1045" i="19"/>
  <c r="BI1044" i="19"/>
  <c r="BI1043" i="19"/>
  <c r="BI1042" i="19"/>
  <c r="BI1041" i="19"/>
  <c r="BI1040" i="19"/>
  <c r="BI1039" i="19"/>
  <c r="BI1038" i="19"/>
  <c r="BI1037" i="19"/>
  <c r="BI1036" i="19"/>
  <c r="BI1035" i="19"/>
  <c r="BI1034" i="19"/>
  <c r="BI1033" i="19"/>
  <c r="BI1032" i="19"/>
  <c r="BI1031" i="19"/>
  <c r="BI1030" i="19"/>
  <c r="BI1029" i="19"/>
  <c r="BI1028" i="19"/>
  <c r="BI1027" i="19"/>
  <c r="BI1026" i="19"/>
  <c r="BI1025" i="19"/>
  <c r="BI1024" i="19"/>
  <c r="BI1023" i="19"/>
  <c r="BI1022" i="19"/>
  <c r="BI1021" i="19"/>
  <c r="BI1020" i="19"/>
  <c r="BI1019" i="19"/>
  <c r="BI1018" i="19"/>
  <c r="BI1017" i="19"/>
  <c r="BI1016" i="19"/>
  <c r="BI1015" i="19"/>
  <c r="BI1014" i="19"/>
  <c r="BI1013" i="19"/>
  <c r="BI1012" i="19"/>
  <c r="BI1011" i="19"/>
  <c r="BI1010" i="19"/>
  <c r="BI1009" i="19"/>
  <c r="BI1008" i="19"/>
  <c r="BI1007" i="19"/>
  <c r="BI1006" i="19"/>
  <c r="BI1005" i="19"/>
  <c r="BI1004" i="19"/>
  <c r="BI1003" i="19"/>
  <c r="BI1002" i="19"/>
  <c r="BI1001" i="19"/>
  <c r="BI1000" i="19"/>
  <c r="BI999" i="19"/>
  <c r="BI998" i="19"/>
  <c r="BI997" i="19"/>
  <c r="BI996" i="19"/>
  <c r="BI995" i="19"/>
  <c r="BI994" i="19"/>
  <c r="BI993" i="19"/>
  <c r="BI992" i="19"/>
  <c r="BI991" i="19"/>
  <c r="BI990" i="19"/>
  <c r="BI989" i="19"/>
  <c r="BI988" i="19"/>
  <c r="BI987" i="19"/>
  <c r="BI986" i="19"/>
  <c r="BI985" i="19"/>
  <c r="BI984" i="19"/>
  <c r="BI983" i="19"/>
  <c r="BI982" i="19"/>
  <c r="BI981" i="19"/>
  <c r="BI980" i="19"/>
  <c r="BI979" i="19"/>
  <c r="BI978" i="19"/>
  <c r="BI977" i="19"/>
  <c r="BI976" i="19"/>
  <c r="BI975" i="19"/>
  <c r="BI974" i="19"/>
  <c r="BI973" i="19"/>
  <c r="BI972" i="19"/>
  <c r="BI971" i="19"/>
  <c r="BI970" i="19"/>
  <c r="BI969" i="19"/>
  <c r="BI968" i="19"/>
  <c r="BI967" i="19"/>
  <c r="BI966" i="19"/>
  <c r="BI965" i="19"/>
  <c r="BI964" i="19"/>
  <c r="BI963" i="19"/>
  <c r="BI962" i="19"/>
  <c r="BI961" i="19"/>
  <c r="BI960" i="19"/>
  <c r="BI959" i="19"/>
  <c r="BI958" i="19"/>
  <c r="BI957" i="19"/>
  <c r="BI956" i="19"/>
  <c r="BI955" i="19"/>
  <c r="BI954" i="19"/>
  <c r="BI953" i="19"/>
  <c r="BI952" i="19"/>
  <c r="BI951" i="19"/>
  <c r="BI950" i="19"/>
  <c r="BI949" i="19"/>
  <c r="BI948" i="19"/>
  <c r="BI947" i="19"/>
  <c r="BI946" i="19"/>
  <c r="BI945" i="19"/>
  <c r="BI944" i="19"/>
  <c r="BI943" i="19"/>
  <c r="BI942" i="19"/>
  <c r="BI941" i="19"/>
  <c r="BI940" i="19"/>
  <c r="BI939" i="19"/>
  <c r="BI938" i="19"/>
  <c r="BI937" i="19"/>
  <c r="BI936" i="19"/>
  <c r="BI935" i="19"/>
  <c r="BI934" i="19"/>
  <c r="BI933" i="19"/>
  <c r="BI932" i="19"/>
  <c r="BI931" i="19"/>
  <c r="BI930" i="19"/>
  <c r="BI929" i="19"/>
  <c r="BI928" i="19"/>
  <c r="BI927" i="19"/>
  <c r="BI926" i="19"/>
  <c r="BI925" i="19"/>
  <c r="BI924" i="19"/>
  <c r="BI923" i="19"/>
  <c r="BI922" i="19"/>
  <c r="BI921" i="19"/>
  <c r="BI920" i="19"/>
  <c r="BI919" i="19"/>
  <c r="BI918" i="19"/>
  <c r="BI917" i="19"/>
  <c r="BI916" i="19"/>
  <c r="BI915" i="19"/>
  <c r="BI914" i="19"/>
  <c r="BI913" i="19"/>
  <c r="BI912" i="19"/>
  <c r="BI911" i="19"/>
  <c r="BI910" i="19"/>
  <c r="BI909" i="19"/>
  <c r="BI908" i="19"/>
  <c r="BI907" i="19"/>
  <c r="BI906" i="19"/>
  <c r="BI905" i="19"/>
  <c r="BI904" i="19"/>
  <c r="BI903" i="19"/>
  <c r="BI902" i="19"/>
  <c r="BI901" i="19"/>
  <c r="BI900" i="19"/>
  <c r="BI899" i="19"/>
  <c r="BI898" i="19"/>
  <c r="BI897" i="19"/>
  <c r="BI896" i="19"/>
  <c r="BI895" i="19"/>
  <c r="BI894" i="19"/>
  <c r="BI893" i="19"/>
  <c r="BI892" i="19"/>
  <c r="BI891" i="19"/>
  <c r="BI890" i="19"/>
  <c r="BI889" i="19"/>
  <c r="BI888" i="19"/>
  <c r="BI887" i="19"/>
  <c r="BI886" i="19"/>
  <c r="BI885" i="19"/>
  <c r="BI884" i="19"/>
  <c r="BI883" i="19"/>
  <c r="BI882" i="19"/>
  <c r="BI881" i="19"/>
  <c r="BI880" i="19"/>
  <c r="BI879" i="19"/>
  <c r="BI878" i="19"/>
  <c r="BI877" i="19"/>
  <c r="BI876" i="19"/>
  <c r="BI875" i="19"/>
  <c r="BI874" i="19"/>
  <c r="BI873" i="19"/>
  <c r="BI872" i="19"/>
  <c r="BI871" i="19"/>
  <c r="BI870" i="19"/>
  <c r="BI869" i="19"/>
  <c r="BI868" i="19"/>
  <c r="BI867" i="19"/>
  <c r="BI866" i="19"/>
  <c r="BI865" i="19"/>
  <c r="BI864" i="19"/>
  <c r="BI863" i="19"/>
  <c r="BI862" i="19"/>
  <c r="BI861" i="19"/>
  <c r="BI860" i="19"/>
  <c r="BI859" i="19"/>
  <c r="BI858" i="19"/>
  <c r="BI857" i="19"/>
  <c r="BI856" i="19"/>
  <c r="BI855" i="19"/>
  <c r="BI854" i="19"/>
  <c r="BI853" i="19"/>
  <c r="BI852" i="19"/>
  <c r="BI851" i="19"/>
  <c r="BI850" i="19"/>
  <c r="BI849" i="19"/>
  <c r="BI848" i="19"/>
  <c r="BI847" i="19"/>
  <c r="BI846" i="19"/>
  <c r="BI845" i="19"/>
  <c r="BI844" i="19"/>
  <c r="BI843" i="19"/>
  <c r="BI842" i="19"/>
  <c r="BI841" i="19"/>
  <c r="BI840" i="19"/>
  <c r="BI839" i="19"/>
  <c r="BI838" i="19"/>
  <c r="BI837" i="19"/>
  <c r="BI836" i="19"/>
  <c r="BI835" i="19"/>
  <c r="BI834" i="19"/>
  <c r="BI833" i="19"/>
  <c r="BI832" i="19"/>
  <c r="BI831" i="19"/>
  <c r="BI830" i="19"/>
  <c r="BI829" i="19"/>
  <c r="BI828" i="19"/>
  <c r="BI827" i="19"/>
  <c r="BI826" i="19"/>
  <c r="BI825" i="19"/>
  <c r="BI824" i="19"/>
  <c r="BI823" i="19"/>
  <c r="BI822" i="19"/>
  <c r="BI821" i="19"/>
  <c r="BI820" i="19"/>
  <c r="BI819" i="19"/>
  <c r="BI818" i="19"/>
  <c r="BI817" i="19"/>
  <c r="BI816" i="19"/>
  <c r="BI815" i="19"/>
  <c r="BI814" i="19"/>
  <c r="BI813" i="19"/>
  <c r="BI812" i="19"/>
  <c r="BI811" i="19"/>
  <c r="BI810" i="19"/>
  <c r="BI809" i="19"/>
  <c r="BI808" i="19"/>
  <c r="BI807" i="19"/>
  <c r="BI806" i="19"/>
  <c r="BI805" i="19"/>
  <c r="BI804" i="19"/>
  <c r="BI803" i="19"/>
  <c r="BI802" i="19"/>
  <c r="BI801" i="19"/>
  <c r="BI800" i="19"/>
  <c r="BI799" i="19"/>
  <c r="BI798" i="19"/>
  <c r="BI797" i="19"/>
  <c r="BI796" i="19"/>
  <c r="BI795" i="19"/>
  <c r="BI794" i="19"/>
  <c r="BI793" i="19"/>
  <c r="BI792" i="19"/>
  <c r="BI791" i="19"/>
  <c r="BI790" i="19"/>
  <c r="BI789" i="19"/>
  <c r="BI788" i="19"/>
  <c r="BI787" i="19"/>
  <c r="BI786" i="19"/>
  <c r="BI785" i="19"/>
  <c r="BI784" i="19"/>
  <c r="BI783" i="19"/>
  <c r="BI782" i="19"/>
  <c r="BI781" i="19"/>
  <c r="BI780" i="19"/>
  <c r="BI779" i="19"/>
  <c r="BI778" i="19"/>
  <c r="BI777" i="19"/>
  <c r="BI776" i="19"/>
  <c r="BI775" i="19"/>
  <c r="BI774" i="19"/>
  <c r="BI773" i="19"/>
  <c r="BI772" i="19"/>
  <c r="BI771" i="19"/>
  <c r="BI770" i="19"/>
  <c r="BI769" i="19"/>
  <c r="BI768" i="19"/>
  <c r="BI767" i="19"/>
  <c r="BI766" i="19"/>
  <c r="BI765" i="19"/>
  <c r="BI764" i="19"/>
  <c r="BI763" i="19"/>
  <c r="BI762" i="19"/>
  <c r="BI761" i="19"/>
  <c r="BI760" i="19"/>
  <c r="BI759" i="19"/>
  <c r="BI758" i="19"/>
  <c r="BI757" i="19"/>
  <c r="BI756" i="19"/>
  <c r="BI755" i="19"/>
  <c r="BI754" i="19"/>
  <c r="BI753" i="19"/>
  <c r="BI752" i="19"/>
  <c r="BI751" i="19"/>
  <c r="BI750" i="19"/>
  <c r="BI749" i="19"/>
  <c r="BI748" i="19"/>
  <c r="BI747" i="19"/>
  <c r="BI746" i="19"/>
  <c r="BI745" i="19"/>
  <c r="BI744" i="19"/>
  <c r="BI743" i="19"/>
  <c r="BI742" i="19"/>
  <c r="BI741" i="19"/>
  <c r="BI740" i="19"/>
  <c r="BI739" i="19"/>
  <c r="BI738" i="19"/>
  <c r="BI737" i="19"/>
  <c r="BI736" i="19"/>
  <c r="BI735" i="19"/>
  <c r="BI734" i="19"/>
  <c r="BI733" i="19"/>
  <c r="BI732" i="19"/>
  <c r="BI731" i="19"/>
  <c r="BI730" i="19"/>
  <c r="BI729" i="19"/>
  <c r="BI728" i="19"/>
  <c r="BI727" i="19"/>
  <c r="BI726" i="19"/>
  <c r="BI725" i="19"/>
  <c r="BI724" i="19"/>
  <c r="BI723" i="19"/>
  <c r="BI722" i="19"/>
  <c r="BI721" i="19"/>
  <c r="BI720" i="19"/>
  <c r="BI719" i="19"/>
  <c r="BI718" i="19"/>
  <c r="BI717" i="19"/>
  <c r="BI716" i="19"/>
  <c r="BI715" i="19"/>
  <c r="BI714" i="19"/>
  <c r="BI713" i="19"/>
  <c r="BI712" i="19"/>
  <c r="BI711" i="19"/>
  <c r="BI710" i="19"/>
  <c r="BI709" i="19"/>
  <c r="BI708" i="19"/>
  <c r="BI707" i="19"/>
  <c r="BI706" i="19"/>
  <c r="BI705" i="19"/>
  <c r="BI704" i="19"/>
  <c r="BI703" i="19"/>
  <c r="BI702" i="19"/>
  <c r="BI701" i="19"/>
  <c r="BI700" i="19"/>
  <c r="BI699" i="19"/>
  <c r="BI698" i="19"/>
  <c r="BI697" i="19"/>
  <c r="BI696" i="19"/>
  <c r="BI695" i="19"/>
  <c r="BI694" i="19"/>
  <c r="BI693" i="19"/>
  <c r="BI692" i="19"/>
  <c r="BI691" i="19"/>
  <c r="BI690" i="19"/>
  <c r="BI689" i="19"/>
  <c r="BI688" i="19"/>
  <c r="BI687" i="19"/>
  <c r="BI686" i="19"/>
  <c r="BI685" i="19"/>
  <c r="BI684" i="19"/>
  <c r="BI683" i="19"/>
  <c r="BI682" i="19"/>
  <c r="BI681" i="19"/>
  <c r="BI680" i="19"/>
  <c r="BI679" i="19"/>
  <c r="BI678" i="19"/>
  <c r="BI677" i="19"/>
  <c r="BI676" i="19"/>
  <c r="BI675" i="19"/>
  <c r="BI674" i="19"/>
  <c r="BI673" i="19"/>
  <c r="BI672" i="19"/>
  <c r="BI671" i="19"/>
  <c r="BI670" i="19"/>
  <c r="BI669" i="19"/>
  <c r="BI668" i="19"/>
  <c r="BI667" i="19"/>
  <c r="BI666" i="19"/>
  <c r="BI665" i="19"/>
  <c r="BI664" i="19"/>
  <c r="BI663" i="19"/>
  <c r="BI662" i="19"/>
  <c r="BI661" i="19"/>
  <c r="BI660" i="19"/>
  <c r="BI659" i="19"/>
  <c r="BI658" i="19"/>
  <c r="BI657" i="19"/>
  <c r="BI656" i="19"/>
  <c r="BI655" i="19"/>
  <c r="BI654" i="19"/>
  <c r="BI653" i="19"/>
  <c r="BI652" i="19"/>
  <c r="BI651" i="19"/>
  <c r="BI650" i="19"/>
  <c r="BI649" i="19"/>
  <c r="BI648" i="19"/>
  <c r="BI647" i="19"/>
  <c r="BI646" i="19"/>
  <c r="BI645" i="19"/>
  <c r="BI644" i="19"/>
  <c r="BI643" i="19"/>
  <c r="BI642" i="19"/>
  <c r="BI641" i="19"/>
  <c r="BI640" i="19"/>
  <c r="BI639" i="19"/>
  <c r="BI638" i="19"/>
  <c r="BI637" i="19"/>
  <c r="BI636" i="19"/>
  <c r="BI635" i="19"/>
  <c r="BI634" i="19"/>
  <c r="BI633" i="19"/>
  <c r="BI632" i="19"/>
  <c r="BI631" i="19"/>
  <c r="BI630" i="19"/>
  <c r="BI629" i="19"/>
  <c r="BI628" i="19"/>
  <c r="BI627" i="19"/>
  <c r="BI626" i="19"/>
  <c r="BI625" i="19"/>
  <c r="BI624" i="19"/>
  <c r="BI623" i="19"/>
  <c r="BI622" i="19"/>
  <c r="BI621" i="19"/>
  <c r="BI620" i="19"/>
  <c r="BI619" i="19"/>
  <c r="BI618" i="19"/>
  <c r="BI617" i="19"/>
  <c r="BI616" i="19"/>
  <c r="BI615" i="19"/>
  <c r="BI614" i="19"/>
  <c r="BI613" i="19"/>
  <c r="BI612" i="19"/>
  <c r="BI611" i="19"/>
  <c r="BI610" i="19"/>
  <c r="BI609" i="19"/>
  <c r="BI608" i="19"/>
  <c r="BI607" i="19"/>
  <c r="BI606" i="19"/>
  <c r="BI605" i="19"/>
  <c r="BI604" i="19"/>
  <c r="BI603" i="19"/>
  <c r="BI602" i="19"/>
  <c r="BI601" i="19"/>
  <c r="BI600" i="19"/>
  <c r="BI599" i="19"/>
  <c r="BI598" i="19"/>
  <c r="BI597" i="19"/>
  <c r="BI596" i="19"/>
  <c r="BI595" i="19"/>
  <c r="BI594" i="19"/>
  <c r="BI593" i="19"/>
  <c r="BI592" i="19"/>
  <c r="BI591" i="19"/>
  <c r="BI590" i="19"/>
  <c r="BI589" i="19"/>
  <c r="BI588" i="19"/>
  <c r="BI587" i="19"/>
  <c r="BI586" i="19"/>
  <c r="BI585" i="19"/>
  <c r="BI584" i="19"/>
  <c r="BI583" i="19"/>
  <c r="BI582" i="19"/>
  <c r="BI581" i="19"/>
  <c r="BI580" i="19"/>
  <c r="BI579" i="19"/>
  <c r="BI578" i="19"/>
  <c r="BI577" i="19"/>
  <c r="BI576" i="19"/>
  <c r="BI575" i="19"/>
  <c r="BI574" i="19"/>
  <c r="BI573" i="19"/>
  <c r="BI572" i="19"/>
  <c r="BI571" i="19"/>
  <c r="BI570" i="19"/>
  <c r="BI569" i="19"/>
  <c r="BI568" i="19"/>
  <c r="BI567" i="19"/>
  <c r="BI566" i="19"/>
  <c r="BI565" i="19"/>
  <c r="BI564" i="19"/>
  <c r="BI563" i="19"/>
  <c r="BI562" i="19"/>
  <c r="BI561" i="19"/>
  <c r="BI560" i="19"/>
  <c r="BI559" i="19"/>
  <c r="BI558" i="19"/>
  <c r="BI557" i="19"/>
  <c r="BI556" i="19"/>
  <c r="BI555" i="19"/>
  <c r="BI554" i="19"/>
  <c r="BI553" i="19"/>
  <c r="BI552" i="19"/>
  <c r="BI551" i="19"/>
  <c r="BI550" i="19"/>
  <c r="BI549" i="19"/>
  <c r="BI548" i="19"/>
  <c r="BI547" i="19"/>
  <c r="BI546" i="19"/>
  <c r="BI545" i="19"/>
  <c r="BI544" i="19"/>
  <c r="BI543" i="19"/>
  <c r="BI542" i="19"/>
  <c r="BI541" i="19"/>
  <c r="BI540" i="19"/>
  <c r="BI539" i="19"/>
  <c r="BI538" i="19"/>
  <c r="BI537" i="19"/>
  <c r="BI536" i="19"/>
  <c r="BI535" i="19"/>
  <c r="BI534" i="19"/>
  <c r="BI533" i="19"/>
  <c r="BI532" i="19"/>
  <c r="BI531" i="19"/>
  <c r="BI530" i="19"/>
  <c r="BI529" i="19"/>
  <c r="BI528" i="19"/>
  <c r="BI527" i="19"/>
  <c r="BI526" i="19"/>
  <c r="BI525" i="19"/>
  <c r="BI524" i="19"/>
  <c r="BI523" i="19"/>
  <c r="BI522" i="19"/>
  <c r="BI521" i="19"/>
  <c r="BI520" i="19"/>
  <c r="BI519" i="19"/>
  <c r="BI518" i="19"/>
  <c r="BI517" i="19"/>
  <c r="BI516" i="19"/>
  <c r="BI515" i="19"/>
  <c r="BI514" i="19"/>
  <c r="BI513" i="19"/>
  <c r="BI512" i="19"/>
  <c r="BI511" i="19"/>
  <c r="BI510" i="19"/>
  <c r="BI509" i="19"/>
  <c r="BI508" i="19"/>
  <c r="BI507" i="19"/>
  <c r="BI506" i="19"/>
  <c r="BI505" i="19"/>
  <c r="BI504" i="19"/>
  <c r="BI503" i="19"/>
  <c r="BI502" i="19"/>
  <c r="BI501" i="19"/>
  <c r="BI500" i="19"/>
  <c r="BI499" i="19"/>
  <c r="BI498" i="19"/>
  <c r="BI497" i="19"/>
  <c r="BI496" i="19"/>
  <c r="BI495" i="19"/>
  <c r="BI494" i="19"/>
  <c r="BI493" i="19"/>
  <c r="BI492" i="19"/>
  <c r="BI491" i="19"/>
  <c r="BI490" i="19"/>
  <c r="BI489" i="19"/>
  <c r="BI488" i="19"/>
  <c r="BI487" i="19"/>
  <c r="BI486" i="19"/>
  <c r="BI485" i="19"/>
  <c r="BI484" i="19"/>
  <c r="BI483" i="19"/>
  <c r="BI482" i="19"/>
  <c r="BI481" i="19"/>
  <c r="BI480" i="19"/>
  <c r="BI479" i="19"/>
  <c r="BI478" i="19"/>
  <c r="BI477" i="19"/>
  <c r="BI476" i="19"/>
  <c r="BI475" i="19"/>
  <c r="BI474" i="19"/>
  <c r="BI473" i="19"/>
  <c r="BI472" i="19"/>
  <c r="BI471" i="19"/>
  <c r="BI470" i="19"/>
  <c r="BI469" i="19"/>
  <c r="BI468" i="19"/>
  <c r="BI467" i="19"/>
  <c r="BI466" i="19"/>
  <c r="BI465" i="19"/>
  <c r="BI464" i="19"/>
  <c r="BI463" i="19"/>
  <c r="BI462" i="19"/>
  <c r="BI461" i="19"/>
  <c r="BI460" i="19"/>
  <c r="BI459" i="19"/>
  <c r="BI458" i="19"/>
  <c r="BI457" i="19"/>
  <c r="BI456" i="19"/>
  <c r="BI455" i="19"/>
  <c r="BI454" i="19"/>
  <c r="BI453" i="19"/>
  <c r="BI452" i="19"/>
  <c r="BI451" i="19"/>
  <c r="BI450" i="19"/>
  <c r="BI449" i="19"/>
  <c r="BI448" i="19"/>
  <c r="BI447" i="19"/>
  <c r="BI446" i="19"/>
  <c r="BI445" i="19"/>
  <c r="BI444" i="19"/>
  <c r="BI443" i="19"/>
  <c r="BI442" i="19"/>
  <c r="BI441" i="19"/>
  <c r="BI440" i="19"/>
  <c r="BI439" i="19"/>
  <c r="BI438" i="19"/>
  <c r="BI437" i="19"/>
  <c r="BI436" i="19"/>
  <c r="BI435" i="19"/>
  <c r="BI434" i="19"/>
  <c r="BI433" i="19"/>
  <c r="BI432" i="19"/>
  <c r="BI431" i="19"/>
  <c r="BI430" i="19"/>
  <c r="BI429" i="19"/>
  <c r="BI428" i="19"/>
  <c r="BI427" i="19"/>
  <c r="BI426" i="19"/>
  <c r="BI425" i="19"/>
  <c r="BI424" i="19"/>
  <c r="BI423" i="19"/>
  <c r="BI422" i="19"/>
  <c r="BI421" i="19"/>
  <c r="BI420" i="19"/>
  <c r="BI419" i="19"/>
  <c r="BI418" i="19"/>
  <c r="BI417" i="19"/>
  <c r="BI416" i="19"/>
  <c r="BI415" i="19"/>
  <c r="BI414" i="19"/>
  <c r="BI413" i="19"/>
  <c r="BI412" i="19"/>
  <c r="BI411" i="19"/>
  <c r="BI410" i="19"/>
  <c r="BI409" i="19"/>
  <c r="BI408" i="19"/>
  <c r="BI407" i="19"/>
  <c r="BI406" i="19"/>
  <c r="BI405" i="19"/>
  <c r="BI404" i="19"/>
  <c r="BI403" i="19"/>
  <c r="BI402" i="19"/>
  <c r="BI401" i="19"/>
  <c r="BI400" i="19"/>
  <c r="BI399" i="19"/>
  <c r="BI398" i="19"/>
  <c r="BI397" i="19"/>
  <c r="BI396" i="19"/>
  <c r="BI395" i="19"/>
  <c r="BI394" i="19"/>
  <c r="BI393" i="19"/>
  <c r="BI392" i="19"/>
  <c r="BI391" i="19"/>
  <c r="BI390" i="19"/>
  <c r="BI389" i="19"/>
  <c r="BI388" i="19"/>
  <c r="BI387" i="19"/>
  <c r="BI386" i="19"/>
  <c r="BI385" i="19"/>
  <c r="BI384" i="19"/>
  <c r="BI383" i="19"/>
  <c r="BI382" i="19"/>
  <c r="BI381" i="19"/>
  <c r="BI380" i="19"/>
  <c r="BI379" i="19"/>
  <c r="BI378" i="19"/>
  <c r="BI377" i="19"/>
  <c r="BI376" i="19"/>
  <c r="BI375" i="19"/>
  <c r="BI374" i="19"/>
  <c r="BI373" i="19"/>
  <c r="BI372" i="19"/>
  <c r="BI371" i="19"/>
  <c r="BI370" i="19"/>
  <c r="BI369" i="19"/>
  <c r="BI368" i="19"/>
  <c r="BI367" i="19"/>
  <c r="BI366" i="19"/>
  <c r="BI365" i="19"/>
  <c r="BI364" i="19"/>
  <c r="BI363" i="19"/>
  <c r="BI362" i="19"/>
  <c r="BI361" i="19"/>
  <c r="BI360" i="19"/>
  <c r="BI359" i="19"/>
  <c r="BI358" i="19"/>
  <c r="BI357" i="19"/>
  <c r="BI356" i="19"/>
  <c r="BI355" i="19"/>
  <c r="BI354" i="19"/>
  <c r="BI353" i="19"/>
  <c r="BI352" i="19"/>
  <c r="BI351" i="19"/>
  <c r="BI350" i="19"/>
  <c r="BI349" i="19"/>
  <c r="BI348" i="19"/>
  <c r="BI347" i="19"/>
  <c r="BI346" i="19"/>
  <c r="BI345" i="19"/>
  <c r="BI344" i="19"/>
  <c r="BI343" i="19"/>
  <c r="BI342" i="19"/>
  <c r="BI341" i="19"/>
  <c r="BI340" i="19"/>
  <c r="BI339" i="19"/>
  <c r="BI338" i="19"/>
  <c r="BI337" i="19"/>
  <c r="BR336" i="19"/>
  <c r="BI336" i="19"/>
  <c r="BR335" i="19"/>
  <c r="BI335" i="19"/>
  <c r="BR334" i="19"/>
  <c r="BI334" i="19"/>
  <c r="BR333" i="19"/>
  <c r="BI333" i="19"/>
  <c r="BR332" i="19"/>
  <c r="BI332" i="19"/>
  <c r="BR331" i="19"/>
  <c r="BI331" i="19"/>
  <c r="BR330" i="19"/>
  <c r="BI330" i="19"/>
  <c r="BR329" i="19"/>
  <c r="BI329" i="19"/>
  <c r="BR328" i="19"/>
  <c r="BI328" i="19"/>
  <c r="BR327" i="19"/>
  <c r="BI327" i="19"/>
  <c r="BR326" i="19"/>
  <c r="BI326" i="19"/>
  <c r="BR325" i="19"/>
  <c r="BI325" i="19"/>
  <c r="BR324" i="19"/>
  <c r="BI324" i="19"/>
  <c r="BR323" i="19"/>
  <c r="BI323" i="19"/>
  <c r="BR322" i="19"/>
  <c r="BI322" i="19"/>
  <c r="BR321" i="19"/>
  <c r="BI321" i="19"/>
  <c r="BR320" i="19"/>
  <c r="BI320" i="19"/>
  <c r="BR319" i="19"/>
  <c r="BI319" i="19"/>
  <c r="BR318" i="19"/>
  <c r="BI318" i="19"/>
  <c r="BR317" i="19"/>
  <c r="BI317" i="19"/>
  <c r="BR316" i="19"/>
  <c r="BI316" i="19"/>
  <c r="BR315" i="19"/>
  <c r="BI315" i="19"/>
  <c r="BR314" i="19"/>
  <c r="BI314" i="19"/>
  <c r="BR313" i="19"/>
  <c r="BI313" i="19"/>
  <c r="BR312" i="19"/>
  <c r="BI312" i="19"/>
  <c r="BR311" i="19"/>
  <c r="BI311" i="19"/>
  <c r="BR310" i="19"/>
  <c r="BI310" i="19"/>
  <c r="BR309" i="19"/>
  <c r="BI309" i="19"/>
  <c r="BR308" i="19"/>
  <c r="BI308" i="19"/>
  <c r="BR307" i="19"/>
  <c r="BI307" i="19"/>
  <c r="BR306" i="19"/>
  <c r="BI306" i="19"/>
  <c r="BR305" i="19"/>
  <c r="BI305" i="19"/>
  <c r="BR304" i="19"/>
  <c r="BI304" i="19"/>
  <c r="BR303" i="19"/>
  <c r="BI303" i="19"/>
  <c r="BR302" i="19"/>
  <c r="BI302" i="19"/>
  <c r="BR301" i="19"/>
  <c r="BI301" i="19"/>
  <c r="BR300" i="19"/>
  <c r="BI300" i="19"/>
  <c r="BR299" i="19"/>
  <c r="BI299" i="19"/>
  <c r="BR298" i="19"/>
  <c r="BI298" i="19"/>
  <c r="BR297" i="19"/>
  <c r="BI297" i="19"/>
  <c r="BR296" i="19"/>
  <c r="BI296" i="19"/>
  <c r="BR295" i="19"/>
  <c r="BI295" i="19"/>
  <c r="BR294" i="19"/>
  <c r="BI294" i="19"/>
  <c r="BR293" i="19"/>
  <c r="BI293" i="19"/>
  <c r="BR292" i="19"/>
  <c r="BI292" i="19"/>
  <c r="BR291" i="19"/>
  <c r="BI291" i="19"/>
  <c r="BR290" i="19"/>
  <c r="BI290" i="19"/>
  <c r="BR289" i="19"/>
  <c r="BI289" i="19"/>
  <c r="BR288" i="19"/>
  <c r="BI288" i="19"/>
  <c r="BR287" i="19"/>
  <c r="BI287" i="19"/>
  <c r="BR286" i="19"/>
  <c r="BI286" i="19"/>
  <c r="BR285" i="19"/>
  <c r="BI285" i="19"/>
  <c r="BR284" i="19"/>
  <c r="BI284" i="19"/>
  <c r="BR283" i="19"/>
  <c r="BI283" i="19"/>
  <c r="BR282" i="19"/>
  <c r="BI282" i="19"/>
  <c r="BR281" i="19"/>
  <c r="BI281" i="19"/>
  <c r="BR280" i="19"/>
  <c r="BI280" i="19"/>
  <c r="BR279" i="19"/>
  <c r="BI279" i="19"/>
  <c r="BR278" i="19"/>
  <c r="BI278" i="19"/>
  <c r="BR277" i="19"/>
  <c r="BI277" i="19"/>
  <c r="BR276" i="19"/>
  <c r="BI276" i="19"/>
  <c r="BR275" i="19"/>
  <c r="BI275" i="19"/>
  <c r="BR274" i="19"/>
  <c r="BI274" i="19"/>
  <c r="BR273" i="19"/>
  <c r="BI273" i="19"/>
  <c r="BR272" i="19"/>
  <c r="BI272" i="19"/>
  <c r="BR271" i="19"/>
  <c r="BI271" i="19"/>
  <c r="BR270" i="19"/>
  <c r="BI270" i="19"/>
  <c r="BR269" i="19"/>
  <c r="BI269" i="19"/>
  <c r="BR268" i="19"/>
  <c r="BI268" i="19"/>
  <c r="BR267" i="19"/>
  <c r="BI267" i="19"/>
  <c r="BR266" i="19"/>
  <c r="BI266" i="19"/>
  <c r="BR265" i="19"/>
  <c r="BI265" i="19"/>
  <c r="BR264" i="19"/>
  <c r="BI264" i="19"/>
  <c r="BR263" i="19"/>
  <c r="BI263" i="19"/>
  <c r="BR262" i="19"/>
  <c r="BI262" i="19"/>
  <c r="BR261" i="19"/>
  <c r="BI261" i="19"/>
  <c r="BR260" i="19"/>
  <c r="BI260" i="19"/>
  <c r="BR259" i="19"/>
  <c r="BI259" i="19"/>
  <c r="BR258" i="19"/>
  <c r="BI258" i="19"/>
  <c r="BR257" i="19"/>
  <c r="BI257" i="19"/>
  <c r="BR256" i="19"/>
  <c r="BI256" i="19"/>
  <c r="BR255" i="19"/>
  <c r="BI255" i="19"/>
  <c r="BR254" i="19"/>
  <c r="BI254" i="19"/>
  <c r="BR253" i="19"/>
  <c r="BI253" i="19"/>
  <c r="BR252" i="19"/>
  <c r="BI252" i="19"/>
  <c r="BR251" i="19"/>
  <c r="BI251" i="19"/>
  <c r="BR250" i="19"/>
  <c r="BI250" i="19"/>
  <c r="BR249" i="19"/>
  <c r="BI249" i="19"/>
  <c r="BR248" i="19"/>
  <c r="BI248" i="19"/>
  <c r="BR247" i="19"/>
  <c r="BI247" i="19"/>
  <c r="BR246" i="19"/>
  <c r="BI246" i="19"/>
  <c r="BR245" i="19"/>
  <c r="BI245" i="19"/>
  <c r="BR244" i="19"/>
  <c r="BI244" i="19"/>
  <c r="BR243" i="19"/>
  <c r="BI243" i="19"/>
  <c r="BR242" i="19"/>
  <c r="BI242" i="19"/>
  <c r="BR241" i="19"/>
  <c r="BI241" i="19"/>
  <c r="BR240" i="19"/>
  <c r="BI240" i="19"/>
  <c r="BR239" i="19"/>
  <c r="BI239" i="19"/>
  <c r="BR238" i="19"/>
  <c r="BI238" i="19"/>
  <c r="BR237" i="19"/>
  <c r="BI237" i="19"/>
  <c r="BR236" i="19"/>
  <c r="BI236" i="19"/>
  <c r="BR235" i="19"/>
  <c r="BI235" i="19"/>
  <c r="BR234" i="19"/>
  <c r="BI234" i="19"/>
  <c r="BR233" i="19"/>
  <c r="BI233" i="19"/>
  <c r="BR232" i="19"/>
  <c r="BI232" i="19"/>
  <c r="BR231" i="19"/>
  <c r="BI231" i="19"/>
  <c r="BR230" i="19"/>
  <c r="BI230" i="19"/>
  <c r="BR229" i="19"/>
  <c r="BI229" i="19"/>
  <c r="BR228" i="19"/>
  <c r="BI228" i="19"/>
  <c r="BR227" i="19"/>
  <c r="BI227" i="19"/>
  <c r="BR226" i="19"/>
  <c r="BI226" i="19"/>
  <c r="BR225" i="19"/>
  <c r="BI225" i="19"/>
  <c r="BR224" i="19"/>
  <c r="BI224" i="19"/>
  <c r="BR223" i="19"/>
  <c r="BI223" i="19"/>
  <c r="BR222" i="19"/>
  <c r="BI222" i="19"/>
  <c r="BR221" i="19"/>
  <c r="BI221" i="19"/>
  <c r="BR220" i="19"/>
  <c r="BI220" i="19"/>
  <c r="BR219" i="19"/>
  <c r="BI219" i="19"/>
  <c r="BR218" i="19"/>
  <c r="BI218" i="19"/>
  <c r="BR217" i="19"/>
  <c r="BI217" i="19"/>
  <c r="BR216" i="19"/>
  <c r="BI216" i="19"/>
  <c r="BR215" i="19"/>
  <c r="BI215" i="19"/>
  <c r="BR214" i="19"/>
  <c r="BI214" i="19"/>
  <c r="BR213" i="19"/>
  <c r="BI213" i="19"/>
  <c r="BR212" i="19"/>
  <c r="BI212" i="19"/>
  <c r="BR211" i="19"/>
  <c r="BI211" i="19"/>
  <c r="BR210" i="19"/>
  <c r="BI210" i="19"/>
  <c r="BR209" i="19"/>
  <c r="BI209" i="19"/>
  <c r="BR208" i="19"/>
  <c r="BI208" i="19"/>
  <c r="BR207" i="19"/>
  <c r="BI207" i="19"/>
  <c r="BR206" i="19"/>
  <c r="BI206" i="19"/>
  <c r="BR205" i="19"/>
  <c r="BI205" i="19"/>
  <c r="BR204" i="19"/>
  <c r="BI204" i="19"/>
  <c r="BR203" i="19"/>
  <c r="BI203" i="19"/>
  <c r="BR202" i="19"/>
  <c r="BI202" i="19"/>
  <c r="BR201" i="19"/>
  <c r="BI201" i="19"/>
  <c r="BR200" i="19"/>
  <c r="BI200" i="19"/>
  <c r="BR199" i="19"/>
  <c r="BI199" i="19"/>
  <c r="BR198" i="19"/>
  <c r="BI198" i="19"/>
  <c r="BR197" i="19"/>
  <c r="BI197" i="19"/>
  <c r="BR196" i="19"/>
  <c r="BI196" i="19"/>
  <c r="BR195" i="19"/>
  <c r="BI195" i="19"/>
  <c r="BR194" i="19"/>
  <c r="BI194" i="19"/>
  <c r="BR193" i="19"/>
  <c r="BI193" i="19"/>
  <c r="BR192" i="19"/>
  <c r="BI192" i="19"/>
  <c r="BR191" i="19"/>
  <c r="BI191" i="19"/>
  <c r="BR190" i="19"/>
  <c r="BI190" i="19"/>
  <c r="BR189" i="19"/>
  <c r="BI189" i="19"/>
  <c r="BR188" i="19"/>
  <c r="BI188" i="19"/>
  <c r="BR187" i="19"/>
  <c r="BI187" i="19"/>
  <c r="BR186" i="19"/>
  <c r="BI186" i="19"/>
  <c r="BR185" i="19"/>
  <c r="BI185" i="19"/>
  <c r="BR184" i="19"/>
  <c r="BI184" i="19"/>
  <c r="BR183" i="19"/>
  <c r="BI183" i="19"/>
  <c r="BR182" i="19"/>
  <c r="BI182" i="19"/>
  <c r="BR181" i="19"/>
  <c r="BI181" i="19"/>
  <c r="BR180" i="19"/>
  <c r="BI180" i="19"/>
  <c r="BR179" i="19"/>
  <c r="BI179" i="19"/>
  <c r="BR178" i="19"/>
  <c r="BI178" i="19"/>
  <c r="BR177" i="19"/>
  <c r="BI177" i="19"/>
  <c r="BR176" i="19"/>
  <c r="BI176" i="19"/>
  <c r="BR175" i="19"/>
  <c r="BI175" i="19"/>
  <c r="BR174" i="19"/>
  <c r="BI174" i="19"/>
  <c r="BR173" i="19"/>
  <c r="BI173" i="19"/>
  <c r="BR172" i="19"/>
  <c r="BI172" i="19"/>
  <c r="BR171" i="19"/>
  <c r="BI171" i="19"/>
  <c r="BR170" i="19"/>
  <c r="BI170" i="19"/>
  <c r="BR169" i="19"/>
  <c r="BI169" i="19"/>
  <c r="BR168" i="19"/>
  <c r="BI168" i="19"/>
  <c r="BR167" i="19"/>
  <c r="BI167" i="19"/>
  <c r="BR166" i="19"/>
  <c r="BI166" i="19"/>
  <c r="BR165" i="19"/>
  <c r="BI165" i="19"/>
  <c r="BR164" i="19"/>
  <c r="BI164" i="19"/>
  <c r="BR163" i="19"/>
  <c r="BI163" i="19"/>
  <c r="BR162" i="19"/>
  <c r="BI162" i="19"/>
  <c r="BR161" i="19"/>
  <c r="BI161" i="19"/>
  <c r="BR160" i="19"/>
  <c r="BI160" i="19"/>
  <c r="BR159" i="19"/>
  <c r="BI159" i="19"/>
  <c r="BR158" i="19"/>
  <c r="BI158" i="19"/>
  <c r="BR157" i="19"/>
  <c r="BI157" i="19"/>
  <c r="BR156" i="19"/>
  <c r="BI156" i="19"/>
  <c r="BR155" i="19"/>
  <c r="BI155" i="19"/>
  <c r="BR154" i="19"/>
  <c r="BI154" i="19"/>
  <c r="BR153" i="19"/>
  <c r="BI153" i="19"/>
  <c r="BR152" i="19"/>
  <c r="BI152" i="19"/>
  <c r="BR151" i="19"/>
  <c r="BI151" i="19"/>
  <c r="BR150" i="19"/>
  <c r="BI150" i="19"/>
  <c r="BR149" i="19"/>
  <c r="BI149" i="19"/>
  <c r="BR148" i="19"/>
  <c r="BI148" i="19"/>
  <c r="BR147" i="19"/>
  <c r="BI147" i="19"/>
  <c r="BR146" i="19"/>
  <c r="BI146" i="19"/>
  <c r="BR145" i="19"/>
  <c r="BI145" i="19"/>
  <c r="BR144" i="19"/>
  <c r="BI144" i="19"/>
  <c r="BR143" i="19"/>
  <c r="BI143" i="19"/>
  <c r="BR142" i="19"/>
  <c r="BI142" i="19"/>
  <c r="BR141" i="19"/>
  <c r="BI141" i="19"/>
  <c r="BR140" i="19"/>
  <c r="BI140" i="19"/>
  <c r="BR139" i="19"/>
  <c r="BI139" i="19"/>
  <c r="BR138" i="19"/>
  <c r="BI138" i="19"/>
  <c r="BR137" i="19"/>
  <c r="BI137" i="19"/>
  <c r="BR136" i="19"/>
  <c r="BI136" i="19"/>
  <c r="BR135" i="19"/>
  <c r="BI135" i="19"/>
  <c r="BR134" i="19"/>
  <c r="BI134" i="19"/>
  <c r="BR133" i="19"/>
  <c r="BI133" i="19"/>
  <c r="BR132" i="19"/>
  <c r="BI132" i="19"/>
  <c r="BR131" i="19"/>
  <c r="BI131" i="19"/>
  <c r="BR130" i="19"/>
  <c r="BI130" i="19"/>
  <c r="BR129" i="19"/>
  <c r="BI129" i="19"/>
  <c r="BR128" i="19"/>
  <c r="BI128" i="19"/>
  <c r="BR127" i="19"/>
  <c r="BI127" i="19"/>
  <c r="BR126" i="19"/>
  <c r="BI126" i="19"/>
  <c r="BR125" i="19"/>
  <c r="BI125" i="19"/>
  <c r="BR124" i="19"/>
  <c r="BI124" i="19"/>
  <c r="BR123" i="19"/>
  <c r="BI123" i="19"/>
  <c r="BR122" i="19"/>
  <c r="BI122" i="19"/>
  <c r="BR121" i="19"/>
  <c r="BI121" i="19"/>
  <c r="BR120" i="19"/>
  <c r="BI120" i="19"/>
  <c r="BR119" i="19"/>
  <c r="BI119" i="19"/>
  <c r="BR118" i="19"/>
  <c r="BI118" i="19"/>
  <c r="BR117" i="19"/>
  <c r="BI117" i="19"/>
  <c r="BR116" i="19"/>
  <c r="BI116" i="19"/>
  <c r="BR115" i="19"/>
  <c r="BI115" i="19"/>
  <c r="BR114" i="19"/>
  <c r="BI114" i="19"/>
  <c r="BR113" i="19"/>
  <c r="BI113" i="19"/>
  <c r="BR112" i="19"/>
  <c r="BI112" i="19"/>
  <c r="BR111" i="19"/>
  <c r="BI111" i="19"/>
  <c r="BR110" i="19"/>
  <c r="BI110" i="19"/>
  <c r="BR109" i="19"/>
  <c r="BI109" i="19"/>
  <c r="BR108" i="19"/>
  <c r="BI108" i="19"/>
  <c r="BR107" i="19"/>
  <c r="BI107" i="19"/>
  <c r="BR106" i="19"/>
  <c r="BI106" i="19"/>
  <c r="BR105" i="19"/>
  <c r="BI105" i="19"/>
  <c r="BR104" i="19"/>
  <c r="BI104" i="19"/>
  <c r="BR103" i="19"/>
  <c r="BI103" i="19"/>
  <c r="BR102" i="19"/>
  <c r="BI102" i="19"/>
  <c r="BR101" i="19"/>
  <c r="BI101" i="19"/>
  <c r="BR100" i="19"/>
  <c r="BI100" i="19"/>
  <c r="BR99" i="19"/>
  <c r="BI99" i="19"/>
  <c r="BR98" i="19"/>
  <c r="BI98" i="19"/>
  <c r="BR97" i="19"/>
  <c r="BI97" i="19"/>
  <c r="BR96" i="19"/>
  <c r="BI96" i="19"/>
  <c r="BR95" i="19"/>
  <c r="BI95" i="19"/>
  <c r="BR94" i="19"/>
  <c r="BI94" i="19"/>
  <c r="BR93" i="19"/>
  <c r="BI93" i="19"/>
  <c r="BR92" i="19"/>
  <c r="BI92" i="19"/>
  <c r="BR91" i="19"/>
  <c r="BI91" i="19"/>
  <c r="BR90" i="19"/>
  <c r="BI90" i="19"/>
  <c r="BR89" i="19"/>
  <c r="BI89" i="19"/>
  <c r="BR88" i="19"/>
  <c r="BI88" i="19"/>
  <c r="BR87" i="19"/>
  <c r="BI87" i="19"/>
  <c r="BR86" i="19"/>
  <c r="BI86" i="19"/>
  <c r="BR85" i="19"/>
  <c r="BI85" i="19"/>
  <c r="BR84" i="19"/>
  <c r="BI84" i="19"/>
  <c r="BR83" i="19"/>
  <c r="BI83" i="19"/>
  <c r="BR82" i="19"/>
  <c r="BI82" i="19"/>
  <c r="BR81" i="19"/>
  <c r="BI81" i="19"/>
  <c r="BR80" i="19"/>
  <c r="BI80" i="19"/>
  <c r="BR79" i="19"/>
  <c r="BI79" i="19"/>
  <c r="BR78" i="19"/>
  <c r="BI78" i="19"/>
  <c r="BR77" i="19"/>
  <c r="BI77" i="19"/>
  <c r="BR76" i="19"/>
  <c r="BI76" i="19"/>
  <c r="BR75" i="19"/>
  <c r="BI75" i="19"/>
  <c r="BR74" i="19"/>
  <c r="BI74" i="19"/>
  <c r="BR73" i="19"/>
  <c r="BI73" i="19"/>
  <c r="BR72" i="19"/>
  <c r="BI72" i="19"/>
  <c r="BR71" i="19"/>
  <c r="BI71" i="19"/>
  <c r="BR70" i="19"/>
  <c r="BI70" i="19"/>
  <c r="BR69" i="19"/>
  <c r="BI69" i="19"/>
  <c r="BR68" i="19"/>
  <c r="BI68" i="19"/>
  <c r="BR67" i="19"/>
  <c r="BI67" i="19"/>
  <c r="BR66" i="19"/>
  <c r="BI66" i="19"/>
  <c r="BR65" i="19"/>
  <c r="BI65" i="19"/>
  <c r="BR64" i="19"/>
  <c r="BI64" i="19"/>
  <c r="BR63" i="19"/>
  <c r="BI63" i="19"/>
  <c r="BR62" i="19"/>
  <c r="BI62" i="19"/>
  <c r="BR61" i="19"/>
  <c r="BI61" i="19"/>
  <c r="BR60" i="19"/>
  <c r="BI60" i="19"/>
  <c r="M60" i="19"/>
  <c r="G60" i="19"/>
  <c r="BU325" i="19" s="1"/>
  <c r="BR59" i="19"/>
  <c r="BI59" i="19"/>
  <c r="AS59" i="19"/>
  <c r="AM59" i="19"/>
  <c r="BW321" i="19" s="1"/>
  <c r="M59" i="19"/>
  <c r="G59" i="19"/>
  <c r="BU319" i="19" s="1"/>
  <c r="BU320" i="19" s="1"/>
  <c r="BU321" i="19" s="1"/>
  <c r="BU322" i="19" s="1"/>
  <c r="BU323" i="19" s="1"/>
  <c r="BU324" i="19" s="1"/>
  <c r="BR58" i="19"/>
  <c r="BI58" i="19"/>
  <c r="AS58" i="19"/>
  <c r="AM58" i="19"/>
  <c r="BW315" i="19" s="1"/>
  <c r="BW316" i="19" s="1"/>
  <c r="BW317" i="19" s="1"/>
  <c r="BW318" i="19" s="1"/>
  <c r="BW319" i="19" s="1"/>
  <c r="BW320" i="19" s="1"/>
  <c r="M58" i="19"/>
  <c r="G58" i="19"/>
  <c r="BU313" i="19" s="1"/>
  <c r="BU314" i="19" s="1"/>
  <c r="BU315" i="19" s="1"/>
  <c r="BU316" i="19" s="1"/>
  <c r="BU317" i="19" s="1"/>
  <c r="BU318" i="19" s="1"/>
  <c r="BR57" i="19"/>
  <c r="BI57" i="19"/>
  <c r="AS57" i="19"/>
  <c r="AM57" i="19"/>
  <c r="BW309" i="19" s="1"/>
  <c r="BW310" i="19" s="1"/>
  <c r="BW311" i="19" s="1"/>
  <c r="BW312" i="19" s="1"/>
  <c r="BW313" i="19" s="1"/>
  <c r="BW314" i="19" s="1"/>
  <c r="AE57" i="19"/>
  <c r="W57" i="19"/>
  <c r="BV309" i="19" s="1"/>
  <c r="M57" i="19"/>
  <c r="G57" i="19"/>
  <c r="BU307" i="19" s="1"/>
  <c r="BU308" i="19" s="1"/>
  <c r="BU309" i="19" s="1"/>
  <c r="BU310" i="19" s="1"/>
  <c r="BU311" i="19" s="1"/>
  <c r="BU312" i="19" s="1"/>
  <c r="BR56" i="19"/>
  <c r="BI56" i="19"/>
  <c r="AS56" i="19"/>
  <c r="AM56" i="19"/>
  <c r="BW303" i="19" s="1"/>
  <c r="BW304" i="19" s="1"/>
  <c r="BW305" i="19" s="1"/>
  <c r="BW306" i="19" s="1"/>
  <c r="BW307" i="19" s="1"/>
  <c r="BW308" i="19" s="1"/>
  <c r="AE56" i="19"/>
  <c r="W56" i="19"/>
  <c r="BV303" i="19" s="1"/>
  <c r="BV304" i="19" s="1"/>
  <c r="BV305" i="19" s="1"/>
  <c r="BV306" i="19" s="1"/>
  <c r="BV307" i="19" s="1"/>
  <c r="BV308" i="19" s="1"/>
  <c r="M56" i="19"/>
  <c r="G56" i="19"/>
  <c r="BU301" i="19" s="1"/>
  <c r="BU302" i="19" s="1"/>
  <c r="BU303" i="19" s="1"/>
  <c r="BU304" i="19" s="1"/>
  <c r="BU305" i="19" s="1"/>
  <c r="BU306" i="19" s="1"/>
  <c r="BR55" i="19"/>
  <c r="BI55" i="19"/>
  <c r="AS55" i="19"/>
  <c r="AM55" i="19"/>
  <c r="BW297" i="19" s="1"/>
  <c r="BW298" i="19" s="1"/>
  <c r="BW299" i="19" s="1"/>
  <c r="BW300" i="19" s="1"/>
  <c r="BW301" i="19" s="1"/>
  <c r="BW302" i="19" s="1"/>
  <c r="AE55" i="19"/>
  <c r="W55" i="19"/>
  <c r="BV297" i="19" s="1"/>
  <c r="BV298" i="19" s="1"/>
  <c r="BV299" i="19" s="1"/>
  <c r="BV300" i="19" s="1"/>
  <c r="BV301" i="19" s="1"/>
  <c r="BV302" i="19" s="1"/>
  <c r="M55" i="19"/>
  <c r="G55" i="19"/>
  <c r="BU295" i="19" s="1"/>
  <c r="BU296" i="19" s="1"/>
  <c r="BU297" i="19" s="1"/>
  <c r="BU298" i="19" s="1"/>
  <c r="BU299" i="19" s="1"/>
  <c r="BU300" i="19" s="1"/>
  <c r="BR54" i="19"/>
  <c r="BI54" i="19"/>
  <c r="AS54" i="19"/>
  <c r="AM54" i="19"/>
  <c r="BW291" i="19" s="1"/>
  <c r="BW292" i="19" s="1"/>
  <c r="BW293" i="19" s="1"/>
  <c r="BW294" i="19" s="1"/>
  <c r="BW295" i="19" s="1"/>
  <c r="BW296" i="19" s="1"/>
  <c r="AE54" i="19"/>
  <c r="W54" i="19"/>
  <c r="BV291" i="19" s="1"/>
  <c r="BV292" i="19" s="1"/>
  <c r="BV293" i="19" s="1"/>
  <c r="BV294" i="19" s="1"/>
  <c r="BV295" i="19" s="1"/>
  <c r="BV296" i="19" s="1"/>
  <c r="M54" i="19"/>
  <c r="G54" i="19"/>
  <c r="BU289" i="19" s="1"/>
  <c r="BU290" i="19" s="1"/>
  <c r="BU291" i="19" s="1"/>
  <c r="BU292" i="19" s="1"/>
  <c r="BU293" i="19" s="1"/>
  <c r="BU294" i="19" s="1"/>
  <c r="BR53" i="19"/>
  <c r="BI53" i="19"/>
  <c r="AS53" i="19"/>
  <c r="AM53" i="19"/>
  <c r="BW285" i="19" s="1"/>
  <c r="BW286" i="19" s="1"/>
  <c r="BW287" i="19" s="1"/>
  <c r="BW288" i="19" s="1"/>
  <c r="BW289" i="19" s="1"/>
  <c r="BW290" i="19" s="1"/>
  <c r="AE53" i="19"/>
  <c r="W53" i="19"/>
  <c r="BV285" i="19" s="1"/>
  <c r="BV286" i="19" s="1"/>
  <c r="BV287" i="19" s="1"/>
  <c r="BV288" i="19" s="1"/>
  <c r="BV289" i="19" s="1"/>
  <c r="BV290" i="19" s="1"/>
  <c r="M53" i="19"/>
  <c r="G53" i="19"/>
  <c r="BU283" i="19" s="1"/>
  <c r="BU284" i="19" s="1"/>
  <c r="BU285" i="19" s="1"/>
  <c r="BU286" i="19" s="1"/>
  <c r="BU287" i="19" s="1"/>
  <c r="BU288" i="19" s="1"/>
  <c r="BR52" i="19"/>
  <c r="BI52" i="19"/>
  <c r="AS52" i="19"/>
  <c r="AM52" i="19"/>
  <c r="BW279" i="19" s="1"/>
  <c r="BW280" i="19" s="1"/>
  <c r="BW281" i="19" s="1"/>
  <c r="BW282" i="19" s="1"/>
  <c r="BW283" i="19" s="1"/>
  <c r="BW284" i="19" s="1"/>
  <c r="AE52" i="19"/>
  <c r="W52" i="19"/>
  <c r="BV279" i="19" s="1"/>
  <c r="BV280" i="19" s="1"/>
  <c r="BV281" i="19" s="1"/>
  <c r="BV282" i="19" s="1"/>
  <c r="BV283" i="19" s="1"/>
  <c r="BV284" i="19" s="1"/>
  <c r="M52" i="19"/>
  <c r="G52" i="19"/>
  <c r="BU277" i="19" s="1"/>
  <c r="BU278" i="19" s="1"/>
  <c r="BU279" i="19" s="1"/>
  <c r="BU280" i="19" s="1"/>
  <c r="BU281" i="19" s="1"/>
  <c r="BU282" i="19" s="1"/>
  <c r="BR51" i="19"/>
  <c r="BI51" i="19"/>
  <c r="AS51" i="19"/>
  <c r="AM51" i="19"/>
  <c r="BW273" i="19" s="1"/>
  <c r="BW274" i="19" s="1"/>
  <c r="BW275" i="19" s="1"/>
  <c r="BW276" i="19" s="1"/>
  <c r="BW277" i="19" s="1"/>
  <c r="BW278" i="19" s="1"/>
  <c r="AE51" i="19"/>
  <c r="W51" i="19"/>
  <c r="BV273" i="19" s="1"/>
  <c r="BV274" i="19" s="1"/>
  <c r="BV275" i="19" s="1"/>
  <c r="BV276" i="19" s="1"/>
  <c r="BV277" i="19" s="1"/>
  <c r="BV278" i="19" s="1"/>
  <c r="M51" i="19"/>
  <c r="G51" i="19"/>
  <c r="BU271" i="19" s="1"/>
  <c r="BU272" i="19" s="1"/>
  <c r="BU273" i="19" s="1"/>
  <c r="BU274" i="19" s="1"/>
  <c r="BU275" i="19" s="1"/>
  <c r="BU276" i="19" s="1"/>
  <c r="BR50" i="19"/>
  <c r="BI50" i="19"/>
  <c r="AS50" i="19"/>
  <c r="AM50" i="19"/>
  <c r="BW267" i="19" s="1"/>
  <c r="BW268" i="19" s="1"/>
  <c r="BW269" i="19" s="1"/>
  <c r="BW270" i="19" s="1"/>
  <c r="BW271" i="19" s="1"/>
  <c r="BW272" i="19" s="1"/>
  <c r="AE50" i="19"/>
  <c r="W50" i="19"/>
  <c r="BV267" i="19" s="1"/>
  <c r="BV268" i="19" s="1"/>
  <c r="BV269" i="19" s="1"/>
  <c r="BV270" i="19" s="1"/>
  <c r="BV271" i="19" s="1"/>
  <c r="BV272" i="19" s="1"/>
  <c r="M50" i="19"/>
  <c r="G50" i="19"/>
  <c r="BU265" i="19" s="1"/>
  <c r="BU266" i="19" s="1"/>
  <c r="BU267" i="19" s="1"/>
  <c r="BU268" i="19" s="1"/>
  <c r="BU269" i="19" s="1"/>
  <c r="BU270" i="19" s="1"/>
  <c r="BR49" i="19"/>
  <c r="BI49" i="19"/>
  <c r="AS49" i="19"/>
  <c r="AM49" i="19"/>
  <c r="BW261" i="19" s="1"/>
  <c r="BW262" i="19" s="1"/>
  <c r="BW263" i="19" s="1"/>
  <c r="BW264" i="19" s="1"/>
  <c r="BW265" i="19" s="1"/>
  <c r="BW266" i="19" s="1"/>
  <c r="AE49" i="19"/>
  <c r="W49" i="19"/>
  <c r="BV261" i="19" s="1"/>
  <c r="BV262" i="19" s="1"/>
  <c r="BV263" i="19" s="1"/>
  <c r="BV264" i="19" s="1"/>
  <c r="BV265" i="19" s="1"/>
  <c r="BV266" i="19" s="1"/>
  <c r="M49" i="19"/>
  <c r="G49" i="19"/>
  <c r="BU259" i="19" s="1"/>
  <c r="BU260" i="19" s="1"/>
  <c r="BU261" i="19" s="1"/>
  <c r="BU262" i="19" s="1"/>
  <c r="BU263" i="19" s="1"/>
  <c r="BU264" i="19" s="1"/>
  <c r="BR48" i="19"/>
  <c r="BI48" i="19"/>
  <c r="AS48" i="19"/>
  <c r="AM48" i="19"/>
  <c r="BW255" i="19" s="1"/>
  <c r="BW256" i="19" s="1"/>
  <c r="BW257" i="19" s="1"/>
  <c r="BW258" i="19" s="1"/>
  <c r="BW259" i="19" s="1"/>
  <c r="BW260" i="19" s="1"/>
  <c r="AE48" i="19"/>
  <c r="W48" i="19"/>
  <c r="BV255" i="19" s="1"/>
  <c r="BV256" i="19" s="1"/>
  <c r="BV257" i="19" s="1"/>
  <c r="BV258" i="19" s="1"/>
  <c r="BV259" i="19" s="1"/>
  <c r="BV260" i="19" s="1"/>
  <c r="M48" i="19"/>
  <c r="G48" i="19"/>
  <c r="BU253" i="19" s="1"/>
  <c r="BU254" i="19" s="1"/>
  <c r="BU255" i="19" s="1"/>
  <c r="BU256" i="19" s="1"/>
  <c r="BU257" i="19" s="1"/>
  <c r="BU258" i="19" s="1"/>
  <c r="BR47" i="19"/>
  <c r="BI47" i="19"/>
  <c r="AS47" i="19"/>
  <c r="AM47" i="19"/>
  <c r="BW249" i="19" s="1"/>
  <c r="BW250" i="19" s="1"/>
  <c r="BW251" i="19" s="1"/>
  <c r="BW252" i="19" s="1"/>
  <c r="BW253" i="19" s="1"/>
  <c r="BW254" i="19" s="1"/>
  <c r="AE47" i="19"/>
  <c r="W47" i="19"/>
  <c r="BV249" i="19" s="1"/>
  <c r="BV250" i="19" s="1"/>
  <c r="BV251" i="19" s="1"/>
  <c r="BV252" i="19" s="1"/>
  <c r="BV253" i="19" s="1"/>
  <c r="BV254" i="19" s="1"/>
  <c r="M47" i="19"/>
  <c r="G47" i="19"/>
  <c r="BU247" i="19" s="1"/>
  <c r="BU248" i="19" s="1"/>
  <c r="BU249" i="19" s="1"/>
  <c r="BU250" i="19" s="1"/>
  <c r="BU251" i="19" s="1"/>
  <c r="BU252" i="19" s="1"/>
  <c r="BR46" i="19"/>
  <c r="BI46" i="19"/>
  <c r="AS46" i="19"/>
  <c r="AM46" i="19"/>
  <c r="BW243" i="19" s="1"/>
  <c r="BW244" i="19" s="1"/>
  <c r="BW245" i="19" s="1"/>
  <c r="BW246" i="19" s="1"/>
  <c r="BW247" i="19" s="1"/>
  <c r="BW248" i="19" s="1"/>
  <c r="AE46" i="19"/>
  <c r="W46" i="19"/>
  <c r="BV243" i="19" s="1"/>
  <c r="BV244" i="19" s="1"/>
  <c r="BV245" i="19" s="1"/>
  <c r="BV246" i="19" s="1"/>
  <c r="BV247" i="19" s="1"/>
  <c r="BV248" i="19" s="1"/>
  <c r="M46" i="19"/>
  <c r="G46" i="19"/>
  <c r="BU241" i="19" s="1"/>
  <c r="BU242" i="19" s="1"/>
  <c r="BU243" i="19" s="1"/>
  <c r="BU244" i="19" s="1"/>
  <c r="BU245" i="19" s="1"/>
  <c r="BU246" i="19" s="1"/>
  <c r="BR45" i="19"/>
  <c r="BI45" i="19"/>
  <c r="AS45" i="19"/>
  <c r="AM45" i="19"/>
  <c r="BW237" i="19" s="1"/>
  <c r="BW238" i="19" s="1"/>
  <c r="BW239" i="19" s="1"/>
  <c r="BW240" i="19" s="1"/>
  <c r="BW241" i="19" s="1"/>
  <c r="BW242" i="19" s="1"/>
  <c r="AE45" i="19"/>
  <c r="W45" i="19"/>
  <c r="BV237" i="19" s="1"/>
  <c r="BV238" i="19" s="1"/>
  <c r="BV239" i="19" s="1"/>
  <c r="BV240" i="19" s="1"/>
  <c r="BV241" i="19" s="1"/>
  <c r="BV242" i="19" s="1"/>
  <c r="M45" i="19"/>
  <c r="G45" i="19"/>
  <c r="BU235" i="19" s="1"/>
  <c r="BU236" i="19" s="1"/>
  <c r="BU237" i="19" s="1"/>
  <c r="BU238" i="19" s="1"/>
  <c r="BU239" i="19" s="1"/>
  <c r="BU240" i="19" s="1"/>
  <c r="BR44" i="19"/>
  <c r="BI44" i="19"/>
  <c r="AS44" i="19"/>
  <c r="AM44" i="19"/>
  <c r="BW231" i="19" s="1"/>
  <c r="BW232" i="19" s="1"/>
  <c r="BW233" i="19" s="1"/>
  <c r="BW234" i="19" s="1"/>
  <c r="BW235" i="19" s="1"/>
  <c r="BW236" i="19" s="1"/>
  <c r="AE44" i="19"/>
  <c r="W44" i="19"/>
  <c r="BV231" i="19" s="1"/>
  <c r="BV232" i="19" s="1"/>
  <c r="BV233" i="19" s="1"/>
  <c r="BV234" i="19" s="1"/>
  <c r="BV235" i="19" s="1"/>
  <c r="BV236" i="19" s="1"/>
  <c r="M44" i="19"/>
  <c r="G44" i="19"/>
  <c r="BU229" i="19" s="1"/>
  <c r="BU230" i="19" s="1"/>
  <c r="BU231" i="19" s="1"/>
  <c r="BU232" i="19" s="1"/>
  <c r="BU233" i="19" s="1"/>
  <c r="BU234" i="19" s="1"/>
  <c r="BR43" i="19"/>
  <c r="BI43" i="19"/>
  <c r="AS43" i="19"/>
  <c r="AM43" i="19"/>
  <c r="BW225" i="19" s="1"/>
  <c r="BW226" i="19" s="1"/>
  <c r="BW227" i="19" s="1"/>
  <c r="BW228" i="19" s="1"/>
  <c r="BW229" i="19" s="1"/>
  <c r="BW230" i="19" s="1"/>
  <c r="AE43" i="19"/>
  <c r="W43" i="19"/>
  <c r="BV225" i="19" s="1"/>
  <c r="BV226" i="19" s="1"/>
  <c r="BV227" i="19" s="1"/>
  <c r="BV228" i="19" s="1"/>
  <c r="BV229" i="19" s="1"/>
  <c r="BV230" i="19" s="1"/>
  <c r="M43" i="19"/>
  <c r="G43" i="19"/>
  <c r="BU223" i="19" s="1"/>
  <c r="BU224" i="19" s="1"/>
  <c r="BU225" i="19" s="1"/>
  <c r="BU226" i="19" s="1"/>
  <c r="BU227" i="19" s="1"/>
  <c r="BU228" i="19" s="1"/>
  <c r="BR42" i="19"/>
  <c r="BI42" i="19"/>
  <c r="AS42" i="19"/>
  <c r="AM42" i="19"/>
  <c r="BW219" i="19" s="1"/>
  <c r="BW220" i="19" s="1"/>
  <c r="BW221" i="19" s="1"/>
  <c r="BW222" i="19" s="1"/>
  <c r="BW223" i="19" s="1"/>
  <c r="BW224" i="19" s="1"/>
  <c r="AE42" i="19"/>
  <c r="W42" i="19"/>
  <c r="BV219" i="19" s="1"/>
  <c r="BV220" i="19" s="1"/>
  <c r="BV221" i="19" s="1"/>
  <c r="BV222" i="19" s="1"/>
  <c r="BV223" i="19" s="1"/>
  <c r="BV224" i="19" s="1"/>
  <c r="M42" i="19"/>
  <c r="G42" i="19"/>
  <c r="BU217" i="19" s="1"/>
  <c r="BU218" i="19" s="1"/>
  <c r="BU219" i="19" s="1"/>
  <c r="BU220" i="19" s="1"/>
  <c r="BU221" i="19" s="1"/>
  <c r="BU222" i="19" s="1"/>
  <c r="BR41" i="19"/>
  <c r="BI41" i="19"/>
  <c r="AS41" i="19"/>
  <c r="AM41" i="19"/>
  <c r="BW213" i="19" s="1"/>
  <c r="BW214" i="19" s="1"/>
  <c r="BW215" i="19" s="1"/>
  <c r="BW216" i="19" s="1"/>
  <c r="BW217" i="19" s="1"/>
  <c r="BW218" i="19" s="1"/>
  <c r="AE41" i="19"/>
  <c r="W41" i="19"/>
  <c r="BV213" i="19" s="1"/>
  <c r="BV214" i="19" s="1"/>
  <c r="BV215" i="19" s="1"/>
  <c r="BV216" i="19" s="1"/>
  <c r="BV217" i="19" s="1"/>
  <c r="BV218" i="19" s="1"/>
  <c r="M41" i="19"/>
  <c r="G41" i="19"/>
  <c r="BU211" i="19" s="1"/>
  <c r="BU212" i="19" s="1"/>
  <c r="BU213" i="19" s="1"/>
  <c r="BU214" i="19" s="1"/>
  <c r="BU215" i="19" s="1"/>
  <c r="BU216" i="19" s="1"/>
  <c r="BR40" i="19"/>
  <c r="BI40" i="19"/>
  <c r="AS40" i="19"/>
  <c r="AM40" i="19"/>
  <c r="BW207" i="19" s="1"/>
  <c r="BW208" i="19" s="1"/>
  <c r="BW209" i="19" s="1"/>
  <c r="BW210" i="19" s="1"/>
  <c r="BW211" i="19" s="1"/>
  <c r="BW212" i="19" s="1"/>
  <c r="AE40" i="19"/>
  <c r="W40" i="19"/>
  <c r="BV207" i="19" s="1"/>
  <c r="BV208" i="19" s="1"/>
  <c r="BV209" i="19" s="1"/>
  <c r="BV210" i="19" s="1"/>
  <c r="BV211" i="19" s="1"/>
  <c r="BV212" i="19" s="1"/>
  <c r="M40" i="19"/>
  <c r="G40" i="19"/>
  <c r="BU205" i="19" s="1"/>
  <c r="BU206" i="19" s="1"/>
  <c r="BU207" i="19" s="1"/>
  <c r="BU208" i="19" s="1"/>
  <c r="BU209" i="19" s="1"/>
  <c r="BU210" i="19" s="1"/>
  <c r="BR39" i="19"/>
  <c r="BI39" i="19"/>
  <c r="AS39" i="19"/>
  <c r="AM39" i="19"/>
  <c r="BW201" i="19" s="1"/>
  <c r="BW202" i="19" s="1"/>
  <c r="BW203" i="19" s="1"/>
  <c r="BW204" i="19" s="1"/>
  <c r="BW205" i="19" s="1"/>
  <c r="BW206" i="19" s="1"/>
  <c r="AE39" i="19"/>
  <c r="W39" i="19"/>
  <c r="BV201" i="19" s="1"/>
  <c r="BV202" i="19" s="1"/>
  <c r="BV203" i="19" s="1"/>
  <c r="BV204" i="19" s="1"/>
  <c r="BV205" i="19" s="1"/>
  <c r="BV206" i="19" s="1"/>
  <c r="M39" i="19"/>
  <c r="G39" i="19"/>
  <c r="BU199" i="19" s="1"/>
  <c r="BU200" i="19" s="1"/>
  <c r="BU201" i="19" s="1"/>
  <c r="BU202" i="19" s="1"/>
  <c r="BU203" i="19" s="1"/>
  <c r="BU204" i="19" s="1"/>
  <c r="BR38" i="19"/>
  <c r="BI38" i="19"/>
  <c r="AS38" i="19"/>
  <c r="AM38" i="19"/>
  <c r="BW195" i="19" s="1"/>
  <c r="BW196" i="19" s="1"/>
  <c r="BW197" i="19" s="1"/>
  <c r="BW198" i="19" s="1"/>
  <c r="BW199" i="19" s="1"/>
  <c r="BW200" i="19" s="1"/>
  <c r="AE38" i="19"/>
  <c r="W38" i="19"/>
  <c r="BV195" i="19" s="1"/>
  <c r="BV196" i="19" s="1"/>
  <c r="BV197" i="19" s="1"/>
  <c r="BV198" i="19" s="1"/>
  <c r="BV199" i="19" s="1"/>
  <c r="BV200" i="19" s="1"/>
  <c r="M38" i="19"/>
  <c r="G38" i="19"/>
  <c r="BU193" i="19" s="1"/>
  <c r="BU194" i="19" s="1"/>
  <c r="BU195" i="19" s="1"/>
  <c r="BU196" i="19" s="1"/>
  <c r="BU197" i="19" s="1"/>
  <c r="BU198" i="19" s="1"/>
  <c r="BR37" i="19"/>
  <c r="BI37" i="19"/>
  <c r="AS37" i="19"/>
  <c r="AM37" i="19"/>
  <c r="BW189" i="19" s="1"/>
  <c r="BW190" i="19" s="1"/>
  <c r="BW191" i="19" s="1"/>
  <c r="BW192" i="19" s="1"/>
  <c r="BW193" i="19" s="1"/>
  <c r="BW194" i="19" s="1"/>
  <c r="AE37" i="19"/>
  <c r="W37" i="19"/>
  <c r="BV189" i="19" s="1"/>
  <c r="BV190" i="19" s="1"/>
  <c r="BV191" i="19" s="1"/>
  <c r="BV192" i="19" s="1"/>
  <c r="BV193" i="19" s="1"/>
  <c r="BV194" i="19" s="1"/>
  <c r="M37" i="19"/>
  <c r="G37" i="19"/>
  <c r="BU187" i="19" s="1"/>
  <c r="BU188" i="19" s="1"/>
  <c r="BU189" i="19" s="1"/>
  <c r="BU190" i="19" s="1"/>
  <c r="BU191" i="19" s="1"/>
  <c r="BU192" i="19" s="1"/>
  <c r="BR36" i="19"/>
  <c r="BI36" i="19"/>
  <c r="AS36" i="19"/>
  <c r="AM36" i="19"/>
  <c r="BW183" i="19" s="1"/>
  <c r="BW184" i="19" s="1"/>
  <c r="BW185" i="19" s="1"/>
  <c r="BW186" i="19" s="1"/>
  <c r="BW187" i="19" s="1"/>
  <c r="BW188" i="19" s="1"/>
  <c r="AE36" i="19"/>
  <c r="W36" i="19"/>
  <c r="BV183" i="19" s="1"/>
  <c r="BV184" i="19" s="1"/>
  <c r="BV185" i="19" s="1"/>
  <c r="BV186" i="19" s="1"/>
  <c r="BV187" i="19" s="1"/>
  <c r="BV188" i="19" s="1"/>
  <c r="M36" i="19"/>
  <c r="G36" i="19"/>
  <c r="BU181" i="19" s="1"/>
  <c r="BU182" i="19" s="1"/>
  <c r="BU183" i="19" s="1"/>
  <c r="BU184" i="19" s="1"/>
  <c r="BU185" i="19" s="1"/>
  <c r="BU186" i="19" s="1"/>
  <c r="BR35" i="19"/>
  <c r="BI35" i="19"/>
  <c r="AS35" i="19"/>
  <c r="AM35" i="19"/>
  <c r="BW177" i="19" s="1"/>
  <c r="BW178" i="19" s="1"/>
  <c r="BW179" i="19" s="1"/>
  <c r="BW180" i="19" s="1"/>
  <c r="BW181" i="19" s="1"/>
  <c r="BW182" i="19" s="1"/>
  <c r="AE35" i="19"/>
  <c r="W35" i="19"/>
  <c r="BV177" i="19" s="1"/>
  <c r="BV178" i="19" s="1"/>
  <c r="BV179" i="19" s="1"/>
  <c r="BV180" i="19" s="1"/>
  <c r="BV181" i="19" s="1"/>
  <c r="BV182" i="19" s="1"/>
  <c r="M35" i="19"/>
  <c r="G35" i="19"/>
  <c r="BU175" i="19" s="1"/>
  <c r="BU176" i="19" s="1"/>
  <c r="BU177" i="19" s="1"/>
  <c r="BU178" i="19" s="1"/>
  <c r="BU179" i="19" s="1"/>
  <c r="BU180" i="19" s="1"/>
  <c r="BR34" i="19"/>
  <c r="BI34" i="19"/>
  <c r="AS34" i="19"/>
  <c r="AM34" i="19"/>
  <c r="BW171" i="19" s="1"/>
  <c r="BW172" i="19" s="1"/>
  <c r="BW173" i="19" s="1"/>
  <c r="BW174" i="19" s="1"/>
  <c r="BW175" i="19" s="1"/>
  <c r="BW176" i="19" s="1"/>
  <c r="AE34" i="19"/>
  <c r="W34" i="19"/>
  <c r="BV171" i="19" s="1"/>
  <c r="BV172" i="19" s="1"/>
  <c r="BV173" i="19" s="1"/>
  <c r="BV174" i="19" s="1"/>
  <c r="BV175" i="19" s="1"/>
  <c r="BV176" i="19" s="1"/>
  <c r="M34" i="19"/>
  <c r="G34" i="19"/>
  <c r="BU169" i="19" s="1"/>
  <c r="BU170" i="19" s="1"/>
  <c r="BU171" i="19" s="1"/>
  <c r="BU172" i="19" s="1"/>
  <c r="BU173" i="19" s="1"/>
  <c r="BU174" i="19" s="1"/>
  <c r="BR33" i="19"/>
  <c r="BI33" i="19"/>
  <c r="AS33" i="19"/>
  <c r="AM33" i="19"/>
  <c r="BW165" i="19" s="1"/>
  <c r="BW166" i="19" s="1"/>
  <c r="BW167" i="19" s="1"/>
  <c r="BW168" i="19" s="1"/>
  <c r="BW169" i="19" s="1"/>
  <c r="BW170" i="19" s="1"/>
  <c r="AE33" i="19"/>
  <c r="W33" i="19"/>
  <c r="BV165" i="19" s="1"/>
  <c r="BV166" i="19" s="1"/>
  <c r="BV167" i="19" s="1"/>
  <c r="BV168" i="19" s="1"/>
  <c r="BV169" i="19" s="1"/>
  <c r="BV170" i="19" s="1"/>
  <c r="M33" i="19"/>
  <c r="G33" i="19"/>
  <c r="BU163" i="19" s="1"/>
  <c r="BU164" i="19" s="1"/>
  <c r="BU165" i="19" s="1"/>
  <c r="BU166" i="19" s="1"/>
  <c r="BU167" i="19" s="1"/>
  <c r="BU168" i="19" s="1"/>
  <c r="BR32" i="19"/>
  <c r="BI32" i="19"/>
  <c r="AS32" i="19"/>
  <c r="AM32" i="19"/>
  <c r="BW159" i="19" s="1"/>
  <c r="BW160" i="19" s="1"/>
  <c r="BW161" i="19" s="1"/>
  <c r="BW162" i="19" s="1"/>
  <c r="BW163" i="19" s="1"/>
  <c r="BW164" i="19" s="1"/>
  <c r="AE32" i="19"/>
  <c r="W32" i="19"/>
  <c r="BV159" i="19" s="1"/>
  <c r="BV160" i="19" s="1"/>
  <c r="BV161" i="19" s="1"/>
  <c r="BV162" i="19" s="1"/>
  <c r="BV163" i="19" s="1"/>
  <c r="BV164" i="19" s="1"/>
  <c r="M32" i="19"/>
  <c r="G32" i="19"/>
  <c r="BU157" i="19" s="1"/>
  <c r="BU158" i="19" s="1"/>
  <c r="BU159" i="19" s="1"/>
  <c r="BU160" i="19" s="1"/>
  <c r="BU161" i="19" s="1"/>
  <c r="BU162" i="19" s="1"/>
  <c r="BR31" i="19"/>
  <c r="BI31" i="19"/>
  <c r="AS31" i="19"/>
  <c r="AM31" i="19"/>
  <c r="BW153" i="19" s="1"/>
  <c r="BW154" i="19" s="1"/>
  <c r="BW155" i="19" s="1"/>
  <c r="BW156" i="19" s="1"/>
  <c r="BW157" i="19" s="1"/>
  <c r="BW158" i="19" s="1"/>
  <c r="AE31" i="19"/>
  <c r="W31" i="19"/>
  <c r="BV153" i="19" s="1"/>
  <c r="BV154" i="19" s="1"/>
  <c r="BV155" i="19" s="1"/>
  <c r="BV156" i="19" s="1"/>
  <c r="BV157" i="19" s="1"/>
  <c r="BV158" i="19" s="1"/>
  <c r="M31" i="19"/>
  <c r="G31" i="19"/>
  <c r="BU151" i="19" s="1"/>
  <c r="BU152" i="19" s="1"/>
  <c r="BU153" i="19" s="1"/>
  <c r="BU154" i="19" s="1"/>
  <c r="BU155" i="19" s="1"/>
  <c r="BU156" i="19" s="1"/>
  <c r="BR30" i="19"/>
  <c r="BI30" i="19"/>
  <c r="AS30" i="19"/>
  <c r="AM30" i="19"/>
  <c r="BW147" i="19" s="1"/>
  <c r="BW148" i="19" s="1"/>
  <c r="BW149" i="19" s="1"/>
  <c r="BW150" i="19" s="1"/>
  <c r="BW151" i="19" s="1"/>
  <c r="BW152" i="19" s="1"/>
  <c r="AE30" i="19"/>
  <c r="W30" i="19"/>
  <c r="BV147" i="19" s="1"/>
  <c r="BV148" i="19" s="1"/>
  <c r="BV149" i="19" s="1"/>
  <c r="BV150" i="19" s="1"/>
  <c r="BV151" i="19" s="1"/>
  <c r="BV152" i="19" s="1"/>
  <c r="M30" i="19"/>
  <c r="G30" i="19"/>
  <c r="BU145" i="19" s="1"/>
  <c r="BU146" i="19" s="1"/>
  <c r="BU147" i="19" s="1"/>
  <c r="BU148" i="19" s="1"/>
  <c r="BU149" i="19" s="1"/>
  <c r="BU150" i="19" s="1"/>
  <c r="BR29" i="19"/>
  <c r="BI29" i="19"/>
  <c r="AS29" i="19"/>
  <c r="AM29" i="19"/>
  <c r="BW141" i="19" s="1"/>
  <c r="BW142" i="19" s="1"/>
  <c r="BW143" i="19" s="1"/>
  <c r="BW144" i="19" s="1"/>
  <c r="BW145" i="19" s="1"/>
  <c r="BW146" i="19" s="1"/>
  <c r="AE29" i="19"/>
  <c r="W29" i="19"/>
  <c r="BV141" i="19" s="1"/>
  <c r="BV142" i="19" s="1"/>
  <c r="BV143" i="19" s="1"/>
  <c r="BV144" i="19" s="1"/>
  <c r="BV145" i="19" s="1"/>
  <c r="BV146" i="19" s="1"/>
  <c r="M29" i="19"/>
  <c r="G29" i="19"/>
  <c r="BU139" i="19" s="1"/>
  <c r="BU140" i="19" s="1"/>
  <c r="BU141" i="19" s="1"/>
  <c r="BU142" i="19" s="1"/>
  <c r="BU143" i="19" s="1"/>
  <c r="BU144" i="19" s="1"/>
  <c r="BR28" i="19"/>
  <c r="BI28" i="19"/>
  <c r="AS28" i="19"/>
  <c r="AM28" i="19"/>
  <c r="BW135" i="19" s="1"/>
  <c r="BW136" i="19" s="1"/>
  <c r="BW137" i="19" s="1"/>
  <c r="BW138" i="19" s="1"/>
  <c r="BW139" i="19" s="1"/>
  <c r="BW140" i="19" s="1"/>
  <c r="AE28" i="19"/>
  <c r="W28" i="19"/>
  <c r="BV135" i="19" s="1"/>
  <c r="BV136" i="19" s="1"/>
  <c r="BV137" i="19" s="1"/>
  <c r="BV138" i="19" s="1"/>
  <c r="BV139" i="19" s="1"/>
  <c r="BV140" i="19" s="1"/>
  <c r="M28" i="19"/>
  <c r="G28" i="19"/>
  <c r="BU133" i="19" s="1"/>
  <c r="BU134" i="19" s="1"/>
  <c r="BU135" i="19" s="1"/>
  <c r="BU136" i="19" s="1"/>
  <c r="BU137" i="19" s="1"/>
  <c r="BU138" i="19" s="1"/>
  <c r="BR27" i="19"/>
  <c r="BI27" i="19"/>
  <c r="AS27" i="19"/>
  <c r="AM27" i="19"/>
  <c r="BW129" i="19" s="1"/>
  <c r="BW130" i="19" s="1"/>
  <c r="BW131" i="19" s="1"/>
  <c r="BW132" i="19" s="1"/>
  <c r="BW133" i="19" s="1"/>
  <c r="BW134" i="19" s="1"/>
  <c r="AE27" i="19"/>
  <c r="W27" i="19"/>
  <c r="BV129" i="19" s="1"/>
  <c r="BV130" i="19" s="1"/>
  <c r="BV131" i="19" s="1"/>
  <c r="BV132" i="19" s="1"/>
  <c r="BV133" i="19" s="1"/>
  <c r="BV134" i="19" s="1"/>
  <c r="M27" i="19"/>
  <c r="G27" i="19"/>
  <c r="BU127" i="19" s="1"/>
  <c r="BU128" i="19" s="1"/>
  <c r="BU129" i="19" s="1"/>
  <c r="BU130" i="19" s="1"/>
  <c r="BU131" i="19" s="1"/>
  <c r="BU132" i="19" s="1"/>
  <c r="BR26" i="19"/>
  <c r="BI26" i="19"/>
  <c r="AS26" i="19"/>
  <c r="AM26" i="19"/>
  <c r="BW123" i="19" s="1"/>
  <c r="BW124" i="19" s="1"/>
  <c r="BW125" i="19" s="1"/>
  <c r="BW126" i="19" s="1"/>
  <c r="BW127" i="19" s="1"/>
  <c r="BW128" i="19" s="1"/>
  <c r="AE26" i="19"/>
  <c r="W26" i="19"/>
  <c r="BV123" i="19" s="1"/>
  <c r="BV124" i="19" s="1"/>
  <c r="BV125" i="19" s="1"/>
  <c r="BV126" i="19" s="1"/>
  <c r="BV127" i="19" s="1"/>
  <c r="BV128" i="19" s="1"/>
  <c r="M26" i="19"/>
  <c r="G26" i="19"/>
  <c r="BU121" i="19" s="1"/>
  <c r="BU122" i="19" s="1"/>
  <c r="BU123" i="19" s="1"/>
  <c r="BU124" i="19" s="1"/>
  <c r="BU125" i="19" s="1"/>
  <c r="BU126" i="19" s="1"/>
  <c r="BR25" i="19"/>
  <c r="BI25" i="19"/>
  <c r="AS25" i="19"/>
  <c r="AM25" i="19"/>
  <c r="BW117" i="19" s="1"/>
  <c r="BW118" i="19" s="1"/>
  <c r="BW119" i="19" s="1"/>
  <c r="BW120" i="19" s="1"/>
  <c r="BW121" i="19" s="1"/>
  <c r="BW122" i="19" s="1"/>
  <c r="AE25" i="19"/>
  <c r="W25" i="19"/>
  <c r="BV117" i="19" s="1"/>
  <c r="BV118" i="19" s="1"/>
  <c r="BV119" i="19" s="1"/>
  <c r="BV120" i="19" s="1"/>
  <c r="BV121" i="19" s="1"/>
  <c r="BV122" i="19" s="1"/>
  <c r="M25" i="19"/>
  <c r="G25" i="19"/>
  <c r="BU115" i="19" s="1"/>
  <c r="BU116" i="19" s="1"/>
  <c r="BU117" i="19" s="1"/>
  <c r="BU118" i="19" s="1"/>
  <c r="BU119" i="19" s="1"/>
  <c r="BU120" i="19" s="1"/>
  <c r="BR24" i="19"/>
  <c r="BI24" i="19"/>
  <c r="AS24" i="19"/>
  <c r="AM24" i="19"/>
  <c r="BW111" i="19" s="1"/>
  <c r="BW112" i="19" s="1"/>
  <c r="BW113" i="19" s="1"/>
  <c r="BW114" i="19" s="1"/>
  <c r="BW115" i="19" s="1"/>
  <c r="BW116" i="19" s="1"/>
  <c r="AE24" i="19"/>
  <c r="W24" i="19"/>
  <c r="BV111" i="19" s="1"/>
  <c r="BV112" i="19" s="1"/>
  <c r="BV113" i="19" s="1"/>
  <c r="BV114" i="19" s="1"/>
  <c r="BV115" i="19" s="1"/>
  <c r="BV116" i="19" s="1"/>
  <c r="M24" i="19"/>
  <c r="G24" i="19"/>
  <c r="BU109" i="19" s="1"/>
  <c r="BU110" i="19" s="1"/>
  <c r="BU111" i="19" s="1"/>
  <c r="BU112" i="19" s="1"/>
  <c r="BU113" i="19" s="1"/>
  <c r="BU114" i="19" s="1"/>
  <c r="BR23" i="19"/>
  <c r="BI23" i="19"/>
  <c r="AS23" i="19"/>
  <c r="AM23" i="19"/>
  <c r="BW105" i="19" s="1"/>
  <c r="BW106" i="19" s="1"/>
  <c r="BW107" i="19" s="1"/>
  <c r="BW108" i="19" s="1"/>
  <c r="BW109" i="19" s="1"/>
  <c r="BW110" i="19" s="1"/>
  <c r="AE23" i="19"/>
  <c r="W23" i="19"/>
  <c r="BV105" i="19" s="1"/>
  <c r="BV106" i="19" s="1"/>
  <c r="BV107" i="19" s="1"/>
  <c r="BV108" i="19" s="1"/>
  <c r="BV109" i="19" s="1"/>
  <c r="BV110" i="19" s="1"/>
  <c r="M23" i="19"/>
  <c r="G23" i="19"/>
  <c r="BU103" i="19" s="1"/>
  <c r="BU104" i="19" s="1"/>
  <c r="BU105" i="19" s="1"/>
  <c r="BU106" i="19" s="1"/>
  <c r="BU107" i="19" s="1"/>
  <c r="BU108" i="19" s="1"/>
  <c r="BR22" i="19"/>
  <c r="BI22" i="19"/>
  <c r="AS22" i="19"/>
  <c r="AM22" i="19"/>
  <c r="BW99" i="19" s="1"/>
  <c r="BW100" i="19" s="1"/>
  <c r="BW101" i="19" s="1"/>
  <c r="BW102" i="19" s="1"/>
  <c r="BW103" i="19" s="1"/>
  <c r="BW104" i="19" s="1"/>
  <c r="AE22" i="19"/>
  <c r="W22" i="19"/>
  <c r="BV99" i="19" s="1"/>
  <c r="BV100" i="19" s="1"/>
  <c r="BV101" i="19" s="1"/>
  <c r="BV102" i="19" s="1"/>
  <c r="BV103" i="19" s="1"/>
  <c r="BV104" i="19" s="1"/>
  <c r="M22" i="19"/>
  <c r="G22" i="19"/>
  <c r="BU97" i="19" s="1"/>
  <c r="BU98" i="19" s="1"/>
  <c r="BU99" i="19" s="1"/>
  <c r="BU100" i="19" s="1"/>
  <c r="BU101" i="19" s="1"/>
  <c r="BU102" i="19" s="1"/>
  <c r="BR21" i="19"/>
  <c r="BI21" i="19"/>
  <c r="AS21" i="19"/>
  <c r="AM21" i="19"/>
  <c r="BW93" i="19" s="1"/>
  <c r="BW94" i="19" s="1"/>
  <c r="BW95" i="19" s="1"/>
  <c r="BW96" i="19" s="1"/>
  <c r="BW97" i="19" s="1"/>
  <c r="BW98" i="19" s="1"/>
  <c r="AE21" i="19"/>
  <c r="W21" i="19"/>
  <c r="BV93" i="19" s="1"/>
  <c r="BV94" i="19" s="1"/>
  <c r="BV95" i="19" s="1"/>
  <c r="BV96" i="19" s="1"/>
  <c r="BV97" i="19" s="1"/>
  <c r="BV98" i="19" s="1"/>
  <c r="M21" i="19"/>
  <c r="G21" i="19"/>
  <c r="BU91" i="19" s="1"/>
  <c r="BU92" i="19" s="1"/>
  <c r="BU93" i="19" s="1"/>
  <c r="BU94" i="19" s="1"/>
  <c r="BU95" i="19" s="1"/>
  <c r="BU96" i="19" s="1"/>
  <c r="BR20" i="19"/>
  <c r="BI20" i="19"/>
  <c r="AS20" i="19"/>
  <c r="AM20" i="19"/>
  <c r="BW87" i="19" s="1"/>
  <c r="BW88" i="19" s="1"/>
  <c r="BW89" i="19" s="1"/>
  <c r="BW90" i="19" s="1"/>
  <c r="BW91" i="19" s="1"/>
  <c r="BW92" i="19" s="1"/>
  <c r="AE20" i="19"/>
  <c r="W20" i="19"/>
  <c r="BV87" i="19" s="1"/>
  <c r="BV88" i="19" s="1"/>
  <c r="BV89" i="19" s="1"/>
  <c r="BV90" i="19" s="1"/>
  <c r="BV91" i="19" s="1"/>
  <c r="BV92" i="19" s="1"/>
  <c r="M20" i="19"/>
  <c r="G20" i="19"/>
  <c r="BU85" i="19" s="1"/>
  <c r="BU86" i="19" s="1"/>
  <c r="BU87" i="19" s="1"/>
  <c r="BU88" i="19" s="1"/>
  <c r="BU89" i="19" s="1"/>
  <c r="BU90" i="19" s="1"/>
  <c r="BR19" i="19"/>
  <c r="BI19" i="19"/>
  <c r="AS19" i="19"/>
  <c r="AM19" i="19"/>
  <c r="BW81" i="19" s="1"/>
  <c r="BW82" i="19" s="1"/>
  <c r="BW83" i="19" s="1"/>
  <c r="BW84" i="19" s="1"/>
  <c r="BW85" i="19" s="1"/>
  <c r="BW86" i="19" s="1"/>
  <c r="AE19" i="19"/>
  <c r="W19" i="19"/>
  <c r="BV81" i="19" s="1"/>
  <c r="BV82" i="19" s="1"/>
  <c r="BV83" i="19" s="1"/>
  <c r="BV84" i="19" s="1"/>
  <c r="BV85" i="19" s="1"/>
  <c r="BV86" i="19" s="1"/>
  <c r="M19" i="19"/>
  <c r="G19" i="19"/>
  <c r="BU79" i="19" s="1"/>
  <c r="BU80" i="19" s="1"/>
  <c r="BU81" i="19" s="1"/>
  <c r="BU82" i="19" s="1"/>
  <c r="BU83" i="19" s="1"/>
  <c r="BU84" i="19" s="1"/>
  <c r="BR18" i="19"/>
  <c r="BI18" i="19"/>
  <c r="AS18" i="19"/>
  <c r="AM18" i="19"/>
  <c r="BW75" i="19" s="1"/>
  <c r="BW76" i="19" s="1"/>
  <c r="BW77" i="19" s="1"/>
  <c r="BW78" i="19" s="1"/>
  <c r="BW79" i="19" s="1"/>
  <c r="BW80" i="19" s="1"/>
  <c r="AE18" i="19"/>
  <c r="W18" i="19"/>
  <c r="BV75" i="19" s="1"/>
  <c r="BV76" i="19" s="1"/>
  <c r="BV77" i="19" s="1"/>
  <c r="BV78" i="19" s="1"/>
  <c r="BV79" i="19" s="1"/>
  <c r="BV80" i="19" s="1"/>
  <c r="M18" i="19"/>
  <c r="G18" i="19"/>
  <c r="BU73" i="19" s="1"/>
  <c r="BU74" i="19" s="1"/>
  <c r="BU75" i="19" s="1"/>
  <c r="BU76" i="19" s="1"/>
  <c r="BU77" i="19" s="1"/>
  <c r="BU78" i="19" s="1"/>
  <c r="BR17" i="19"/>
  <c r="BI17" i="19"/>
  <c r="AS17" i="19"/>
  <c r="AM17" i="19"/>
  <c r="BW69" i="19" s="1"/>
  <c r="BW70" i="19" s="1"/>
  <c r="BW71" i="19" s="1"/>
  <c r="BW72" i="19" s="1"/>
  <c r="BW73" i="19" s="1"/>
  <c r="BW74" i="19" s="1"/>
  <c r="AE17" i="19"/>
  <c r="W17" i="19"/>
  <c r="BV69" i="19" s="1"/>
  <c r="BV70" i="19" s="1"/>
  <c r="BV71" i="19" s="1"/>
  <c r="BV72" i="19" s="1"/>
  <c r="BV73" i="19" s="1"/>
  <c r="BV74" i="19" s="1"/>
  <c r="M17" i="19"/>
  <c r="G17" i="19"/>
  <c r="BU67" i="19" s="1"/>
  <c r="BU68" i="19" s="1"/>
  <c r="BU69" i="19" s="1"/>
  <c r="BU70" i="19" s="1"/>
  <c r="BU71" i="19" s="1"/>
  <c r="BU72" i="19" s="1"/>
  <c r="BR16" i="19"/>
  <c r="BI16" i="19"/>
  <c r="AS16" i="19"/>
  <c r="AM16" i="19"/>
  <c r="BW63" i="19" s="1"/>
  <c r="BW64" i="19" s="1"/>
  <c r="BW65" i="19" s="1"/>
  <c r="BW66" i="19" s="1"/>
  <c r="BW67" i="19" s="1"/>
  <c r="BW68" i="19" s="1"/>
  <c r="AE16" i="19"/>
  <c r="W16" i="19"/>
  <c r="BV63" i="19" s="1"/>
  <c r="BV64" i="19" s="1"/>
  <c r="BV65" i="19" s="1"/>
  <c r="BV66" i="19" s="1"/>
  <c r="BV67" i="19" s="1"/>
  <c r="BV68" i="19" s="1"/>
  <c r="M16" i="19"/>
  <c r="G16" i="19"/>
  <c r="BU61" i="19" s="1"/>
  <c r="BU62" i="19" s="1"/>
  <c r="BU63" i="19" s="1"/>
  <c r="BU64" i="19" s="1"/>
  <c r="BU65" i="19" s="1"/>
  <c r="BU66" i="19" s="1"/>
  <c r="BR15" i="19"/>
  <c r="BI15" i="19"/>
  <c r="AS15" i="19"/>
  <c r="AM15" i="19"/>
  <c r="BW57" i="19" s="1"/>
  <c r="BW58" i="19" s="1"/>
  <c r="BW59" i="19" s="1"/>
  <c r="BW60" i="19" s="1"/>
  <c r="BW61" i="19" s="1"/>
  <c r="BW62" i="19" s="1"/>
  <c r="AE15" i="19"/>
  <c r="W15" i="19"/>
  <c r="BV57" i="19" s="1"/>
  <c r="BV58" i="19" s="1"/>
  <c r="BV59" i="19" s="1"/>
  <c r="BV60" i="19" s="1"/>
  <c r="BV61" i="19" s="1"/>
  <c r="BV62" i="19" s="1"/>
  <c r="M15" i="19"/>
  <c r="G15" i="19"/>
  <c r="BU55" i="19" s="1"/>
  <c r="BU56" i="19" s="1"/>
  <c r="BU57" i="19" s="1"/>
  <c r="BU58" i="19" s="1"/>
  <c r="BU59" i="19" s="1"/>
  <c r="BU60" i="19" s="1"/>
  <c r="BR14" i="19"/>
  <c r="BI14" i="19"/>
  <c r="AS14" i="19"/>
  <c r="AM14" i="19"/>
  <c r="BW51" i="19" s="1"/>
  <c r="BW52" i="19" s="1"/>
  <c r="BW53" i="19" s="1"/>
  <c r="BW54" i="19" s="1"/>
  <c r="BW55" i="19" s="1"/>
  <c r="BW56" i="19" s="1"/>
  <c r="AE14" i="19"/>
  <c r="W14" i="19"/>
  <c r="BV51" i="19" s="1"/>
  <c r="BV52" i="19" s="1"/>
  <c r="BV53" i="19" s="1"/>
  <c r="BV54" i="19" s="1"/>
  <c r="BV55" i="19" s="1"/>
  <c r="BV56" i="19" s="1"/>
  <c r="M14" i="19"/>
  <c r="G14" i="19"/>
  <c r="BU49" i="19" s="1"/>
  <c r="BU50" i="19" s="1"/>
  <c r="BU51" i="19" s="1"/>
  <c r="BU52" i="19" s="1"/>
  <c r="BU53" i="19" s="1"/>
  <c r="BU54" i="19" s="1"/>
  <c r="BR13" i="19"/>
  <c r="BI13" i="19"/>
  <c r="AS13" i="19"/>
  <c r="AM13" i="19"/>
  <c r="BW45" i="19" s="1"/>
  <c r="BW46" i="19" s="1"/>
  <c r="BW47" i="19" s="1"/>
  <c r="BW48" i="19" s="1"/>
  <c r="BW49" i="19" s="1"/>
  <c r="BW50" i="19" s="1"/>
  <c r="AE13" i="19"/>
  <c r="W13" i="19"/>
  <c r="BV45" i="19" s="1"/>
  <c r="BV46" i="19" s="1"/>
  <c r="BV47" i="19" s="1"/>
  <c r="BV48" i="19" s="1"/>
  <c r="BV49" i="19" s="1"/>
  <c r="BV50" i="19" s="1"/>
  <c r="M13" i="19"/>
  <c r="G13" i="19"/>
  <c r="BU43" i="19" s="1"/>
  <c r="BU44" i="19" s="1"/>
  <c r="BU45" i="19" s="1"/>
  <c r="BU46" i="19" s="1"/>
  <c r="BU47" i="19" s="1"/>
  <c r="BU48" i="19" s="1"/>
  <c r="BR12" i="19"/>
  <c r="BI12" i="19"/>
  <c r="AS12" i="19"/>
  <c r="AM12" i="19"/>
  <c r="BW39" i="19" s="1"/>
  <c r="BW40" i="19" s="1"/>
  <c r="BW41" i="19" s="1"/>
  <c r="BW42" i="19" s="1"/>
  <c r="BW43" i="19" s="1"/>
  <c r="BW44" i="19" s="1"/>
  <c r="AE12" i="19"/>
  <c r="W12" i="19"/>
  <c r="BV39" i="19" s="1"/>
  <c r="BV40" i="19" s="1"/>
  <c r="BV41" i="19" s="1"/>
  <c r="BV42" i="19" s="1"/>
  <c r="BV43" i="19" s="1"/>
  <c r="BV44" i="19" s="1"/>
  <c r="M12" i="19"/>
  <c r="G12" i="19"/>
  <c r="BU37" i="19" s="1"/>
  <c r="BU38" i="19" s="1"/>
  <c r="BU39" i="19" s="1"/>
  <c r="BU40" i="19" s="1"/>
  <c r="BU41" i="19" s="1"/>
  <c r="BU42" i="19" s="1"/>
  <c r="BR11" i="19"/>
  <c r="BI11" i="19"/>
  <c r="AS11" i="19"/>
  <c r="AM11" i="19"/>
  <c r="BW33" i="19" s="1"/>
  <c r="BW34" i="19" s="1"/>
  <c r="BW35" i="19" s="1"/>
  <c r="BW36" i="19" s="1"/>
  <c r="BW37" i="19" s="1"/>
  <c r="BW38" i="19" s="1"/>
  <c r="AE11" i="19"/>
  <c r="W11" i="19"/>
  <c r="BV33" i="19" s="1"/>
  <c r="BV34" i="19" s="1"/>
  <c r="BV35" i="19" s="1"/>
  <c r="BV36" i="19" s="1"/>
  <c r="BV37" i="19" s="1"/>
  <c r="BV38" i="19" s="1"/>
  <c r="M11" i="19"/>
  <c r="G11" i="19"/>
  <c r="BU31" i="19" s="1"/>
  <c r="BU32" i="19" s="1"/>
  <c r="BU33" i="19" s="1"/>
  <c r="BU34" i="19" s="1"/>
  <c r="BU35" i="19" s="1"/>
  <c r="BU36" i="19" s="1"/>
  <c r="BR10" i="19"/>
  <c r="BI10" i="19"/>
  <c r="AS10" i="19"/>
  <c r="AM10" i="19"/>
  <c r="BW27" i="19" s="1"/>
  <c r="BW28" i="19" s="1"/>
  <c r="BW29" i="19" s="1"/>
  <c r="BW30" i="19" s="1"/>
  <c r="BW31" i="19" s="1"/>
  <c r="BW32" i="19" s="1"/>
  <c r="AE10" i="19"/>
  <c r="W10" i="19"/>
  <c r="BV27" i="19" s="1"/>
  <c r="BV28" i="19" s="1"/>
  <c r="BV29" i="19" s="1"/>
  <c r="BV30" i="19" s="1"/>
  <c r="BV31" i="19" s="1"/>
  <c r="BV32" i="19" s="1"/>
  <c r="M10" i="19"/>
  <c r="G10" i="19"/>
  <c r="BU25" i="19" s="1"/>
  <c r="BU26" i="19" s="1"/>
  <c r="BU27" i="19" s="1"/>
  <c r="BU28" i="19" s="1"/>
  <c r="BU29" i="19" s="1"/>
  <c r="BU30" i="19" s="1"/>
  <c r="BU9" i="19"/>
  <c r="BU10" i="19" s="1"/>
  <c r="BU11" i="19" s="1"/>
  <c r="BU12" i="19" s="1"/>
  <c r="BR9" i="19"/>
  <c r="BI9" i="19"/>
  <c r="AS9" i="19"/>
  <c r="AM9" i="19"/>
  <c r="BW21" i="19" s="1"/>
  <c r="BW22" i="19" s="1"/>
  <c r="BW23" i="19" s="1"/>
  <c r="BW24" i="19" s="1"/>
  <c r="BW25" i="19" s="1"/>
  <c r="BW26" i="19" s="1"/>
  <c r="AE9" i="19"/>
  <c r="W9" i="19"/>
  <c r="BV21" i="19" s="1"/>
  <c r="BV22" i="19" s="1"/>
  <c r="BV23" i="19" s="1"/>
  <c r="BV24" i="19" s="1"/>
  <c r="BV25" i="19" s="1"/>
  <c r="BV26" i="19" s="1"/>
  <c r="M9" i="19"/>
  <c r="G9" i="19"/>
  <c r="BU19" i="19" s="1"/>
  <c r="BU20" i="19" s="1"/>
  <c r="BU21" i="19" s="1"/>
  <c r="BU22" i="19" s="1"/>
  <c r="BU23" i="19" s="1"/>
  <c r="BU24" i="19" s="1"/>
  <c r="BW8" i="19"/>
  <c r="BV8" i="19"/>
  <c r="BU8" i="19"/>
  <c r="BR8" i="19"/>
  <c r="BI8" i="19"/>
  <c r="AS8" i="19"/>
  <c r="AM8" i="19"/>
  <c r="BW15" i="19" s="1"/>
  <c r="BW16" i="19" s="1"/>
  <c r="BW17" i="19" s="1"/>
  <c r="BW18" i="19" s="1"/>
  <c r="BW19" i="19" s="1"/>
  <c r="BW20" i="19" s="1"/>
  <c r="AE8" i="19"/>
  <c r="W8" i="19"/>
  <c r="BV15" i="19" s="1"/>
  <c r="BV16" i="19" s="1"/>
  <c r="BV17" i="19" s="1"/>
  <c r="BV18" i="19" s="1"/>
  <c r="BV19" i="19" s="1"/>
  <c r="BV20" i="19" s="1"/>
  <c r="M8" i="19"/>
  <c r="G8" i="19"/>
  <c r="BU13" i="19" s="1"/>
  <c r="BU14" i="19" s="1"/>
  <c r="BU15" i="19" s="1"/>
  <c r="BU16" i="19" s="1"/>
  <c r="BU17" i="19" s="1"/>
  <c r="BU18" i="19" s="1"/>
  <c r="BR7" i="19"/>
  <c r="BI7" i="19"/>
  <c r="AS7" i="19"/>
  <c r="AM7" i="19"/>
  <c r="BW9" i="19" s="1"/>
  <c r="BW10" i="19" s="1"/>
  <c r="BW11" i="19" s="1"/>
  <c r="BW12" i="19" s="1"/>
  <c r="BW13" i="19" s="1"/>
  <c r="BW14" i="19" s="1"/>
  <c r="AE7" i="19"/>
  <c r="W7" i="19"/>
  <c r="BV9" i="19" s="1"/>
  <c r="BV10" i="19" s="1"/>
  <c r="BV11" i="19" s="1"/>
  <c r="BV12" i="19" s="1"/>
  <c r="BV13" i="19" s="1"/>
  <c r="BV14" i="19" s="1"/>
  <c r="M7" i="19"/>
  <c r="G7" i="19"/>
  <c r="F37" i="8" l="1"/>
  <c r="F38" i="8"/>
  <c r="F39" i="8"/>
  <c r="F33" i="8"/>
  <c r="F34" i="8"/>
  <c r="C38" i="9"/>
  <c r="D31" i="8" s="1"/>
  <c r="B38" i="9"/>
  <c r="E31" i="8" s="1"/>
  <c r="M26" i="11"/>
  <c r="F31" i="8" l="1"/>
  <c r="L9" i="17"/>
  <c r="Q27" i="17"/>
  <c r="M18" i="15" s="1"/>
  <c r="BV25" i="15" s="1"/>
  <c r="BV26" i="15" s="1"/>
  <c r="BV27" i="15" s="1"/>
  <c r="BV28" i="15" s="1"/>
  <c r="J27" i="17"/>
  <c r="L18" i="15" s="1"/>
  <c r="BQ25" i="15" s="1"/>
  <c r="BQ26" i="15" s="1"/>
  <c r="BQ27" i="15" s="1"/>
  <c r="BQ28" i="15" s="1"/>
  <c r="I23" i="17"/>
  <c r="N17" i="17"/>
  <c r="H16" i="17"/>
  <c r="H15" i="17"/>
  <c r="S15" i="17" s="1"/>
  <c r="E10" i="18" s="1"/>
  <c r="H14" i="17"/>
  <c r="T14" i="17" s="1"/>
  <c r="G12" i="17"/>
  <c r="T12" i="17" s="1"/>
  <c r="L10" i="17"/>
  <c r="E7" i="17"/>
  <c r="E6" i="17"/>
  <c r="CR81" i="15"/>
  <c r="CQ81" i="15"/>
  <c r="CR80" i="15"/>
  <c r="CQ80" i="15"/>
  <c r="CR79" i="15"/>
  <c r="CQ79" i="15"/>
  <c r="CR78" i="15"/>
  <c r="CQ78" i="15"/>
  <c r="CR77" i="15"/>
  <c r="CQ77" i="15"/>
  <c r="CR76" i="15"/>
  <c r="CQ76" i="15"/>
  <c r="B13" i="15"/>
  <c r="C12" i="15"/>
  <c r="D12" i="15" s="1"/>
  <c r="B11" i="15"/>
  <c r="P10" i="15"/>
  <c r="B10" i="15"/>
  <c r="C7" i="15"/>
  <c r="C11" i="15" s="1"/>
  <c r="BG25" i="14"/>
  <c r="BB25" i="14"/>
  <c r="AW25" i="14"/>
  <c r="AR25" i="14"/>
  <c r="AM25" i="14"/>
  <c r="S25" i="14"/>
  <c r="CK25" i="14"/>
  <c r="CK26" i="14" s="1"/>
  <c r="CK27" i="14" s="1"/>
  <c r="CK28" i="14" s="1"/>
  <c r="CF25" i="14"/>
  <c r="CA25" i="14"/>
  <c r="BV25" i="14"/>
  <c r="BQ25" i="14"/>
  <c r="BL25" i="14"/>
  <c r="AH25" i="14"/>
  <c r="AC25" i="14"/>
  <c r="X25" i="14"/>
  <c r="B13" i="14"/>
  <c r="C12" i="14"/>
  <c r="D12" i="14" s="1"/>
  <c r="B11" i="14"/>
  <c r="P10" i="14"/>
  <c r="B10" i="14"/>
  <c r="C7" i="14"/>
  <c r="C10" i="14" s="1"/>
  <c r="F10" i="18" l="1"/>
  <c r="CS80" i="15"/>
  <c r="E8" i="17"/>
  <c r="CK29" i="14"/>
  <c r="CK30" i="14" s="1"/>
  <c r="CK31" i="14" s="1"/>
  <c r="P19" i="14"/>
  <c r="C11" i="14"/>
  <c r="C13" i="14"/>
  <c r="D7" i="14"/>
  <c r="D11" i="14" s="1"/>
  <c r="CS77" i="15"/>
  <c r="C13" i="15"/>
  <c r="CS79" i="15"/>
  <c r="L11" i="17"/>
  <c r="L27" i="17" s="1"/>
  <c r="S14" i="17"/>
  <c r="E12" i="14"/>
  <c r="D13" i="14"/>
  <c r="BQ29" i="15"/>
  <c r="BQ30" i="15" s="1"/>
  <c r="BQ31" i="15" s="1"/>
  <c r="BQ32" i="15" s="1"/>
  <c r="BQ33" i="15" s="1"/>
  <c r="BQ34" i="15" s="1"/>
  <c r="BQ35" i="15" s="1"/>
  <c r="BQ36" i="15" s="1"/>
  <c r="BQ37" i="15" s="1"/>
  <c r="BQ38" i="15" s="1"/>
  <c r="BQ39" i="15" s="1"/>
  <c r="BQ40" i="15" s="1"/>
  <c r="BQ41" i="15" s="1"/>
  <c r="BQ42" i="15" s="1"/>
  <c r="BQ43" i="15" s="1"/>
  <c r="BQ44" i="15" s="1"/>
  <c r="BQ45" i="15" s="1"/>
  <c r="BQ46" i="15" s="1"/>
  <c r="BQ47" i="15" s="1"/>
  <c r="BQ48" i="15" s="1"/>
  <c r="BQ49" i="15" s="1"/>
  <c r="BQ50" i="15" s="1"/>
  <c r="BQ51" i="15" s="1"/>
  <c r="BQ52" i="15" s="1"/>
  <c r="BQ53" i="15" s="1"/>
  <c r="BQ54" i="15" s="1"/>
  <c r="BQ55" i="15" s="1"/>
  <c r="BQ56" i="15" s="1"/>
  <c r="BQ57" i="15" s="1"/>
  <c r="BQ58" i="15" s="1"/>
  <c r="BQ59" i="15" s="1"/>
  <c r="BQ60" i="15" s="1"/>
  <c r="BQ61" i="15" s="1"/>
  <c r="BQ62" i="15" s="1"/>
  <c r="BQ63" i="15" s="1"/>
  <c r="BQ64" i="15" s="1"/>
  <c r="BQ65" i="15" s="1"/>
  <c r="BQ66" i="15" s="1"/>
  <c r="BQ67" i="15" s="1"/>
  <c r="L19" i="15"/>
  <c r="BV29" i="15"/>
  <c r="BV30" i="15" s="1"/>
  <c r="BV31" i="15" s="1"/>
  <c r="BV32" i="15" s="1"/>
  <c r="BV33" i="15" s="1"/>
  <c r="BV34" i="15" s="1"/>
  <c r="BV35" i="15" s="1"/>
  <c r="BV36" i="15" s="1"/>
  <c r="BV37" i="15" s="1"/>
  <c r="BV38" i="15" s="1"/>
  <c r="BV39" i="15" s="1"/>
  <c r="BV40" i="15" s="1"/>
  <c r="BV41" i="15" s="1"/>
  <c r="BV42" i="15" s="1"/>
  <c r="BV43" i="15" s="1"/>
  <c r="BV44" i="15" s="1"/>
  <c r="BV45" i="15" s="1"/>
  <c r="BV46" i="15" s="1"/>
  <c r="BV47" i="15" s="1"/>
  <c r="BV48" i="15" s="1"/>
  <c r="BV49" i="15" s="1"/>
  <c r="BV50" i="15" s="1"/>
  <c r="BV51" i="15" s="1"/>
  <c r="BV52" i="15" s="1"/>
  <c r="BV53" i="15" s="1"/>
  <c r="BV54" i="15" s="1"/>
  <c r="BV55" i="15" s="1"/>
  <c r="BV56" i="15" s="1"/>
  <c r="BV57" i="15" s="1"/>
  <c r="BV58" i="15" s="1"/>
  <c r="BV59" i="15" s="1"/>
  <c r="BV60" i="15" s="1"/>
  <c r="BV61" i="15" s="1"/>
  <c r="BV62" i="15" s="1"/>
  <c r="BV63" i="15" s="1"/>
  <c r="BV64" i="15" s="1"/>
  <c r="BV65" i="15" s="1"/>
  <c r="BV66" i="15" s="1"/>
  <c r="BV67" i="15" s="1"/>
  <c r="M19" i="15"/>
  <c r="E12" i="15"/>
  <c r="D13" i="15"/>
  <c r="C10" i="15"/>
  <c r="D7" i="15"/>
  <c r="CS76" i="15"/>
  <c r="CS81" i="15"/>
  <c r="T16" i="17"/>
  <c r="S16" i="17"/>
  <c r="G11" i="18"/>
  <c r="E27" i="17"/>
  <c r="F6" i="17"/>
  <c r="F7" i="17"/>
  <c r="I27" i="17"/>
  <c r="F8" i="17"/>
  <c r="T8" i="17" s="1"/>
  <c r="T9" i="17"/>
  <c r="S9" i="17"/>
  <c r="F9" i="18"/>
  <c r="E9" i="18"/>
  <c r="D9" i="18"/>
  <c r="J9" i="18"/>
  <c r="H9" i="18"/>
  <c r="G9" i="18"/>
  <c r="I9" i="18"/>
  <c r="D25" i="18"/>
  <c r="G13" i="17"/>
  <c r="D10" i="18"/>
  <c r="J10" i="18"/>
  <c r="I10" i="18"/>
  <c r="H10" i="18"/>
  <c r="G10" i="18"/>
  <c r="CS78" i="15"/>
  <c r="S12" i="17"/>
  <c r="F7" i="18" s="1"/>
  <c r="T15" i="17"/>
  <c r="M10" i="17"/>
  <c r="T10" i="17" s="1"/>
  <c r="N27" i="17"/>
  <c r="A25" i="14" l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D10" i="14"/>
  <c r="R25" i="14"/>
  <c r="E7" i="14"/>
  <c r="E11" i="14" s="1"/>
  <c r="M11" i="17"/>
  <c r="T11" i="17" s="1"/>
  <c r="T7" i="17"/>
  <c r="S10" i="17"/>
  <c r="E20" i="18" s="1"/>
  <c r="H13" i="17"/>
  <c r="T13" i="17" s="1"/>
  <c r="B18" i="15"/>
  <c r="S25" i="15" s="1"/>
  <c r="S26" i="15" s="1"/>
  <c r="S27" i="15" s="1"/>
  <c r="S28" i="15" s="1"/>
  <c r="D10" i="15"/>
  <c r="E7" i="15"/>
  <c r="R25" i="15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D11" i="15"/>
  <c r="F12" i="15"/>
  <c r="E13" i="15"/>
  <c r="S8" i="17"/>
  <c r="E6" i="18" s="1"/>
  <c r="S7" i="17"/>
  <c r="G27" i="17"/>
  <c r="F27" i="17"/>
  <c r="C18" i="15"/>
  <c r="X25" i="15" s="1"/>
  <c r="X26" i="15" s="1"/>
  <c r="X27" i="15" s="1"/>
  <c r="X28" i="15" s="1"/>
  <c r="I25" i="18"/>
  <c r="H25" i="18"/>
  <c r="G25" i="18"/>
  <c r="F25" i="18"/>
  <c r="E25" i="18"/>
  <c r="J25" i="18"/>
  <c r="T6" i="17"/>
  <c r="J7" i="18"/>
  <c r="I7" i="18"/>
  <c r="G7" i="18"/>
  <c r="H7" i="18"/>
  <c r="E7" i="18"/>
  <c r="D7" i="18"/>
  <c r="S6" i="17"/>
  <c r="E4" i="18" s="1"/>
  <c r="J11" i="18"/>
  <c r="I11" i="18"/>
  <c r="H11" i="18"/>
  <c r="F11" i="18"/>
  <c r="E11" i="18"/>
  <c r="D11" i="18"/>
  <c r="E13" i="14"/>
  <c r="F12" i="14"/>
  <c r="G18" i="15"/>
  <c r="AR25" i="15" s="1"/>
  <c r="AR26" i="15" s="1"/>
  <c r="AR27" i="15" s="1"/>
  <c r="AR28" i="15" s="1"/>
  <c r="J18" i="15"/>
  <c r="BG25" i="15" s="1"/>
  <c r="BG26" i="15" s="1"/>
  <c r="BG27" i="15" s="1"/>
  <c r="BG28" i="15" s="1"/>
  <c r="F7" i="14"/>
  <c r="E10" i="14" l="1"/>
  <c r="R26" i="14"/>
  <c r="AE25" i="14"/>
  <c r="BX25" i="14"/>
  <c r="BW25" i="14" s="1"/>
  <c r="BN25" i="14"/>
  <c r="BM25" i="14" s="1"/>
  <c r="U25" i="14"/>
  <c r="T25" i="14" s="1"/>
  <c r="AY25" i="14"/>
  <c r="AX25" i="14" s="1"/>
  <c r="BD25" i="14"/>
  <c r="BC25" i="14" s="1"/>
  <c r="AJ25" i="14"/>
  <c r="BS25" i="14"/>
  <c r="CM25" i="14"/>
  <c r="Z25" i="14"/>
  <c r="Y25" i="14" s="1"/>
  <c r="AT25" i="14"/>
  <c r="AS25" i="14" s="1"/>
  <c r="BI25" i="14"/>
  <c r="BH25" i="14" s="1"/>
  <c r="Q25" i="14"/>
  <c r="AO25" i="14"/>
  <c r="AN25" i="14" s="1"/>
  <c r="CH25" i="14"/>
  <c r="CC25" i="14"/>
  <c r="S13" i="17"/>
  <c r="F8" i="18" s="1"/>
  <c r="M17" i="17"/>
  <c r="O17" i="17" s="1"/>
  <c r="S11" i="17"/>
  <c r="F21" i="18" s="1"/>
  <c r="M22" i="17"/>
  <c r="M26" i="17"/>
  <c r="M18" i="17"/>
  <c r="O18" i="17" s="1"/>
  <c r="T18" i="17" s="1"/>
  <c r="M24" i="17"/>
  <c r="P24" i="17" s="1"/>
  <c r="T24" i="17" s="1"/>
  <c r="I6" i="18"/>
  <c r="H6" i="18"/>
  <c r="J6" i="18"/>
  <c r="G6" i="18"/>
  <c r="F6" i="18"/>
  <c r="D6" i="18"/>
  <c r="F7" i="15"/>
  <c r="E10" i="15"/>
  <c r="E11" i="15"/>
  <c r="X29" i="15"/>
  <c r="X30" i="15" s="1"/>
  <c r="X31" i="15" s="1"/>
  <c r="X32" i="15" s="1"/>
  <c r="X33" i="15" s="1"/>
  <c r="X34" i="15" s="1"/>
  <c r="X35" i="15" s="1"/>
  <c r="X36" i="15" s="1"/>
  <c r="X37" i="15" s="1"/>
  <c r="X38" i="15" s="1"/>
  <c r="X39" i="15" s="1"/>
  <c r="C19" i="15"/>
  <c r="F5" i="18"/>
  <c r="J5" i="18"/>
  <c r="I5" i="18"/>
  <c r="H5" i="18"/>
  <c r="G5" i="18"/>
  <c r="D5" i="18"/>
  <c r="R26" i="15"/>
  <c r="CM25" i="15"/>
  <c r="CC25" i="15"/>
  <c r="BS25" i="15"/>
  <c r="BR25" i="15" s="1"/>
  <c r="BI25" i="15"/>
  <c r="BH25" i="15" s="1"/>
  <c r="AY25" i="15"/>
  <c r="AO25" i="15"/>
  <c r="AE25" i="15"/>
  <c r="U25" i="15"/>
  <c r="T25" i="15" s="1"/>
  <c r="CH25" i="15"/>
  <c r="BN25" i="15"/>
  <c r="AT25" i="15"/>
  <c r="AS25" i="15" s="1"/>
  <c r="Z25" i="15"/>
  <c r="Y25" i="15" s="1"/>
  <c r="Q25" i="15"/>
  <c r="BD25" i="15"/>
  <c r="AJ25" i="15"/>
  <c r="BX25" i="15"/>
  <c r="BW25" i="15" s="1"/>
  <c r="H21" i="18"/>
  <c r="G21" i="18"/>
  <c r="D21" i="18"/>
  <c r="E21" i="18"/>
  <c r="J20" i="18"/>
  <c r="I20" i="18"/>
  <c r="H20" i="18"/>
  <c r="G20" i="18"/>
  <c r="F20" i="18"/>
  <c r="D20" i="18"/>
  <c r="H4" i="18"/>
  <c r="G4" i="18"/>
  <c r="F4" i="18"/>
  <c r="J4" i="18"/>
  <c r="I4" i="18"/>
  <c r="D4" i="18"/>
  <c r="D18" i="15"/>
  <c r="AC25" i="15" s="1"/>
  <c r="AC26" i="15" s="1"/>
  <c r="AC27" i="15" s="1"/>
  <c r="AC28" i="15" s="1"/>
  <c r="B19" i="15"/>
  <c r="S29" i="15"/>
  <c r="S30" i="15" s="1"/>
  <c r="S31" i="15" s="1"/>
  <c r="S32" i="15" s="1"/>
  <c r="S33" i="15" s="1"/>
  <c r="S34" i="15" s="1"/>
  <c r="S35" i="15" s="1"/>
  <c r="S36" i="15" s="1"/>
  <c r="S37" i="15" s="1"/>
  <c r="S38" i="15" s="1"/>
  <c r="S39" i="15" s="1"/>
  <c r="F11" i="14"/>
  <c r="G7" i="14"/>
  <c r="F10" i="14"/>
  <c r="F18" i="15"/>
  <c r="AM25" i="15" s="1"/>
  <c r="AM26" i="15" s="1"/>
  <c r="AM27" i="15" s="1"/>
  <c r="AM28" i="15" s="1"/>
  <c r="G12" i="15"/>
  <c r="F13" i="15"/>
  <c r="E5" i="18"/>
  <c r="BG29" i="15"/>
  <c r="BG30" i="15" s="1"/>
  <c r="BG31" i="15" s="1"/>
  <c r="BG32" i="15" s="1"/>
  <c r="BG33" i="15" s="1"/>
  <c r="BG34" i="15" s="1"/>
  <c r="BG35" i="15" s="1"/>
  <c r="BG36" i="15" s="1"/>
  <c r="BG37" i="15" s="1"/>
  <c r="BG38" i="15" s="1"/>
  <c r="BG39" i="15" s="1"/>
  <c r="BG40" i="15" s="1"/>
  <c r="BG41" i="15" s="1"/>
  <c r="BG42" i="15" s="1"/>
  <c r="BG43" i="15" s="1"/>
  <c r="BG44" i="15" s="1"/>
  <c r="BG45" i="15" s="1"/>
  <c r="BG46" i="15" s="1"/>
  <c r="BG47" i="15" s="1"/>
  <c r="BG48" i="15" s="1"/>
  <c r="BG49" i="15" s="1"/>
  <c r="BG50" i="15" s="1"/>
  <c r="BG51" i="15" s="1"/>
  <c r="BG52" i="15" s="1"/>
  <c r="BG53" i="15" s="1"/>
  <c r="BG54" i="15" s="1"/>
  <c r="BG55" i="15" s="1"/>
  <c r="BG56" i="15" s="1"/>
  <c r="BG57" i="15" s="1"/>
  <c r="BG58" i="15" s="1"/>
  <c r="BG59" i="15" s="1"/>
  <c r="BG60" i="15" s="1"/>
  <c r="BG61" i="15" s="1"/>
  <c r="J19" i="15"/>
  <c r="G19" i="15"/>
  <c r="AR29" i="15"/>
  <c r="AR30" i="15" s="1"/>
  <c r="AR31" i="15" s="1"/>
  <c r="AR32" i="15" s="1"/>
  <c r="AR33" i="15" s="1"/>
  <c r="AR34" i="15" s="1"/>
  <c r="AR35" i="15" s="1"/>
  <c r="AR36" i="15" s="1"/>
  <c r="AR37" i="15" s="1"/>
  <c r="AR38" i="15" s="1"/>
  <c r="AR39" i="15" s="1"/>
  <c r="AR40" i="15" s="1"/>
  <c r="AR41" i="15" s="1"/>
  <c r="AR42" i="15" s="1"/>
  <c r="AR43" i="15" s="1"/>
  <c r="AR44" i="15" s="1"/>
  <c r="AR45" i="15" s="1"/>
  <c r="AR46" i="15" s="1"/>
  <c r="AR47" i="15" s="1"/>
  <c r="AR48" i="15" s="1"/>
  <c r="AR49" i="15" s="1"/>
  <c r="AR50" i="15" s="1"/>
  <c r="AR51" i="15" s="1"/>
  <c r="F13" i="14"/>
  <c r="G12" i="14"/>
  <c r="G8" i="18"/>
  <c r="H23" i="17"/>
  <c r="H20" i="17"/>
  <c r="H19" i="17"/>
  <c r="H25" i="17"/>
  <c r="H21" i="17"/>
  <c r="E8" i="18"/>
  <c r="D8" i="18"/>
  <c r="N26" i="12"/>
  <c r="E26" i="12"/>
  <c r="I25" i="12"/>
  <c r="I27" i="12" s="1"/>
  <c r="I18" i="11" s="1"/>
  <c r="I19" i="11" s="1"/>
  <c r="E25" i="12"/>
  <c r="M24" i="12"/>
  <c r="M27" i="12" s="1"/>
  <c r="H18" i="11" s="1"/>
  <c r="H19" i="11" s="1"/>
  <c r="E24" i="12"/>
  <c r="H23" i="12"/>
  <c r="P23" i="12" s="1"/>
  <c r="G15" i="13" s="1"/>
  <c r="E23" i="12"/>
  <c r="Q23" i="12" s="1"/>
  <c r="O22" i="12"/>
  <c r="E22" i="12"/>
  <c r="J21" i="12"/>
  <c r="P21" i="12" s="1"/>
  <c r="E21" i="12"/>
  <c r="P20" i="12"/>
  <c r="J20" i="12"/>
  <c r="E20" i="12"/>
  <c r="Q20" i="12" s="1"/>
  <c r="J19" i="12"/>
  <c r="P19" i="12" s="1"/>
  <c r="E19" i="12"/>
  <c r="L18" i="12"/>
  <c r="E18" i="12"/>
  <c r="L17" i="12"/>
  <c r="E17" i="12"/>
  <c r="G16" i="12"/>
  <c r="E16" i="12"/>
  <c r="G15" i="12"/>
  <c r="E15" i="12"/>
  <c r="G14" i="12"/>
  <c r="P14" i="12" s="1"/>
  <c r="E14" i="12"/>
  <c r="Q14" i="12" s="1"/>
  <c r="G13" i="12"/>
  <c r="E13" i="12"/>
  <c r="G12" i="12"/>
  <c r="E12" i="12"/>
  <c r="K11" i="12"/>
  <c r="P11" i="12" s="1"/>
  <c r="E11" i="12"/>
  <c r="K10" i="12"/>
  <c r="P10" i="12" s="1"/>
  <c r="H20" i="13" s="1"/>
  <c r="E10" i="12"/>
  <c r="K9" i="12"/>
  <c r="F8" i="12"/>
  <c r="E8" i="12"/>
  <c r="F7" i="12"/>
  <c r="E7" i="12"/>
  <c r="F6" i="12"/>
  <c r="E6" i="12"/>
  <c r="N27" i="11"/>
  <c r="A27" i="1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BD26" i="11"/>
  <c r="AZ26" i="11"/>
  <c r="AV26" i="11"/>
  <c r="AR26" i="11"/>
  <c r="AN26" i="11"/>
  <c r="AJ26" i="11"/>
  <c r="AF26" i="11"/>
  <c r="AB26" i="11"/>
  <c r="X26" i="11"/>
  <c r="T26" i="11"/>
  <c r="P26" i="11"/>
  <c r="N25" i="11"/>
  <c r="BC23" i="11"/>
  <c r="AY23" i="11"/>
  <c r="AU23" i="11"/>
  <c r="AQ23" i="11"/>
  <c r="AM23" i="11"/>
  <c r="AI23" i="11"/>
  <c r="AE23" i="11"/>
  <c r="AA23" i="11"/>
  <c r="W23" i="11"/>
  <c r="S23" i="11"/>
  <c r="O23" i="11"/>
  <c r="L13" i="11"/>
  <c r="K13" i="11"/>
  <c r="J13" i="11"/>
  <c r="I13" i="11"/>
  <c r="H13" i="11"/>
  <c r="G13" i="11"/>
  <c r="F13" i="11"/>
  <c r="E13" i="11"/>
  <c r="D13" i="11"/>
  <c r="C13" i="11"/>
  <c r="B13" i="11"/>
  <c r="L11" i="11"/>
  <c r="K11" i="11"/>
  <c r="J11" i="11"/>
  <c r="I11" i="11"/>
  <c r="H11" i="11"/>
  <c r="G11" i="11"/>
  <c r="F11" i="11"/>
  <c r="E11" i="11"/>
  <c r="D11" i="11"/>
  <c r="C11" i="11"/>
  <c r="B11" i="11"/>
  <c r="L10" i="11"/>
  <c r="K10" i="11"/>
  <c r="J10" i="11"/>
  <c r="I10" i="11"/>
  <c r="H10" i="11"/>
  <c r="G10" i="11"/>
  <c r="F10" i="11"/>
  <c r="E10" i="11"/>
  <c r="D10" i="11"/>
  <c r="C10" i="11"/>
  <c r="B10" i="11"/>
  <c r="N27" i="10"/>
  <c r="A27" i="10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BD26" i="10"/>
  <c r="AZ26" i="10"/>
  <c r="AV26" i="10"/>
  <c r="AR26" i="10"/>
  <c r="AN26" i="10"/>
  <c r="AJ26" i="10"/>
  <c r="AF26" i="10"/>
  <c r="AB26" i="10"/>
  <c r="X26" i="10"/>
  <c r="T26" i="10"/>
  <c r="P26" i="10"/>
  <c r="A25" i="10"/>
  <c r="N25" i="10" s="1"/>
  <c r="BD25" i="10" s="1"/>
  <c r="BC23" i="10"/>
  <c r="AY23" i="10"/>
  <c r="AU23" i="10"/>
  <c r="AQ23" i="10"/>
  <c r="AM23" i="10"/>
  <c r="AI23" i="10"/>
  <c r="AE23" i="10"/>
  <c r="AA23" i="10"/>
  <c r="W23" i="10"/>
  <c r="S23" i="10"/>
  <c r="O23" i="10"/>
  <c r="L19" i="10"/>
  <c r="K19" i="10"/>
  <c r="J19" i="10"/>
  <c r="I19" i="10"/>
  <c r="H19" i="10"/>
  <c r="G19" i="10"/>
  <c r="F19" i="10"/>
  <c r="E19" i="10"/>
  <c r="D19" i="10"/>
  <c r="C19" i="10"/>
  <c r="B19" i="10"/>
  <c r="L13" i="10"/>
  <c r="K13" i="10"/>
  <c r="J13" i="10"/>
  <c r="I13" i="10"/>
  <c r="H13" i="10"/>
  <c r="G13" i="10"/>
  <c r="F13" i="10"/>
  <c r="E13" i="10"/>
  <c r="D13" i="10"/>
  <c r="C13" i="10"/>
  <c r="B13" i="10"/>
  <c r="L11" i="10"/>
  <c r="K11" i="10"/>
  <c r="J11" i="10"/>
  <c r="I11" i="10"/>
  <c r="H11" i="10"/>
  <c r="G11" i="10"/>
  <c r="F11" i="10"/>
  <c r="E11" i="10"/>
  <c r="D11" i="10"/>
  <c r="C11" i="10"/>
  <c r="B11" i="10"/>
  <c r="L10" i="10"/>
  <c r="K10" i="10"/>
  <c r="J10" i="10"/>
  <c r="I10" i="10"/>
  <c r="H10" i="10"/>
  <c r="G10" i="10"/>
  <c r="F10" i="10"/>
  <c r="E10" i="10"/>
  <c r="D10" i="10"/>
  <c r="C10" i="10"/>
  <c r="B10" i="10"/>
  <c r="J21" i="18" l="1"/>
  <c r="I21" i="18"/>
  <c r="Q17" i="12"/>
  <c r="BR26" i="15"/>
  <c r="AD26" i="15"/>
  <c r="AN26" i="15"/>
  <c r="AS26" i="15"/>
  <c r="Y26" i="15"/>
  <c r="BH26" i="15"/>
  <c r="BW26" i="15"/>
  <c r="AF25" i="14"/>
  <c r="AG25" i="14" s="1"/>
  <c r="CL26" i="14"/>
  <c r="AD25" i="15"/>
  <c r="AF25" i="15" s="1"/>
  <c r="AG25" i="15" s="1"/>
  <c r="F27" i="12"/>
  <c r="C18" i="11" s="1"/>
  <c r="C19" i="11" s="1"/>
  <c r="AP25" i="14"/>
  <c r="AQ25" i="14" s="1"/>
  <c r="BE25" i="14"/>
  <c r="BF25" i="14" s="1"/>
  <c r="CB25" i="14"/>
  <c r="CD25" i="14" s="1"/>
  <c r="CE25" i="14" s="1"/>
  <c r="AN25" i="15"/>
  <c r="Q19" i="12"/>
  <c r="AZ25" i="14"/>
  <c r="BA25" i="14" s="1"/>
  <c r="AI25" i="14"/>
  <c r="AK25" i="14" s="1"/>
  <c r="AL25" i="14" s="1"/>
  <c r="BJ25" i="14"/>
  <c r="BK25" i="14" s="1"/>
  <c r="AD25" i="14"/>
  <c r="AU25" i="14"/>
  <c r="AV25" i="14" s="1"/>
  <c r="BO25" i="14"/>
  <c r="BP25" i="14" s="1"/>
  <c r="BR25" i="14"/>
  <c r="BT25" i="14" s="1"/>
  <c r="BU25" i="14" s="1"/>
  <c r="AA25" i="14"/>
  <c r="AB25" i="14" s="1"/>
  <c r="BY25" i="14"/>
  <c r="BZ25" i="14" s="1"/>
  <c r="CL25" i="14"/>
  <c r="CN25" i="14" s="1"/>
  <c r="CO25" i="14" s="1"/>
  <c r="CG25" i="14"/>
  <c r="CI25" i="14" s="1"/>
  <c r="CJ25" i="14" s="1"/>
  <c r="H27" i="12"/>
  <c r="G18" i="11" s="1"/>
  <c r="G19" i="11" s="1"/>
  <c r="Q9" i="12"/>
  <c r="H13" i="13"/>
  <c r="Q10" i="12"/>
  <c r="L27" i="12"/>
  <c r="F18" i="11" s="1"/>
  <c r="F19" i="11" s="1"/>
  <c r="Q11" i="12"/>
  <c r="I8" i="18"/>
  <c r="H8" i="18"/>
  <c r="J8" i="18"/>
  <c r="M25" i="11"/>
  <c r="AJ25" i="11"/>
  <c r="AK25" i="11" s="1"/>
  <c r="AL25" i="11" s="1"/>
  <c r="M27" i="11"/>
  <c r="X27" i="11"/>
  <c r="AN27" i="11"/>
  <c r="BD27" i="11"/>
  <c r="H12" i="13"/>
  <c r="D12" i="13"/>
  <c r="AB27" i="11"/>
  <c r="AR27" i="11"/>
  <c r="P7" i="12"/>
  <c r="E5" i="13" s="1"/>
  <c r="P15" i="12"/>
  <c r="F10" i="13" s="1"/>
  <c r="P27" i="11"/>
  <c r="AF27" i="11"/>
  <c r="AV27" i="11"/>
  <c r="N28" i="11"/>
  <c r="M28" i="11" s="1"/>
  <c r="Q7" i="12"/>
  <c r="K27" i="12"/>
  <c r="D18" i="11" s="1"/>
  <c r="D19" i="11" s="1"/>
  <c r="P17" i="12"/>
  <c r="H22" i="13" s="1"/>
  <c r="T27" i="11"/>
  <c r="AJ27" i="11"/>
  <c r="AZ27" i="11"/>
  <c r="Q8" i="12"/>
  <c r="P9" i="12"/>
  <c r="H25" i="13" s="1"/>
  <c r="Q15" i="12"/>
  <c r="Q18" i="12"/>
  <c r="Q24" i="12"/>
  <c r="E9" i="13"/>
  <c r="J27" i="12"/>
  <c r="K18" i="11" s="1"/>
  <c r="K19" i="11" s="1"/>
  <c r="P24" i="12"/>
  <c r="H26" i="13" s="1"/>
  <c r="V25" i="14"/>
  <c r="W25" i="14" s="1"/>
  <c r="AC26" i="14"/>
  <c r="AD26" i="14" s="1"/>
  <c r="R27" i="14"/>
  <c r="U26" i="14"/>
  <c r="BV26" i="14"/>
  <c r="BW26" i="14" s="1"/>
  <c r="AT26" i="14"/>
  <c r="CM26" i="14"/>
  <c r="AJ26" i="14"/>
  <c r="CF26" i="14"/>
  <c r="CG26" i="14" s="1"/>
  <c r="CC26" i="14"/>
  <c r="AR26" i="14"/>
  <c r="CA26" i="14"/>
  <c r="CB26" i="14" s="1"/>
  <c r="BS26" i="14"/>
  <c r="AH26" i="14"/>
  <c r="Z26" i="14"/>
  <c r="BG26" i="14"/>
  <c r="X26" i="14"/>
  <c r="Y26" i="14" s="1"/>
  <c r="BI26" i="14"/>
  <c r="BB26" i="14"/>
  <c r="AM26" i="14"/>
  <c r="AN26" i="14" s="1"/>
  <c r="S26" i="14"/>
  <c r="BX26" i="14"/>
  <c r="AY26" i="14"/>
  <c r="BQ26" i="14"/>
  <c r="CH26" i="14"/>
  <c r="BN26" i="14"/>
  <c r="AO26" i="14"/>
  <c r="BD26" i="14"/>
  <c r="AW26" i="14"/>
  <c r="AX26" i="14" s="1"/>
  <c r="Q26" i="14"/>
  <c r="BL26" i="14"/>
  <c r="BM26" i="14" s="1"/>
  <c r="AE26" i="14"/>
  <c r="M27" i="17"/>
  <c r="E18" i="15" s="1"/>
  <c r="AH25" i="15" s="1"/>
  <c r="S18" i="17"/>
  <c r="E23" i="18" s="1"/>
  <c r="S24" i="17"/>
  <c r="E26" i="18" s="1"/>
  <c r="H27" i="17"/>
  <c r="H18" i="15" s="1"/>
  <c r="AW25" i="15" s="1"/>
  <c r="H12" i="14"/>
  <c r="G13" i="14"/>
  <c r="AC29" i="15"/>
  <c r="AC30" i="15" s="1"/>
  <c r="AC31" i="15" s="1"/>
  <c r="AC32" i="15" s="1"/>
  <c r="AC33" i="15" s="1"/>
  <c r="AC34" i="15" s="1"/>
  <c r="AC35" i="15" s="1"/>
  <c r="AC36" i="15" s="1"/>
  <c r="AC37" i="15" s="1"/>
  <c r="AC38" i="15" s="1"/>
  <c r="AC39" i="15" s="1"/>
  <c r="AC40" i="15" s="1"/>
  <c r="AC41" i="15" s="1"/>
  <c r="AC42" i="15" s="1"/>
  <c r="AC43" i="15" s="1"/>
  <c r="AC44" i="15" s="1"/>
  <c r="AC45" i="15" s="1"/>
  <c r="D19" i="15"/>
  <c r="O22" i="17"/>
  <c r="O26" i="17"/>
  <c r="AP25" i="15"/>
  <c r="AQ25" i="15" s="1"/>
  <c r="T17" i="17"/>
  <c r="K21" i="17"/>
  <c r="S21" i="17" s="1"/>
  <c r="S17" i="17"/>
  <c r="G22" i="18" s="1"/>
  <c r="AM29" i="15"/>
  <c r="AM30" i="15" s="1"/>
  <c r="AM31" i="15" s="1"/>
  <c r="AM32" i="15" s="1"/>
  <c r="AM33" i="15" s="1"/>
  <c r="AM34" i="15" s="1"/>
  <c r="AM35" i="15" s="1"/>
  <c r="AM36" i="15" s="1"/>
  <c r="AM37" i="15" s="1"/>
  <c r="AM38" i="15" s="1"/>
  <c r="AM39" i="15" s="1"/>
  <c r="AM40" i="15" s="1"/>
  <c r="AM41" i="15" s="1"/>
  <c r="AM42" i="15" s="1"/>
  <c r="AM43" i="15" s="1"/>
  <c r="AM44" i="15" s="1"/>
  <c r="AM45" i="15" s="1"/>
  <c r="AM46" i="15" s="1"/>
  <c r="AM47" i="15" s="1"/>
  <c r="AM48" i="15" s="1"/>
  <c r="AM49" i="15" s="1"/>
  <c r="AM50" i="15" s="1"/>
  <c r="AM51" i="15" s="1"/>
  <c r="F19" i="15"/>
  <c r="AU25" i="15"/>
  <c r="AV25" i="15" s="1"/>
  <c r="BJ25" i="15"/>
  <c r="BK25" i="15" s="1"/>
  <c r="K19" i="17"/>
  <c r="T19" i="17" s="1"/>
  <c r="F10" i="15"/>
  <c r="G7" i="15"/>
  <c r="F11" i="15"/>
  <c r="K20" i="17"/>
  <c r="S20" i="17" s="1"/>
  <c r="G13" i="18" s="1"/>
  <c r="BY25" i="15"/>
  <c r="BZ25" i="15" s="1"/>
  <c r="V25" i="15"/>
  <c r="W25" i="15" s="1"/>
  <c r="BT25" i="15"/>
  <c r="BU25" i="15" s="1"/>
  <c r="K23" i="17"/>
  <c r="S23" i="17" s="1"/>
  <c r="P22" i="17"/>
  <c r="P26" i="17"/>
  <c r="CR25" i="15"/>
  <c r="CH26" i="15"/>
  <c r="BX26" i="15"/>
  <c r="BY26" i="15" s="1"/>
  <c r="BZ26" i="15" s="1"/>
  <c r="BN26" i="15"/>
  <c r="BD26" i="15"/>
  <c r="AT26" i="15"/>
  <c r="AU26" i="15" s="1"/>
  <c r="AV26" i="15" s="1"/>
  <c r="AJ26" i="15"/>
  <c r="Z26" i="15"/>
  <c r="Q26" i="15"/>
  <c r="R27" i="15"/>
  <c r="CC26" i="15"/>
  <c r="BI26" i="15"/>
  <c r="BJ26" i="15" s="1"/>
  <c r="BK26" i="15" s="1"/>
  <c r="AO26" i="15"/>
  <c r="AP26" i="15" s="1"/>
  <c r="AQ26" i="15" s="1"/>
  <c r="U26" i="15"/>
  <c r="T26" i="15"/>
  <c r="BS26" i="15"/>
  <c r="AY26" i="15"/>
  <c r="AE26" i="15"/>
  <c r="AF26" i="15" s="1"/>
  <c r="AG26" i="15" s="1"/>
  <c r="K25" i="17"/>
  <c r="G11" i="14"/>
  <c r="G10" i="14"/>
  <c r="H7" i="14"/>
  <c r="H12" i="15"/>
  <c r="G13" i="15"/>
  <c r="AA25" i="15"/>
  <c r="AB25" i="15" s="1"/>
  <c r="BI26" i="11"/>
  <c r="BC26" i="10"/>
  <c r="T25" i="10"/>
  <c r="AJ25" i="10"/>
  <c r="AI27" i="10" s="1"/>
  <c r="P25" i="10"/>
  <c r="N28" i="10"/>
  <c r="BD27" i="10"/>
  <c r="AZ27" i="10"/>
  <c r="AV27" i="10"/>
  <c r="AR27" i="10"/>
  <c r="AN27" i="10"/>
  <c r="AJ27" i="10"/>
  <c r="AF27" i="10"/>
  <c r="AB27" i="10"/>
  <c r="AB25" i="10"/>
  <c r="AR25" i="10"/>
  <c r="AZ25" i="10"/>
  <c r="AY26" i="10" s="1"/>
  <c r="X25" i="10"/>
  <c r="AF25" i="10"/>
  <c r="AN25" i="10"/>
  <c r="AM27" i="10" s="1"/>
  <c r="AV25" i="10"/>
  <c r="AU27" i="10" s="1"/>
  <c r="P27" i="10"/>
  <c r="T27" i="10"/>
  <c r="X27" i="10"/>
  <c r="BC27" i="10"/>
  <c r="BD25" i="11"/>
  <c r="AV25" i="11"/>
  <c r="AN25" i="11"/>
  <c r="AM26" i="11" s="1"/>
  <c r="AF25" i="11"/>
  <c r="AE27" i="11" s="1"/>
  <c r="X25" i="11"/>
  <c r="P25" i="11"/>
  <c r="AR25" i="11"/>
  <c r="AQ27" i="11" s="1"/>
  <c r="T25" i="11"/>
  <c r="AZ25" i="11"/>
  <c r="AB25" i="11"/>
  <c r="G27" i="12"/>
  <c r="E18" i="11" s="1"/>
  <c r="E19" i="11" s="1"/>
  <c r="P12" i="12"/>
  <c r="P16" i="12"/>
  <c r="Q16" i="12"/>
  <c r="O27" i="12"/>
  <c r="L18" i="11" s="1"/>
  <c r="L19" i="11" s="1"/>
  <c r="P22" i="12"/>
  <c r="H24" i="13" s="1"/>
  <c r="Q22" i="12"/>
  <c r="E7" i="13"/>
  <c r="E27" i="12"/>
  <c r="B18" i="11" s="1"/>
  <c r="B19" i="11" s="1"/>
  <c r="P8" i="12"/>
  <c r="D6" i="13" s="1"/>
  <c r="P26" i="12"/>
  <c r="G27" i="13" s="1"/>
  <c r="Q26" i="12"/>
  <c r="N27" i="12"/>
  <c r="J18" i="11" s="1"/>
  <c r="J19" i="11" s="1"/>
  <c r="F21" i="13"/>
  <c r="E21" i="13"/>
  <c r="G21" i="13"/>
  <c r="H21" i="13"/>
  <c r="D14" i="13"/>
  <c r="G14" i="13"/>
  <c r="E14" i="13"/>
  <c r="E26" i="13"/>
  <c r="G26" i="13"/>
  <c r="D26" i="13"/>
  <c r="P25" i="12"/>
  <c r="G16" i="13" s="1"/>
  <c r="Q6" i="12"/>
  <c r="P13" i="12"/>
  <c r="E15" i="13"/>
  <c r="H15" i="13"/>
  <c r="D15" i="13"/>
  <c r="F15" i="13"/>
  <c r="F14" i="13"/>
  <c r="D21" i="13"/>
  <c r="P6" i="12"/>
  <c r="D4" i="13" s="1"/>
  <c r="H5" i="13"/>
  <c r="G5" i="13"/>
  <c r="F5" i="13"/>
  <c r="F20" i="13"/>
  <c r="E20" i="13"/>
  <c r="G20" i="13"/>
  <c r="F26" i="13"/>
  <c r="Q25" i="12"/>
  <c r="D20" i="13"/>
  <c r="Q12" i="12"/>
  <c r="Q13" i="12"/>
  <c r="H9" i="13"/>
  <c r="D9" i="13"/>
  <c r="G9" i="13"/>
  <c r="F9" i="13"/>
  <c r="F22" i="13"/>
  <c r="G22" i="13"/>
  <c r="F12" i="13"/>
  <c r="E12" i="13"/>
  <c r="G12" i="13"/>
  <c r="G13" i="13"/>
  <c r="F13" i="13"/>
  <c r="E13" i="13"/>
  <c r="H14" i="13"/>
  <c r="D13" i="13"/>
  <c r="D22" i="13"/>
  <c r="H10" i="13"/>
  <c r="D10" i="13"/>
  <c r="G10" i="13"/>
  <c r="E22" i="13"/>
  <c r="P18" i="12"/>
  <c r="E23" i="13" s="1"/>
  <c r="Q21" i="12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M7" i="9"/>
  <c r="J7" i="9"/>
  <c r="G7" i="9"/>
  <c r="D7" i="9"/>
  <c r="S27" i="11" l="1"/>
  <c r="U27" i="11" s="1"/>
  <c r="V27" i="11" s="1"/>
  <c r="BO26" i="14"/>
  <c r="BP26" i="14" s="1"/>
  <c r="AI27" i="11"/>
  <c r="AK27" i="11" s="1"/>
  <c r="AL27" i="11" s="1"/>
  <c r="BT26" i="15"/>
  <c r="BU26" i="15" s="1"/>
  <c r="AA26" i="15"/>
  <c r="AB26" i="15" s="1"/>
  <c r="AO27" i="10"/>
  <c r="AP27" i="10" s="1"/>
  <c r="F26" i="18"/>
  <c r="AH26" i="15"/>
  <c r="AI25" i="15"/>
  <c r="CI26" i="14"/>
  <c r="CJ26" i="14" s="1"/>
  <c r="AR27" i="14"/>
  <c r="AF26" i="14"/>
  <c r="AG26" i="14" s="1"/>
  <c r="BQ27" i="14"/>
  <c r="BR27" i="14" s="1"/>
  <c r="BG27" i="14"/>
  <c r="BR26" i="14"/>
  <c r="AP26" i="14"/>
  <c r="AQ26" i="14" s="1"/>
  <c r="AS26" i="14"/>
  <c r="AU26" i="14" s="1"/>
  <c r="AV26" i="14" s="1"/>
  <c r="BL27" i="14"/>
  <c r="BM27" i="14" s="1"/>
  <c r="AZ26" i="14"/>
  <c r="BA26" i="14" s="1"/>
  <c r="AA26" i="14"/>
  <c r="AB26" i="14" s="1"/>
  <c r="CN26" i="14"/>
  <c r="CO26" i="14" s="1"/>
  <c r="BH26" i="14"/>
  <c r="BJ26" i="14" s="1"/>
  <c r="BK26" i="14" s="1"/>
  <c r="CD26" i="14"/>
  <c r="CE26" i="14" s="1"/>
  <c r="BY26" i="14"/>
  <c r="BZ26" i="14" s="1"/>
  <c r="AH27" i="14"/>
  <c r="AI26" i="14"/>
  <c r="AK26" i="14" s="1"/>
  <c r="AL26" i="14" s="1"/>
  <c r="BB27" i="14"/>
  <c r="G26" i="18"/>
  <c r="I23" i="18"/>
  <c r="AW27" i="14"/>
  <c r="AX27" i="14" s="1"/>
  <c r="S27" i="14"/>
  <c r="BT26" i="14"/>
  <c r="BU26" i="14" s="1"/>
  <c r="BC26" i="14"/>
  <c r="BE26" i="14" s="1"/>
  <c r="BF26" i="14" s="1"/>
  <c r="BE27" i="10"/>
  <c r="BF27" i="10" s="1"/>
  <c r="D26" i="18"/>
  <c r="AW26" i="15"/>
  <c r="AX25" i="15"/>
  <c r="AZ25" i="15" s="1"/>
  <c r="BA25" i="15" s="1"/>
  <c r="I26" i="18"/>
  <c r="J26" i="18"/>
  <c r="AY27" i="11"/>
  <c r="BA27" i="11" s="1"/>
  <c r="BB27" i="11" s="1"/>
  <c r="AW27" i="10"/>
  <c r="AX27" i="10" s="1"/>
  <c r="D23" i="18"/>
  <c r="T20" i="17"/>
  <c r="J23" i="18"/>
  <c r="F23" i="18"/>
  <c r="G25" i="13"/>
  <c r="P28" i="11"/>
  <c r="BC26" i="11"/>
  <c r="BE26" i="11" s="1"/>
  <c r="BF26" i="11" s="1"/>
  <c r="E25" i="13"/>
  <c r="F25" i="13"/>
  <c r="AV28" i="11"/>
  <c r="AI26" i="10"/>
  <c r="AK26" i="10" s="1"/>
  <c r="AL26" i="10" s="1"/>
  <c r="D25" i="13"/>
  <c r="AF28" i="11"/>
  <c r="AR28" i="11"/>
  <c r="AB28" i="11"/>
  <c r="AN28" i="11"/>
  <c r="X28" i="11"/>
  <c r="W28" i="11"/>
  <c r="AE28" i="11"/>
  <c r="AZ28" i="11"/>
  <c r="AJ28" i="11"/>
  <c r="T28" i="11"/>
  <c r="AI26" i="11"/>
  <c r="AK26" i="11" s="1"/>
  <c r="AL26" i="11" s="1"/>
  <c r="BI27" i="11"/>
  <c r="AU26" i="11"/>
  <c r="AW26" i="11" s="1"/>
  <c r="AX26" i="11" s="1"/>
  <c r="AI28" i="11"/>
  <c r="AS27" i="11"/>
  <c r="AT27" i="11" s="1"/>
  <c r="O26" i="11"/>
  <c r="Q26" i="11" s="1"/>
  <c r="R26" i="11" s="1"/>
  <c r="W26" i="11"/>
  <c r="Y26" i="11" s="1"/>
  <c r="Z26" i="11" s="1"/>
  <c r="AA26" i="11"/>
  <c r="AC26" i="11" s="1"/>
  <c r="AD26" i="11" s="1"/>
  <c r="AG27" i="11"/>
  <c r="AH27" i="11" s="1"/>
  <c r="BD28" i="11"/>
  <c r="N29" i="11"/>
  <c r="D5" i="13"/>
  <c r="AY27" i="10"/>
  <c r="BA27" i="10" s="1"/>
  <c r="BB27" i="10" s="1"/>
  <c r="T21" i="17"/>
  <c r="E10" i="13"/>
  <c r="T26" i="14"/>
  <c r="X27" i="14"/>
  <c r="Y27" i="14" s="1"/>
  <c r="CF27" i="14"/>
  <c r="CG27" i="14" s="1"/>
  <c r="AC27" i="14"/>
  <c r="AD27" i="14" s="1"/>
  <c r="AM27" i="14"/>
  <c r="AN27" i="14" s="1"/>
  <c r="CA27" i="14"/>
  <c r="AI27" i="14"/>
  <c r="BV27" i="14"/>
  <c r="CL27" i="14"/>
  <c r="BD27" i="14"/>
  <c r="BS27" i="14"/>
  <c r="BN27" i="14"/>
  <c r="AE27" i="14"/>
  <c r="AT27" i="14"/>
  <c r="AY27" i="14"/>
  <c r="CM27" i="14"/>
  <c r="CH27" i="14"/>
  <c r="U27" i="14"/>
  <c r="BI27" i="14"/>
  <c r="Z27" i="14"/>
  <c r="CC27" i="14"/>
  <c r="AO27" i="14"/>
  <c r="Q27" i="14"/>
  <c r="AJ27" i="14"/>
  <c r="BX27" i="14"/>
  <c r="R28" i="14"/>
  <c r="AS27" i="14"/>
  <c r="BC27" i="14"/>
  <c r="BH27" i="14"/>
  <c r="T27" i="14"/>
  <c r="H26" i="18"/>
  <c r="T23" i="17"/>
  <c r="S25" i="17"/>
  <c r="G16" i="18" s="1"/>
  <c r="G23" i="18"/>
  <c r="O27" i="17"/>
  <c r="I18" i="15" s="1"/>
  <c r="BB25" i="15" s="1"/>
  <c r="H23" i="18"/>
  <c r="S19" i="17"/>
  <c r="G12" i="18" s="1"/>
  <c r="T25" i="17"/>
  <c r="E15" i="18"/>
  <c r="D15" i="18"/>
  <c r="I15" i="18"/>
  <c r="F15" i="18"/>
  <c r="H15" i="18"/>
  <c r="G15" i="18"/>
  <c r="F14" i="18"/>
  <c r="E14" i="18"/>
  <c r="D14" i="18"/>
  <c r="I14" i="18"/>
  <c r="H14" i="18"/>
  <c r="G14" i="18"/>
  <c r="H10" i="14"/>
  <c r="H11" i="14"/>
  <c r="I7" i="14"/>
  <c r="V26" i="15"/>
  <c r="W26" i="15" s="1"/>
  <c r="D22" i="18"/>
  <c r="H22" i="18"/>
  <c r="J22" i="18"/>
  <c r="I22" i="18"/>
  <c r="F22" i="18"/>
  <c r="E22" i="18"/>
  <c r="J13" i="18"/>
  <c r="I12" i="14"/>
  <c r="H13" i="14"/>
  <c r="H13" i="15"/>
  <c r="I12" i="15"/>
  <c r="F13" i="18"/>
  <c r="E13" i="18"/>
  <c r="D13" i="18"/>
  <c r="I13" i="18"/>
  <c r="H13" i="18"/>
  <c r="BR27" i="15"/>
  <c r="AT27" i="15"/>
  <c r="AD27" i="15"/>
  <c r="CH27" i="15"/>
  <c r="BI27" i="15"/>
  <c r="AS27" i="15"/>
  <c r="U27" i="15"/>
  <c r="BX27" i="15"/>
  <c r="BH27" i="15"/>
  <c r="AJ27" i="15"/>
  <c r="T27" i="15"/>
  <c r="BW27" i="15"/>
  <c r="AY27" i="15"/>
  <c r="BN27" i="15"/>
  <c r="R28" i="15"/>
  <c r="CC27" i="15"/>
  <c r="Q27" i="15"/>
  <c r="AE27" i="15"/>
  <c r="AO27" i="15"/>
  <c r="Y27" i="15"/>
  <c r="BD27" i="15"/>
  <c r="AN27" i="15"/>
  <c r="Z27" i="15"/>
  <c r="BS27" i="15"/>
  <c r="P27" i="17"/>
  <c r="J14" i="18"/>
  <c r="R26" i="17"/>
  <c r="S26" i="17" s="1"/>
  <c r="G27" i="18" s="1"/>
  <c r="H12" i="18"/>
  <c r="F12" i="18"/>
  <c r="E12" i="18"/>
  <c r="D12" i="18"/>
  <c r="I12" i="18"/>
  <c r="J15" i="18"/>
  <c r="R22" i="17"/>
  <c r="T22" i="17" s="1"/>
  <c r="G11" i="15"/>
  <c r="H7" i="15"/>
  <c r="G10" i="15"/>
  <c r="J12" i="18"/>
  <c r="K27" i="17"/>
  <c r="N18" i="15" s="1"/>
  <c r="CA25" i="15" s="1"/>
  <c r="AA27" i="11"/>
  <c r="AC27" i="11" s="1"/>
  <c r="AD27" i="11" s="1"/>
  <c r="AU28" i="11"/>
  <c r="O28" i="11"/>
  <c r="AO26" i="11"/>
  <c r="AP26" i="11" s="1"/>
  <c r="BA26" i="10"/>
  <c r="BB26" i="10" s="1"/>
  <c r="W27" i="10"/>
  <c r="Y27" i="10" s="1"/>
  <c r="Z27" i="10" s="1"/>
  <c r="W26" i="10"/>
  <c r="AQ26" i="11"/>
  <c r="AQ26" i="10"/>
  <c r="AS25" i="10"/>
  <c r="AT25" i="10" s="1"/>
  <c r="AZ28" i="10"/>
  <c r="AU28" i="10"/>
  <c r="AJ28" i="10"/>
  <c r="AE28" i="10"/>
  <c r="T28" i="10"/>
  <c r="O28" i="10"/>
  <c r="BD28" i="10"/>
  <c r="AY28" i="10"/>
  <c r="AN28" i="10"/>
  <c r="AI28" i="10"/>
  <c r="X28" i="10"/>
  <c r="S28" i="10"/>
  <c r="AV28" i="10"/>
  <c r="AQ28" i="10"/>
  <c r="AF28" i="10"/>
  <c r="N29" i="10"/>
  <c r="BC28" i="10"/>
  <c r="AR28" i="10"/>
  <c r="AM28" i="10"/>
  <c r="AB28" i="10"/>
  <c r="W28" i="10"/>
  <c r="AA28" i="10"/>
  <c r="P28" i="10"/>
  <c r="U25" i="10"/>
  <c r="V25" i="10" s="1"/>
  <c r="BE26" i="10"/>
  <c r="BF26" i="10" s="1"/>
  <c r="F23" i="13"/>
  <c r="G23" i="13"/>
  <c r="H23" i="13"/>
  <c r="D23" i="13"/>
  <c r="F16" i="13"/>
  <c r="E16" i="13"/>
  <c r="H16" i="13"/>
  <c r="D16" i="13"/>
  <c r="H6" i="13"/>
  <c r="G6" i="13"/>
  <c r="E6" i="13"/>
  <c r="F6" i="13"/>
  <c r="AU27" i="11"/>
  <c r="AW27" i="11" s="1"/>
  <c r="AX27" i="11" s="1"/>
  <c r="O27" i="11"/>
  <c r="AQ28" i="11"/>
  <c r="AA28" i="11"/>
  <c r="U25" i="11"/>
  <c r="V25" i="11" s="1"/>
  <c r="S26" i="11"/>
  <c r="Q25" i="11"/>
  <c r="R25" i="11" s="1"/>
  <c r="AU26" i="10"/>
  <c r="AC25" i="10"/>
  <c r="AD25" i="10" s="1"/>
  <c r="AA26" i="10"/>
  <c r="O27" i="10"/>
  <c r="Q27" i="10" s="1"/>
  <c r="R27" i="10" s="1"/>
  <c r="Q25" i="10"/>
  <c r="R25" i="10" s="1"/>
  <c r="O26" i="10"/>
  <c r="H4" i="13"/>
  <c r="F4" i="13"/>
  <c r="G4" i="13"/>
  <c r="E4" i="13"/>
  <c r="Q27" i="12"/>
  <c r="BA25" i="11"/>
  <c r="BB25" i="11" s="1"/>
  <c r="AY26" i="11"/>
  <c r="H8" i="13"/>
  <c r="D8" i="13"/>
  <c r="G8" i="13"/>
  <c r="F8" i="13"/>
  <c r="H11" i="13"/>
  <c r="D11" i="13"/>
  <c r="F11" i="13"/>
  <c r="G11" i="13"/>
  <c r="BC28" i="11"/>
  <c r="AM28" i="11"/>
  <c r="AC25" i="11"/>
  <c r="AD25" i="11" s="1"/>
  <c r="BC27" i="11"/>
  <c r="BE27" i="11" s="1"/>
  <c r="BF27" i="11" s="1"/>
  <c r="AM26" i="10"/>
  <c r="S26" i="10"/>
  <c r="AK27" i="10"/>
  <c r="AL27" i="10" s="1"/>
  <c r="AQ27" i="10"/>
  <c r="AS27" i="10" s="1"/>
  <c r="AT27" i="10" s="1"/>
  <c r="H7" i="13"/>
  <c r="D7" i="13"/>
  <c r="G7" i="13"/>
  <c r="F7" i="13"/>
  <c r="AS25" i="11"/>
  <c r="AT25" i="11" s="1"/>
  <c r="E8" i="13"/>
  <c r="F27" i="13"/>
  <c r="E27" i="13"/>
  <c r="H27" i="13"/>
  <c r="D27" i="13"/>
  <c r="F24" i="13"/>
  <c r="E24" i="13"/>
  <c r="G24" i="13"/>
  <c r="D24" i="13"/>
  <c r="E11" i="13"/>
  <c r="AM27" i="11"/>
  <c r="AO27" i="11" s="1"/>
  <c r="AP27" i="11" s="1"/>
  <c r="W27" i="11"/>
  <c r="Y27" i="11" s="1"/>
  <c r="Z27" i="11" s="1"/>
  <c r="AY28" i="11"/>
  <c r="S28" i="11"/>
  <c r="AE26" i="10"/>
  <c r="BA25" i="10"/>
  <c r="BB25" i="10" s="1"/>
  <c r="AE26" i="11"/>
  <c r="AE27" i="10"/>
  <c r="AG27" i="10" s="1"/>
  <c r="AH27" i="10" s="1"/>
  <c r="AK25" i="10"/>
  <c r="AL25" i="10" s="1"/>
  <c r="S27" i="10"/>
  <c r="U27" i="10" s="1"/>
  <c r="V27" i="10" s="1"/>
  <c r="AA27" i="10"/>
  <c r="AC27" i="10" s="1"/>
  <c r="AD27" i="10" s="1"/>
  <c r="D8" i="9"/>
  <c r="D38" i="9" s="1"/>
  <c r="BB26" i="15" l="1"/>
  <c r="BC25" i="15"/>
  <c r="BE25" i="15" s="1"/>
  <c r="BF25" i="15" s="1"/>
  <c r="AW28" i="14"/>
  <c r="O29" i="11"/>
  <c r="AW27" i="15"/>
  <c r="AX26" i="15"/>
  <c r="AZ26" i="15" s="1"/>
  <c r="BA26" i="15" s="1"/>
  <c r="Q28" i="11"/>
  <c r="R28" i="11" s="1"/>
  <c r="AK25" i="15"/>
  <c r="AL25" i="15" s="1"/>
  <c r="CA26" i="15"/>
  <c r="CB25" i="15"/>
  <c r="CD25" i="15" s="1"/>
  <c r="CE25" i="15" s="1"/>
  <c r="AH27" i="15"/>
  <c r="AI26" i="15"/>
  <c r="E16" i="18"/>
  <c r="J16" i="18"/>
  <c r="AY29" i="11"/>
  <c r="F16" i="18"/>
  <c r="AG28" i="11"/>
  <c r="AH28" i="11" s="1"/>
  <c r="H16" i="18"/>
  <c r="I16" i="18"/>
  <c r="D16" i="18"/>
  <c r="AM29" i="11"/>
  <c r="BA28" i="11"/>
  <c r="BB28" i="11" s="1"/>
  <c r="W29" i="11"/>
  <c r="AC28" i="11"/>
  <c r="AD28" i="11" s="1"/>
  <c r="AU29" i="11"/>
  <c r="AO28" i="11"/>
  <c r="AP28" i="11" s="1"/>
  <c r="BE28" i="11"/>
  <c r="BF28" i="11" s="1"/>
  <c r="AS28" i="11"/>
  <c r="AT28" i="11" s="1"/>
  <c r="AW28" i="11"/>
  <c r="AX28" i="11" s="1"/>
  <c r="U28" i="11"/>
  <c r="V28" i="11" s="1"/>
  <c r="CI27" i="14"/>
  <c r="CJ27" i="14" s="1"/>
  <c r="BI28" i="11"/>
  <c r="Y28" i="11"/>
  <c r="Z28" i="11" s="1"/>
  <c r="AK28" i="11"/>
  <c r="AL28" i="11" s="1"/>
  <c r="AE29" i="11"/>
  <c r="M29" i="11"/>
  <c r="AA29" i="11"/>
  <c r="BC29" i="11"/>
  <c r="AI29" i="11"/>
  <c r="S29" i="11"/>
  <c r="Y28" i="10"/>
  <c r="Z28" i="10" s="1"/>
  <c r="BE28" i="10"/>
  <c r="BF28" i="10" s="1"/>
  <c r="AQ29" i="11"/>
  <c r="AJ29" i="11"/>
  <c r="AN29" i="11"/>
  <c r="AO29" i="11" s="1"/>
  <c r="AP29" i="11" s="1"/>
  <c r="T29" i="11"/>
  <c r="AZ29" i="11"/>
  <c r="BA29" i="11" s="1"/>
  <c r="BB29" i="11" s="1"/>
  <c r="AR29" i="11"/>
  <c r="P29" i="11"/>
  <c r="N30" i="11"/>
  <c r="M30" i="11" s="1"/>
  <c r="AB29" i="11"/>
  <c r="AV29" i="11"/>
  <c r="BD29" i="11"/>
  <c r="X29" i="11"/>
  <c r="AF29" i="11"/>
  <c r="AH28" i="14"/>
  <c r="AI28" i="14" s="1"/>
  <c r="V26" i="14"/>
  <c r="W26" i="14" s="1"/>
  <c r="BE27" i="14"/>
  <c r="BF27" i="14" s="1"/>
  <c r="CA28" i="14"/>
  <c r="CB28" i="14" s="1"/>
  <c r="BJ27" i="14"/>
  <c r="BK27" i="14" s="1"/>
  <c r="AU27" i="14"/>
  <c r="AV27" i="14" s="1"/>
  <c r="AP27" i="14"/>
  <c r="AQ27" i="14" s="1"/>
  <c r="AA27" i="14"/>
  <c r="AB27" i="14" s="1"/>
  <c r="BO27" i="14"/>
  <c r="BP27" i="14" s="1"/>
  <c r="AK27" i="14"/>
  <c r="AL27" i="14" s="1"/>
  <c r="CB27" i="14"/>
  <c r="CD27" i="14" s="1"/>
  <c r="CE27" i="14" s="1"/>
  <c r="CN27" i="14"/>
  <c r="CO27" i="14" s="1"/>
  <c r="BB28" i="14"/>
  <c r="BC28" i="14" s="1"/>
  <c r="AZ27" i="14"/>
  <c r="BA27" i="14" s="1"/>
  <c r="CF28" i="14"/>
  <c r="O19" i="14" s="1"/>
  <c r="AF27" i="14"/>
  <c r="AG27" i="14" s="1"/>
  <c r="BQ28" i="14"/>
  <c r="L19" i="14" s="1"/>
  <c r="BT27" i="14"/>
  <c r="BU27" i="14" s="1"/>
  <c r="BL28" i="14"/>
  <c r="K19" i="14" s="1"/>
  <c r="X28" i="14"/>
  <c r="Y28" i="14" s="1"/>
  <c r="BV28" i="14"/>
  <c r="M19" i="14" s="1"/>
  <c r="AR28" i="14"/>
  <c r="G19" i="14" s="1"/>
  <c r="S28" i="14"/>
  <c r="T28" i="14" s="1"/>
  <c r="H19" i="14"/>
  <c r="AC28" i="14"/>
  <c r="BW27" i="14"/>
  <c r="BY27" i="14" s="1"/>
  <c r="BZ27" i="14" s="1"/>
  <c r="AE28" i="14"/>
  <c r="BN28" i="14"/>
  <c r="AO28" i="14"/>
  <c r="AT28" i="14"/>
  <c r="BD28" i="14"/>
  <c r="AJ28" i="14"/>
  <c r="CC28" i="14"/>
  <c r="U28" i="14"/>
  <c r="CL28" i="14"/>
  <c r="Q28" i="14"/>
  <c r="CH28" i="14"/>
  <c r="BI28" i="14"/>
  <c r="R29" i="14"/>
  <c r="AW29" i="14" s="1"/>
  <c r="CM28" i="14"/>
  <c r="AY28" i="14"/>
  <c r="Z28" i="14"/>
  <c r="BX28" i="14"/>
  <c r="BS28" i="14"/>
  <c r="AX28" i="14"/>
  <c r="AM28" i="14"/>
  <c r="BG28" i="14"/>
  <c r="V27" i="14"/>
  <c r="W27" i="14" s="1"/>
  <c r="T26" i="17"/>
  <c r="T27" i="17" s="1"/>
  <c r="S22" i="17"/>
  <c r="J24" i="18" s="1"/>
  <c r="D27" i="18"/>
  <c r="I27" i="18"/>
  <c r="F27" i="18"/>
  <c r="E27" i="18"/>
  <c r="V27" i="15"/>
  <c r="W27" i="15" s="1"/>
  <c r="J27" i="18"/>
  <c r="AA27" i="15"/>
  <c r="AB27" i="15" s="1"/>
  <c r="BD28" i="15"/>
  <c r="AN28" i="15"/>
  <c r="BH28" i="15"/>
  <c r="AY28" i="15"/>
  <c r="CH28" i="15"/>
  <c r="AO28" i="15"/>
  <c r="AE28" i="15"/>
  <c r="BX28" i="15"/>
  <c r="AD28" i="15"/>
  <c r="U28" i="15"/>
  <c r="BW28" i="15"/>
  <c r="BN28" i="15"/>
  <c r="T28" i="15"/>
  <c r="AJ28" i="15"/>
  <c r="BS28" i="15"/>
  <c r="Q28" i="15"/>
  <c r="BR28" i="15"/>
  <c r="R29" i="15"/>
  <c r="AS28" i="15"/>
  <c r="Y28" i="15"/>
  <c r="BI28" i="15"/>
  <c r="AT28" i="15"/>
  <c r="CC28" i="15"/>
  <c r="Z28" i="15"/>
  <c r="BJ27" i="15"/>
  <c r="BK27" i="15" s="1"/>
  <c r="H11" i="15"/>
  <c r="H10" i="15"/>
  <c r="I7" i="15"/>
  <c r="K18" i="15"/>
  <c r="BL25" i="15" s="1"/>
  <c r="BT27" i="15"/>
  <c r="BU27" i="15" s="1"/>
  <c r="AF27" i="15"/>
  <c r="AG27" i="15" s="1"/>
  <c r="H27" i="18"/>
  <c r="I10" i="14"/>
  <c r="J7" i="14"/>
  <c r="I11" i="14"/>
  <c r="L12" i="14"/>
  <c r="I13" i="14"/>
  <c r="J12" i="14"/>
  <c r="R27" i="17"/>
  <c r="O18" i="15" s="1"/>
  <c r="CF25" i="15" s="1"/>
  <c r="AU27" i="15"/>
  <c r="AV27" i="15" s="1"/>
  <c r="E24" i="18"/>
  <c r="AP27" i="15"/>
  <c r="AQ27" i="15" s="1"/>
  <c r="BY27" i="15"/>
  <c r="BZ27" i="15" s="1"/>
  <c r="I13" i="15"/>
  <c r="L12" i="15"/>
  <c r="J12" i="15"/>
  <c r="AS26" i="11"/>
  <c r="AT26" i="11" s="1"/>
  <c r="AG26" i="10"/>
  <c r="AH26" i="10" s="1"/>
  <c r="BH26" i="11"/>
  <c r="N30" i="10"/>
  <c r="BD29" i="10"/>
  <c r="AZ29" i="10"/>
  <c r="AV29" i="10"/>
  <c r="AR29" i="10"/>
  <c r="AN29" i="10"/>
  <c r="AJ29" i="10"/>
  <c r="AF29" i="10"/>
  <c r="AB29" i="10"/>
  <c r="X29" i="10"/>
  <c r="T29" i="10"/>
  <c r="P29" i="10"/>
  <c r="AQ29" i="10"/>
  <c r="AS29" i="10" s="1"/>
  <c r="AT29" i="10" s="1"/>
  <c r="AA29" i="10"/>
  <c r="AU29" i="10"/>
  <c r="AE29" i="10"/>
  <c r="AG29" i="10" s="1"/>
  <c r="AH29" i="10" s="1"/>
  <c r="O29" i="10"/>
  <c r="AM29" i="10"/>
  <c r="W29" i="10"/>
  <c r="AY29" i="10"/>
  <c r="AI29" i="10"/>
  <c r="S29" i="10"/>
  <c r="BC29" i="10"/>
  <c r="U28" i="10"/>
  <c r="V28" i="10" s="1"/>
  <c r="BA28" i="10"/>
  <c r="BB28" i="10" s="1"/>
  <c r="AG28" i="10"/>
  <c r="AH28" i="10" s="1"/>
  <c r="Y26" i="10"/>
  <c r="Z26" i="10" s="1"/>
  <c r="AG26" i="11"/>
  <c r="AH26" i="11" s="1"/>
  <c r="U26" i="10"/>
  <c r="V26" i="10" s="1"/>
  <c r="Q26" i="10"/>
  <c r="R26" i="10" s="1"/>
  <c r="AC26" i="10"/>
  <c r="AD26" i="10" s="1"/>
  <c r="AW26" i="10"/>
  <c r="AX26" i="10" s="1"/>
  <c r="U26" i="11"/>
  <c r="V26" i="11" s="1"/>
  <c r="AO28" i="10"/>
  <c r="AP28" i="10" s="1"/>
  <c r="AS26" i="10"/>
  <c r="AT26" i="10" s="1"/>
  <c r="AO26" i="10"/>
  <c r="AP26" i="10" s="1"/>
  <c r="Q27" i="11"/>
  <c r="R27" i="11" s="1"/>
  <c r="BH27" i="11"/>
  <c r="BA26" i="11"/>
  <c r="BB26" i="11" s="1"/>
  <c r="BH28" i="11"/>
  <c r="AC28" i="10"/>
  <c r="AD28" i="10" s="1"/>
  <c r="AS28" i="10"/>
  <c r="AT28" i="10" s="1"/>
  <c r="AK28" i="10"/>
  <c r="AL28" i="10" s="1"/>
  <c r="Q28" i="10"/>
  <c r="R28" i="10" s="1"/>
  <c r="AW28" i="10"/>
  <c r="AX28" i="10" s="1"/>
  <c r="C31" i="8"/>
  <c r="B31" i="8"/>
  <c r="AG29" i="11" l="1"/>
  <c r="AH29" i="11" s="1"/>
  <c r="AK26" i="15"/>
  <c r="AL26" i="15" s="1"/>
  <c r="CA27" i="15"/>
  <c r="CB26" i="15"/>
  <c r="CD26" i="15" s="1"/>
  <c r="CE26" i="15" s="1"/>
  <c r="BL26" i="15"/>
  <c r="BM25" i="15"/>
  <c r="AH28" i="15"/>
  <c r="AI27" i="15"/>
  <c r="AK27" i="15" s="1"/>
  <c r="AL27" i="15" s="1"/>
  <c r="BJ28" i="11"/>
  <c r="AC29" i="10"/>
  <c r="AD29" i="10" s="1"/>
  <c r="N19" i="14"/>
  <c r="BB27" i="15"/>
  <c r="BC26" i="15"/>
  <c r="BE26" i="15" s="1"/>
  <c r="BF26" i="15" s="1"/>
  <c r="CF26" i="15"/>
  <c r="CG25" i="15"/>
  <c r="CI25" i="15" s="1"/>
  <c r="CJ25" i="15" s="1"/>
  <c r="Q29" i="11"/>
  <c r="R29" i="11" s="1"/>
  <c r="AW28" i="15"/>
  <c r="AX27" i="15"/>
  <c r="AZ27" i="15" s="1"/>
  <c r="BA27" i="15" s="1"/>
  <c r="AO29" i="10"/>
  <c r="AP29" i="10" s="1"/>
  <c r="Y29" i="11"/>
  <c r="Z29" i="11" s="1"/>
  <c r="AW29" i="11"/>
  <c r="AX29" i="11" s="1"/>
  <c r="AC29" i="11"/>
  <c r="AD29" i="11" s="1"/>
  <c r="F24" i="18"/>
  <c r="AW29" i="10"/>
  <c r="AX29" i="10" s="1"/>
  <c r="D24" i="18"/>
  <c r="I24" i="18"/>
  <c r="BE29" i="10"/>
  <c r="BF29" i="10" s="1"/>
  <c r="Y29" i="10"/>
  <c r="Z29" i="10" s="1"/>
  <c r="BE29" i="11"/>
  <c r="BF29" i="11" s="1"/>
  <c r="BH29" i="11"/>
  <c r="AK29" i="11"/>
  <c r="AL29" i="11" s="1"/>
  <c r="U29" i="11"/>
  <c r="V29" i="11" s="1"/>
  <c r="BY28" i="15"/>
  <c r="BZ28" i="15" s="1"/>
  <c r="BI29" i="11"/>
  <c r="AQ30" i="11"/>
  <c r="AZ30" i="11"/>
  <c r="T30" i="11"/>
  <c r="AN30" i="11"/>
  <c r="N31" i="11"/>
  <c r="M31" i="11" s="1"/>
  <c r="BC30" i="11"/>
  <c r="AF30" i="11"/>
  <c r="AU30" i="11"/>
  <c r="O30" i="11"/>
  <c r="AI30" i="11"/>
  <c r="AR30" i="11"/>
  <c r="AB30" i="11"/>
  <c r="AA30" i="11"/>
  <c r="AJ30" i="11"/>
  <c r="BD30" i="11"/>
  <c r="X30" i="11"/>
  <c r="W30" i="11"/>
  <c r="AV30" i="11"/>
  <c r="P30" i="11"/>
  <c r="AE30" i="11"/>
  <c r="AY30" i="11"/>
  <c r="S30" i="11"/>
  <c r="AM30" i="11"/>
  <c r="AS29" i="11"/>
  <c r="AT29" i="11" s="1"/>
  <c r="E19" i="14"/>
  <c r="BM28" i="14"/>
  <c r="BO28" i="14" s="1"/>
  <c r="BP28" i="14" s="1"/>
  <c r="AK28" i="14"/>
  <c r="AL28" i="14" s="1"/>
  <c r="C19" i="14"/>
  <c r="AZ28" i="14"/>
  <c r="BA28" i="14" s="1"/>
  <c r="AS28" i="14"/>
  <c r="AU28" i="14" s="1"/>
  <c r="AV28" i="14" s="1"/>
  <c r="AA28" i="14"/>
  <c r="AB28" i="14" s="1"/>
  <c r="I19" i="14"/>
  <c r="BW28" i="14"/>
  <c r="BY28" i="14" s="1"/>
  <c r="BZ28" i="14" s="1"/>
  <c r="CN28" i="14"/>
  <c r="CO28" i="14" s="1"/>
  <c r="BR28" i="14"/>
  <c r="BT28" i="14" s="1"/>
  <c r="BU28" i="14" s="1"/>
  <c r="CG28" i="14"/>
  <c r="CI28" i="14" s="1"/>
  <c r="CJ28" i="14" s="1"/>
  <c r="B19" i="14"/>
  <c r="CD28" i="14"/>
  <c r="CE28" i="14" s="1"/>
  <c r="F19" i="14"/>
  <c r="AM29" i="14"/>
  <c r="AN29" i="14" s="1"/>
  <c r="CF29" i="14"/>
  <c r="AN28" i="14"/>
  <c r="AP28" i="14" s="1"/>
  <c r="AQ28" i="14" s="1"/>
  <c r="S29" i="14"/>
  <c r="BV29" i="14"/>
  <c r="BQ29" i="14"/>
  <c r="D19" i="14"/>
  <c r="AC29" i="14"/>
  <c r="V28" i="14"/>
  <c r="W28" i="14" s="1"/>
  <c r="AR29" i="14"/>
  <c r="AS29" i="14" s="1"/>
  <c r="X29" i="14"/>
  <c r="CA29" i="14"/>
  <c r="CB29" i="14" s="1"/>
  <c r="BB29" i="14"/>
  <c r="BL29" i="14"/>
  <c r="AD28" i="14"/>
  <c r="AF28" i="14" s="1"/>
  <c r="AG28" i="14" s="1"/>
  <c r="BE28" i="14"/>
  <c r="BF28" i="14" s="1"/>
  <c r="BG29" i="14"/>
  <c r="BH29" i="14" s="1"/>
  <c r="J19" i="14"/>
  <c r="BH28" i="14"/>
  <c r="BJ28" i="14" s="1"/>
  <c r="BK28" i="14" s="1"/>
  <c r="Q29" i="14"/>
  <c r="BD29" i="14"/>
  <c r="AT29" i="14"/>
  <c r="BI29" i="14"/>
  <c r="U29" i="14"/>
  <c r="BS29" i="14"/>
  <c r="R30" i="14"/>
  <c r="AW30" i="14" s="1"/>
  <c r="CM29" i="14"/>
  <c r="CL29" i="14"/>
  <c r="AY29" i="14"/>
  <c r="AJ29" i="14"/>
  <c r="AO29" i="14"/>
  <c r="Z29" i="14"/>
  <c r="CC29" i="14"/>
  <c r="CH29" i="14"/>
  <c r="BX29" i="14"/>
  <c r="AE29" i="14"/>
  <c r="BN29" i="14"/>
  <c r="AX29" i="14"/>
  <c r="AH29" i="14"/>
  <c r="AI29" i="14" s="1"/>
  <c r="AF28" i="15"/>
  <c r="AG28" i="15" s="1"/>
  <c r="AU28" i="15"/>
  <c r="AV28" i="15" s="1"/>
  <c r="BT28" i="15"/>
  <c r="BU28" i="15" s="1"/>
  <c r="H24" i="18"/>
  <c r="G24" i="18"/>
  <c r="BJ27" i="11"/>
  <c r="BJ26" i="11"/>
  <c r="K12" i="15"/>
  <c r="K13" i="15" s="1"/>
  <c r="J13" i="15"/>
  <c r="M12" i="15"/>
  <c r="L13" i="15"/>
  <c r="AP28" i="15"/>
  <c r="AQ28" i="15" s="1"/>
  <c r="CH29" i="15"/>
  <c r="BR29" i="15"/>
  <c r="AT29" i="15"/>
  <c r="AD29" i="15"/>
  <c r="BH29" i="15"/>
  <c r="AY29" i="15"/>
  <c r="AO29" i="15"/>
  <c r="BX29" i="15"/>
  <c r="AN29" i="15"/>
  <c r="AE29" i="15"/>
  <c r="U29" i="15"/>
  <c r="BW29" i="15"/>
  <c r="BN29" i="15"/>
  <c r="T29" i="15"/>
  <c r="R30" i="15"/>
  <c r="AS29" i="15"/>
  <c r="CC29" i="15"/>
  <c r="Z29" i="15"/>
  <c r="BI29" i="15"/>
  <c r="Y29" i="15"/>
  <c r="AJ29" i="15"/>
  <c r="BS29" i="15"/>
  <c r="Q29" i="15"/>
  <c r="BD29" i="15"/>
  <c r="V28" i="15"/>
  <c r="W28" i="15" s="1"/>
  <c r="K12" i="14"/>
  <c r="K13" i="14" s="1"/>
  <c r="J13" i="14"/>
  <c r="M12" i="14"/>
  <c r="L13" i="14"/>
  <c r="K7" i="14"/>
  <c r="J11" i="14"/>
  <c r="J10" i="14"/>
  <c r="I11" i="15"/>
  <c r="I10" i="15"/>
  <c r="J7" i="15"/>
  <c r="AA28" i="15"/>
  <c r="AB28" i="15" s="1"/>
  <c r="BJ28" i="15"/>
  <c r="BK28" i="15" s="1"/>
  <c r="U29" i="10"/>
  <c r="V29" i="10" s="1"/>
  <c r="AK29" i="10"/>
  <c r="AL29" i="10" s="1"/>
  <c r="Q29" i="10"/>
  <c r="R29" i="10" s="1"/>
  <c r="BD30" i="10"/>
  <c r="AY30" i="10"/>
  <c r="AN30" i="10"/>
  <c r="AI30" i="10"/>
  <c r="X30" i="10"/>
  <c r="S30" i="10"/>
  <c r="N31" i="10"/>
  <c r="BC30" i="10"/>
  <c r="AR30" i="10"/>
  <c r="AM30" i="10"/>
  <c r="AB30" i="10"/>
  <c r="W30" i="10"/>
  <c r="AZ30" i="10"/>
  <c r="AE30" i="10"/>
  <c r="T30" i="10"/>
  <c r="O30" i="10"/>
  <c r="AV30" i="10"/>
  <c r="AQ30" i="10"/>
  <c r="AF30" i="10"/>
  <c r="AA30" i="10"/>
  <c r="P30" i="10"/>
  <c r="AU30" i="10"/>
  <c r="AJ30" i="10"/>
  <c r="BA29" i="10"/>
  <c r="BB29" i="10" s="1"/>
  <c r="O26" i="6"/>
  <c r="O27" i="6" s="1"/>
  <c r="K18" i="4" s="1"/>
  <c r="K19" i="4" s="1"/>
  <c r="J25" i="6"/>
  <c r="J27" i="6" s="1"/>
  <c r="J18" i="4" s="1"/>
  <c r="J19" i="4" s="1"/>
  <c r="N24" i="6"/>
  <c r="S24" i="6" s="1"/>
  <c r="I23" i="6"/>
  <c r="S23" i="6" s="1"/>
  <c r="P22" i="6"/>
  <c r="P27" i="6" s="1"/>
  <c r="M18" i="4" s="1"/>
  <c r="M19" i="4" s="1"/>
  <c r="K21" i="6"/>
  <c r="K20" i="6"/>
  <c r="K19" i="6"/>
  <c r="S19" i="6" s="1"/>
  <c r="G12" i="7" s="1"/>
  <c r="L11" i="6"/>
  <c r="S11" i="6" s="1"/>
  <c r="H21" i="7" s="1"/>
  <c r="L10" i="6"/>
  <c r="L9" i="6"/>
  <c r="G8" i="6"/>
  <c r="G7" i="6"/>
  <c r="G6" i="6"/>
  <c r="G25" i="5"/>
  <c r="E25" i="5"/>
  <c r="H24" i="5"/>
  <c r="I24" i="5" s="1"/>
  <c r="G24" i="5"/>
  <c r="E24" i="5"/>
  <c r="G23" i="5"/>
  <c r="E23" i="5"/>
  <c r="G22" i="5"/>
  <c r="E22" i="5"/>
  <c r="G21" i="5"/>
  <c r="C25" i="7" s="1"/>
  <c r="E21" i="5"/>
  <c r="G20" i="5"/>
  <c r="H20" i="5" s="1"/>
  <c r="I20" i="5" s="1"/>
  <c r="E20" i="5"/>
  <c r="G19" i="5"/>
  <c r="E19" i="5"/>
  <c r="G18" i="5"/>
  <c r="H18" i="5" s="1"/>
  <c r="I18" i="5" s="1"/>
  <c r="E18" i="5"/>
  <c r="G17" i="5"/>
  <c r="E17" i="5"/>
  <c r="G16" i="5"/>
  <c r="E16" i="5"/>
  <c r="G15" i="5"/>
  <c r="E15" i="5"/>
  <c r="G14" i="5"/>
  <c r="H14" i="5" s="1"/>
  <c r="I14" i="5" s="1"/>
  <c r="E14" i="5"/>
  <c r="G13" i="5"/>
  <c r="H13" i="5" s="1"/>
  <c r="E13" i="5"/>
  <c r="G12" i="5"/>
  <c r="C11" i="7" s="1"/>
  <c r="E12" i="5"/>
  <c r="G11" i="5"/>
  <c r="H11" i="5" s="1"/>
  <c r="D13" i="6" s="1"/>
  <c r="E13" i="6" s="1"/>
  <c r="E11" i="5"/>
  <c r="G10" i="5"/>
  <c r="E10" i="5"/>
  <c r="G9" i="5"/>
  <c r="E9" i="5"/>
  <c r="G8" i="5"/>
  <c r="H8" i="5" s="1"/>
  <c r="I8" i="5" s="1"/>
  <c r="E8" i="5"/>
  <c r="G7" i="5"/>
  <c r="E7" i="5"/>
  <c r="G6" i="5"/>
  <c r="H6" i="5" s="1"/>
  <c r="E6" i="5"/>
  <c r="G5" i="5"/>
  <c r="H5" i="5" s="1"/>
  <c r="E5" i="5"/>
  <c r="BN78" i="4"/>
  <c r="BM78" i="4"/>
  <c r="BM25" i="4"/>
  <c r="O25" i="4"/>
  <c r="N25" i="4" s="1"/>
  <c r="A25" i="4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BH23" i="4"/>
  <c r="BD23" i="4"/>
  <c r="AZ23" i="4"/>
  <c r="AV23" i="4"/>
  <c r="AR23" i="4"/>
  <c r="AN23" i="4"/>
  <c r="AJ23" i="4"/>
  <c r="AF23" i="4"/>
  <c r="AB23" i="4"/>
  <c r="X23" i="4"/>
  <c r="M13" i="4"/>
  <c r="L13" i="4"/>
  <c r="K13" i="4"/>
  <c r="J13" i="4"/>
  <c r="I13" i="4"/>
  <c r="H13" i="4"/>
  <c r="G13" i="4"/>
  <c r="F13" i="4"/>
  <c r="E13" i="4"/>
  <c r="D13" i="4"/>
  <c r="C13" i="4"/>
  <c r="B13" i="4"/>
  <c r="M11" i="4"/>
  <c r="L11" i="4"/>
  <c r="K11" i="4"/>
  <c r="J11" i="4"/>
  <c r="I11" i="4"/>
  <c r="H11" i="4"/>
  <c r="G11" i="4"/>
  <c r="F11" i="4"/>
  <c r="E11" i="4"/>
  <c r="D11" i="4"/>
  <c r="C11" i="4"/>
  <c r="B11" i="4"/>
  <c r="M10" i="4"/>
  <c r="L10" i="4"/>
  <c r="K10" i="4"/>
  <c r="J10" i="4"/>
  <c r="I10" i="4"/>
  <c r="H10" i="4"/>
  <c r="G10" i="4"/>
  <c r="F10" i="4"/>
  <c r="E10" i="4"/>
  <c r="D10" i="4"/>
  <c r="C10" i="4"/>
  <c r="B10" i="4"/>
  <c r="O25" i="3"/>
  <c r="O26" i="3" s="1"/>
  <c r="A25" i="3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BH23" i="3"/>
  <c r="BD23" i="3"/>
  <c r="AZ23" i="3"/>
  <c r="AV23" i="3"/>
  <c r="AR23" i="3"/>
  <c r="AN23" i="3"/>
  <c r="AJ23" i="3"/>
  <c r="AF23" i="3"/>
  <c r="AB23" i="3"/>
  <c r="X23" i="3"/>
  <c r="M19" i="3"/>
  <c r="L19" i="3"/>
  <c r="K19" i="3"/>
  <c r="J19" i="3"/>
  <c r="I19" i="3"/>
  <c r="H19" i="3"/>
  <c r="G19" i="3"/>
  <c r="F19" i="3"/>
  <c r="E19" i="3"/>
  <c r="D19" i="3"/>
  <c r="C19" i="3"/>
  <c r="B19" i="3"/>
  <c r="M13" i="3"/>
  <c r="L13" i="3"/>
  <c r="K13" i="3"/>
  <c r="J13" i="3"/>
  <c r="I13" i="3"/>
  <c r="H13" i="3"/>
  <c r="G13" i="3"/>
  <c r="F13" i="3"/>
  <c r="E13" i="3"/>
  <c r="D13" i="3"/>
  <c r="C13" i="3"/>
  <c r="B13" i="3"/>
  <c r="M11" i="3"/>
  <c r="L11" i="3"/>
  <c r="K11" i="3"/>
  <c r="J11" i="3"/>
  <c r="I11" i="3"/>
  <c r="H11" i="3"/>
  <c r="G11" i="3"/>
  <c r="F11" i="3"/>
  <c r="E11" i="3"/>
  <c r="D11" i="3"/>
  <c r="C11" i="3"/>
  <c r="B11" i="3"/>
  <c r="M10" i="3"/>
  <c r="L10" i="3"/>
  <c r="K10" i="3"/>
  <c r="J10" i="3"/>
  <c r="I10" i="3"/>
  <c r="H10" i="3"/>
  <c r="G10" i="3"/>
  <c r="F10" i="3"/>
  <c r="E10" i="3"/>
  <c r="D10" i="3"/>
  <c r="C10" i="3"/>
  <c r="B10" i="3"/>
  <c r="H12" i="5" l="1"/>
  <c r="I12" i="5" s="1"/>
  <c r="S26" i="6"/>
  <c r="G14" i="6"/>
  <c r="BE30" i="10"/>
  <c r="BF30" i="10" s="1"/>
  <c r="E19" i="15"/>
  <c r="AH29" i="15"/>
  <c r="AI28" i="15"/>
  <c r="AK28" i="15" s="1"/>
  <c r="AL28" i="15" s="1"/>
  <c r="CA28" i="15"/>
  <c r="CB27" i="15"/>
  <c r="CD27" i="15" s="1"/>
  <c r="CE27" i="15" s="1"/>
  <c r="CF27" i="15"/>
  <c r="CG26" i="15"/>
  <c r="CI26" i="15" s="1"/>
  <c r="CJ26" i="15" s="1"/>
  <c r="BO25" i="15"/>
  <c r="BP25" i="15" s="1"/>
  <c r="S22" i="6"/>
  <c r="F24" i="7" s="1"/>
  <c r="H19" i="15"/>
  <c r="AW29" i="15"/>
  <c r="AX28" i="15"/>
  <c r="AZ28" i="15" s="1"/>
  <c r="BA28" i="15" s="1"/>
  <c r="BL27" i="15"/>
  <c r="BM26" i="15"/>
  <c r="BO26" i="15" s="1"/>
  <c r="BP26" i="15" s="1"/>
  <c r="BB28" i="15"/>
  <c r="BC27" i="15"/>
  <c r="BE27" i="15" s="1"/>
  <c r="BF27" i="15" s="1"/>
  <c r="H21" i="5"/>
  <c r="I21" i="5" s="1"/>
  <c r="BJ29" i="11"/>
  <c r="D21" i="6"/>
  <c r="E21" i="6" s="1"/>
  <c r="Q21" i="6" s="1"/>
  <c r="R21" i="6" s="1"/>
  <c r="I13" i="5"/>
  <c r="I6" i="5"/>
  <c r="D7" i="6"/>
  <c r="E7" i="6" s="1"/>
  <c r="Q7" i="6" s="1"/>
  <c r="R7" i="6" s="1"/>
  <c r="G15" i="6"/>
  <c r="S6" i="6"/>
  <c r="H4" i="7" s="1"/>
  <c r="Y30" i="10"/>
  <c r="Z30" i="10" s="1"/>
  <c r="Y30" i="11"/>
  <c r="Z30" i="11" s="1"/>
  <c r="AC30" i="11"/>
  <c r="AD30" i="11" s="1"/>
  <c r="BA30" i="11"/>
  <c r="BB30" i="11" s="1"/>
  <c r="AO30" i="11"/>
  <c r="AP30" i="11" s="1"/>
  <c r="AW25" i="4"/>
  <c r="Y25" i="4"/>
  <c r="Z25" i="4" s="1"/>
  <c r="AA25" i="4" s="1"/>
  <c r="BO78" i="4"/>
  <c r="AK25" i="4"/>
  <c r="AL25" i="4" s="1"/>
  <c r="AM25" i="4" s="1"/>
  <c r="U30" i="11"/>
  <c r="V30" i="11" s="1"/>
  <c r="BE30" i="11"/>
  <c r="BF30" i="11" s="1"/>
  <c r="AS30" i="11"/>
  <c r="AT30" i="11" s="1"/>
  <c r="AG30" i="11"/>
  <c r="AH30" i="11" s="1"/>
  <c r="D15" i="7"/>
  <c r="E15" i="7"/>
  <c r="G15" i="7"/>
  <c r="AO26" i="3"/>
  <c r="Q26" i="3"/>
  <c r="AO25" i="3"/>
  <c r="AN26" i="3" s="1"/>
  <c r="AP26" i="3" s="1"/>
  <c r="AQ26" i="3" s="1"/>
  <c r="C6" i="7"/>
  <c r="C6" i="18"/>
  <c r="C6" i="13"/>
  <c r="C10" i="7"/>
  <c r="C10" i="18"/>
  <c r="C10" i="13"/>
  <c r="C8" i="7"/>
  <c r="C8" i="18"/>
  <c r="C8" i="13"/>
  <c r="C11" i="18"/>
  <c r="C11" i="13"/>
  <c r="C24" i="7"/>
  <c r="C24" i="18"/>
  <c r="C24" i="13"/>
  <c r="G12" i="6"/>
  <c r="H12" i="7"/>
  <c r="F15" i="7"/>
  <c r="BI30" i="11"/>
  <c r="C4" i="7"/>
  <c r="C4" i="18"/>
  <c r="C4" i="13"/>
  <c r="C20" i="7"/>
  <c r="C20" i="18"/>
  <c r="C20" i="13"/>
  <c r="C15" i="7"/>
  <c r="C15" i="18"/>
  <c r="C15" i="13"/>
  <c r="AK30" i="10"/>
  <c r="AL30" i="10" s="1"/>
  <c r="AK30" i="11"/>
  <c r="AL30" i="11" s="1"/>
  <c r="C9" i="18"/>
  <c r="C9" i="13"/>
  <c r="H10" i="5"/>
  <c r="I10" i="5" s="1"/>
  <c r="I11" i="5"/>
  <c r="C12" i="7"/>
  <c r="C12" i="18"/>
  <c r="C12" i="13"/>
  <c r="C21" i="7"/>
  <c r="C21" i="18"/>
  <c r="C21" i="13"/>
  <c r="C23" i="18"/>
  <c r="C23" i="13"/>
  <c r="C26" i="7"/>
  <c r="C26" i="18"/>
  <c r="C26" i="13"/>
  <c r="C16" i="18"/>
  <c r="C16" i="13"/>
  <c r="I27" i="6"/>
  <c r="H18" i="4" s="1"/>
  <c r="H19" i="4" s="1"/>
  <c r="D12" i="7"/>
  <c r="Q30" i="11"/>
  <c r="R30" i="11" s="1"/>
  <c r="BH30" i="11"/>
  <c r="AY31" i="11"/>
  <c r="AI31" i="11"/>
  <c r="S31" i="11"/>
  <c r="X31" i="11"/>
  <c r="AV31" i="11"/>
  <c r="AZ31" i="11"/>
  <c r="O31" i="11"/>
  <c r="AF31" i="11"/>
  <c r="AU31" i="11"/>
  <c r="AE31" i="11"/>
  <c r="N32" i="11"/>
  <c r="M32" i="11" s="1"/>
  <c r="T31" i="11"/>
  <c r="AQ31" i="11"/>
  <c r="AA31" i="11"/>
  <c r="BD31" i="11"/>
  <c r="AR31" i="11"/>
  <c r="P31" i="11"/>
  <c r="BC31" i="11"/>
  <c r="AM31" i="11"/>
  <c r="W31" i="11"/>
  <c r="Y31" i="11" s="1"/>
  <c r="Z31" i="11" s="1"/>
  <c r="AN31" i="11"/>
  <c r="AB31" i="11"/>
  <c r="AJ31" i="11"/>
  <c r="AS25" i="3"/>
  <c r="AT25" i="3" s="1"/>
  <c r="AU25" i="3" s="1"/>
  <c r="AC25" i="3"/>
  <c r="AG25" i="3"/>
  <c r="AH25" i="3" s="1"/>
  <c r="AI25" i="3" s="1"/>
  <c r="C5" i="7"/>
  <c r="C5" i="18"/>
  <c r="C5" i="13"/>
  <c r="C13" i="18"/>
  <c r="C13" i="13"/>
  <c r="C14" i="7"/>
  <c r="C14" i="18"/>
  <c r="C14" i="13"/>
  <c r="C7" i="7"/>
  <c r="C7" i="18"/>
  <c r="C7" i="13"/>
  <c r="H15" i="5"/>
  <c r="H16" i="5"/>
  <c r="C22" i="7"/>
  <c r="C22" i="18"/>
  <c r="C22" i="13"/>
  <c r="C25" i="18"/>
  <c r="C25" i="13"/>
  <c r="H22" i="5"/>
  <c r="C27" i="7"/>
  <c r="C27" i="18"/>
  <c r="C27" i="13"/>
  <c r="G16" i="6"/>
  <c r="H16" i="6" s="1"/>
  <c r="S7" i="6"/>
  <c r="D5" i="7" s="1"/>
  <c r="S10" i="6"/>
  <c r="E20" i="7" s="1"/>
  <c r="D12" i="6"/>
  <c r="E12" i="6" s="1"/>
  <c r="S25" i="6"/>
  <c r="N27" i="6"/>
  <c r="I18" i="4" s="1"/>
  <c r="I19" i="4" s="1"/>
  <c r="AG30" i="10"/>
  <c r="AH30" i="10" s="1"/>
  <c r="AW30" i="11"/>
  <c r="AX30" i="11" s="1"/>
  <c r="AZ29" i="14"/>
  <c r="BA29" i="14" s="1"/>
  <c r="CD29" i="14"/>
  <c r="CE29" i="14" s="1"/>
  <c r="AK29" i="14"/>
  <c r="AL29" i="14" s="1"/>
  <c r="CN29" i="14"/>
  <c r="CO29" i="14" s="1"/>
  <c r="BB30" i="14"/>
  <c r="BC30" i="14" s="1"/>
  <c r="AH30" i="14"/>
  <c r="AI30" i="14" s="1"/>
  <c r="BJ29" i="14"/>
  <c r="BK29" i="14" s="1"/>
  <c r="AU29" i="14"/>
  <c r="AV29" i="14" s="1"/>
  <c r="BM29" i="14"/>
  <c r="BO29" i="14" s="1"/>
  <c r="BP29" i="14" s="1"/>
  <c r="BL30" i="14"/>
  <c r="BM30" i="14" s="1"/>
  <c r="CA30" i="14"/>
  <c r="BR29" i="14"/>
  <c r="BT29" i="14" s="1"/>
  <c r="BU29" i="14" s="1"/>
  <c r="BQ30" i="14"/>
  <c r="BR30" i="14" s="1"/>
  <c r="BC29" i="14"/>
  <c r="BE29" i="14" s="1"/>
  <c r="BF29" i="14" s="1"/>
  <c r="AT30" i="14"/>
  <c r="AO30" i="14"/>
  <c r="BS30" i="14"/>
  <c r="AJ30" i="14"/>
  <c r="Z30" i="14"/>
  <c r="AE30" i="14"/>
  <c r="Q30" i="14"/>
  <c r="CC30" i="14"/>
  <c r="R31" i="14"/>
  <c r="AX30" i="14"/>
  <c r="BX30" i="14"/>
  <c r="BN30" i="14"/>
  <c r="CM30" i="14"/>
  <c r="BD30" i="14"/>
  <c r="CL30" i="14"/>
  <c r="CH30" i="14"/>
  <c r="U30" i="14"/>
  <c r="BI30" i="14"/>
  <c r="AY30" i="14"/>
  <c r="BW29" i="14"/>
  <c r="BY29" i="14" s="1"/>
  <c r="BZ29" i="14" s="1"/>
  <c r="BV30" i="14"/>
  <c r="Y29" i="14"/>
  <c r="AA29" i="14" s="1"/>
  <c r="AB29" i="14" s="1"/>
  <c r="X30" i="14"/>
  <c r="Y30" i="14" s="1"/>
  <c r="T29" i="14"/>
  <c r="S30" i="14"/>
  <c r="T30" i="14" s="1"/>
  <c r="BG30" i="14"/>
  <c r="AR30" i="14"/>
  <c r="CG29" i="14"/>
  <c r="CI29" i="14" s="1"/>
  <c r="CJ29" i="14" s="1"/>
  <c r="CF30" i="14"/>
  <c r="AP29" i="14"/>
  <c r="AQ29" i="14" s="1"/>
  <c r="AM30" i="14"/>
  <c r="AN30" i="14" s="1"/>
  <c r="AD29" i="14"/>
  <c r="AF29" i="14" s="1"/>
  <c r="AG29" i="14" s="1"/>
  <c r="AC30" i="14"/>
  <c r="BT29" i="15"/>
  <c r="BU29" i="15" s="1"/>
  <c r="AU29" i="15"/>
  <c r="AV29" i="15" s="1"/>
  <c r="AA29" i="15"/>
  <c r="AB29" i="15" s="1"/>
  <c r="BJ29" i="15"/>
  <c r="BK29" i="15" s="1"/>
  <c r="K11" i="14"/>
  <c r="K10" i="14"/>
  <c r="L7" i="14"/>
  <c r="R31" i="15"/>
  <c r="BX30" i="15"/>
  <c r="BH30" i="15"/>
  <c r="AJ30" i="15"/>
  <c r="T30" i="15"/>
  <c r="BW30" i="15"/>
  <c r="AY30" i="15"/>
  <c r="Y30" i="15"/>
  <c r="BN30" i="15"/>
  <c r="BD30" i="15"/>
  <c r="AT30" i="15"/>
  <c r="AS30" i="15"/>
  <c r="CH30" i="15"/>
  <c r="AO30" i="15"/>
  <c r="U30" i="15"/>
  <c r="AN30" i="15"/>
  <c r="CC30" i="15"/>
  <c r="BI30" i="15"/>
  <c r="Q30" i="15"/>
  <c r="AD30" i="15"/>
  <c r="AE30" i="15"/>
  <c r="Z30" i="15"/>
  <c r="BS30" i="15"/>
  <c r="BR30" i="15"/>
  <c r="J11" i="15"/>
  <c r="J10" i="15"/>
  <c r="K7" i="15"/>
  <c r="M13" i="14"/>
  <c r="N12" i="14"/>
  <c r="BY29" i="15"/>
  <c r="BZ29" i="15" s="1"/>
  <c r="V29" i="15"/>
  <c r="W29" i="15" s="1"/>
  <c r="N12" i="15"/>
  <c r="M13" i="15"/>
  <c r="AF29" i="15"/>
  <c r="AG29" i="15" s="1"/>
  <c r="AP29" i="15"/>
  <c r="AQ29" i="15" s="1"/>
  <c r="N32" i="10"/>
  <c r="BD31" i="10"/>
  <c r="AZ31" i="10"/>
  <c r="AV31" i="10"/>
  <c r="AR31" i="10"/>
  <c r="AN31" i="10"/>
  <c r="AJ31" i="10"/>
  <c r="AF31" i="10"/>
  <c r="AB31" i="10"/>
  <c r="X31" i="10"/>
  <c r="T31" i="10"/>
  <c r="P31" i="10"/>
  <c r="AU31" i="10"/>
  <c r="AE31" i="10"/>
  <c r="O31" i="10"/>
  <c r="AY31" i="10"/>
  <c r="AI31" i="10"/>
  <c r="S31" i="10"/>
  <c r="AQ31" i="10"/>
  <c r="AA31" i="10"/>
  <c r="BC31" i="10"/>
  <c r="AM31" i="10"/>
  <c r="AO31" i="10" s="1"/>
  <c r="AP31" i="10" s="1"/>
  <c r="W31" i="10"/>
  <c r="Q30" i="10"/>
  <c r="R30" i="10" s="1"/>
  <c r="AS30" i="10"/>
  <c r="AT30" i="10" s="1"/>
  <c r="AO30" i="10"/>
  <c r="AP30" i="10" s="1"/>
  <c r="U30" i="10"/>
  <c r="V30" i="10" s="1"/>
  <c r="BA30" i="10"/>
  <c r="BB30" i="10" s="1"/>
  <c r="AC30" i="10"/>
  <c r="AD30" i="10" s="1"/>
  <c r="AW30" i="10"/>
  <c r="AX30" i="10" s="1"/>
  <c r="BI26" i="3"/>
  <c r="BA26" i="3"/>
  <c r="AS26" i="3"/>
  <c r="AK26" i="3"/>
  <c r="AC26" i="3"/>
  <c r="U26" i="3"/>
  <c r="BE26" i="3"/>
  <c r="O27" i="3"/>
  <c r="AB26" i="3"/>
  <c r="Y26" i="3"/>
  <c r="AR26" i="3"/>
  <c r="AD25" i="3"/>
  <c r="AE25" i="3" s="1"/>
  <c r="AG26" i="3"/>
  <c r="AW26" i="3"/>
  <c r="BA25" i="3"/>
  <c r="AZ26" i="3" s="1"/>
  <c r="U25" i="3"/>
  <c r="BI25" i="3"/>
  <c r="AW25" i="3"/>
  <c r="AK25" i="3"/>
  <c r="AJ26" i="3" s="1"/>
  <c r="Y25" i="3"/>
  <c r="Q25" i="3"/>
  <c r="P26" i="3" s="1"/>
  <c r="BE25" i="3"/>
  <c r="AX25" i="4"/>
  <c r="AY25" i="4" s="1"/>
  <c r="AS25" i="4"/>
  <c r="AG25" i="4"/>
  <c r="BA25" i="4"/>
  <c r="U25" i="4"/>
  <c r="AO25" i="4"/>
  <c r="BI25" i="4"/>
  <c r="AC25" i="4"/>
  <c r="O26" i="4"/>
  <c r="N26" i="4" s="1"/>
  <c r="Q25" i="4"/>
  <c r="BE25" i="4"/>
  <c r="H12" i="6"/>
  <c r="H14" i="6"/>
  <c r="C23" i="7"/>
  <c r="H19" i="5"/>
  <c r="I19" i="5" s="1"/>
  <c r="C13" i="7"/>
  <c r="H9" i="5"/>
  <c r="C9" i="7"/>
  <c r="H7" i="5"/>
  <c r="C16" i="7"/>
  <c r="H25" i="5"/>
  <c r="K27" i="6"/>
  <c r="L18" i="4" s="1"/>
  <c r="S20" i="6"/>
  <c r="H13" i="7" s="1"/>
  <c r="G21" i="7"/>
  <c r="I5" i="5"/>
  <c r="D8" i="6"/>
  <c r="E8" i="6" s="1"/>
  <c r="Q8" i="6" s="1"/>
  <c r="R8" i="6" s="1"/>
  <c r="D9" i="6"/>
  <c r="F9" i="6" s="1"/>
  <c r="E21" i="7"/>
  <c r="F21" i="7"/>
  <c r="E24" i="7"/>
  <c r="D24" i="7"/>
  <c r="H24" i="7"/>
  <c r="G24" i="7"/>
  <c r="G5" i="7"/>
  <c r="F5" i="7"/>
  <c r="E5" i="7"/>
  <c r="G16" i="7"/>
  <c r="H23" i="5"/>
  <c r="S16" i="6"/>
  <c r="D11" i="7" s="1"/>
  <c r="H5" i="7"/>
  <c r="E16" i="7"/>
  <c r="D16" i="7"/>
  <c r="S8" i="6"/>
  <c r="D6" i="7"/>
  <c r="H15" i="6"/>
  <c r="S21" i="6"/>
  <c r="H14" i="7" s="1"/>
  <c r="H17" i="5"/>
  <c r="I17" i="5" s="1"/>
  <c r="G13" i="6"/>
  <c r="G27" i="6" s="1"/>
  <c r="H27" i="7"/>
  <c r="G27" i="7"/>
  <c r="F27" i="7"/>
  <c r="E27" i="7"/>
  <c r="D27" i="7"/>
  <c r="F26" i="7"/>
  <c r="G4" i="7"/>
  <c r="F4" i="7"/>
  <c r="L17" i="6"/>
  <c r="L18" i="6"/>
  <c r="S9" i="6"/>
  <c r="D25" i="7" s="1"/>
  <c r="D21" i="7"/>
  <c r="H26" i="7"/>
  <c r="E26" i="7"/>
  <c r="D26" i="7"/>
  <c r="G26" i="7"/>
  <c r="D17" i="6"/>
  <c r="F17" i="6" s="1"/>
  <c r="D22" i="6"/>
  <c r="F22" i="6" s="1"/>
  <c r="Q22" i="6" s="1"/>
  <c r="R22" i="6" s="1"/>
  <c r="D26" i="6"/>
  <c r="F26" i="6" s="1"/>
  <c r="Q26" i="6" s="1"/>
  <c r="R26" i="6" s="1"/>
  <c r="E12" i="7"/>
  <c r="H15" i="7"/>
  <c r="D6" i="6"/>
  <c r="E6" i="6" s="1"/>
  <c r="D16" i="6"/>
  <c r="E16" i="6" s="1"/>
  <c r="Q16" i="6" s="1"/>
  <c r="R16" i="6" s="1"/>
  <c r="F12" i="7"/>
  <c r="D15" i="6"/>
  <c r="E15" i="6" s="1"/>
  <c r="AW31" i="11" l="1"/>
  <c r="AX31" i="11" s="1"/>
  <c r="BE31" i="10"/>
  <c r="BF31" i="10" s="1"/>
  <c r="D4" i="7"/>
  <c r="E4" i="7"/>
  <c r="H20" i="7"/>
  <c r="G20" i="7"/>
  <c r="F20" i="7"/>
  <c r="BL28" i="15"/>
  <c r="BM27" i="15"/>
  <c r="BO27" i="15" s="1"/>
  <c r="BP27" i="15" s="1"/>
  <c r="AH30" i="15"/>
  <c r="AI29" i="15"/>
  <c r="AK29" i="15" s="1"/>
  <c r="AL29" i="15" s="1"/>
  <c r="I19" i="15"/>
  <c r="BC28" i="15"/>
  <c r="BE28" i="15" s="1"/>
  <c r="BF28" i="15" s="1"/>
  <c r="BB29" i="15"/>
  <c r="AW30" i="15"/>
  <c r="AX29" i="15"/>
  <c r="AZ29" i="15" s="1"/>
  <c r="BA29" i="15" s="1"/>
  <c r="CF28" i="15"/>
  <c r="CG27" i="15"/>
  <c r="CI27" i="15" s="1"/>
  <c r="CJ27" i="15" s="1"/>
  <c r="CA29" i="15"/>
  <c r="N19" i="15"/>
  <c r="CB28" i="15"/>
  <c r="CD28" i="15" s="1"/>
  <c r="CE28" i="15" s="1"/>
  <c r="E11" i="7"/>
  <c r="L27" i="6"/>
  <c r="AF26" i="3"/>
  <c r="AH26" i="3" s="1"/>
  <c r="AI26" i="3" s="1"/>
  <c r="AP25" i="3"/>
  <c r="AQ25" i="3" s="1"/>
  <c r="AW31" i="10"/>
  <c r="AX31" i="10" s="1"/>
  <c r="BE31" i="11"/>
  <c r="BF31" i="11" s="1"/>
  <c r="AS31" i="11"/>
  <c r="AT31" i="11" s="1"/>
  <c r="U31" i="11"/>
  <c r="V31" i="11" s="1"/>
  <c r="AG31" i="11"/>
  <c r="AH31" i="11" s="1"/>
  <c r="AK31" i="11"/>
  <c r="AL31" i="11" s="1"/>
  <c r="BA31" i="11"/>
  <c r="BB31" i="11" s="1"/>
  <c r="BI31" i="11"/>
  <c r="AZ32" i="11"/>
  <c r="AJ32" i="11"/>
  <c r="T32" i="11"/>
  <c r="O32" i="11"/>
  <c r="N33" i="11"/>
  <c r="M33" i="11" s="1"/>
  <c r="AQ32" i="11"/>
  <c r="AV32" i="11"/>
  <c r="AF32" i="11"/>
  <c r="P32" i="11"/>
  <c r="AY32" i="11"/>
  <c r="AM32" i="11"/>
  <c r="BC32" i="11"/>
  <c r="AR32" i="11"/>
  <c r="AB32" i="11"/>
  <c r="AU32" i="11"/>
  <c r="AW32" i="11" s="1"/>
  <c r="AX32" i="11" s="1"/>
  <c r="AI32" i="11"/>
  <c r="W32" i="11"/>
  <c r="BD32" i="11"/>
  <c r="AN32" i="11"/>
  <c r="X32" i="11"/>
  <c r="AE32" i="11"/>
  <c r="S32" i="11"/>
  <c r="AA32" i="11"/>
  <c r="Q31" i="11"/>
  <c r="R31" i="11" s="1"/>
  <c r="BH31" i="11"/>
  <c r="BJ30" i="11"/>
  <c r="AC31" i="11"/>
  <c r="AD31" i="11" s="1"/>
  <c r="AC31" i="10"/>
  <c r="AD31" i="10" s="1"/>
  <c r="I16" i="5"/>
  <c r="D11" i="6"/>
  <c r="F11" i="6" s="1"/>
  <c r="Q11" i="6" s="1"/>
  <c r="R11" i="6" s="1"/>
  <c r="AS31" i="10"/>
  <c r="AT31" i="10" s="1"/>
  <c r="Q31" i="10"/>
  <c r="R31" i="10" s="1"/>
  <c r="H16" i="7"/>
  <c r="F16" i="7"/>
  <c r="I22" i="5"/>
  <c r="D24" i="6"/>
  <c r="F24" i="6" s="1"/>
  <c r="Q24" i="6" s="1"/>
  <c r="R24" i="6" s="1"/>
  <c r="D19" i="6"/>
  <c r="E19" i="6" s="1"/>
  <c r="Q19" i="6" s="1"/>
  <c r="R19" i="6" s="1"/>
  <c r="I15" i="5"/>
  <c r="AO31" i="11"/>
  <c r="AP31" i="11" s="1"/>
  <c r="D20" i="7"/>
  <c r="BB31" i="14"/>
  <c r="BC31" i="14" s="1"/>
  <c r="AK30" i="14"/>
  <c r="AL30" i="14" s="1"/>
  <c r="AP30" i="14"/>
  <c r="AQ30" i="14" s="1"/>
  <c r="BE30" i="14"/>
  <c r="BF30" i="14" s="1"/>
  <c r="BT30" i="14"/>
  <c r="BU30" i="14" s="1"/>
  <c r="X31" i="14"/>
  <c r="Y31" i="14" s="1"/>
  <c r="CN30" i="14"/>
  <c r="CO30" i="14" s="1"/>
  <c r="BO30" i="14"/>
  <c r="BP30" i="14" s="1"/>
  <c r="CF31" i="14"/>
  <c r="CG31" i="14" s="1"/>
  <c r="AZ30" i="14"/>
  <c r="BA30" i="14" s="1"/>
  <c r="AR31" i="14"/>
  <c r="AS31" i="14" s="1"/>
  <c r="Z31" i="14"/>
  <c r="BS31" i="14"/>
  <c r="CH31" i="14"/>
  <c r="AO31" i="14"/>
  <c r="AE31" i="14"/>
  <c r="Q31" i="14"/>
  <c r="AJ31" i="14"/>
  <c r="CC31" i="14"/>
  <c r="BN31" i="14"/>
  <c r="U31" i="14"/>
  <c r="AT31" i="14"/>
  <c r="CM31" i="14"/>
  <c r="CM82" i="14" s="1"/>
  <c r="BX31" i="14"/>
  <c r="BI31" i="14"/>
  <c r="R32" i="14"/>
  <c r="CL31" i="14"/>
  <c r="BD31" i="14"/>
  <c r="AY31" i="14"/>
  <c r="AH31" i="14"/>
  <c r="BG31" i="14"/>
  <c r="AA30" i="14"/>
  <c r="AB30" i="14" s="1"/>
  <c r="CG30" i="14"/>
  <c r="CI30" i="14" s="1"/>
  <c r="CJ30" i="14" s="1"/>
  <c r="BQ31" i="14"/>
  <c r="BR31" i="14" s="1"/>
  <c r="AW31" i="14"/>
  <c r="BV31" i="14"/>
  <c r="BW31" i="14" s="1"/>
  <c r="AC31" i="14"/>
  <c r="AS30" i="14"/>
  <c r="AU30" i="14" s="1"/>
  <c r="AV30" i="14" s="1"/>
  <c r="BW30" i="14"/>
  <c r="BY30" i="14" s="1"/>
  <c r="BZ30" i="14" s="1"/>
  <c r="S31" i="14"/>
  <c r="AD30" i="14"/>
  <c r="AF30" i="14" s="1"/>
  <c r="AG30" i="14" s="1"/>
  <c r="BH30" i="14"/>
  <c r="BJ30" i="14" s="1"/>
  <c r="BK30" i="14" s="1"/>
  <c r="CB30" i="14"/>
  <c r="CD30" i="14" s="1"/>
  <c r="CE30" i="14" s="1"/>
  <c r="CA31" i="14"/>
  <c r="AM31" i="14"/>
  <c r="V29" i="14"/>
  <c r="W29" i="14" s="1"/>
  <c r="V30" i="14"/>
  <c r="W30" i="14" s="1"/>
  <c r="BL31" i="14"/>
  <c r="AF30" i="15"/>
  <c r="AG30" i="15" s="1"/>
  <c r="BY30" i="15"/>
  <c r="BZ30" i="15" s="1"/>
  <c r="BT30" i="15"/>
  <c r="BU30" i="15" s="1"/>
  <c r="BJ30" i="15"/>
  <c r="BK30" i="15" s="1"/>
  <c r="K10" i="15"/>
  <c r="L7" i="15"/>
  <c r="K11" i="15"/>
  <c r="AP30" i="15"/>
  <c r="AQ30" i="15" s="1"/>
  <c r="V30" i="15"/>
  <c r="W30" i="15" s="1"/>
  <c r="O12" i="15"/>
  <c r="N13" i="15"/>
  <c r="AA30" i="15"/>
  <c r="AB30" i="15" s="1"/>
  <c r="BN31" i="15"/>
  <c r="Z31" i="15"/>
  <c r="CC31" i="15"/>
  <c r="AO31" i="15"/>
  <c r="Y31" i="15"/>
  <c r="Q31" i="15"/>
  <c r="BS31" i="15"/>
  <c r="BI31" i="15"/>
  <c r="AY31" i="15"/>
  <c r="BR31" i="15"/>
  <c r="BH31" i="15"/>
  <c r="R32" i="15"/>
  <c r="BD31" i="15"/>
  <c r="AT31" i="15"/>
  <c r="AJ31" i="15"/>
  <c r="AS31" i="15"/>
  <c r="CH31" i="15"/>
  <c r="U31" i="15"/>
  <c r="AN31" i="15"/>
  <c r="T31" i="15"/>
  <c r="BX31" i="15"/>
  <c r="AE31" i="15"/>
  <c r="AD31" i="15"/>
  <c r="BW31" i="15"/>
  <c r="N13" i="14"/>
  <c r="O12" i="14"/>
  <c r="AU30" i="15"/>
  <c r="AV30" i="15" s="1"/>
  <c r="L10" i="14"/>
  <c r="M7" i="14"/>
  <c r="L11" i="14"/>
  <c r="Y31" i="10"/>
  <c r="Z31" i="10" s="1"/>
  <c r="U31" i="10"/>
  <c r="V31" i="10" s="1"/>
  <c r="AG31" i="10"/>
  <c r="AH31" i="10" s="1"/>
  <c r="AK31" i="10"/>
  <c r="AL31" i="10" s="1"/>
  <c r="N33" i="10"/>
  <c r="BC32" i="10"/>
  <c r="AR32" i="10"/>
  <c r="AM32" i="10"/>
  <c r="AB32" i="10"/>
  <c r="W32" i="10"/>
  <c r="AV32" i="10"/>
  <c r="AQ32" i="10"/>
  <c r="AF32" i="10"/>
  <c r="AA32" i="10"/>
  <c r="P32" i="10"/>
  <c r="AY32" i="10"/>
  <c r="AN32" i="10"/>
  <c r="AI32" i="10"/>
  <c r="X32" i="10"/>
  <c r="S32" i="10"/>
  <c r="AZ32" i="10"/>
  <c r="AU32" i="10"/>
  <c r="AJ32" i="10"/>
  <c r="AE32" i="10"/>
  <c r="T32" i="10"/>
  <c r="O32" i="10"/>
  <c r="BD32" i="10"/>
  <c r="BA31" i="10"/>
  <c r="BB31" i="10" s="1"/>
  <c r="AL26" i="3"/>
  <c r="AM26" i="3" s="1"/>
  <c r="E18" i="4"/>
  <c r="D18" i="6"/>
  <c r="F18" i="6" s="1"/>
  <c r="AD25" i="4"/>
  <c r="AE25" i="4" s="1"/>
  <c r="Q12" i="6"/>
  <c r="R12" i="6" s="1"/>
  <c r="AX25" i="3"/>
  <c r="AY25" i="3" s="1"/>
  <c r="BB26" i="3"/>
  <c r="BC26" i="3" s="1"/>
  <c r="Q15" i="6"/>
  <c r="R15" i="6" s="1"/>
  <c r="E25" i="7"/>
  <c r="H25" i="7"/>
  <c r="G25" i="7"/>
  <c r="F25" i="7"/>
  <c r="H13" i="6"/>
  <c r="Q13" i="6" s="1"/>
  <c r="R13" i="6" s="1"/>
  <c r="I23" i="5"/>
  <c r="D23" i="6"/>
  <c r="E23" i="6" s="1"/>
  <c r="Q23" i="6" s="1"/>
  <c r="R23" i="6" s="1"/>
  <c r="G13" i="7"/>
  <c r="F13" i="7"/>
  <c r="E13" i="7"/>
  <c r="D13" i="7"/>
  <c r="S12" i="6"/>
  <c r="BJ25" i="4"/>
  <c r="BK25" i="4" s="1"/>
  <c r="BJ25" i="3"/>
  <c r="BK25" i="3" s="1"/>
  <c r="BH26" i="3"/>
  <c r="AD26" i="3"/>
  <c r="AE26" i="3" s="1"/>
  <c r="Q9" i="6"/>
  <c r="R9" i="6" s="1"/>
  <c r="M18" i="6"/>
  <c r="S18" i="6" s="1"/>
  <c r="D23" i="7" s="1"/>
  <c r="S14" i="6"/>
  <c r="E9" i="7" s="1"/>
  <c r="AP25" i="4"/>
  <c r="AQ25" i="4" s="1"/>
  <c r="BF25" i="3"/>
  <c r="BG25" i="3" s="1"/>
  <c r="V25" i="3"/>
  <c r="W25" i="3" s="1"/>
  <c r="BD26" i="3"/>
  <c r="Z25" i="3"/>
  <c r="AA25" i="3" s="1"/>
  <c r="X26" i="3"/>
  <c r="D14" i="6"/>
  <c r="E14" i="6" s="1"/>
  <c r="Q14" i="6" s="1"/>
  <c r="R14" i="6" s="1"/>
  <c r="I7" i="5"/>
  <c r="L19" i="4"/>
  <c r="BD26" i="4" s="1"/>
  <c r="V25" i="4"/>
  <c r="W25" i="4" s="1"/>
  <c r="R25" i="3"/>
  <c r="S25" i="3" s="1"/>
  <c r="BB25" i="3"/>
  <c r="BC25" i="3" s="1"/>
  <c r="BD27" i="3"/>
  <c r="AS27" i="3"/>
  <c r="Y27" i="3"/>
  <c r="P27" i="3"/>
  <c r="O28" i="3"/>
  <c r="AR27" i="3"/>
  <c r="AG27" i="3"/>
  <c r="X27" i="3"/>
  <c r="BI27" i="3"/>
  <c r="AN27" i="3"/>
  <c r="U27" i="3"/>
  <c r="AV27" i="3"/>
  <c r="Q27" i="3"/>
  <c r="T27" i="3"/>
  <c r="AC27" i="3"/>
  <c r="AJ27" i="3"/>
  <c r="BH27" i="3"/>
  <c r="BJ27" i="3" s="1"/>
  <c r="BK27" i="3" s="1"/>
  <c r="AB27" i="3"/>
  <c r="AO27" i="3"/>
  <c r="AZ27" i="3"/>
  <c r="AF27" i="3"/>
  <c r="BE27" i="3"/>
  <c r="BA27" i="3"/>
  <c r="AK27" i="3"/>
  <c r="AW27" i="3"/>
  <c r="D25" i="6"/>
  <c r="E25" i="6" s="1"/>
  <c r="Q25" i="6" s="1"/>
  <c r="R25" i="6" s="1"/>
  <c r="I25" i="5"/>
  <c r="BN25" i="4"/>
  <c r="R25" i="4"/>
  <c r="S25" i="4" s="1"/>
  <c r="R26" i="3"/>
  <c r="S26" i="3" s="1"/>
  <c r="G6" i="7"/>
  <c r="F6" i="7"/>
  <c r="E6" i="7"/>
  <c r="H6" i="7"/>
  <c r="H11" i="7"/>
  <c r="G11" i="7"/>
  <c r="F11" i="7"/>
  <c r="D10" i="6"/>
  <c r="F10" i="6" s="1"/>
  <c r="Q10" i="6" s="1"/>
  <c r="R10" i="6" s="1"/>
  <c r="D20" i="6"/>
  <c r="E20" i="6" s="1"/>
  <c r="Q20" i="6" s="1"/>
  <c r="R20" i="6" s="1"/>
  <c r="I9" i="5"/>
  <c r="BB25" i="4"/>
  <c r="BC25" i="4" s="1"/>
  <c r="T26" i="3"/>
  <c r="AT25" i="4"/>
  <c r="AU25" i="4" s="1"/>
  <c r="AV26" i="4"/>
  <c r="AN26" i="4"/>
  <c r="BH26" i="4"/>
  <c r="AZ26" i="4"/>
  <c r="AR26" i="4"/>
  <c r="AC26" i="4"/>
  <c r="U26" i="4"/>
  <c r="AK26" i="4"/>
  <c r="BI26" i="4"/>
  <c r="AW26" i="4"/>
  <c r="AS26" i="4"/>
  <c r="Y26" i="4"/>
  <c r="Q26" i="4"/>
  <c r="BE26" i="4"/>
  <c r="BA26" i="4"/>
  <c r="O27" i="4"/>
  <c r="N27" i="4" s="1"/>
  <c r="AO26" i="4"/>
  <c r="AG26" i="4"/>
  <c r="AL25" i="3"/>
  <c r="AM25" i="3" s="1"/>
  <c r="D18" i="4"/>
  <c r="M17" i="6"/>
  <c r="S17" i="6" s="1"/>
  <c r="Q6" i="6"/>
  <c r="R6" i="6" s="1"/>
  <c r="G14" i="7"/>
  <c r="F14" i="7"/>
  <c r="E14" i="7"/>
  <c r="D14" i="7"/>
  <c r="S15" i="6"/>
  <c r="E10" i="7" s="1"/>
  <c r="BF25" i="4"/>
  <c r="BG25" i="4" s="1"/>
  <c r="AH25" i="4"/>
  <c r="AI25" i="4" s="1"/>
  <c r="AT26" i="3"/>
  <c r="AU26" i="3" s="1"/>
  <c r="AV26" i="3"/>
  <c r="BB30" i="15" l="1"/>
  <c r="BC29" i="15"/>
  <c r="BE29" i="15" s="1"/>
  <c r="BF29" i="15" s="1"/>
  <c r="BM28" i="15"/>
  <c r="BO28" i="15" s="1"/>
  <c r="BP28" i="15" s="1"/>
  <c r="K19" i="15"/>
  <c r="BL29" i="15"/>
  <c r="AG32" i="11"/>
  <c r="AH32" i="11" s="1"/>
  <c r="CA30" i="15"/>
  <c r="CB29" i="15"/>
  <c r="CD29" i="15" s="1"/>
  <c r="CE29" i="15" s="1"/>
  <c r="AW31" i="15"/>
  <c r="AX30" i="15"/>
  <c r="AZ30" i="15" s="1"/>
  <c r="BA30" i="15" s="1"/>
  <c r="O19" i="15"/>
  <c r="CF29" i="15"/>
  <c r="CG28" i="15"/>
  <c r="CI28" i="15" s="1"/>
  <c r="CJ28" i="15" s="1"/>
  <c r="AH31" i="15"/>
  <c r="AI30" i="15"/>
  <c r="AK30" i="15" s="1"/>
  <c r="AL30" i="15" s="1"/>
  <c r="I26" i="5"/>
  <c r="H8" i="9" s="1"/>
  <c r="U32" i="11"/>
  <c r="V32" i="11" s="1"/>
  <c r="AD27" i="3"/>
  <c r="AE27" i="3" s="1"/>
  <c r="AH27" i="3"/>
  <c r="AI27" i="3" s="1"/>
  <c r="E23" i="7"/>
  <c r="BB27" i="3"/>
  <c r="BC27" i="3" s="1"/>
  <c r="AL27" i="3"/>
  <c r="AM27" i="3" s="1"/>
  <c r="AX27" i="3"/>
  <c r="AY27" i="3" s="1"/>
  <c r="R27" i="3"/>
  <c r="S27" i="3" s="1"/>
  <c r="BE32" i="11"/>
  <c r="BF32" i="11" s="1"/>
  <c r="BA32" i="11"/>
  <c r="BB32" i="11" s="1"/>
  <c r="AS32" i="11"/>
  <c r="AT32" i="11" s="1"/>
  <c r="BJ31" i="11"/>
  <c r="H27" i="6"/>
  <c r="F18" i="4" s="1"/>
  <c r="AG32" i="10"/>
  <c r="AH32" i="10" s="1"/>
  <c r="BB32" i="14"/>
  <c r="BC32" i="14" s="1"/>
  <c r="Y32" i="11"/>
  <c r="Z32" i="11" s="1"/>
  <c r="BI32" i="11"/>
  <c r="AY33" i="11"/>
  <c r="AI33" i="11"/>
  <c r="S33" i="11"/>
  <c r="AN33" i="11"/>
  <c r="AB33" i="11"/>
  <c r="AJ33" i="11"/>
  <c r="AU33" i="11"/>
  <c r="AE33" i="11"/>
  <c r="O33" i="11"/>
  <c r="AF33" i="11"/>
  <c r="AZ33" i="11"/>
  <c r="N34" i="11"/>
  <c r="M34" i="11" s="1"/>
  <c r="AQ33" i="11"/>
  <c r="AA33" i="11"/>
  <c r="BD33" i="11"/>
  <c r="X33" i="11"/>
  <c r="T33" i="11"/>
  <c r="BC33" i="11"/>
  <c r="AM33" i="11"/>
  <c r="W33" i="11"/>
  <c r="AV33" i="11"/>
  <c r="P33" i="11"/>
  <c r="AR33" i="11"/>
  <c r="E8" i="7"/>
  <c r="S13" i="6"/>
  <c r="D8" i="7" s="1"/>
  <c r="AC32" i="11"/>
  <c r="AD32" i="11" s="1"/>
  <c r="AK32" i="11"/>
  <c r="AL32" i="11" s="1"/>
  <c r="BH32" i="11"/>
  <c r="Q32" i="11"/>
  <c r="R32" i="11" s="1"/>
  <c r="AO32" i="11"/>
  <c r="AP32" i="11" s="1"/>
  <c r="BT31" i="14"/>
  <c r="BU31" i="14" s="1"/>
  <c r="CI31" i="14"/>
  <c r="CJ31" i="14" s="1"/>
  <c r="BL32" i="14"/>
  <c r="BM32" i="14" s="1"/>
  <c r="S32" i="14"/>
  <c r="T32" i="14" s="1"/>
  <c r="BG32" i="14"/>
  <c r="BH32" i="14" s="1"/>
  <c r="AH32" i="14"/>
  <c r="AI32" i="14" s="1"/>
  <c r="BY31" i="14"/>
  <c r="BZ31" i="14" s="1"/>
  <c r="CN31" i="14"/>
  <c r="CO31" i="14" s="1"/>
  <c r="CO82" i="14" s="1"/>
  <c r="P20" i="14" s="1"/>
  <c r="AA31" i="14"/>
  <c r="AB31" i="14" s="1"/>
  <c r="CL82" i="14"/>
  <c r="AU31" i="14"/>
  <c r="AV31" i="14" s="1"/>
  <c r="AM32" i="14"/>
  <c r="AN32" i="14" s="1"/>
  <c r="AC32" i="14"/>
  <c r="AD32" i="14" s="1"/>
  <c r="AN31" i="14"/>
  <c r="AP31" i="14" s="1"/>
  <c r="AQ31" i="14" s="1"/>
  <c r="CA32" i="14"/>
  <c r="CB32" i="14" s="1"/>
  <c r="BV32" i="14"/>
  <c r="BW32" i="14" s="1"/>
  <c r="T31" i="14"/>
  <c r="BE31" i="14"/>
  <c r="BF31" i="14" s="1"/>
  <c r="CB31" i="14"/>
  <c r="CD31" i="14" s="1"/>
  <c r="CE31" i="14" s="1"/>
  <c r="Q32" i="14"/>
  <c r="CH32" i="14"/>
  <c r="Z32" i="14"/>
  <c r="U32" i="14"/>
  <c r="BX32" i="14"/>
  <c r="BS32" i="14"/>
  <c r="AT32" i="14"/>
  <c r="AY32" i="14"/>
  <c r="CC32" i="14"/>
  <c r="AE32" i="14"/>
  <c r="BN32" i="14"/>
  <c r="AO32" i="14"/>
  <c r="BD32" i="14"/>
  <c r="BI32" i="14"/>
  <c r="R33" i="14"/>
  <c r="AJ32" i="14"/>
  <c r="AR32" i="14"/>
  <c r="AW32" i="14"/>
  <c r="AD31" i="14"/>
  <c r="AF31" i="14" s="1"/>
  <c r="AG31" i="14" s="1"/>
  <c r="BH31" i="14"/>
  <c r="BJ31" i="14" s="1"/>
  <c r="BK31" i="14" s="1"/>
  <c r="CF32" i="14"/>
  <c r="BQ32" i="14"/>
  <c r="BR32" i="14" s="1"/>
  <c r="AX31" i="14"/>
  <c r="AZ31" i="14" s="1"/>
  <c r="BA31" i="14" s="1"/>
  <c r="AI31" i="14"/>
  <c r="AK31" i="14" s="1"/>
  <c r="AL31" i="14" s="1"/>
  <c r="BM31" i="14"/>
  <c r="BO31" i="14" s="1"/>
  <c r="BP31" i="14" s="1"/>
  <c r="X32" i="14"/>
  <c r="Y32" i="14" s="1"/>
  <c r="AU31" i="15"/>
  <c r="AV31" i="15" s="1"/>
  <c r="AF31" i="15"/>
  <c r="AG31" i="15" s="1"/>
  <c r="E27" i="6"/>
  <c r="B18" i="4" s="1"/>
  <c r="B19" i="4" s="1"/>
  <c r="P26" i="4" s="1"/>
  <c r="BY31" i="15"/>
  <c r="BZ31" i="15" s="1"/>
  <c r="BT31" i="15"/>
  <c r="BU31" i="15" s="1"/>
  <c r="M11" i="14"/>
  <c r="M10" i="14"/>
  <c r="N7" i="14"/>
  <c r="P12" i="15"/>
  <c r="O13" i="15"/>
  <c r="L10" i="15"/>
  <c r="M7" i="15"/>
  <c r="L11" i="15"/>
  <c r="V31" i="15"/>
  <c r="W31" i="15" s="1"/>
  <c r="AP31" i="15"/>
  <c r="AQ31" i="15" s="1"/>
  <c r="BD32" i="15"/>
  <c r="AN32" i="15"/>
  <c r="R33" i="15"/>
  <c r="BS32" i="15"/>
  <c r="AE32" i="15"/>
  <c r="BW32" i="15"/>
  <c r="U32" i="15"/>
  <c r="AD32" i="15"/>
  <c r="T32" i="15"/>
  <c r="BI32" i="15"/>
  <c r="AY32" i="15"/>
  <c r="AO32" i="15"/>
  <c r="BR32" i="15"/>
  <c r="BH32" i="15"/>
  <c r="AT32" i="15"/>
  <c r="Z32" i="15"/>
  <c r="AS32" i="15"/>
  <c r="Y32" i="15"/>
  <c r="CH32" i="15"/>
  <c r="BN32" i="15"/>
  <c r="AJ32" i="15"/>
  <c r="CC32" i="15"/>
  <c r="Q32" i="15"/>
  <c r="BX32" i="15"/>
  <c r="P12" i="14"/>
  <c r="O13" i="14"/>
  <c r="AA31" i="15"/>
  <c r="AB31" i="15" s="1"/>
  <c r="BJ31" i="15"/>
  <c r="BK31" i="15" s="1"/>
  <c r="Q32" i="10"/>
  <c r="R32" i="10" s="1"/>
  <c r="AW32" i="10"/>
  <c r="AX32" i="10" s="1"/>
  <c r="AK32" i="10"/>
  <c r="AL32" i="10" s="1"/>
  <c r="AC32" i="10"/>
  <c r="AD32" i="10" s="1"/>
  <c r="Y32" i="10"/>
  <c r="Z32" i="10" s="1"/>
  <c r="BE32" i="10"/>
  <c r="BF32" i="10" s="1"/>
  <c r="N34" i="10"/>
  <c r="BD33" i="10"/>
  <c r="AZ33" i="10"/>
  <c r="AV33" i="10"/>
  <c r="AR33" i="10"/>
  <c r="AN33" i="10"/>
  <c r="AJ33" i="10"/>
  <c r="AF33" i="10"/>
  <c r="AB33" i="10"/>
  <c r="X33" i="10"/>
  <c r="T33" i="10"/>
  <c r="P33" i="10"/>
  <c r="AY33" i="10"/>
  <c r="AI33" i="10"/>
  <c r="S33" i="10"/>
  <c r="U33" i="10" s="1"/>
  <c r="V33" i="10" s="1"/>
  <c r="BC33" i="10"/>
  <c r="AM33" i="10"/>
  <c r="W33" i="10"/>
  <c r="Y33" i="10" s="1"/>
  <c r="Z33" i="10" s="1"/>
  <c r="AU33" i="10"/>
  <c r="AE33" i="10"/>
  <c r="O33" i="10"/>
  <c r="AQ33" i="10"/>
  <c r="AA33" i="10"/>
  <c r="U32" i="10"/>
  <c r="V32" i="10" s="1"/>
  <c r="BA32" i="10"/>
  <c r="BB32" i="10" s="1"/>
  <c r="AS32" i="10"/>
  <c r="AT32" i="10" s="1"/>
  <c r="AO32" i="10"/>
  <c r="AP32" i="10" s="1"/>
  <c r="AX26" i="4"/>
  <c r="AY26" i="4" s="1"/>
  <c r="H22" i="7"/>
  <c r="G22" i="7"/>
  <c r="F22" i="7"/>
  <c r="BN26" i="4"/>
  <c r="G10" i="7"/>
  <c r="F10" i="7"/>
  <c r="H10" i="7"/>
  <c r="D10" i="7"/>
  <c r="AP27" i="3"/>
  <c r="AQ27" i="3" s="1"/>
  <c r="F27" i="6"/>
  <c r="C18" i="4" s="1"/>
  <c r="G7" i="7"/>
  <c r="F7" i="7"/>
  <c r="H7" i="7"/>
  <c r="D7" i="7"/>
  <c r="E19" i="4"/>
  <c r="AB26" i="4" s="1"/>
  <c r="D22" i="7"/>
  <c r="BF27" i="3"/>
  <c r="BG27" i="3" s="1"/>
  <c r="BF26" i="3"/>
  <c r="BG26" i="3" s="1"/>
  <c r="AX26" i="3"/>
  <c r="AY26" i="3" s="1"/>
  <c r="BE27" i="4"/>
  <c r="AW27" i="4"/>
  <c r="AO27" i="4"/>
  <c r="AG27" i="4"/>
  <c r="Y27" i="4"/>
  <c r="Q27" i="4"/>
  <c r="BI27" i="4"/>
  <c r="AV27" i="4"/>
  <c r="BH27" i="4"/>
  <c r="U27" i="4"/>
  <c r="AS27" i="4"/>
  <c r="O28" i="4"/>
  <c r="N28" i="4" s="1"/>
  <c r="BD27" i="4"/>
  <c r="BF27" i="4" s="1"/>
  <c r="BG27" i="4" s="1"/>
  <c r="AR27" i="4"/>
  <c r="AC27" i="4"/>
  <c r="AK27" i="4"/>
  <c r="BA27" i="4"/>
  <c r="AZ27" i="4"/>
  <c r="AN27" i="4"/>
  <c r="D19" i="4"/>
  <c r="X26" i="4" s="1"/>
  <c r="BB26" i="4"/>
  <c r="BC26" i="4" s="1"/>
  <c r="H23" i="7"/>
  <c r="G23" i="7"/>
  <c r="F23" i="7"/>
  <c r="BJ26" i="3"/>
  <c r="BK26" i="3" s="1"/>
  <c r="G8" i="7"/>
  <c r="F8" i="7"/>
  <c r="H8" i="7"/>
  <c r="E7" i="7"/>
  <c r="E22" i="7"/>
  <c r="M27" i="6"/>
  <c r="Q17" i="6"/>
  <c r="R17" i="6" s="1"/>
  <c r="AT26" i="4"/>
  <c r="AU26" i="4" s="1"/>
  <c r="V26" i="3"/>
  <c r="W26" i="3" s="1"/>
  <c r="Z27" i="3"/>
  <c r="AA27" i="3" s="1"/>
  <c r="G9" i="7"/>
  <c r="F9" i="7"/>
  <c r="H9" i="7"/>
  <c r="D9" i="7"/>
  <c r="BJ26" i="4"/>
  <c r="BK26" i="4" s="1"/>
  <c r="V27" i="3"/>
  <c r="W27" i="3" s="1"/>
  <c r="AT27" i="3"/>
  <c r="AU27" i="3" s="1"/>
  <c r="BF26" i="4"/>
  <c r="BG26" i="4" s="1"/>
  <c r="AP26" i="4"/>
  <c r="AQ26" i="4" s="1"/>
  <c r="BH28" i="3"/>
  <c r="AZ28" i="3"/>
  <c r="AR28" i="3"/>
  <c r="AJ28" i="3"/>
  <c r="AB28" i="3"/>
  <c r="T28" i="3"/>
  <c r="O29" i="3"/>
  <c r="BE28" i="3"/>
  <c r="AW28" i="3"/>
  <c r="AO28" i="3"/>
  <c r="AG28" i="3"/>
  <c r="Y28" i="3"/>
  <c r="Q28" i="3"/>
  <c r="AV28" i="3"/>
  <c r="P28" i="3"/>
  <c r="AK28" i="3"/>
  <c r="BD28" i="3"/>
  <c r="X28" i="3"/>
  <c r="AF28" i="3"/>
  <c r="AC28" i="3"/>
  <c r="BA28" i="3"/>
  <c r="BI28" i="3"/>
  <c r="AN28" i="3"/>
  <c r="AS28" i="3"/>
  <c r="U28" i="3"/>
  <c r="Z26" i="3"/>
  <c r="AA26" i="3" s="1"/>
  <c r="Q18" i="6"/>
  <c r="R18" i="6" s="1"/>
  <c r="BJ32" i="11" l="1"/>
  <c r="Y33" i="11"/>
  <c r="Z33" i="11" s="1"/>
  <c r="P18" i="15"/>
  <c r="CK25" i="15" s="1"/>
  <c r="CA31" i="15"/>
  <c r="CB30" i="15"/>
  <c r="CD30" i="15" s="1"/>
  <c r="CE30" i="15" s="1"/>
  <c r="CK26" i="15"/>
  <c r="CL25" i="15"/>
  <c r="AH32" i="15"/>
  <c r="AI31" i="15"/>
  <c r="AK31" i="15" s="1"/>
  <c r="AL31" i="15" s="1"/>
  <c r="CG29" i="15"/>
  <c r="CI29" i="15" s="1"/>
  <c r="CJ29" i="15" s="1"/>
  <c r="CF30" i="15"/>
  <c r="BL30" i="15"/>
  <c r="BM29" i="15"/>
  <c r="BO29" i="15" s="1"/>
  <c r="BP29" i="15" s="1"/>
  <c r="AC33" i="10"/>
  <c r="AD33" i="10" s="1"/>
  <c r="R27" i="6"/>
  <c r="AW32" i="15"/>
  <c r="AX31" i="15"/>
  <c r="AZ31" i="15" s="1"/>
  <c r="BA31" i="15" s="1"/>
  <c r="BB31" i="15"/>
  <c r="BC30" i="15"/>
  <c r="BE30" i="15" s="1"/>
  <c r="BF30" i="15" s="1"/>
  <c r="Z28" i="3"/>
  <c r="AA28" i="3" s="1"/>
  <c r="AX28" i="3"/>
  <c r="AY28" i="3" s="1"/>
  <c r="V28" i="3"/>
  <c r="W28" i="3" s="1"/>
  <c r="BB28" i="3"/>
  <c r="BC28" i="3" s="1"/>
  <c r="BF28" i="3"/>
  <c r="BG28" i="3" s="1"/>
  <c r="AS33" i="10"/>
  <c r="AT33" i="10" s="1"/>
  <c r="AC33" i="11"/>
  <c r="AD33" i="11" s="1"/>
  <c r="AL28" i="3"/>
  <c r="AM28" i="3" s="1"/>
  <c r="AM33" i="14"/>
  <c r="AG33" i="11"/>
  <c r="AH33" i="11" s="1"/>
  <c r="BA33" i="10"/>
  <c r="BB33" i="10" s="1"/>
  <c r="BE33" i="11"/>
  <c r="BF33" i="11" s="1"/>
  <c r="AX27" i="4"/>
  <c r="AY27" i="4" s="1"/>
  <c r="AO33" i="11"/>
  <c r="AP33" i="11" s="1"/>
  <c r="AW33" i="11"/>
  <c r="AX33" i="11" s="1"/>
  <c r="BI33" i="11"/>
  <c r="AK33" i="10"/>
  <c r="AL33" i="10" s="1"/>
  <c r="Q33" i="10"/>
  <c r="R33" i="10" s="1"/>
  <c r="U33" i="11"/>
  <c r="V33" i="11" s="1"/>
  <c r="AT27" i="4"/>
  <c r="AU27" i="4" s="1"/>
  <c r="M27" i="18"/>
  <c r="M11" i="18"/>
  <c r="AS33" i="11"/>
  <c r="AT33" i="11" s="1"/>
  <c r="AK33" i="11"/>
  <c r="AL33" i="11" s="1"/>
  <c r="AW33" i="10"/>
  <c r="AX33" i="10" s="1"/>
  <c r="BD34" i="11"/>
  <c r="AN34" i="11"/>
  <c r="X34" i="11"/>
  <c r="AU34" i="11"/>
  <c r="O34" i="11"/>
  <c r="AA34" i="11"/>
  <c r="AZ34" i="11"/>
  <c r="AJ34" i="11"/>
  <c r="T34" i="11"/>
  <c r="AM34" i="11"/>
  <c r="AO34" i="11" s="1"/>
  <c r="AP34" i="11" s="1"/>
  <c r="AY34" i="11"/>
  <c r="S34" i="11"/>
  <c r="AR34" i="11"/>
  <c r="BC34" i="11"/>
  <c r="W34" i="11"/>
  <c r="AV34" i="11"/>
  <c r="AF34" i="11"/>
  <c r="P34" i="11"/>
  <c r="AE34" i="11"/>
  <c r="AQ34" i="11"/>
  <c r="N35" i="11"/>
  <c r="M35" i="11" s="1"/>
  <c r="AB34" i="11"/>
  <c r="AI34" i="11"/>
  <c r="Q33" i="11"/>
  <c r="R33" i="11" s="1"/>
  <c r="BH33" i="11"/>
  <c r="BA33" i="11"/>
  <c r="BB33" i="11" s="1"/>
  <c r="J8" i="9"/>
  <c r="BT32" i="15"/>
  <c r="BU32" i="15" s="1"/>
  <c r="AA32" i="14"/>
  <c r="AB32" i="14" s="1"/>
  <c r="BO32" i="14"/>
  <c r="BP32" i="14" s="1"/>
  <c r="BJ32" i="14"/>
  <c r="BK32" i="14" s="1"/>
  <c r="AP32" i="14"/>
  <c r="AQ32" i="14" s="1"/>
  <c r="BE32" i="14"/>
  <c r="BF32" i="14" s="1"/>
  <c r="P21" i="14"/>
  <c r="BT32" i="14"/>
  <c r="BU32" i="14" s="1"/>
  <c r="BY32" i="14"/>
  <c r="BZ32" i="14" s="1"/>
  <c r="CD32" i="14"/>
  <c r="CE32" i="14" s="1"/>
  <c r="AF32" i="14"/>
  <c r="AG32" i="14" s="1"/>
  <c r="AK32" i="14"/>
  <c r="AL32" i="14" s="1"/>
  <c r="BL33" i="14"/>
  <c r="BM33" i="14" s="1"/>
  <c r="BV33" i="14"/>
  <c r="BW33" i="14" s="1"/>
  <c r="AW33" i="14"/>
  <c r="AX33" i="14" s="1"/>
  <c r="CA33" i="14"/>
  <c r="CB33" i="14" s="1"/>
  <c r="AR33" i="14"/>
  <c r="AS33" i="14" s="1"/>
  <c r="AH33" i="14"/>
  <c r="AI33" i="14" s="1"/>
  <c r="X33" i="14"/>
  <c r="Y33" i="14" s="1"/>
  <c r="CF33" i="14"/>
  <c r="CG33" i="14" s="1"/>
  <c r="BB33" i="14"/>
  <c r="BC33" i="14" s="1"/>
  <c r="S33" i="14"/>
  <c r="T33" i="14" s="1"/>
  <c r="BG33" i="14"/>
  <c r="BH33" i="14" s="1"/>
  <c r="AC33" i="14"/>
  <c r="AD33" i="14" s="1"/>
  <c r="V31" i="14"/>
  <c r="W31" i="14" s="1"/>
  <c r="BD33" i="14"/>
  <c r="BS33" i="14"/>
  <c r="BN33" i="14"/>
  <c r="AN33" i="14"/>
  <c r="AT33" i="14"/>
  <c r="BX33" i="14"/>
  <c r="AJ33" i="14"/>
  <c r="CC33" i="14"/>
  <c r="BI33" i="14"/>
  <c r="CH33" i="14"/>
  <c r="AE33" i="14"/>
  <c r="Z33" i="14"/>
  <c r="AY33" i="14"/>
  <c r="AO33" i="14"/>
  <c r="U33" i="14"/>
  <c r="Q33" i="14"/>
  <c r="R34" i="14"/>
  <c r="CG32" i="14"/>
  <c r="CI32" i="14" s="1"/>
  <c r="CJ32" i="14" s="1"/>
  <c r="AS32" i="14"/>
  <c r="AU32" i="14" s="1"/>
  <c r="AV32" i="14" s="1"/>
  <c r="V32" i="14"/>
  <c r="W32" i="14" s="1"/>
  <c r="BQ33" i="14"/>
  <c r="AX32" i="14"/>
  <c r="AZ32" i="14" s="1"/>
  <c r="BA32" i="14" s="1"/>
  <c r="AA32" i="15"/>
  <c r="AB32" i="15" s="1"/>
  <c r="AP32" i="15"/>
  <c r="AQ32" i="15" s="1"/>
  <c r="X27" i="4"/>
  <c r="Z27" i="4" s="1"/>
  <c r="AA27" i="4" s="1"/>
  <c r="P27" i="4"/>
  <c r="R27" i="4" s="1"/>
  <c r="S27" i="4" s="1"/>
  <c r="N11" i="14"/>
  <c r="O7" i="14"/>
  <c r="N10" i="14"/>
  <c r="AU32" i="15"/>
  <c r="AV32" i="15" s="1"/>
  <c r="P13" i="14"/>
  <c r="P11" i="14"/>
  <c r="V32" i="15"/>
  <c r="W32" i="15" s="1"/>
  <c r="P13" i="15"/>
  <c r="P11" i="15"/>
  <c r="AF32" i="15"/>
  <c r="AG32" i="15" s="1"/>
  <c r="BW33" i="15"/>
  <c r="AY33" i="15"/>
  <c r="BN33" i="15"/>
  <c r="Z33" i="15"/>
  <c r="BD33" i="15"/>
  <c r="AN33" i="15"/>
  <c r="BS33" i="15"/>
  <c r="BH33" i="15"/>
  <c r="AT33" i="15"/>
  <c r="U33" i="15"/>
  <c r="R34" i="15"/>
  <c r="BR33" i="15"/>
  <c r="AS33" i="15"/>
  <c r="AE33" i="15"/>
  <c r="T33" i="15"/>
  <c r="CC33" i="15"/>
  <c r="AD33" i="15"/>
  <c r="Q33" i="15"/>
  <c r="AO33" i="15"/>
  <c r="CH33" i="15"/>
  <c r="BI33" i="15"/>
  <c r="AJ33" i="15"/>
  <c r="Y33" i="15"/>
  <c r="BX33" i="15"/>
  <c r="BJ32" i="15"/>
  <c r="BK32" i="15" s="1"/>
  <c r="CR32" i="15"/>
  <c r="BY32" i="15"/>
  <c r="BZ32" i="15" s="1"/>
  <c r="N7" i="15"/>
  <c r="M11" i="15"/>
  <c r="M10" i="15"/>
  <c r="AO33" i="10"/>
  <c r="AP33" i="10" s="1"/>
  <c r="AV34" i="10"/>
  <c r="AQ34" i="10"/>
  <c r="AF34" i="10"/>
  <c r="AA34" i="10"/>
  <c r="P34" i="10"/>
  <c r="AZ34" i="10"/>
  <c r="AU34" i="10"/>
  <c r="AJ34" i="10"/>
  <c r="AE34" i="10"/>
  <c r="T34" i="10"/>
  <c r="O34" i="10"/>
  <c r="BC34" i="10"/>
  <c r="AR34" i="10"/>
  <c r="W34" i="10"/>
  <c r="BD34" i="10"/>
  <c r="AY34" i="10"/>
  <c r="AN34" i="10"/>
  <c r="AI34" i="10"/>
  <c r="X34" i="10"/>
  <c r="S34" i="10"/>
  <c r="N35" i="10"/>
  <c r="AM34" i="10"/>
  <c r="AB34" i="10"/>
  <c r="AG33" i="10"/>
  <c r="AH33" i="10" s="1"/>
  <c r="BE33" i="10"/>
  <c r="BF33" i="10" s="1"/>
  <c r="BJ28" i="3"/>
  <c r="BK28" i="3" s="1"/>
  <c r="BN27" i="4"/>
  <c r="AB27" i="4"/>
  <c r="AD27" i="4" s="1"/>
  <c r="AE27" i="4" s="1"/>
  <c r="C19" i="4"/>
  <c r="T28" i="4" s="1"/>
  <c r="AP28" i="3"/>
  <c r="AQ28" i="3" s="1"/>
  <c r="R28" i="3"/>
  <c r="S28" i="3" s="1"/>
  <c r="AZ29" i="3"/>
  <c r="AO29" i="3"/>
  <c r="T29" i="3"/>
  <c r="BI29" i="3"/>
  <c r="AN29" i="3"/>
  <c r="AC29" i="3"/>
  <c r="BH29" i="3"/>
  <c r="AW29" i="3"/>
  <c r="AB29" i="3"/>
  <c r="Q29" i="3"/>
  <c r="BE29" i="3"/>
  <c r="AJ29" i="3"/>
  <c r="Y29" i="3"/>
  <c r="AV29" i="3"/>
  <c r="AS29" i="3"/>
  <c r="X29" i="3"/>
  <c r="AG29" i="3"/>
  <c r="O30" i="3"/>
  <c r="AR29" i="3"/>
  <c r="BA29" i="3"/>
  <c r="U29" i="3"/>
  <c r="AF29" i="3"/>
  <c r="AK29" i="3"/>
  <c r="P29" i="3"/>
  <c r="BD29" i="3"/>
  <c r="F19" i="4"/>
  <c r="AF28" i="4" s="1"/>
  <c r="AD28" i="3"/>
  <c r="AE28" i="3" s="1"/>
  <c r="R26" i="4"/>
  <c r="S26" i="4" s="1"/>
  <c r="BJ27" i="4"/>
  <c r="BK27" i="4" s="1"/>
  <c r="G18" i="4"/>
  <c r="BH28" i="4"/>
  <c r="AZ28" i="4"/>
  <c r="AR28" i="4"/>
  <c r="AB28" i="4"/>
  <c r="BD28" i="4"/>
  <c r="AV28" i="4"/>
  <c r="AN28" i="4"/>
  <c r="X28" i="4"/>
  <c r="P28" i="4"/>
  <c r="AG28" i="4"/>
  <c r="U28" i="4"/>
  <c r="BE28" i="4"/>
  <c r="AS28" i="4"/>
  <c r="O29" i="4"/>
  <c r="N29" i="4" s="1"/>
  <c r="Q28" i="4"/>
  <c r="AO28" i="4"/>
  <c r="AC28" i="4"/>
  <c r="BA28" i="4"/>
  <c r="AW28" i="4"/>
  <c r="AK28" i="4"/>
  <c r="BI28" i="4"/>
  <c r="Y28" i="4"/>
  <c r="Z26" i="4"/>
  <c r="AA26" i="4" s="1"/>
  <c r="AD26" i="4"/>
  <c r="AE26" i="4" s="1"/>
  <c r="AP27" i="4"/>
  <c r="AQ27" i="4" s="1"/>
  <c r="AH28" i="3"/>
  <c r="AI28" i="3" s="1"/>
  <c r="AT28" i="3"/>
  <c r="AU28" i="3" s="1"/>
  <c r="BB27" i="4"/>
  <c r="BC27" i="4" s="1"/>
  <c r="BA34" i="11" l="1"/>
  <c r="BB34" i="11" s="1"/>
  <c r="AW33" i="15"/>
  <c r="AX32" i="15"/>
  <c r="AZ32" i="15" s="1"/>
  <c r="BA32" i="15" s="1"/>
  <c r="CF31" i="15"/>
  <c r="CG30" i="15"/>
  <c r="CI30" i="15" s="1"/>
  <c r="CJ30" i="15" s="1"/>
  <c r="AH33" i="15"/>
  <c r="AI32" i="15"/>
  <c r="AK32" i="15" s="1"/>
  <c r="AL32" i="15" s="1"/>
  <c r="Y34" i="11"/>
  <c r="Z34" i="11" s="1"/>
  <c r="CN25" i="15"/>
  <c r="CO25" i="15" s="1"/>
  <c r="CQ25" i="15"/>
  <c r="CS25" i="15" s="1"/>
  <c r="CK27" i="15"/>
  <c r="CK28" i="15" s="1"/>
  <c r="CL26" i="15"/>
  <c r="CQ26" i="15" s="1"/>
  <c r="BB32" i="15"/>
  <c r="BC31" i="15"/>
  <c r="BE31" i="15" s="1"/>
  <c r="BF31" i="15" s="1"/>
  <c r="BL31" i="15"/>
  <c r="BM30" i="15"/>
  <c r="BO30" i="15" s="1"/>
  <c r="BP30" i="15" s="1"/>
  <c r="CA32" i="15"/>
  <c r="CB31" i="15"/>
  <c r="CD31" i="15" s="1"/>
  <c r="CE31" i="15" s="1"/>
  <c r="BJ29" i="3"/>
  <c r="BK29" i="3" s="1"/>
  <c r="AX29" i="3"/>
  <c r="AY29" i="3" s="1"/>
  <c r="BE34" i="10"/>
  <c r="BF34" i="10" s="1"/>
  <c r="AW34" i="10"/>
  <c r="AX34" i="10" s="1"/>
  <c r="AH29" i="3"/>
  <c r="AI29" i="3" s="1"/>
  <c r="BE33" i="14"/>
  <c r="BF33" i="14" s="1"/>
  <c r="AC34" i="10"/>
  <c r="AD34" i="10" s="1"/>
  <c r="AK34" i="11"/>
  <c r="AL34" i="11" s="1"/>
  <c r="BJ33" i="11"/>
  <c r="AS34" i="11"/>
  <c r="AT34" i="11" s="1"/>
  <c r="U34" i="11"/>
  <c r="V34" i="11" s="1"/>
  <c r="BE34" i="11"/>
  <c r="BF34" i="11" s="1"/>
  <c r="BI34" i="11"/>
  <c r="BC35" i="11"/>
  <c r="AM35" i="11"/>
  <c r="W35" i="11"/>
  <c r="AZ35" i="11"/>
  <c r="T35" i="11"/>
  <c r="AF35" i="11"/>
  <c r="AY35" i="11"/>
  <c r="AI35" i="11"/>
  <c r="S35" i="11"/>
  <c r="U35" i="11" s="1"/>
  <c r="V35" i="11" s="1"/>
  <c r="AR35" i="11"/>
  <c r="BD35" i="11"/>
  <c r="X35" i="11"/>
  <c r="AU35" i="11"/>
  <c r="AE35" i="11"/>
  <c r="AG35" i="11" s="1"/>
  <c r="AH35" i="11" s="1"/>
  <c r="O35" i="11"/>
  <c r="AJ35" i="11"/>
  <c r="AV35" i="11"/>
  <c r="P35" i="11"/>
  <c r="AQ35" i="11"/>
  <c r="AA35" i="11"/>
  <c r="N36" i="11"/>
  <c r="M36" i="11" s="1"/>
  <c r="AB35" i="11"/>
  <c r="AN35" i="11"/>
  <c r="AC34" i="11"/>
  <c r="AD34" i="11" s="1"/>
  <c r="AP29" i="3"/>
  <c r="AQ29" i="3" s="1"/>
  <c r="BB29" i="3"/>
  <c r="BC29" i="3" s="1"/>
  <c r="Y34" i="10"/>
  <c r="Z34" i="10" s="1"/>
  <c r="AS34" i="10"/>
  <c r="AT34" i="10" s="1"/>
  <c r="BJ33" i="14"/>
  <c r="BK33" i="14" s="1"/>
  <c r="BH34" i="11"/>
  <c r="Q34" i="11"/>
  <c r="R34" i="11" s="1"/>
  <c r="P19" i="15"/>
  <c r="CK29" i="15"/>
  <c r="AG34" i="10"/>
  <c r="AH34" i="10" s="1"/>
  <c r="AG34" i="11"/>
  <c r="AH34" i="11" s="1"/>
  <c r="AW34" i="11"/>
  <c r="AX34" i="11" s="1"/>
  <c r="BY33" i="14"/>
  <c r="BZ33" i="14" s="1"/>
  <c r="AZ33" i="14"/>
  <c r="BA33" i="14" s="1"/>
  <c r="AK33" i="14"/>
  <c r="AL33" i="14" s="1"/>
  <c r="V33" i="14"/>
  <c r="W33" i="14" s="1"/>
  <c r="AU33" i="14"/>
  <c r="AV33" i="14" s="1"/>
  <c r="AF33" i="14"/>
  <c r="AG33" i="14" s="1"/>
  <c r="CD33" i="14"/>
  <c r="CE33" i="14" s="1"/>
  <c r="AA33" i="14"/>
  <c r="AB33" i="14" s="1"/>
  <c r="BO33" i="14"/>
  <c r="BP33" i="14" s="1"/>
  <c r="CA34" i="14"/>
  <c r="CB34" i="14" s="1"/>
  <c r="AP33" i="15"/>
  <c r="AQ33" i="15" s="1"/>
  <c r="AP33" i="14"/>
  <c r="AQ33" i="14" s="1"/>
  <c r="BV34" i="14"/>
  <c r="BW34" i="14" s="1"/>
  <c r="CF34" i="14"/>
  <c r="CG34" i="14" s="1"/>
  <c r="BQ34" i="14"/>
  <c r="BR34" i="14" s="1"/>
  <c r="AH34" i="14"/>
  <c r="AI34" i="14" s="1"/>
  <c r="AR34" i="14"/>
  <c r="AS34" i="14" s="1"/>
  <c r="X34" i="14"/>
  <c r="AC34" i="14"/>
  <c r="AD34" i="14" s="1"/>
  <c r="AJ34" i="14"/>
  <c r="BS34" i="14"/>
  <c r="AY34" i="14"/>
  <c r="AO34" i="14"/>
  <c r="AT34" i="14"/>
  <c r="CC34" i="14"/>
  <c r="AE34" i="14"/>
  <c r="CH34" i="14"/>
  <c r="BI34" i="14"/>
  <c r="BD34" i="14"/>
  <c r="Z34" i="14"/>
  <c r="BN34" i="14"/>
  <c r="U34" i="14"/>
  <c r="Q34" i="14"/>
  <c r="BX34" i="14"/>
  <c r="R35" i="14"/>
  <c r="BG34" i="14"/>
  <c r="BH34" i="14" s="1"/>
  <c r="AW34" i="14"/>
  <c r="S34" i="14"/>
  <c r="T34" i="14" s="1"/>
  <c r="BL34" i="14"/>
  <c r="BM34" i="14" s="1"/>
  <c r="BR33" i="14"/>
  <c r="BT33" i="14" s="1"/>
  <c r="BU33" i="14" s="1"/>
  <c r="BB34" i="14"/>
  <c r="CI33" i="14"/>
  <c r="CJ33" i="14" s="1"/>
  <c r="AM34" i="14"/>
  <c r="AN34" i="14" s="1"/>
  <c r="AF33" i="15"/>
  <c r="AG33" i="15" s="1"/>
  <c r="Z28" i="4"/>
  <c r="AA28" i="4" s="1"/>
  <c r="AD28" i="4"/>
  <c r="AE28" i="4" s="1"/>
  <c r="AH28" i="4"/>
  <c r="AI28" i="4" s="1"/>
  <c r="AX28" i="4"/>
  <c r="AY28" i="4" s="1"/>
  <c r="AA33" i="15"/>
  <c r="AB33" i="15" s="1"/>
  <c r="BJ33" i="15"/>
  <c r="BK33" i="15" s="1"/>
  <c r="AU33" i="15"/>
  <c r="AV33" i="15" s="1"/>
  <c r="BY33" i="15"/>
  <c r="BZ33" i="15" s="1"/>
  <c r="O11" i="14"/>
  <c r="O10" i="14"/>
  <c r="BT33" i="15"/>
  <c r="BU33" i="15" s="1"/>
  <c r="CH34" i="15"/>
  <c r="BR34" i="15"/>
  <c r="AT34" i="15"/>
  <c r="AD34" i="15"/>
  <c r="BI34" i="15"/>
  <c r="AS34" i="15"/>
  <c r="U34" i="15"/>
  <c r="BX34" i="15"/>
  <c r="BH34" i="15"/>
  <c r="BW34" i="15"/>
  <c r="AY34" i="15"/>
  <c r="T34" i="15"/>
  <c r="BD34" i="15"/>
  <c r="AE34" i="15"/>
  <c r="Q34" i="15"/>
  <c r="BS34" i="15"/>
  <c r="AO34" i="15"/>
  <c r="BN34" i="15"/>
  <c r="AN34" i="15"/>
  <c r="AJ34" i="15"/>
  <c r="R35" i="15"/>
  <c r="CC34" i="15"/>
  <c r="Y34" i="15"/>
  <c r="Z34" i="15"/>
  <c r="CR33" i="15"/>
  <c r="V33" i="15"/>
  <c r="W33" i="15" s="1"/>
  <c r="N11" i="15"/>
  <c r="N10" i="15"/>
  <c r="O7" i="15"/>
  <c r="Q34" i="10"/>
  <c r="R34" i="10" s="1"/>
  <c r="U34" i="10"/>
  <c r="V34" i="10" s="1"/>
  <c r="AO34" i="10"/>
  <c r="AP34" i="10" s="1"/>
  <c r="AK34" i="10"/>
  <c r="AL34" i="10" s="1"/>
  <c r="BA34" i="10"/>
  <c r="BB34" i="10" s="1"/>
  <c r="N36" i="10"/>
  <c r="BD35" i="10"/>
  <c r="AZ35" i="10"/>
  <c r="AV35" i="10"/>
  <c r="AR35" i="10"/>
  <c r="AN35" i="10"/>
  <c r="AJ35" i="10"/>
  <c r="AF35" i="10"/>
  <c r="AB35" i="10"/>
  <c r="X35" i="10"/>
  <c r="T35" i="10"/>
  <c r="P35" i="10"/>
  <c r="BC35" i="10"/>
  <c r="AU35" i="10"/>
  <c r="AM35" i="10"/>
  <c r="AE35" i="10"/>
  <c r="W35" i="10"/>
  <c r="AY35" i="10"/>
  <c r="AI35" i="10"/>
  <c r="S35" i="10"/>
  <c r="O35" i="10"/>
  <c r="AQ35" i="10"/>
  <c r="AA35" i="10"/>
  <c r="AT28" i="4"/>
  <c r="AU28" i="4" s="1"/>
  <c r="BN28" i="4"/>
  <c r="BB28" i="4"/>
  <c r="BC28" i="4" s="1"/>
  <c r="AL29" i="3"/>
  <c r="AM29" i="3" s="1"/>
  <c r="T26" i="4"/>
  <c r="T27" i="4"/>
  <c r="V27" i="4" s="1"/>
  <c r="W27" i="4" s="1"/>
  <c r="O30" i="4"/>
  <c r="N30" i="4" s="1"/>
  <c r="BI29" i="4"/>
  <c r="BA29" i="4"/>
  <c r="AS29" i="4"/>
  <c r="AK29" i="4"/>
  <c r="AC29" i="4"/>
  <c r="U29" i="4"/>
  <c r="BD29" i="4"/>
  <c r="Q29" i="4"/>
  <c r="AO29" i="4"/>
  <c r="AB29" i="4"/>
  <c r="P29" i="4"/>
  <c r="AZ29" i="4"/>
  <c r="AN29" i="4"/>
  <c r="Y29" i="4"/>
  <c r="AW29" i="4"/>
  <c r="X29" i="4"/>
  <c r="AG29" i="4"/>
  <c r="BH29" i="4"/>
  <c r="AF29" i="4"/>
  <c r="AV29" i="4"/>
  <c r="BE29" i="4"/>
  <c r="AR29" i="4"/>
  <c r="T29" i="4"/>
  <c r="AP28" i="4"/>
  <c r="AQ28" i="4" s="1"/>
  <c r="BJ28" i="4"/>
  <c r="BK28" i="4" s="1"/>
  <c r="AT29" i="3"/>
  <c r="AU29" i="3" s="1"/>
  <c r="V29" i="3"/>
  <c r="W29" i="3" s="1"/>
  <c r="G19" i="4"/>
  <c r="BD30" i="3"/>
  <c r="AV30" i="3"/>
  <c r="AN30" i="3"/>
  <c r="AF30" i="3"/>
  <c r="X30" i="3"/>
  <c r="P30" i="3"/>
  <c r="BI30" i="3"/>
  <c r="BA30" i="3"/>
  <c r="AS30" i="3"/>
  <c r="AK30" i="3"/>
  <c r="AC30" i="3"/>
  <c r="U30" i="3"/>
  <c r="AR30" i="3"/>
  <c r="O31" i="3"/>
  <c r="AG30" i="3"/>
  <c r="AZ30" i="3"/>
  <c r="T30" i="3"/>
  <c r="AO30" i="3"/>
  <c r="BH30" i="3"/>
  <c r="AB30" i="3"/>
  <c r="AJ30" i="3"/>
  <c r="Y30" i="3"/>
  <c r="BE30" i="3"/>
  <c r="Q30" i="3"/>
  <c r="AW30" i="3"/>
  <c r="BF28" i="4"/>
  <c r="BG28" i="4" s="1"/>
  <c r="BF29" i="3"/>
  <c r="BG29" i="3" s="1"/>
  <c r="AD29" i="3"/>
  <c r="AE29" i="3" s="1"/>
  <c r="R28" i="4"/>
  <c r="S28" i="4" s="1"/>
  <c r="V28" i="4"/>
  <c r="W28" i="4" s="1"/>
  <c r="AF26" i="4"/>
  <c r="AF27" i="4"/>
  <c r="R29" i="3"/>
  <c r="S29" i="3" s="1"/>
  <c r="Z29" i="3"/>
  <c r="AA29" i="3" s="1"/>
  <c r="CA33" i="15" l="1"/>
  <c r="CB32" i="15"/>
  <c r="CD32" i="15" s="1"/>
  <c r="CE32" i="15" s="1"/>
  <c r="AH34" i="15"/>
  <c r="AI33" i="15"/>
  <c r="AK33" i="15" s="1"/>
  <c r="AL33" i="15" s="1"/>
  <c r="AK35" i="10"/>
  <c r="AL35" i="10" s="1"/>
  <c r="BB33" i="15"/>
  <c r="BC32" i="15"/>
  <c r="BE32" i="15" s="1"/>
  <c r="BF32" i="15" s="1"/>
  <c r="CF32" i="15"/>
  <c r="CG31" i="15"/>
  <c r="CI31" i="15" s="1"/>
  <c r="CJ31" i="15" s="1"/>
  <c r="BM31" i="15"/>
  <c r="BO31" i="15" s="1"/>
  <c r="BP31" i="15" s="1"/>
  <c r="BL32" i="15"/>
  <c r="AS35" i="11"/>
  <c r="AT35" i="11" s="1"/>
  <c r="AW34" i="15"/>
  <c r="AX33" i="15"/>
  <c r="AZ33" i="15" s="1"/>
  <c r="BA33" i="15" s="1"/>
  <c r="BA35" i="10"/>
  <c r="BB35" i="10" s="1"/>
  <c r="BT34" i="14"/>
  <c r="BU34" i="14" s="1"/>
  <c r="AT29" i="4"/>
  <c r="AU29" i="4" s="1"/>
  <c r="U35" i="10"/>
  <c r="V35" i="10" s="1"/>
  <c r="R30" i="3"/>
  <c r="S30" i="3" s="1"/>
  <c r="Q35" i="10"/>
  <c r="R35" i="10" s="1"/>
  <c r="Y35" i="10"/>
  <c r="Z35" i="10" s="1"/>
  <c r="BE35" i="10"/>
  <c r="BF35" i="10" s="1"/>
  <c r="AC35" i="11"/>
  <c r="AD35" i="11" s="1"/>
  <c r="CM26" i="15"/>
  <c r="CM27" i="15"/>
  <c r="CR27" i="15" s="1"/>
  <c r="CM28" i="15"/>
  <c r="CR28" i="15" s="1"/>
  <c r="CM29" i="15"/>
  <c r="CR29" i="15" s="1"/>
  <c r="CM30" i="15"/>
  <c r="CR30" i="15" s="1"/>
  <c r="CM31" i="15"/>
  <c r="AK35" i="11"/>
  <c r="AL35" i="11" s="1"/>
  <c r="AL30" i="3"/>
  <c r="AM30" i="3" s="1"/>
  <c r="BJ34" i="11"/>
  <c r="Q35" i="11"/>
  <c r="R35" i="11" s="1"/>
  <c r="BH35" i="11"/>
  <c r="BA35" i="11"/>
  <c r="BB35" i="11" s="1"/>
  <c r="Y35" i="11"/>
  <c r="Z35" i="11" s="1"/>
  <c r="BB29" i="4"/>
  <c r="BC29" i="4" s="1"/>
  <c r="AO35" i="10"/>
  <c r="AP35" i="10" s="1"/>
  <c r="BI35" i="11"/>
  <c r="AO35" i="11"/>
  <c r="AP35" i="11" s="1"/>
  <c r="CK30" i="15"/>
  <c r="BD36" i="11"/>
  <c r="AN36" i="11"/>
  <c r="X36" i="11"/>
  <c r="BC36" i="11"/>
  <c r="W36" i="11"/>
  <c r="AY36" i="11"/>
  <c r="AB36" i="11"/>
  <c r="AZ36" i="11"/>
  <c r="AJ36" i="11"/>
  <c r="T36" i="11"/>
  <c r="AU36" i="11"/>
  <c r="O36" i="11"/>
  <c r="S36" i="11"/>
  <c r="AE36" i="11"/>
  <c r="AV36" i="11"/>
  <c r="AF36" i="11"/>
  <c r="P36" i="11"/>
  <c r="AM36" i="11"/>
  <c r="AO36" i="11" s="1"/>
  <c r="AP36" i="11" s="1"/>
  <c r="AI36" i="11"/>
  <c r="AQ36" i="11"/>
  <c r="N37" i="11"/>
  <c r="M37" i="11" s="1"/>
  <c r="AR36" i="11"/>
  <c r="AA36" i="11"/>
  <c r="AC36" i="11" s="1"/>
  <c r="AD36" i="11" s="1"/>
  <c r="AW35" i="11"/>
  <c r="AX35" i="11" s="1"/>
  <c r="BE35" i="11"/>
  <c r="BF35" i="11" s="1"/>
  <c r="BB35" i="14"/>
  <c r="BC35" i="14" s="1"/>
  <c r="CI34" i="14"/>
  <c r="CJ34" i="14" s="1"/>
  <c r="AU34" i="14"/>
  <c r="AV34" i="14" s="1"/>
  <c r="BJ34" i="14"/>
  <c r="BK34" i="14" s="1"/>
  <c r="AK34" i="14"/>
  <c r="AL34" i="14" s="1"/>
  <c r="V34" i="14"/>
  <c r="W34" i="14" s="1"/>
  <c r="AF34" i="14"/>
  <c r="AG34" i="14" s="1"/>
  <c r="CD34" i="14"/>
  <c r="CE34" i="14" s="1"/>
  <c r="BO34" i="14"/>
  <c r="BP34" i="14" s="1"/>
  <c r="BY34" i="14"/>
  <c r="BZ34" i="14" s="1"/>
  <c r="BG35" i="14"/>
  <c r="Y34" i="14"/>
  <c r="AA34" i="14" s="1"/>
  <c r="AB34" i="14" s="1"/>
  <c r="X35" i="14"/>
  <c r="Y35" i="14" s="1"/>
  <c r="BD35" i="14"/>
  <c r="Z35" i="14"/>
  <c r="AY35" i="14"/>
  <c r="BS35" i="14"/>
  <c r="BX35" i="14"/>
  <c r="BI35" i="14"/>
  <c r="BN35" i="14"/>
  <c r="CC35" i="14"/>
  <c r="AT35" i="14"/>
  <c r="U35" i="14"/>
  <c r="Q35" i="14"/>
  <c r="AJ35" i="14"/>
  <c r="R36" i="14"/>
  <c r="CH35" i="14"/>
  <c r="AO35" i="14"/>
  <c r="AE35" i="14"/>
  <c r="AM35" i="14"/>
  <c r="AN35" i="14" s="1"/>
  <c r="BC34" i="14"/>
  <c r="BE34" i="14" s="1"/>
  <c r="BF34" i="14" s="1"/>
  <c r="AR35" i="14"/>
  <c r="AS35" i="14" s="1"/>
  <c r="AP34" i="14"/>
  <c r="AQ34" i="14" s="1"/>
  <c r="BQ35" i="14"/>
  <c r="BL35" i="14"/>
  <c r="BM35" i="14" s="1"/>
  <c r="CF35" i="14"/>
  <c r="CG35" i="14" s="1"/>
  <c r="AH35" i="14"/>
  <c r="S35" i="14"/>
  <c r="T35" i="14" s="1"/>
  <c r="BV35" i="14"/>
  <c r="AW35" i="14"/>
  <c r="AX34" i="14"/>
  <c r="AZ34" i="14" s="1"/>
  <c r="BA34" i="14" s="1"/>
  <c r="AC35" i="14"/>
  <c r="AD35" i="14" s="1"/>
  <c r="CA35" i="14"/>
  <c r="CB35" i="14" s="1"/>
  <c r="AP34" i="15"/>
  <c r="AQ34" i="15" s="1"/>
  <c r="AF34" i="15"/>
  <c r="AG34" i="15" s="1"/>
  <c r="BY34" i="15"/>
  <c r="BZ34" i="15" s="1"/>
  <c r="AP29" i="4"/>
  <c r="AQ29" i="4" s="1"/>
  <c r="AH29" i="4"/>
  <c r="AI29" i="4" s="1"/>
  <c r="BJ29" i="4"/>
  <c r="BK29" i="4" s="1"/>
  <c r="BT34" i="15"/>
  <c r="BU34" i="15" s="1"/>
  <c r="AA34" i="15"/>
  <c r="AB34" i="15" s="1"/>
  <c r="BJ34" i="15"/>
  <c r="BK34" i="15" s="1"/>
  <c r="BI35" i="15"/>
  <c r="BN35" i="15"/>
  <c r="BR35" i="15"/>
  <c r="AO35" i="15"/>
  <c r="Y35" i="15"/>
  <c r="Q35" i="15"/>
  <c r="AN35" i="15"/>
  <c r="BD35" i="15"/>
  <c r="AE35" i="15"/>
  <c r="BX35" i="15"/>
  <c r="AT35" i="15"/>
  <c r="AD35" i="15"/>
  <c r="R36" i="15"/>
  <c r="AS35" i="15"/>
  <c r="CH35" i="15"/>
  <c r="BH35" i="15"/>
  <c r="Z35" i="15"/>
  <c r="U35" i="15"/>
  <c r="T35" i="15"/>
  <c r="AY35" i="15"/>
  <c r="BW35" i="15"/>
  <c r="BY35" i="15" s="1"/>
  <c r="BZ35" i="15" s="1"/>
  <c r="AJ35" i="15"/>
  <c r="CC35" i="15"/>
  <c r="BS35" i="15"/>
  <c r="O11" i="15"/>
  <c r="O10" i="15"/>
  <c r="CR34" i="15"/>
  <c r="AU34" i="15"/>
  <c r="AV34" i="15" s="1"/>
  <c r="V34" i="15"/>
  <c r="W34" i="15" s="1"/>
  <c r="AG35" i="10"/>
  <c r="AH35" i="10" s="1"/>
  <c r="AC35" i="10"/>
  <c r="AD35" i="10" s="1"/>
  <c r="BC36" i="10"/>
  <c r="AY36" i="10"/>
  <c r="AU36" i="10"/>
  <c r="AQ36" i="10"/>
  <c r="AM36" i="10"/>
  <c r="AI36" i="10"/>
  <c r="AE36" i="10"/>
  <c r="AA36" i="10"/>
  <c r="W36" i="10"/>
  <c r="S36" i="10"/>
  <c r="O36" i="10"/>
  <c r="N37" i="10"/>
  <c r="AZ36" i="10"/>
  <c r="AR36" i="10"/>
  <c r="AJ36" i="10"/>
  <c r="AB36" i="10"/>
  <c r="T36" i="10"/>
  <c r="BD36" i="10"/>
  <c r="AV36" i="10"/>
  <c r="AN36" i="10"/>
  <c r="AF36" i="10"/>
  <c r="X36" i="10"/>
  <c r="P36" i="10"/>
  <c r="AS35" i="10"/>
  <c r="AT35" i="10" s="1"/>
  <c r="AW35" i="10"/>
  <c r="AX35" i="10" s="1"/>
  <c r="AH27" i="4"/>
  <c r="AI27" i="4" s="1"/>
  <c r="BJ30" i="3"/>
  <c r="BK30" i="3" s="1"/>
  <c r="AP30" i="3"/>
  <c r="AQ30" i="3" s="1"/>
  <c r="R29" i="4"/>
  <c r="S29" i="4" s="1"/>
  <c r="AH26" i="4"/>
  <c r="AI26" i="4" s="1"/>
  <c r="Z30" i="3"/>
  <c r="AA30" i="3" s="1"/>
  <c r="AX30" i="3"/>
  <c r="AY30" i="3" s="1"/>
  <c r="AD29" i="4"/>
  <c r="AE29" i="4" s="1"/>
  <c r="V26" i="4"/>
  <c r="W26" i="4" s="1"/>
  <c r="AT30" i="3"/>
  <c r="AU30" i="3" s="1"/>
  <c r="AH30" i="3"/>
  <c r="AI30" i="3" s="1"/>
  <c r="BF30" i="3"/>
  <c r="BG30" i="3" s="1"/>
  <c r="Z29" i="4"/>
  <c r="AA29" i="4" s="1"/>
  <c r="AV31" i="3"/>
  <c r="AK31" i="3"/>
  <c r="P31" i="3"/>
  <c r="BE31" i="3"/>
  <c r="AJ31" i="3"/>
  <c r="Y31" i="3"/>
  <c r="BD31" i="3"/>
  <c r="AS31" i="3"/>
  <c r="X31" i="3"/>
  <c r="O32" i="3"/>
  <c r="AR31" i="3"/>
  <c r="AG31" i="3"/>
  <c r="BA31" i="3"/>
  <c r="AF31" i="3"/>
  <c r="U31" i="3"/>
  <c r="BI31" i="3"/>
  <c r="AN31" i="3"/>
  <c r="AC31" i="3"/>
  <c r="AZ31" i="3"/>
  <c r="T31" i="3"/>
  <c r="AW31" i="3"/>
  <c r="AO31" i="3"/>
  <c r="BH31" i="3"/>
  <c r="AB31" i="3"/>
  <c r="Q31" i="3"/>
  <c r="AX29" i="4"/>
  <c r="AY29" i="4" s="1"/>
  <c r="AD30" i="3"/>
  <c r="AE30" i="3" s="1"/>
  <c r="V30" i="3"/>
  <c r="W30" i="3" s="1"/>
  <c r="BB30" i="3"/>
  <c r="BC30" i="3" s="1"/>
  <c r="AJ26" i="4"/>
  <c r="BM26" i="4" s="1"/>
  <c r="AJ27" i="4"/>
  <c r="AL27" i="4" s="1"/>
  <c r="AM27" i="4" s="1"/>
  <c r="AJ28" i="4"/>
  <c r="V29" i="4"/>
  <c r="W29" i="4" s="1"/>
  <c r="AJ29" i="4"/>
  <c r="AL29" i="4" s="1"/>
  <c r="AM29" i="4" s="1"/>
  <c r="BN29" i="4"/>
  <c r="BD30" i="4"/>
  <c r="AV30" i="4"/>
  <c r="AN30" i="4"/>
  <c r="AF30" i="4"/>
  <c r="X30" i="4"/>
  <c r="P30" i="4"/>
  <c r="BH30" i="4"/>
  <c r="AZ30" i="4"/>
  <c r="AR30" i="4"/>
  <c r="AJ30" i="4"/>
  <c r="AB30" i="4"/>
  <c r="T30" i="4"/>
  <c r="AW30" i="4"/>
  <c r="AG30" i="4"/>
  <c r="Q30" i="4"/>
  <c r="BI30" i="4"/>
  <c r="AS30" i="4"/>
  <c r="AC30" i="4"/>
  <c r="BE30" i="4"/>
  <c r="AO30" i="4"/>
  <c r="Y30" i="4"/>
  <c r="BA30" i="4"/>
  <c r="AK30" i="4"/>
  <c r="U30" i="4"/>
  <c r="O31" i="4"/>
  <c r="N31" i="4" s="1"/>
  <c r="BF29" i="4"/>
  <c r="BG29" i="4" s="1"/>
  <c r="CD35" i="14" l="1"/>
  <c r="CE35" i="14" s="1"/>
  <c r="AW35" i="15"/>
  <c r="AX34" i="15"/>
  <c r="AZ34" i="15" s="1"/>
  <c r="BA34" i="15" s="1"/>
  <c r="BM32" i="15"/>
  <c r="BL33" i="15"/>
  <c r="AH35" i="15"/>
  <c r="AI34" i="15"/>
  <c r="AK34" i="15" s="1"/>
  <c r="AL34" i="15" s="1"/>
  <c r="BB34" i="15"/>
  <c r="BC33" i="15"/>
  <c r="BE33" i="15" s="1"/>
  <c r="BF33" i="15" s="1"/>
  <c r="CF33" i="15"/>
  <c r="CG32" i="15"/>
  <c r="CI32" i="15" s="1"/>
  <c r="CJ32" i="15" s="1"/>
  <c r="CA34" i="15"/>
  <c r="CB33" i="15"/>
  <c r="CD33" i="15" s="1"/>
  <c r="CE33" i="15" s="1"/>
  <c r="Z31" i="3"/>
  <c r="AA31" i="3" s="1"/>
  <c r="BE36" i="11"/>
  <c r="BF36" i="11" s="1"/>
  <c r="AK36" i="11"/>
  <c r="AL36" i="11" s="1"/>
  <c r="BJ31" i="3"/>
  <c r="BK31" i="3" s="1"/>
  <c r="AT31" i="3"/>
  <c r="AU31" i="3" s="1"/>
  <c r="BF31" i="3"/>
  <c r="BG31" i="3" s="1"/>
  <c r="Y36" i="10"/>
  <c r="Z36" i="10" s="1"/>
  <c r="CL29" i="15"/>
  <c r="CN29" i="15" s="1"/>
  <c r="CO29" i="15" s="1"/>
  <c r="BB31" i="3"/>
  <c r="BC31" i="3" s="1"/>
  <c r="AO36" i="10"/>
  <c r="AP36" i="10" s="1"/>
  <c r="BE35" i="14"/>
  <c r="BF35" i="14" s="1"/>
  <c r="AH30" i="4"/>
  <c r="AI30" i="4" s="1"/>
  <c r="AD30" i="4"/>
  <c r="AE30" i="4" s="1"/>
  <c r="Y36" i="11"/>
  <c r="Z36" i="11" s="1"/>
  <c r="BI36" i="11"/>
  <c r="U36" i="11"/>
  <c r="V36" i="11" s="1"/>
  <c r="AP31" i="3"/>
  <c r="AQ31" i="3" s="1"/>
  <c r="AC36" i="10"/>
  <c r="AD36" i="10" s="1"/>
  <c r="AS36" i="10"/>
  <c r="AT36" i="10" s="1"/>
  <c r="AG36" i="11"/>
  <c r="AH36" i="11" s="1"/>
  <c r="BA36" i="11"/>
  <c r="BB36" i="11" s="1"/>
  <c r="CK31" i="15"/>
  <c r="CL31" i="15" s="1"/>
  <c r="CL30" i="15"/>
  <c r="AT30" i="4"/>
  <c r="AU30" i="4" s="1"/>
  <c r="BC37" i="11"/>
  <c r="AM37" i="11"/>
  <c r="W37" i="11"/>
  <c r="AR37" i="11"/>
  <c r="AV37" i="11"/>
  <c r="BD37" i="11"/>
  <c r="AY37" i="11"/>
  <c r="AI37" i="11"/>
  <c r="S37" i="11"/>
  <c r="AJ37" i="11"/>
  <c r="P37" i="11"/>
  <c r="X37" i="11"/>
  <c r="N38" i="11"/>
  <c r="M38" i="11" s="1"/>
  <c r="AA37" i="11"/>
  <c r="AZ37" i="11"/>
  <c r="AF37" i="11"/>
  <c r="AU37" i="11"/>
  <c r="AW37" i="11" s="1"/>
  <c r="AX37" i="11" s="1"/>
  <c r="AE37" i="11"/>
  <c r="O37" i="11"/>
  <c r="AB37" i="11"/>
  <c r="AN37" i="11"/>
  <c r="AQ37" i="11"/>
  <c r="T37" i="11"/>
  <c r="R31" i="3"/>
  <c r="S31" i="3" s="1"/>
  <c r="AS36" i="11"/>
  <c r="AT36" i="11" s="1"/>
  <c r="BH36" i="11"/>
  <c r="Q36" i="11"/>
  <c r="R36" i="11" s="1"/>
  <c r="BJ35" i="11"/>
  <c r="CM82" i="15"/>
  <c r="CR31" i="15"/>
  <c r="BE36" i="10"/>
  <c r="BF36" i="10" s="1"/>
  <c r="AW36" i="11"/>
  <c r="AX36" i="11" s="1"/>
  <c r="CN26" i="15"/>
  <c r="CO26" i="15" s="1"/>
  <c r="CR26" i="15"/>
  <c r="CL27" i="15"/>
  <c r="CL28" i="15"/>
  <c r="AA35" i="14"/>
  <c r="AB35" i="14" s="1"/>
  <c r="AF35" i="14"/>
  <c r="AG35" i="14" s="1"/>
  <c r="AU35" i="14"/>
  <c r="AV35" i="14" s="1"/>
  <c r="AU35" i="15"/>
  <c r="AV35" i="15" s="1"/>
  <c r="AP35" i="15"/>
  <c r="AQ35" i="15" s="1"/>
  <c r="BQ36" i="14"/>
  <c r="BR36" i="14" s="1"/>
  <c r="AP35" i="14"/>
  <c r="AQ35" i="14" s="1"/>
  <c r="BO35" i="14"/>
  <c r="BP35" i="14" s="1"/>
  <c r="AW36" i="14"/>
  <c r="AH36" i="14"/>
  <c r="CI35" i="14"/>
  <c r="CJ35" i="14" s="1"/>
  <c r="BG36" i="14"/>
  <c r="BH36" i="14" s="1"/>
  <c r="V35" i="14"/>
  <c r="W35" i="14" s="1"/>
  <c r="BX36" i="14"/>
  <c r="Q36" i="14"/>
  <c r="BD36" i="14"/>
  <c r="AX36" i="14"/>
  <c r="AJ36" i="14"/>
  <c r="CH36" i="14"/>
  <c r="AY36" i="14"/>
  <c r="CC36" i="14"/>
  <c r="BS36" i="14"/>
  <c r="Z36" i="14"/>
  <c r="BI36" i="14"/>
  <c r="AT36" i="14"/>
  <c r="AO36" i="14"/>
  <c r="BN36" i="14"/>
  <c r="U36" i="14"/>
  <c r="R37" i="14"/>
  <c r="AE36" i="14"/>
  <c r="BV36" i="14"/>
  <c r="BH35" i="14"/>
  <c r="BJ35" i="14" s="1"/>
  <c r="BK35" i="14" s="1"/>
  <c r="S36" i="14"/>
  <c r="AR36" i="14"/>
  <c r="AX35" i="14"/>
  <c r="AZ35" i="14" s="1"/>
  <c r="BA35" i="14" s="1"/>
  <c r="BB36" i="14"/>
  <c r="CA36" i="14"/>
  <c r="CF36" i="14"/>
  <c r="BW35" i="14"/>
  <c r="BY35" i="14" s="1"/>
  <c r="BZ35" i="14" s="1"/>
  <c r="X36" i="14"/>
  <c r="BR35" i="14"/>
  <c r="BT35" i="14" s="1"/>
  <c r="BU35" i="14" s="1"/>
  <c r="AC36" i="14"/>
  <c r="BL36" i="14"/>
  <c r="BM36" i="14" s="1"/>
  <c r="AM36" i="14"/>
  <c r="AI35" i="14"/>
  <c r="AK35" i="14" s="1"/>
  <c r="AL35" i="14" s="1"/>
  <c r="BJ35" i="15"/>
  <c r="BK35" i="15" s="1"/>
  <c r="BF30" i="4"/>
  <c r="BG30" i="4" s="1"/>
  <c r="BB30" i="4"/>
  <c r="BC30" i="4" s="1"/>
  <c r="BD36" i="15"/>
  <c r="AN36" i="15"/>
  <c r="BI36" i="15"/>
  <c r="AS36" i="15"/>
  <c r="U36" i="15"/>
  <c r="AT36" i="15"/>
  <c r="Y36" i="15"/>
  <c r="BX36" i="15"/>
  <c r="BN36" i="15"/>
  <c r="CH36" i="15"/>
  <c r="BW36" i="15"/>
  <c r="R37" i="15"/>
  <c r="AE36" i="15"/>
  <c r="T36" i="15"/>
  <c r="BS36" i="15"/>
  <c r="BH36" i="15"/>
  <c r="Q36" i="15"/>
  <c r="BR36" i="15"/>
  <c r="AO36" i="15"/>
  <c r="AJ36" i="15"/>
  <c r="AD36" i="15"/>
  <c r="CC36" i="15"/>
  <c r="Z36" i="15"/>
  <c r="AY36" i="15"/>
  <c r="AF35" i="15"/>
  <c r="AG35" i="15" s="1"/>
  <c r="V35" i="15"/>
  <c r="W35" i="15" s="1"/>
  <c r="AA35" i="15"/>
  <c r="AB35" i="15" s="1"/>
  <c r="CR35" i="15"/>
  <c r="BT35" i="15"/>
  <c r="BU35" i="15" s="1"/>
  <c r="Q36" i="10"/>
  <c r="R36" i="10" s="1"/>
  <c r="AG36" i="10"/>
  <c r="AH36" i="10" s="1"/>
  <c r="AW36" i="10"/>
  <c r="AX36" i="10" s="1"/>
  <c r="N38" i="10"/>
  <c r="BD37" i="10"/>
  <c r="AZ37" i="10"/>
  <c r="AV37" i="10"/>
  <c r="AR37" i="10"/>
  <c r="AN37" i="10"/>
  <c r="AJ37" i="10"/>
  <c r="AF37" i="10"/>
  <c r="AB37" i="10"/>
  <c r="X37" i="10"/>
  <c r="T37" i="10"/>
  <c r="P37" i="10"/>
  <c r="AY37" i="10"/>
  <c r="AQ37" i="10"/>
  <c r="AI37" i="10"/>
  <c r="AK37" i="10" s="1"/>
  <c r="AL37" i="10" s="1"/>
  <c r="AA37" i="10"/>
  <c r="S37" i="10"/>
  <c r="AU37" i="10"/>
  <c r="AE37" i="10"/>
  <c r="O37" i="10"/>
  <c r="Q37" i="10" s="1"/>
  <c r="R37" i="10" s="1"/>
  <c r="BC37" i="10"/>
  <c r="AM37" i="10"/>
  <c r="AO37" i="10" s="1"/>
  <c r="AP37" i="10" s="1"/>
  <c r="W37" i="10"/>
  <c r="U36" i="10"/>
  <c r="V36" i="10" s="1"/>
  <c r="AK36" i="10"/>
  <c r="AL36" i="10" s="1"/>
  <c r="BA36" i="10"/>
  <c r="BB36" i="10" s="1"/>
  <c r="BM27" i="4"/>
  <c r="BO27" i="4" s="1"/>
  <c r="BM29" i="4"/>
  <c r="BO29" i="4" s="1"/>
  <c r="BO26" i="4"/>
  <c r="BJ30" i="4"/>
  <c r="BK30" i="4" s="1"/>
  <c r="AX31" i="3"/>
  <c r="AY31" i="3" s="1"/>
  <c r="BM30" i="4"/>
  <c r="R30" i="4"/>
  <c r="S30" i="4" s="1"/>
  <c r="AD31" i="3"/>
  <c r="AE31" i="3" s="1"/>
  <c r="BE31" i="4"/>
  <c r="AW31" i="4"/>
  <c r="AO31" i="4"/>
  <c r="AG31" i="4"/>
  <c r="Y31" i="4"/>
  <c r="Q31" i="4"/>
  <c r="BD31" i="4"/>
  <c r="AV31" i="4"/>
  <c r="AN31" i="4"/>
  <c r="O32" i="4"/>
  <c r="N32" i="4" s="1"/>
  <c r="BI31" i="4"/>
  <c r="BA31" i="4"/>
  <c r="AS31" i="4"/>
  <c r="AK31" i="4"/>
  <c r="AC31" i="4"/>
  <c r="U31" i="4"/>
  <c r="AR31" i="4"/>
  <c r="X31" i="4"/>
  <c r="BH31" i="4"/>
  <c r="BJ31" i="4" s="1"/>
  <c r="BK31" i="4" s="1"/>
  <c r="AJ31" i="4"/>
  <c r="T31" i="4"/>
  <c r="AF31" i="4"/>
  <c r="AB31" i="4"/>
  <c r="AD31" i="4" s="1"/>
  <c r="AE31" i="4" s="1"/>
  <c r="P31" i="4"/>
  <c r="AZ31" i="4"/>
  <c r="BH32" i="3"/>
  <c r="AZ32" i="3"/>
  <c r="AR32" i="3"/>
  <c r="AJ32" i="3"/>
  <c r="AB32" i="3"/>
  <c r="T32" i="3"/>
  <c r="O33" i="3"/>
  <c r="BE32" i="3"/>
  <c r="AW32" i="3"/>
  <c r="AO32" i="3"/>
  <c r="AG32" i="3"/>
  <c r="Y32" i="3"/>
  <c r="Q32" i="3"/>
  <c r="AN32" i="3"/>
  <c r="BI32" i="3"/>
  <c r="AC32" i="3"/>
  <c r="AV32" i="3"/>
  <c r="AX32" i="3" s="1"/>
  <c r="AY32" i="3" s="1"/>
  <c r="P32" i="3"/>
  <c r="AK32" i="3"/>
  <c r="BD32" i="3"/>
  <c r="X32" i="3"/>
  <c r="AF32" i="3"/>
  <c r="AS32" i="3"/>
  <c r="BA32" i="3"/>
  <c r="U32" i="3"/>
  <c r="BN30" i="4"/>
  <c r="AL28" i="4"/>
  <c r="AM28" i="4" s="1"/>
  <c r="BM28" i="4"/>
  <c r="AH31" i="3"/>
  <c r="AI31" i="3" s="1"/>
  <c r="Z30" i="4"/>
  <c r="AA30" i="4" s="1"/>
  <c r="AP30" i="4"/>
  <c r="AQ30" i="4" s="1"/>
  <c r="AL26" i="4"/>
  <c r="AM26" i="4" s="1"/>
  <c r="AL31" i="3"/>
  <c r="AM31" i="3" s="1"/>
  <c r="V30" i="4"/>
  <c r="W30" i="4" s="1"/>
  <c r="AL30" i="4"/>
  <c r="AM30" i="4" s="1"/>
  <c r="AX30" i="4"/>
  <c r="AY30" i="4" s="1"/>
  <c r="V31" i="3"/>
  <c r="W31" i="3" s="1"/>
  <c r="AP32" i="3" l="1"/>
  <c r="AQ32" i="3" s="1"/>
  <c r="BB35" i="15"/>
  <c r="BC34" i="15"/>
  <c r="BE34" i="15" s="1"/>
  <c r="BF34" i="15" s="1"/>
  <c r="AH36" i="15"/>
  <c r="AI35" i="15"/>
  <c r="AK35" i="15" s="1"/>
  <c r="AL35" i="15" s="1"/>
  <c r="CA35" i="15"/>
  <c r="CB34" i="15"/>
  <c r="CD34" i="15" s="1"/>
  <c r="CE34" i="15" s="1"/>
  <c r="BL34" i="15"/>
  <c r="BM33" i="15"/>
  <c r="BO32" i="15"/>
  <c r="BP32" i="15" s="1"/>
  <c r="CQ32" i="15"/>
  <c r="CS32" i="15" s="1"/>
  <c r="CF34" i="15"/>
  <c r="CG33" i="15"/>
  <c r="CI33" i="15" s="1"/>
  <c r="CJ33" i="15" s="1"/>
  <c r="AW36" i="15"/>
  <c r="AX35" i="15"/>
  <c r="AZ35" i="15" s="1"/>
  <c r="BA35" i="15" s="1"/>
  <c r="AT31" i="4"/>
  <c r="AU31" i="4" s="1"/>
  <c r="CQ29" i="15"/>
  <c r="CS29" i="15" s="1"/>
  <c r="AS37" i="11"/>
  <c r="AT37" i="11" s="1"/>
  <c r="R32" i="3"/>
  <c r="S32" i="3" s="1"/>
  <c r="AH32" i="3"/>
  <c r="AI32" i="3" s="1"/>
  <c r="BB31" i="4"/>
  <c r="BC31" i="4" s="1"/>
  <c r="Y37" i="10"/>
  <c r="Z37" i="10" s="1"/>
  <c r="BE37" i="10"/>
  <c r="BF37" i="10" s="1"/>
  <c r="U37" i="10"/>
  <c r="V37" i="10" s="1"/>
  <c r="BA37" i="10"/>
  <c r="BB37" i="10" s="1"/>
  <c r="AK37" i="11"/>
  <c r="AL37" i="11" s="1"/>
  <c r="BE37" i="11"/>
  <c r="BF37" i="11" s="1"/>
  <c r="BO28" i="4"/>
  <c r="CN27" i="15"/>
  <c r="CO27" i="15" s="1"/>
  <c r="CQ27" i="15"/>
  <c r="BD38" i="11"/>
  <c r="AN38" i="11"/>
  <c r="X38" i="11"/>
  <c r="AQ38" i="11"/>
  <c r="N39" i="11"/>
  <c r="M39" i="11" s="1"/>
  <c r="AE38" i="11"/>
  <c r="AZ38" i="11"/>
  <c r="AJ38" i="11"/>
  <c r="T38" i="11"/>
  <c r="AI38" i="11"/>
  <c r="BC38" i="11"/>
  <c r="W38" i="11"/>
  <c r="AV38" i="11"/>
  <c r="AF38" i="11"/>
  <c r="P38" i="11"/>
  <c r="AA38" i="11"/>
  <c r="AU38" i="11"/>
  <c r="AW38" i="11" s="1"/>
  <c r="AX38" i="11" s="1"/>
  <c r="O38" i="11"/>
  <c r="AR38" i="11"/>
  <c r="AB38" i="11"/>
  <c r="AY38" i="11"/>
  <c r="S38" i="11"/>
  <c r="AM38" i="11"/>
  <c r="U37" i="11"/>
  <c r="V37" i="11" s="1"/>
  <c r="CN30" i="15"/>
  <c r="CO30" i="15" s="1"/>
  <c r="CQ30" i="15"/>
  <c r="CS30" i="15" s="1"/>
  <c r="AL31" i="4"/>
  <c r="AM31" i="4" s="1"/>
  <c r="AC37" i="10"/>
  <c r="AD37" i="10" s="1"/>
  <c r="CS26" i="15"/>
  <c r="BJ36" i="11"/>
  <c r="CL82" i="15"/>
  <c r="CN31" i="15"/>
  <c r="CO31" i="15" s="1"/>
  <c r="CQ31" i="15"/>
  <c r="CS31" i="15" s="1"/>
  <c r="Q37" i="11"/>
  <c r="R37" i="11" s="1"/>
  <c r="BH37" i="11"/>
  <c r="BI37" i="11"/>
  <c r="BA37" i="11"/>
  <c r="BB37" i="11" s="1"/>
  <c r="Y37" i="11"/>
  <c r="Z37" i="11" s="1"/>
  <c r="AS37" i="10"/>
  <c r="AT37" i="10" s="1"/>
  <c r="CN28" i="15"/>
  <c r="CO28" i="15" s="1"/>
  <c r="CQ28" i="15"/>
  <c r="AG37" i="11"/>
  <c r="AH37" i="11" s="1"/>
  <c r="AC37" i="11"/>
  <c r="AD37" i="11" s="1"/>
  <c r="AO37" i="11"/>
  <c r="AP37" i="11" s="1"/>
  <c r="BQ37" i="14"/>
  <c r="CF37" i="14"/>
  <c r="CG37" i="14" s="1"/>
  <c r="AC37" i="14"/>
  <c r="AD37" i="14" s="1"/>
  <c r="BG37" i="14"/>
  <c r="AZ36" i="14"/>
  <c r="BA36" i="14" s="1"/>
  <c r="AH37" i="14"/>
  <c r="AI37" i="14" s="1"/>
  <c r="AM37" i="14"/>
  <c r="AN37" i="14" s="1"/>
  <c r="BB37" i="14"/>
  <c r="BV37" i="14"/>
  <c r="BW37" i="14" s="1"/>
  <c r="AI36" i="14"/>
  <c r="AK36" i="14" s="1"/>
  <c r="AL36" i="14" s="1"/>
  <c r="BJ36" i="14"/>
  <c r="BK36" i="14" s="1"/>
  <c r="BO36" i="14"/>
  <c r="BP36" i="14" s="1"/>
  <c r="CG36" i="14"/>
  <c r="CI36" i="14" s="1"/>
  <c r="CJ36" i="14" s="1"/>
  <c r="BT36" i="14"/>
  <c r="BU36" i="14" s="1"/>
  <c r="BJ36" i="15"/>
  <c r="BK36" i="15" s="1"/>
  <c r="AF36" i="15"/>
  <c r="AG36" i="15" s="1"/>
  <c r="X37" i="14"/>
  <c r="Y37" i="14" s="1"/>
  <c r="AR37" i="14"/>
  <c r="AS37" i="14" s="1"/>
  <c r="BW36" i="14"/>
  <c r="BY36" i="14" s="1"/>
  <c r="BZ36" i="14" s="1"/>
  <c r="CA37" i="14"/>
  <c r="CB37" i="14" s="1"/>
  <c r="AS36" i="14"/>
  <c r="AU36" i="14" s="1"/>
  <c r="AV36" i="14" s="1"/>
  <c r="S37" i="14"/>
  <c r="AN36" i="14"/>
  <c r="AP36" i="14" s="1"/>
  <c r="AQ36" i="14" s="1"/>
  <c r="BH37" i="14"/>
  <c r="AE37" i="14"/>
  <c r="U37" i="14"/>
  <c r="BC37" i="14"/>
  <c r="BX37" i="14"/>
  <c r="AT37" i="14"/>
  <c r="AY37" i="14"/>
  <c r="CH37" i="14"/>
  <c r="BN37" i="14"/>
  <c r="AO37" i="14"/>
  <c r="Z37" i="14"/>
  <c r="BS37" i="14"/>
  <c r="Q37" i="14"/>
  <c r="BR37" i="14"/>
  <c r="R38" i="14"/>
  <c r="BD37" i="14"/>
  <c r="AJ37" i="14"/>
  <c r="BI37" i="14"/>
  <c r="CC37" i="14"/>
  <c r="T36" i="14"/>
  <c r="CB36" i="14"/>
  <c r="CD36" i="14" s="1"/>
  <c r="CE36" i="14" s="1"/>
  <c r="Y36" i="14"/>
  <c r="AA36" i="14" s="1"/>
  <c r="AB36" i="14" s="1"/>
  <c r="BL37" i="14"/>
  <c r="AD36" i="14"/>
  <c r="AF36" i="14" s="1"/>
  <c r="AG36" i="14" s="1"/>
  <c r="AW37" i="14"/>
  <c r="AX37" i="14" s="1"/>
  <c r="BC36" i="14"/>
  <c r="BE36" i="14" s="1"/>
  <c r="BF36" i="14" s="1"/>
  <c r="BT36" i="15"/>
  <c r="BU36" i="15" s="1"/>
  <c r="AU36" i="15"/>
  <c r="AV36" i="15" s="1"/>
  <c r="AP36" i="15"/>
  <c r="AQ36" i="15" s="1"/>
  <c r="AX31" i="4"/>
  <c r="AY31" i="4" s="1"/>
  <c r="AH31" i="4"/>
  <c r="AI31" i="4" s="1"/>
  <c r="V36" i="15"/>
  <c r="W36" i="15" s="1"/>
  <c r="AA36" i="15"/>
  <c r="AB36" i="15" s="1"/>
  <c r="BW37" i="15"/>
  <c r="AY37" i="15"/>
  <c r="BN37" i="15"/>
  <c r="BD37" i="15"/>
  <c r="AN37" i="15"/>
  <c r="R38" i="15"/>
  <c r="BR37" i="15"/>
  <c r="AS37" i="15"/>
  <c r="CC37" i="15"/>
  <c r="AE37" i="15"/>
  <c r="U37" i="15"/>
  <c r="AO37" i="15"/>
  <c r="AD37" i="15"/>
  <c r="T37" i="15"/>
  <c r="BX37" i="15"/>
  <c r="Z37" i="15"/>
  <c r="BH37" i="15"/>
  <c r="Y37" i="15"/>
  <c r="CH37" i="15"/>
  <c r="Q37" i="15"/>
  <c r="AT37" i="15"/>
  <c r="BS37" i="15"/>
  <c r="BI37" i="15"/>
  <c r="AJ37" i="15"/>
  <c r="BY36" i="15"/>
  <c r="BZ36" i="15" s="1"/>
  <c r="CR36" i="15"/>
  <c r="AG37" i="10"/>
  <c r="AH37" i="10" s="1"/>
  <c r="AW37" i="10"/>
  <c r="AX37" i="10" s="1"/>
  <c r="BC38" i="10"/>
  <c r="AY38" i="10"/>
  <c r="AU38" i="10"/>
  <c r="AQ38" i="10"/>
  <c r="AM38" i="10"/>
  <c r="AI38" i="10"/>
  <c r="AE38" i="10"/>
  <c r="AA38" i="10"/>
  <c r="W38" i="10"/>
  <c r="S38" i="10"/>
  <c r="O38" i="10"/>
  <c r="BD38" i="10"/>
  <c r="AV38" i="10"/>
  <c r="AN38" i="10"/>
  <c r="AF38" i="10"/>
  <c r="X38" i="10"/>
  <c r="P38" i="10"/>
  <c r="N39" i="10"/>
  <c r="AZ38" i="10"/>
  <c r="AR38" i="10"/>
  <c r="AJ38" i="10"/>
  <c r="AB38" i="10"/>
  <c r="T38" i="10"/>
  <c r="O34" i="3"/>
  <c r="AR33" i="3"/>
  <c r="AG33" i="3"/>
  <c r="BA33" i="3"/>
  <c r="AF33" i="3"/>
  <c r="U33" i="3"/>
  <c r="AZ33" i="3"/>
  <c r="AO33" i="3"/>
  <c r="T33" i="3"/>
  <c r="BI33" i="3"/>
  <c r="AN33" i="3"/>
  <c r="AC33" i="3"/>
  <c r="BH33" i="3"/>
  <c r="AW33" i="3"/>
  <c r="AB33" i="3"/>
  <c r="Q33" i="3"/>
  <c r="BE33" i="3"/>
  <c r="AJ33" i="3"/>
  <c r="Y33" i="3"/>
  <c r="AK33" i="3"/>
  <c r="X33" i="3"/>
  <c r="AS33" i="3"/>
  <c r="AV33" i="3"/>
  <c r="P33" i="3"/>
  <c r="R33" i="3" s="1"/>
  <c r="S33" i="3" s="1"/>
  <c r="BD33" i="3"/>
  <c r="BF33" i="3" s="1"/>
  <c r="BG33" i="3" s="1"/>
  <c r="R31" i="4"/>
  <c r="S31" i="4" s="1"/>
  <c r="BM31" i="4"/>
  <c r="BF31" i="4"/>
  <c r="BG31" i="4" s="1"/>
  <c r="Z32" i="3"/>
  <c r="AA32" i="3" s="1"/>
  <c r="AD32" i="3"/>
  <c r="AE32" i="3" s="1"/>
  <c r="BN31" i="4"/>
  <c r="BF32" i="3"/>
  <c r="BG32" i="3" s="1"/>
  <c r="AL32" i="3"/>
  <c r="AM32" i="3" s="1"/>
  <c r="V31" i="4"/>
  <c r="W31" i="4" s="1"/>
  <c r="AT32" i="3"/>
  <c r="AU32" i="3" s="1"/>
  <c r="BO30" i="4"/>
  <c r="AP31" i="4"/>
  <c r="AQ31" i="4" s="1"/>
  <c r="V32" i="3"/>
  <c r="W32" i="3" s="1"/>
  <c r="BB32" i="3"/>
  <c r="BC32" i="3" s="1"/>
  <c r="BJ32" i="3"/>
  <c r="BK32" i="3" s="1"/>
  <c r="Z31" i="4"/>
  <c r="AA31" i="4" s="1"/>
  <c r="BH32" i="4"/>
  <c r="AZ32" i="4"/>
  <c r="AR32" i="4"/>
  <c r="AJ32" i="4"/>
  <c r="AB32" i="4"/>
  <c r="T32" i="4"/>
  <c r="BD32" i="4"/>
  <c r="AV32" i="4"/>
  <c r="AN32" i="4"/>
  <c r="AF32" i="4"/>
  <c r="X32" i="4"/>
  <c r="P32" i="4"/>
  <c r="AG32" i="4"/>
  <c r="BA32" i="4"/>
  <c r="AW32" i="4"/>
  <c r="AC32" i="4"/>
  <c r="O33" i="4"/>
  <c r="N33" i="4" s="1"/>
  <c r="Y32" i="4"/>
  <c r="AS32" i="4"/>
  <c r="BE32" i="4"/>
  <c r="AO32" i="4"/>
  <c r="U32" i="4"/>
  <c r="Q32" i="4"/>
  <c r="BI32" i="4"/>
  <c r="AK32" i="4"/>
  <c r="U38" i="11" l="1"/>
  <c r="V38" i="11" s="1"/>
  <c r="AW37" i="15"/>
  <c r="AX36" i="15"/>
  <c r="AZ36" i="15" s="1"/>
  <c r="BA36" i="15" s="1"/>
  <c r="CA36" i="15"/>
  <c r="CB35" i="15"/>
  <c r="CD35" i="15" s="1"/>
  <c r="CE35" i="15" s="1"/>
  <c r="CF35" i="15"/>
  <c r="CG34" i="15"/>
  <c r="CI34" i="15" s="1"/>
  <c r="CJ34" i="15" s="1"/>
  <c r="AH37" i="15"/>
  <c r="AI36" i="15"/>
  <c r="AK36" i="15" s="1"/>
  <c r="AL36" i="15" s="1"/>
  <c r="BO33" i="15"/>
  <c r="BP33" i="15" s="1"/>
  <c r="CQ33" i="15"/>
  <c r="CS33" i="15" s="1"/>
  <c r="BB36" i="15"/>
  <c r="BC35" i="15"/>
  <c r="BE35" i="15" s="1"/>
  <c r="BF35" i="15" s="1"/>
  <c r="BL35" i="15"/>
  <c r="BM34" i="15"/>
  <c r="AO38" i="11"/>
  <c r="AP38" i="11" s="1"/>
  <c r="BE38" i="11"/>
  <c r="BF38" i="11" s="1"/>
  <c r="Y38" i="10"/>
  <c r="Z38" i="10" s="1"/>
  <c r="BA38" i="11"/>
  <c r="BB38" i="11" s="1"/>
  <c r="AX33" i="3"/>
  <c r="AY33" i="3" s="1"/>
  <c r="Y38" i="11"/>
  <c r="Z38" i="11" s="1"/>
  <c r="BJ33" i="3"/>
  <c r="BK33" i="3" s="1"/>
  <c r="AD33" i="3"/>
  <c r="AE33" i="3" s="1"/>
  <c r="BB33" i="3"/>
  <c r="BC33" i="3" s="1"/>
  <c r="U38" i="10"/>
  <c r="V38" i="10" s="1"/>
  <c r="V33" i="3"/>
  <c r="W33" i="3" s="1"/>
  <c r="AO38" i="10"/>
  <c r="AP38" i="10" s="1"/>
  <c r="BE38" i="10"/>
  <c r="BF38" i="10" s="1"/>
  <c r="Q38" i="11"/>
  <c r="R38" i="11" s="1"/>
  <c r="BH38" i="11"/>
  <c r="AK38" i="11"/>
  <c r="AL38" i="11" s="1"/>
  <c r="AG38" i="11"/>
  <c r="AH38" i="11" s="1"/>
  <c r="CS27" i="15"/>
  <c r="AP32" i="4"/>
  <c r="AQ32" i="4" s="1"/>
  <c r="AL33" i="3"/>
  <c r="AM33" i="3" s="1"/>
  <c r="CS28" i="15"/>
  <c r="BC39" i="11"/>
  <c r="W39" i="11"/>
  <c r="AA39" i="11"/>
  <c r="AF39" i="11"/>
  <c r="P39" i="11"/>
  <c r="AZ39" i="11"/>
  <c r="AU39" i="11"/>
  <c r="AY39" i="11"/>
  <c r="T39" i="11"/>
  <c r="S39" i="11"/>
  <c r="BD39" i="11"/>
  <c r="AJ39" i="11"/>
  <c r="AM39" i="11"/>
  <c r="AQ39" i="11"/>
  <c r="O39" i="11"/>
  <c r="AR39" i="11"/>
  <c r="AN39" i="11"/>
  <c r="N40" i="11"/>
  <c r="M40" i="11" s="1"/>
  <c r="AE39" i="11"/>
  <c r="AI39" i="11"/>
  <c r="AK39" i="11" s="1"/>
  <c r="AL39" i="11" s="1"/>
  <c r="AV39" i="11"/>
  <c r="AB39" i="11"/>
  <c r="X39" i="11"/>
  <c r="Z33" i="3"/>
  <c r="AA33" i="3" s="1"/>
  <c r="CO82" i="15"/>
  <c r="P20" i="15" s="1"/>
  <c r="P21" i="15" s="1"/>
  <c r="AC38" i="11"/>
  <c r="AD38" i="11" s="1"/>
  <c r="AS38" i="11"/>
  <c r="AT38" i="11" s="1"/>
  <c r="BJ37" i="11"/>
  <c r="BI38" i="11"/>
  <c r="BY37" i="14"/>
  <c r="BZ37" i="14" s="1"/>
  <c r="AF37" i="14"/>
  <c r="AG37" i="14" s="1"/>
  <c r="AP37" i="14"/>
  <c r="AQ37" i="14" s="1"/>
  <c r="AR38" i="14"/>
  <c r="AS38" i="14" s="1"/>
  <c r="AC38" i="14"/>
  <c r="AZ37" i="14"/>
  <c r="BA37" i="14" s="1"/>
  <c r="BB38" i="14"/>
  <c r="BC38" i="14" s="1"/>
  <c r="AM38" i="14"/>
  <c r="AN38" i="14" s="1"/>
  <c r="BV38" i="14"/>
  <c r="BW38" i="14" s="1"/>
  <c r="CI37" i="14"/>
  <c r="CJ37" i="14" s="1"/>
  <c r="BT37" i="14"/>
  <c r="BU37" i="14" s="1"/>
  <c r="S38" i="14"/>
  <c r="T38" i="14" s="1"/>
  <c r="AA37" i="14"/>
  <c r="AB37" i="14" s="1"/>
  <c r="BE37" i="14"/>
  <c r="BF37" i="14" s="1"/>
  <c r="BL38" i="14"/>
  <c r="BM38" i="14" s="1"/>
  <c r="AK37" i="14"/>
  <c r="AL37" i="14" s="1"/>
  <c r="CD37" i="14"/>
  <c r="CE37" i="14" s="1"/>
  <c r="AU37" i="14"/>
  <c r="AV37" i="14" s="1"/>
  <c r="BJ37" i="14"/>
  <c r="BK37" i="14" s="1"/>
  <c r="AW38" i="14"/>
  <c r="CA38" i="14"/>
  <c r="BM37" i="14"/>
  <c r="BO37" i="14" s="1"/>
  <c r="BP37" i="14" s="1"/>
  <c r="BG38" i="14"/>
  <c r="V36" i="14"/>
  <c r="W36" i="14" s="1"/>
  <c r="CF38" i="14"/>
  <c r="BS38" i="14"/>
  <c r="AJ38" i="14"/>
  <c r="Q38" i="14"/>
  <c r="AY38" i="14"/>
  <c r="BD38" i="14"/>
  <c r="BI38" i="14"/>
  <c r="AO38" i="14"/>
  <c r="AE38" i="14"/>
  <c r="Z38" i="14"/>
  <c r="R39" i="14"/>
  <c r="BX38" i="14"/>
  <c r="CC38" i="14"/>
  <c r="CH38" i="14"/>
  <c r="U38" i="14"/>
  <c r="AT38" i="14"/>
  <c r="BN38" i="14"/>
  <c r="AD38" i="14"/>
  <c r="AH38" i="14"/>
  <c r="AI38" i="14" s="1"/>
  <c r="BQ38" i="14"/>
  <c r="T37" i="14"/>
  <c r="X38" i="14"/>
  <c r="AF37" i="15"/>
  <c r="AG37" i="15" s="1"/>
  <c r="AA37" i="15"/>
  <c r="AB37" i="15" s="1"/>
  <c r="AP37" i="15"/>
  <c r="AQ37" i="15" s="1"/>
  <c r="BT37" i="15"/>
  <c r="BU37" i="15" s="1"/>
  <c r="V32" i="4"/>
  <c r="W32" i="4" s="1"/>
  <c r="CH38" i="15"/>
  <c r="BR38" i="15"/>
  <c r="AT38" i="15"/>
  <c r="AD38" i="15"/>
  <c r="BI38" i="15"/>
  <c r="AS38" i="15"/>
  <c r="U38" i="15"/>
  <c r="BW38" i="15"/>
  <c r="AY38" i="15"/>
  <c r="BS38" i="15"/>
  <c r="R39" i="15"/>
  <c r="CC38" i="15"/>
  <c r="BD38" i="15"/>
  <c r="AE38" i="15"/>
  <c r="Q38" i="15"/>
  <c r="BN38" i="15"/>
  <c r="AO38" i="15"/>
  <c r="AN38" i="15"/>
  <c r="Z38" i="15"/>
  <c r="AJ38" i="15"/>
  <c r="BX38" i="15"/>
  <c r="BH38" i="15"/>
  <c r="Y38" i="15"/>
  <c r="T38" i="15"/>
  <c r="BY37" i="15"/>
  <c r="BZ37" i="15" s="1"/>
  <c r="CR37" i="15"/>
  <c r="BJ37" i="15"/>
  <c r="BK37" i="15" s="1"/>
  <c r="AU37" i="15"/>
  <c r="AV37" i="15" s="1"/>
  <c r="V37" i="15"/>
  <c r="W37" i="15" s="1"/>
  <c r="AC38" i="10"/>
  <c r="AD38" i="10" s="1"/>
  <c r="AS38" i="10"/>
  <c r="AT38" i="10" s="1"/>
  <c r="Q38" i="10"/>
  <c r="R38" i="10" s="1"/>
  <c r="AG38" i="10"/>
  <c r="AH38" i="10" s="1"/>
  <c r="AW38" i="10"/>
  <c r="AX38" i="10" s="1"/>
  <c r="N40" i="10"/>
  <c r="BD39" i="10"/>
  <c r="AZ39" i="10"/>
  <c r="AV39" i="10"/>
  <c r="AR39" i="10"/>
  <c r="AN39" i="10"/>
  <c r="AJ39" i="10"/>
  <c r="AF39" i="10"/>
  <c r="AB39" i="10"/>
  <c r="X39" i="10"/>
  <c r="T39" i="10"/>
  <c r="P39" i="10"/>
  <c r="BC39" i="10"/>
  <c r="AU39" i="10"/>
  <c r="AM39" i="10"/>
  <c r="AE39" i="10"/>
  <c r="AG39" i="10" s="1"/>
  <c r="AH39" i="10" s="1"/>
  <c r="W39" i="10"/>
  <c r="O39" i="10"/>
  <c r="Q39" i="10" s="1"/>
  <c r="R39" i="10" s="1"/>
  <c r="AY39" i="10"/>
  <c r="BA39" i="10" s="1"/>
  <c r="BB39" i="10" s="1"/>
  <c r="AI39" i="10"/>
  <c r="S39" i="10"/>
  <c r="AQ39" i="10"/>
  <c r="AS39" i="10" s="1"/>
  <c r="AT39" i="10" s="1"/>
  <c r="AA39" i="10"/>
  <c r="AK38" i="10"/>
  <c r="AL38" i="10" s="1"/>
  <c r="BA38" i="10"/>
  <c r="BB38" i="10" s="1"/>
  <c r="AX32" i="4"/>
  <c r="AY32" i="4" s="1"/>
  <c r="BN32" i="4"/>
  <c r="BF32" i="4"/>
  <c r="BG32" i="4" s="1"/>
  <c r="AH33" i="3"/>
  <c r="AI33" i="3" s="1"/>
  <c r="AD32" i="4"/>
  <c r="AE32" i="4" s="1"/>
  <c r="R32" i="4"/>
  <c r="S32" i="4" s="1"/>
  <c r="BM32" i="4"/>
  <c r="AL32" i="4"/>
  <c r="AM32" i="4" s="1"/>
  <c r="BO31" i="4"/>
  <c r="AP33" i="3"/>
  <c r="AQ33" i="3" s="1"/>
  <c r="Z32" i="4"/>
  <c r="AA32" i="4" s="1"/>
  <c r="AT32" i="4"/>
  <c r="AU32" i="4" s="1"/>
  <c r="AT33" i="3"/>
  <c r="AU33" i="3" s="1"/>
  <c r="AH32" i="4"/>
  <c r="AI32" i="4" s="1"/>
  <c r="BB32" i="4"/>
  <c r="BC32" i="4" s="1"/>
  <c r="BD34" i="3"/>
  <c r="AV34" i="3"/>
  <c r="AN34" i="3"/>
  <c r="AF34" i="3"/>
  <c r="X34" i="3"/>
  <c r="P34" i="3"/>
  <c r="BI34" i="3"/>
  <c r="BA34" i="3"/>
  <c r="AS34" i="3"/>
  <c r="AK34" i="3"/>
  <c r="AC34" i="3"/>
  <c r="U34" i="3"/>
  <c r="AJ34" i="3"/>
  <c r="BE34" i="3"/>
  <c r="Y34" i="3"/>
  <c r="AR34" i="3"/>
  <c r="O35" i="3"/>
  <c r="AG34" i="3"/>
  <c r="AZ34" i="3"/>
  <c r="T34" i="3"/>
  <c r="BH34" i="3"/>
  <c r="AB34" i="3"/>
  <c r="AO34" i="3"/>
  <c r="Q34" i="3"/>
  <c r="AW34" i="3"/>
  <c r="BI33" i="4"/>
  <c r="BA33" i="4"/>
  <c r="AS33" i="4"/>
  <c r="AK33" i="4"/>
  <c r="AC33" i="4"/>
  <c r="U33" i="4"/>
  <c r="O34" i="4"/>
  <c r="N34" i="4" s="1"/>
  <c r="BH33" i="4"/>
  <c r="AZ33" i="4"/>
  <c r="AR33" i="4"/>
  <c r="AJ33" i="4"/>
  <c r="AB33" i="4"/>
  <c r="T33" i="4"/>
  <c r="BE33" i="4"/>
  <c r="AW33" i="4"/>
  <c r="AO33" i="4"/>
  <c r="AG33" i="4"/>
  <c r="Y33" i="4"/>
  <c r="Q33" i="4"/>
  <c r="AN33" i="4"/>
  <c r="P33" i="4"/>
  <c r="BD33" i="4"/>
  <c r="BF33" i="4" s="1"/>
  <c r="BG33" i="4" s="1"/>
  <c r="AF33" i="4"/>
  <c r="AV33" i="4"/>
  <c r="X33" i="4"/>
  <c r="BJ32" i="4"/>
  <c r="BK32" i="4" s="1"/>
  <c r="AM39" i="14" l="1"/>
  <c r="BO34" i="15"/>
  <c r="BP34" i="15" s="1"/>
  <c r="CQ34" i="15"/>
  <c r="CS34" i="15" s="1"/>
  <c r="BL36" i="15"/>
  <c r="BM35" i="15"/>
  <c r="BO35" i="15" s="1"/>
  <c r="BP35" i="15" s="1"/>
  <c r="CG35" i="15"/>
  <c r="CI35" i="15" s="1"/>
  <c r="CJ35" i="15" s="1"/>
  <c r="CF36" i="15"/>
  <c r="BB37" i="15"/>
  <c r="BC36" i="15"/>
  <c r="BE36" i="15" s="1"/>
  <c r="BF36" i="15" s="1"/>
  <c r="CA37" i="15"/>
  <c r="CB36" i="15"/>
  <c r="CD36" i="15" s="1"/>
  <c r="CE36" i="15" s="1"/>
  <c r="AC39" i="10"/>
  <c r="AD39" i="10" s="1"/>
  <c r="AW38" i="15"/>
  <c r="AX37" i="15"/>
  <c r="AZ37" i="15" s="1"/>
  <c r="BA37" i="15" s="1"/>
  <c r="AH38" i="15"/>
  <c r="AI37" i="15"/>
  <c r="AK37" i="15" s="1"/>
  <c r="AL37" i="15" s="1"/>
  <c r="BB34" i="3"/>
  <c r="BC34" i="3" s="1"/>
  <c r="BY38" i="14"/>
  <c r="BZ38" i="14" s="1"/>
  <c r="AS39" i="11"/>
  <c r="AT39" i="11" s="1"/>
  <c r="AL34" i="3"/>
  <c r="AM34" i="3" s="1"/>
  <c r="Y39" i="10"/>
  <c r="Z39" i="10" s="1"/>
  <c r="BE39" i="10"/>
  <c r="BF39" i="10" s="1"/>
  <c r="AD34" i="3"/>
  <c r="AE34" i="3" s="1"/>
  <c r="AK38" i="14"/>
  <c r="AL38" i="14" s="1"/>
  <c r="AG39" i="11"/>
  <c r="AH39" i="11" s="1"/>
  <c r="U39" i="11"/>
  <c r="V39" i="11" s="1"/>
  <c r="BF34" i="3"/>
  <c r="BG34" i="3" s="1"/>
  <c r="Y39" i="11"/>
  <c r="Z39" i="11" s="1"/>
  <c r="AH33" i="4"/>
  <c r="AI33" i="4" s="1"/>
  <c r="AO39" i="11"/>
  <c r="AP39" i="11" s="1"/>
  <c r="BI39" i="11"/>
  <c r="BE39" i="11"/>
  <c r="BF39" i="11" s="1"/>
  <c r="AO39" i="10"/>
  <c r="AP39" i="10" s="1"/>
  <c r="BA39" i="11"/>
  <c r="BB39" i="11" s="1"/>
  <c r="AR40" i="11"/>
  <c r="AB40" i="11"/>
  <c r="BC40" i="11"/>
  <c r="AM40" i="11"/>
  <c r="W40" i="11"/>
  <c r="BD40" i="11"/>
  <c r="AN40" i="11"/>
  <c r="X40" i="11"/>
  <c r="AY40" i="11"/>
  <c r="AI40" i="11"/>
  <c r="S40" i="11"/>
  <c r="AZ40" i="11"/>
  <c r="AJ40" i="11"/>
  <c r="T40" i="11"/>
  <c r="AU40" i="11"/>
  <c r="AE40" i="11"/>
  <c r="O40" i="11"/>
  <c r="AV40" i="11"/>
  <c r="AF40" i="11"/>
  <c r="P40" i="11"/>
  <c r="AQ40" i="11"/>
  <c r="AA40" i="11"/>
  <c r="AC40" i="11" s="1"/>
  <c r="AD40" i="11" s="1"/>
  <c r="N41" i="11"/>
  <c r="M41" i="11" s="1"/>
  <c r="Q39" i="11"/>
  <c r="R39" i="11" s="1"/>
  <c r="BH39" i="11"/>
  <c r="BJ39" i="11" s="1"/>
  <c r="AW39" i="11"/>
  <c r="AX39" i="11" s="1"/>
  <c r="AC39" i="11"/>
  <c r="AD39" i="11" s="1"/>
  <c r="BJ38" i="11"/>
  <c r="AU38" i="15"/>
  <c r="AV38" i="15" s="1"/>
  <c r="BE38" i="14"/>
  <c r="BF38" i="14" s="1"/>
  <c r="BO38" i="14"/>
  <c r="BP38" i="14" s="1"/>
  <c r="AF38" i="14"/>
  <c r="AG38" i="14" s="1"/>
  <c r="BJ38" i="15"/>
  <c r="BK38" i="15" s="1"/>
  <c r="BY38" i="15"/>
  <c r="BZ38" i="15" s="1"/>
  <c r="AU38" i="14"/>
  <c r="AV38" i="14" s="1"/>
  <c r="BG39" i="14"/>
  <c r="BH39" i="14" s="1"/>
  <c r="X39" i="14"/>
  <c r="Y39" i="14" s="1"/>
  <c r="CA39" i="14"/>
  <c r="BQ39" i="14"/>
  <c r="BR39" i="14" s="1"/>
  <c r="AH39" i="14"/>
  <c r="CF39" i="14"/>
  <c r="CG39" i="14" s="1"/>
  <c r="V37" i="14"/>
  <c r="W37" i="14" s="1"/>
  <c r="AR39" i="14"/>
  <c r="AY39" i="14"/>
  <c r="BD39" i="14"/>
  <c r="R40" i="14"/>
  <c r="Q39" i="14"/>
  <c r="BN39" i="14"/>
  <c r="BI39" i="14"/>
  <c r="CH39" i="14"/>
  <c r="AE39" i="14"/>
  <c r="AJ39" i="14"/>
  <c r="BX39" i="14"/>
  <c r="Z39" i="14"/>
  <c r="Z82" i="14" s="1"/>
  <c r="CC39" i="14"/>
  <c r="U39" i="14"/>
  <c r="BS39" i="14"/>
  <c r="AO39" i="14"/>
  <c r="AT39" i="14"/>
  <c r="AN39" i="14"/>
  <c r="BB39" i="14"/>
  <c r="AC39" i="14"/>
  <c r="AP38" i="14"/>
  <c r="AQ38" i="14" s="1"/>
  <c r="CG38" i="14"/>
  <c r="CI38" i="14" s="1"/>
  <c r="CJ38" i="14" s="1"/>
  <c r="BR38" i="14"/>
  <c r="BT38" i="14" s="1"/>
  <c r="BU38" i="14" s="1"/>
  <c r="V38" i="14"/>
  <c r="W38" i="14" s="1"/>
  <c r="BL39" i="14"/>
  <c r="AX38" i="14"/>
  <c r="AZ38" i="14" s="1"/>
  <c r="BA38" i="14" s="1"/>
  <c r="AW39" i="14"/>
  <c r="AX39" i="14" s="1"/>
  <c r="CB38" i="14"/>
  <c r="CD38" i="14" s="1"/>
  <c r="CE38" i="14" s="1"/>
  <c r="BH38" i="14"/>
  <c r="BJ38" i="14" s="1"/>
  <c r="BK38" i="14" s="1"/>
  <c r="Y38" i="14"/>
  <c r="S39" i="14"/>
  <c r="T39" i="14" s="1"/>
  <c r="BV39" i="14"/>
  <c r="AP38" i="15"/>
  <c r="AQ38" i="15" s="1"/>
  <c r="AA38" i="15"/>
  <c r="AB38" i="15" s="1"/>
  <c r="AX33" i="4"/>
  <c r="AY33" i="4" s="1"/>
  <c r="BJ33" i="4"/>
  <c r="BK33" i="4" s="1"/>
  <c r="AT33" i="4"/>
  <c r="AU33" i="4" s="1"/>
  <c r="BT38" i="15"/>
  <c r="BU38" i="15" s="1"/>
  <c r="CR38" i="15"/>
  <c r="V38" i="15"/>
  <c r="W38" i="15" s="1"/>
  <c r="CC39" i="15"/>
  <c r="AO39" i="15"/>
  <c r="Y39" i="15"/>
  <c r="Q39" i="15"/>
  <c r="BD39" i="15"/>
  <c r="AN39" i="15"/>
  <c r="CH39" i="15"/>
  <c r="BR39" i="15"/>
  <c r="AT39" i="15"/>
  <c r="AD39" i="15"/>
  <c r="R40" i="15"/>
  <c r="AE39" i="15"/>
  <c r="BN39" i="15"/>
  <c r="BW39" i="15"/>
  <c r="BI39" i="15"/>
  <c r="AJ39" i="15"/>
  <c r="BS39" i="15"/>
  <c r="BH39" i="15"/>
  <c r="Z39" i="15"/>
  <c r="Z82" i="15" s="1"/>
  <c r="AY39" i="15"/>
  <c r="AS39" i="15"/>
  <c r="T39" i="15"/>
  <c r="BX39" i="15"/>
  <c r="U39" i="15"/>
  <c r="AF38" i="15"/>
  <c r="AG38" i="15" s="1"/>
  <c r="AW39" i="10"/>
  <c r="AX39" i="10" s="1"/>
  <c r="U39" i="10"/>
  <c r="V39" i="10" s="1"/>
  <c r="BC40" i="10"/>
  <c r="AY40" i="10"/>
  <c r="AU40" i="10"/>
  <c r="AQ40" i="10"/>
  <c r="AM40" i="10"/>
  <c r="AI40" i="10"/>
  <c r="AE40" i="10"/>
  <c r="AA40" i="10"/>
  <c r="W40" i="10"/>
  <c r="S40" i="10"/>
  <c r="O40" i="10"/>
  <c r="N41" i="10"/>
  <c r="AZ40" i="10"/>
  <c r="AR40" i="10"/>
  <c r="AJ40" i="10"/>
  <c r="AB40" i="10"/>
  <c r="T40" i="10"/>
  <c r="BD40" i="10"/>
  <c r="AV40" i="10"/>
  <c r="AN40" i="10"/>
  <c r="AF40" i="10"/>
  <c r="X40" i="10"/>
  <c r="P40" i="10"/>
  <c r="AK39" i="10"/>
  <c r="AL39" i="10" s="1"/>
  <c r="AS34" i="4"/>
  <c r="AJ34" i="4"/>
  <c r="Q34" i="4"/>
  <c r="BA34" i="4"/>
  <c r="AR34" i="4"/>
  <c r="Y34" i="4"/>
  <c r="P34" i="4"/>
  <c r="BI34" i="4"/>
  <c r="AZ34" i="4"/>
  <c r="AG34" i="4"/>
  <c r="X34" i="4"/>
  <c r="AW34" i="4"/>
  <c r="AN34" i="4"/>
  <c r="BE34" i="4"/>
  <c r="AV34" i="4"/>
  <c r="U34" i="4"/>
  <c r="BH34" i="4"/>
  <c r="AK34" i="4"/>
  <c r="BD34" i="4"/>
  <c r="AF34" i="4"/>
  <c r="AC34" i="4"/>
  <c r="AB34" i="4"/>
  <c r="T34" i="4"/>
  <c r="O35" i="4"/>
  <c r="N35" i="4" s="1"/>
  <c r="AO34" i="4"/>
  <c r="AT34" i="3"/>
  <c r="AU34" i="3" s="1"/>
  <c r="R33" i="4"/>
  <c r="S33" i="4" s="1"/>
  <c r="BM33" i="4"/>
  <c r="V33" i="4"/>
  <c r="W33" i="4" s="1"/>
  <c r="R34" i="3"/>
  <c r="S34" i="3" s="1"/>
  <c r="BI35" i="3"/>
  <c r="BA35" i="3"/>
  <c r="AS35" i="3"/>
  <c r="AK35" i="3"/>
  <c r="AO35" i="3"/>
  <c r="AC35" i="3"/>
  <c r="O36" i="3"/>
  <c r="AZ35" i="3"/>
  <c r="AN35" i="3"/>
  <c r="AB35" i="3"/>
  <c r="AD35" i="3" s="1"/>
  <c r="AE35" i="3" s="1"/>
  <c r="Q35" i="3"/>
  <c r="P35" i="3"/>
  <c r="AW35" i="3"/>
  <c r="AJ35" i="3"/>
  <c r="Y35" i="3"/>
  <c r="BH35" i="3"/>
  <c r="AV35" i="3"/>
  <c r="X35" i="3"/>
  <c r="BE35" i="3"/>
  <c r="AR35" i="3"/>
  <c r="AF35" i="3"/>
  <c r="U35" i="3"/>
  <c r="BD35" i="3"/>
  <c r="T35" i="3"/>
  <c r="AG35" i="3"/>
  <c r="AD33" i="4"/>
  <c r="AE33" i="4" s="1"/>
  <c r="BJ34" i="3"/>
  <c r="BK34" i="3" s="1"/>
  <c r="Z34" i="3"/>
  <c r="AA34" i="3" s="1"/>
  <c r="AP33" i="4"/>
  <c r="AQ33" i="4" s="1"/>
  <c r="BN33" i="4"/>
  <c r="AL33" i="4"/>
  <c r="AM33" i="4" s="1"/>
  <c r="V34" i="3"/>
  <c r="W34" i="3" s="1"/>
  <c r="AH34" i="3"/>
  <c r="AI34" i="3" s="1"/>
  <c r="BO32" i="4"/>
  <c r="AP34" i="3"/>
  <c r="AQ34" i="3" s="1"/>
  <c r="Z33" i="4"/>
  <c r="AA33" i="4" s="1"/>
  <c r="BB33" i="4"/>
  <c r="BC33" i="4" s="1"/>
  <c r="AX34" i="3"/>
  <c r="AY34" i="3" s="1"/>
  <c r="AS40" i="11" l="1"/>
  <c r="AT40" i="11" s="1"/>
  <c r="AH39" i="15"/>
  <c r="AI38" i="15"/>
  <c r="AK38" i="15" s="1"/>
  <c r="AL38" i="15" s="1"/>
  <c r="CF37" i="15"/>
  <c r="CG36" i="15"/>
  <c r="CI36" i="15" s="1"/>
  <c r="CJ36" i="15" s="1"/>
  <c r="BM36" i="15"/>
  <c r="BL37" i="15"/>
  <c r="AW39" i="15"/>
  <c r="AX38" i="15"/>
  <c r="AZ38" i="15" s="1"/>
  <c r="BA38" i="15" s="1"/>
  <c r="BF35" i="3"/>
  <c r="BG35" i="3" s="1"/>
  <c r="CA38" i="15"/>
  <c r="CB37" i="15"/>
  <c r="CD37" i="15" s="1"/>
  <c r="CE37" i="15" s="1"/>
  <c r="CQ35" i="15"/>
  <c r="CS35" i="15" s="1"/>
  <c r="BB38" i="15"/>
  <c r="BC37" i="15"/>
  <c r="BE37" i="15" s="1"/>
  <c r="BF37" i="15" s="1"/>
  <c r="AT34" i="4"/>
  <c r="AU34" i="4" s="1"/>
  <c r="AT35" i="3"/>
  <c r="AU35" i="3" s="1"/>
  <c r="AL35" i="3"/>
  <c r="AM35" i="3" s="1"/>
  <c r="BF34" i="4"/>
  <c r="BG34" i="4" s="1"/>
  <c r="AX34" i="4"/>
  <c r="AY34" i="4" s="1"/>
  <c r="BB35" i="3"/>
  <c r="BC35" i="3" s="1"/>
  <c r="V35" i="3"/>
  <c r="W35" i="3" s="1"/>
  <c r="BJ35" i="3"/>
  <c r="BK35" i="3" s="1"/>
  <c r="BB34" i="4"/>
  <c r="BC34" i="4" s="1"/>
  <c r="Y40" i="10"/>
  <c r="Z40" i="10" s="1"/>
  <c r="AW40" i="11"/>
  <c r="AX40" i="11" s="1"/>
  <c r="U40" i="11"/>
  <c r="V40" i="11" s="1"/>
  <c r="AK40" i="11"/>
  <c r="AL40" i="11" s="1"/>
  <c r="BE40" i="11"/>
  <c r="BF40" i="11" s="1"/>
  <c r="AH35" i="3"/>
  <c r="AI35" i="3" s="1"/>
  <c r="Z34" i="4"/>
  <c r="AA34" i="4" s="1"/>
  <c r="BJ39" i="14"/>
  <c r="BK39" i="14" s="1"/>
  <c r="BH40" i="11"/>
  <c r="Q40" i="11"/>
  <c r="R40" i="11" s="1"/>
  <c r="BA40" i="11"/>
  <c r="BB40" i="11" s="1"/>
  <c r="BI40" i="11"/>
  <c r="AG40" i="11"/>
  <c r="AH40" i="11" s="1"/>
  <c r="Y40" i="11"/>
  <c r="Z40" i="11" s="1"/>
  <c r="AO40" i="10"/>
  <c r="AP40" i="10" s="1"/>
  <c r="BE40" i="10"/>
  <c r="BF40" i="10" s="1"/>
  <c r="AZ41" i="11"/>
  <c r="AJ41" i="11"/>
  <c r="T41" i="11"/>
  <c r="AU41" i="11"/>
  <c r="AE41" i="11"/>
  <c r="O41" i="11"/>
  <c r="AV41" i="11"/>
  <c r="AF41" i="11"/>
  <c r="P41" i="11"/>
  <c r="AQ41" i="11"/>
  <c r="AA41" i="11"/>
  <c r="N42" i="11"/>
  <c r="M42" i="11" s="1"/>
  <c r="AR41" i="11"/>
  <c r="AB41" i="11"/>
  <c r="BC41" i="11"/>
  <c r="AM41" i="11"/>
  <c r="W41" i="11"/>
  <c r="BD41" i="11"/>
  <c r="AN41" i="11"/>
  <c r="X41" i="11"/>
  <c r="AY41" i="11"/>
  <c r="AI41" i="11"/>
  <c r="S41" i="11"/>
  <c r="AO40" i="11"/>
  <c r="AP40" i="11" s="1"/>
  <c r="BT39" i="14"/>
  <c r="BU39" i="14" s="1"/>
  <c r="BV40" i="14"/>
  <c r="BW40" i="14" s="1"/>
  <c r="AH40" i="14"/>
  <c r="AI40" i="14" s="1"/>
  <c r="BB40" i="14"/>
  <c r="CA40" i="14"/>
  <c r="CB39" i="14"/>
  <c r="CD39" i="14" s="1"/>
  <c r="CE39" i="14" s="1"/>
  <c r="AI39" i="14"/>
  <c r="AK39" i="14" s="1"/>
  <c r="AL39" i="14" s="1"/>
  <c r="BL40" i="14"/>
  <c r="BM40" i="14" s="1"/>
  <c r="AR40" i="14"/>
  <c r="BG40" i="14"/>
  <c r="BH40" i="14" s="1"/>
  <c r="AS39" i="14"/>
  <c r="AU39" i="14" s="1"/>
  <c r="AV39" i="14" s="1"/>
  <c r="BQ40" i="14"/>
  <c r="BR40" i="14" s="1"/>
  <c r="CI39" i="14"/>
  <c r="CJ39" i="14" s="1"/>
  <c r="AZ39" i="14"/>
  <c r="BA39" i="14" s="1"/>
  <c r="BM39" i="14"/>
  <c r="BO39" i="14" s="1"/>
  <c r="BP39" i="14" s="1"/>
  <c r="AA38" i="14"/>
  <c r="AB38" i="14" s="1"/>
  <c r="Y82" i="14"/>
  <c r="AW40" i="14"/>
  <c r="AX40" i="14" s="1"/>
  <c r="AC40" i="14"/>
  <c r="AD40" i="14" s="1"/>
  <c r="AA39" i="14"/>
  <c r="AB39" i="14" s="1"/>
  <c r="U82" i="14"/>
  <c r="AD39" i="14"/>
  <c r="AF39" i="14" s="1"/>
  <c r="AG39" i="14" s="1"/>
  <c r="V39" i="14"/>
  <c r="W39" i="14" s="1"/>
  <c r="W82" i="14" s="1"/>
  <c r="B20" i="14" s="1"/>
  <c r="M4" i="18" s="1"/>
  <c r="AP39" i="14"/>
  <c r="AQ39" i="14" s="1"/>
  <c r="BC39" i="14"/>
  <c r="BE39" i="14" s="1"/>
  <c r="BF39" i="14" s="1"/>
  <c r="BW39" i="14"/>
  <c r="BY39" i="14" s="1"/>
  <c r="BZ39" i="14" s="1"/>
  <c r="R41" i="14"/>
  <c r="BD40" i="14"/>
  <c r="CH40" i="14"/>
  <c r="Q40" i="14"/>
  <c r="AO40" i="14"/>
  <c r="CC40" i="14"/>
  <c r="CB40" i="14"/>
  <c r="AT40" i="14"/>
  <c r="BX40" i="14"/>
  <c r="AJ40" i="14"/>
  <c r="BS40" i="14"/>
  <c r="BI40" i="14"/>
  <c r="BC40" i="14"/>
  <c r="BN40" i="14"/>
  <c r="AE40" i="14"/>
  <c r="AY40" i="14"/>
  <c r="AS40" i="14"/>
  <c r="AM40" i="14"/>
  <c r="AN40" i="14" s="1"/>
  <c r="T82" i="14"/>
  <c r="CF40" i="14"/>
  <c r="AF39" i="15"/>
  <c r="AG39" i="15" s="1"/>
  <c r="BT39" i="15"/>
  <c r="BU39" i="15" s="1"/>
  <c r="AP39" i="15"/>
  <c r="AQ39" i="15" s="1"/>
  <c r="V34" i="4"/>
  <c r="W34" i="4" s="1"/>
  <c r="AP34" i="4"/>
  <c r="AQ34" i="4" s="1"/>
  <c r="BO33" i="4"/>
  <c r="BJ34" i="4"/>
  <c r="BK34" i="4" s="1"/>
  <c r="AU39" i="15"/>
  <c r="AV39" i="15" s="1"/>
  <c r="BY39" i="15"/>
  <c r="BZ39" i="15" s="1"/>
  <c r="BJ39" i="15"/>
  <c r="BK39" i="15" s="1"/>
  <c r="CR39" i="15"/>
  <c r="U82" i="15"/>
  <c r="CH40" i="15"/>
  <c r="BR40" i="15"/>
  <c r="AT40" i="15"/>
  <c r="AD40" i="15"/>
  <c r="BI40" i="15"/>
  <c r="AS40" i="15"/>
  <c r="BW40" i="15"/>
  <c r="AY40" i="15"/>
  <c r="Q40" i="15"/>
  <c r="BN40" i="15"/>
  <c r="AO40" i="15"/>
  <c r="AN40" i="15"/>
  <c r="BX40" i="15"/>
  <c r="AJ40" i="15"/>
  <c r="BS40" i="15"/>
  <c r="BH40" i="15"/>
  <c r="AE40" i="15"/>
  <c r="BD40" i="15"/>
  <c r="R41" i="15"/>
  <c r="CC40" i="15"/>
  <c r="V39" i="15"/>
  <c r="W39" i="15" s="1"/>
  <c r="W82" i="15" s="1"/>
  <c r="B20" i="15" s="1"/>
  <c r="T82" i="15"/>
  <c r="AA39" i="15"/>
  <c r="AB39" i="15" s="1"/>
  <c r="AB82" i="15" s="1"/>
  <c r="C20" i="15" s="1"/>
  <c r="Y82" i="15"/>
  <c r="N42" i="10"/>
  <c r="BD41" i="10"/>
  <c r="AZ41" i="10"/>
  <c r="AV41" i="10"/>
  <c r="AR41" i="10"/>
  <c r="AN41" i="10"/>
  <c r="AJ41" i="10"/>
  <c r="AF41" i="10"/>
  <c r="AB41" i="10"/>
  <c r="X41" i="10"/>
  <c r="T41" i="10"/>
  <c r="P41" i="10"/>
  <c r="AY41" i="10"/>
  <c r="AQ41" i="10"/>
  <c r="AI41" i="10"/>
  <c r="AK41" i="10" s="1"/>
  <c r="AL41" i="10" s="1"/>
  <c r="AA41" i="10"/>
  <c r="S41" i="10"/>
  <c r="AU41" i="10"/>
  <c r="AE41" i="10"/>
  <c r="W41" i="10"/>
  <c r="BC41" i="10"/>
  <c r="BE41" i="10" s="1"/>
  <c r="BF41" i="10" s="1"/>
  <c r="AM41" i="10"/>
  <c r="AO41" i="10" s="1"/>
  <c r="AP41" i="10" s="1"/>
  <c r="O41" i="10"/>
  <c r="AC40" i="10"/>
  <c r="AD40" i="10" s="1"/>
  <c r="AS40" i="10"/>
  <c r="AT40" i="10" s="1"/>
  <c r="Q40" i="10"/>
  <c r="R40" i="10" s="1"/>
  <c r="AG40" i="10"/>
  <c r="AH40" i="10" s="1"/>
  <c r="AW40" i="10"/>
  <c r="AX40" i="10" s="1"/>
  <c r="U40" i="10"/>
  <c r="V40" i="10" s="1"/>
  <c r="AK40" i="10"/>
  <c r="AL40" i="10" s="1"/>
  <c r="BA40" i="10"/>
  <c r="BB40" i="10" s="1"/>
  <c r="BM34" i="4"/>
  <c r="R34" i="4"/>
  <c r="S34" i="4" s="1"/>
  <c r="AD34" i="4"/>
  <c r="AE34" i="4" s="1"/>
  <c r="R35" i="3"/>
  <c r="S35" i="3" s="1"/>
  <c r="AH34" i="4"/>
  <c r="AI34" i="4" s="1"/>
  <c r="BN34" i="4"/>
  <c r="Z35" i="3"/>
  <c r="AA35" i="3" s="1"/>
  <c r="AL34" i="4"/>
  <c r="AM34" i="4" s="1"/>
  <c r="BH36" i="3"/>
  <c r="AZ36" i="3"/>
  <c r="AR36" i="3"/>
  <c r="AJ36" i="3"/>
  <c r="AB36" i="3"/>
  <c r="T36" i="3"/>
  <c r="O37" i="3"/>
  <c r="BE36" i="3"/>
  <c r="AW36" i="3"/>
  <c r="AO36" i="3"/>
  <c r="AG36" i="3"/>
  <c r="Y36" i="3"/>
  <c r="Q36" i="3"/>
  <c r="P36" i="3"/>
  <c r="AN36" i="3"/>
  <c r="AC36" i="3"/>
  <c r="BA36" i="3"/>
  <c r="X36" i="3"/>
  <c r="AV36" i="3"/>
  <c r="AK36" i="3"/>
  <c r="AF36" i="3"/>
  <c r="U36" i="3"/>
  <c r="BI36" i="3"/>
  <c r="BD36" i="3"/>
  <c r="BF36" i="3" s="1"/>
  <c r="BG36" i="3" s="1"/>
  <c r="AS36" i="3"/>
  <c r="AX35" i="3"/>
  <c r="AY35" i="3" s="1"/>
  <c r="AP35" i="3"/>
  <c r="AQ35" i="3" s="1"/>
  <c r="O36" i="4"/>
  <c r="N36" i="4" s="1"/>
  <c r="BI35" i="4"/>
  <c r="BA35" i="4"/>
  <c r="AS35" i="4"/>
  <c r="AK35" i="4"/>
  <c r="AC35" i="4"/>
  <c r="U35" i="4"/>
  <c r="BH35" i="4"/>
  <c r="AZ35" i="4"/>
  <c r="AJ35" i="4"/>
  <c r="BE35" i="4"/>
  <c r="AR35" i="4"/>
  <c r="AT35" i="4" s="1"/>
  <c r="AU35" i="4" s="1"/>
  <c r="Q35" i="4"/>
  <c r="BD35" i="4"/>
  <c r="Y35" i="4"/>
  <c r="P35" i="4"/>
  <c r="AO35" i="4"/>
  <c r="AF35" i="4"/>
  <c r="AN35" i="4"/>
  <c r="AB35" i="4"/>
  <c r="AW35" i="4"/>
  <c r="X35" i="4"/>
  <c r="AV35" i="4"/>
  <c r="T35" i="4"/>
  <c r="AG35" i="4"/>
  <c r="U41" i="11" l="1"/>
  <c r="V41" i="11" s="1"/>
  <c r="AK41" i="11"/>
  <c r="AL41" i="11" s="1"/>
  <c r="BA41" i="11"/>
  <c r="BB41" i="11" s="1"/>
  <c r="AW40" i="15"/>
  <c r="AX39" i="15"/>
  <c r="AZ39" i="15" s="1"/>
  <c r="BA39" i="15" s="1"/>
  <c r="BB39" i="15"/>
  <c r="BC38" i="15"/>
  <c r="BE38" i="15" s="1"/>
  <c r="BF38" i="15" s="1"/>
  <c r="BO36" i="15"/>
  <c r="BP36" i="15" s="1"/>
  <c r="CQ36" i="15"/>
  <c r="CS36" i="15" s="1"/>
  <c r="BL38" i="15"/>
  <c r="BM37" i="15"/>
  <c r="BO37" i="15" s="1"/>
  <c r="BP37" i="15" s="1"/>
  <c r="R36" i="3"/>
  <c r="S36" i="3" s="1"/>
  <c r="AP40" i="14"/>
  <c r="AQ40" i="14" s="1"/>
  <c r="CF38" i="15"/>
  <c r="CG37" i="15"/>
  <c r="CI37" i="15" s="1"/>
  <c r="CJ37" i="15" s="1"/>
  <c r="CA39" i="15"/>
  <c r="CB38" i="15"/>
  <c r="CD38" i="15" s="1"/>
  <c r="CE38" i="15" s="1"/>
  <c r="AH40" i="15"/>
  <c r="AI39" i="15"/>
  <c r="AK39" i="15" s="1"/>
  <c r="AL39" i="15" s="1"/>
  <c r="Z36" i="3"/>
  <c r="AA36" i="3" s="1"/>
  <c r="BB36" i="3"/>
  <c r="BC36" i="3" s="1"/>
  <c r="AH36" i="3"/>
  <c r="AI36" i="3" s="1"/>
  <c r="AD36" i="3"/>
  <c r="AE36" i="3" s="1"/>
  <c r="Y41" i="10"/>
  <c r="Z41" i="10" s="1"/>
  <c r="BE40" i="14"/>
  <c r="BF40" i="14" s="1"/>
  <c r="AC41" i="10"/>
  <c r="AD41" i="10" s="1"/>
  <c r="Q41" i="10"/>
  <c r="R41" i="10" s="1"/>
  <c r="V35" i="4"/>
  <c r="W35" i="4" s="1"/>
  <c r="AD35" i="4"/>
  <c r="AE35" i="4" s="1"/>
  <c r="AX36" i="3"/>
  <c r="AY36" i="3" s="1"/>
  <c r="BE41" i="11"/>
  <c r="BF41" i="11" s="1"/>
  <c r="AO41" i="11"/>
  <c r="AP41" i="11" s="1"/>
  <c r="AW41" i="11"/>
  <c r="AX41" i="11" s="1"/>
  <c r="AG41" i="10"/>
  <c r="AH41" i="10" s="1"/>
  <c r="BJ40" i="15"/>
  <c r="BK40" i="15" s="1"/>
  <c r="N43" i="11"/>
  <c r="M43" i="11" s="1"/>
  <c r="AR42" i="11"/>
  <c r="AB42" i="11"/>
  <c r="AQ42" i="11"/>
  <c r="S42" i="11"/>
  <c r="AE42" i="11"/>
  <c r="BD42" i="11"/>
  <c r="AN42" i="11"/>
  <c r="X42" i="11"/>
  <c r="AA42" i="11"/>
  <c r="AU42" i="11"/>
  <c r="BC42" i="11"/>
  <c r="AZ42" i="11"/>
  <c r="AJ42" i="11"/>
  <c r="T42" i="11"/>
  <c r="AY42" i="11"/>
  <c r="O42" i="11"/>
  <c r="W42" i="11"/>
  <c r="Y42" i="11" s="1"/>
  <c r="Z42" i="11" s="1"/>
  <c r="AV42" i="11"/>
  <c r="AF42" i="11"/>
  <c r="P42" i="11"/>
  <c r="AI42" i="11"/>
  <c r="AK42" i="11" s="1"/>
  <c r="AL42" i="11" s="1"/>
  <c r="AM42" i="11"/>
  <c r="BI41" i="11"/>
  <c r="AG41" i="11"/>
  <c r="AH41" i="11" s="1"/>
  <c r="AW41" i="10"/>
  <c r="AX41" i="10" s="1"/>
  <c r="AS41" i="10"/>
  <c r="AT41" i="10" s="1"/>
  <c r="BJ40" i="11"/>
  <c r="AP36" i="3"/>
  <c r="AQ36" i="3" s="1"/>
  <c r="AT36" i="3"/>
  <c r="AU36" i="3" s="1"/>
  <c r="AC41" i="11"/>
  <c r="AD41" i="11" s="1"/>
  <c r="V36" i="3"/>
  <c r="W36" i="3" s="1"/>
  <c r="Y41" i="11"/>
  <c r="Z41" i="11" s="1"/>
  <c r="AS41" i="11"/>
  <c r="AT41" i="11" s="1"/>
  <c r="BH41" i="11"/>
  <c r="Q41" i="11"/>
  <c r="R41" i="11" s="1"/>
  <c r="BY40" i="14"/>
  <c r="BZ40" i="14" s="1"/>
  <c r="AU40" i="14"/>
  <c r="AV40" i="14" s="1"/>
  <c r="BT40" i="14"/>
  <c r="BU40" i="14" s="1"/>
  <c r="AZ40" i="14"/>
  <c r="BA40" i="14" s="1"/>
  <c r="AK40" i="14"/>
  <c r="AL40" i="14" s="1"/>
  <c r="AB82" i="14"/>
  <c r="C20" i="14" s="1"/>
  <c r="CD40" i="14"/>
  <c r="CE40" i="14" s="1"/>
  <c r="BO40" i="14"/>
  <c r="BP40" i="14" s="1"/>
  <c r="BG41" i="14"/>
  <c r="R42" i="14"/>
  <c r="BX41" i="14"/>
  <c r="BS41" i="14"/>
  <c r="AO41" i="14"/>
  <c r="BI41" i="14"/>
  <c r="AT41" i="14"/>
  <c r="CC41" i="14"/>
  <c r="CH41" i="14"/>
  <c r="BD41" i="14"/>
  <c r="BN41" i="14"/>
  <c r="Q41" i="14"/>
  <c r="AY41" i="14"/>
  <c r="AJ41" i="14"/>
  <c r="AE41" i="14"/>
  <c r="BB41" i="14"/>
  <c r="BQ41" i="14"/>
  <c r="B21" i="14"/>
  <c r="CF41" i="14"/>
  <c r="BL41" i="14"/>
  <c r="CG40" i="14"/>
  <c r="CI40" i="14" s="1"/>
  <c r="CJ40" i="14" s="1"/>
  <c r="AR41" i="14"/>
  <c r="AF40" i="14"/>
  <c r="AG40" i="14" s="1"/>
  <c r="CA41" i="14"/>
  <c r="AC41" i="14"/>
  <c r="AM41" i="14"/>
  <c r="AN41" i="14" s="1"/>
  <c r="BJ40" i="14"/>
  <c r="BK40" i="14" s="1"/>
  <c r="AW41" i="14"/>
  <c r="AH41" i="14"/>
  <c r="BV41" i="14"/>
  <c r="CR40" i="15"/>
  <c r="BT40" i="15"/>
  <c r="BU40" i="15" s="1"/>
  <c r="AU40" i="15"/>
  <c r="AV40" i="15" s="1"/>
  <c r="AP35" i="4"/>
  <c r="AQ35" i="4" s="1"/>
  <c r="AH35" i="4"/>
  <c r="AI35" i="4" s="1"/>
  <c r="AL35" i="4"/>
  <c r="AM35" i="4" s="1"/>
  <c r="AX35" i="4"/>
  <c r="AY35" i="4" s="1"/>
  <c r="B21" i="15"/>
  <c r="BW41" i="15"/>
  <c r="AY41" i="15"/>
  <c r="Q41" i="15"/>
  <c r="BN41" i="15"/>
  <c r="BD41" i="15"/>
  <c r="AN41" i="15"/>
  <c r="BX41" i="15"/>
  <c r="CH41" i="15"/>
  <c r="BI41" i="15"/>
  <c r="AJ41" i="15"/>
  <c r="BS41" i="15"/>
  <c r="BH41" i="15"/>
  <c r="AT41" i="15"/>
  <c r="CC41" i="15"/>
  <c r="AD41" i="15"/>
  <c r="AO41" i="15"/>
  <c r="BR41" i="15"/>
  <c r="AE41" i="15"/>
  <c r="R42" i="15"/>
  <c r="AS41" i="15"/>
  <c r="AP40" i="15"/>
  <c r="AQ40" i="15" s="1"/>
  <c r="BY40" i="15"/>
  <c r="BZ40" i="15" s="1"/>
  <c r="C21" i="15"/>
  <c r="AF40" i="15"/>
  <c r="AG40" i="15" s="1"/>
  <c r="U41" i="10"/>
  <c r="V41" i="10" s="1"/>
  <c r="BA41" i="10"/>
  <c r="BB41" i="10" s="1"/>
  <c r="BC42" i="10"/>
  <c r="AY42" i="10"/>
  <c r="AU42" i="10"/>
  <c r="AQ42" i="10"/>
  <c r="AM42" i="10"/>
  <c r="AI42" i="10"/>
  <c r="AE42" i="10"/>
  <c r="AA42" i="10"/>
  <c r="W42" i="10"/>
  <c r="S42" i="10"/>
  <c r="O42" i="10"/>
  <c r="BD42" i="10"/>
  <c r="AV42" i="10"/>
  <c r="AN42" i="10"/>
  <c r="AF42" i="10"/>
  <c r="X42" i="10"/>
  <c r="P42" i="10"/>
  <c r="N43" i="10"/>
  <c r="AZ42" i="10"/>
  <c r="AR42" i="10"/>
  <c r="AJ42" i="10"/>
  <c r="AB42" i="10"/>
  <c r="T42" i="10"/>
  <c r="BB35" i="4"/>
  <c r="BC35" i="4" s="1"/>
  <c r="BD36" i="4"/>
  <c r="AV36" i="4"/>
  <c r="AN36" i="4"/>
  <c r="AF36" i="4"/>
  <c r="X36" i="4"/>
  <c r="P36" i="4"/>
  <c r="BH36" i="4"/>
  <c r="AZ36" i="4"/>
  <c r="O37" i="4"/>
  <c r="N37" i="4" s="1"/>
  <c r="AW36" i="4"/>
  <c r="AG36" i="4"/>
  <c r="Q36" i="4"/>
  <c r="AS36" i="4"/>
  <c r="AC36" i="4"/>
  <c r="BI36" i="4"/>
  <c r="AO36" i="4"/>
  <c r="Y36" i="4"/>
  <c r="AR36" i="4"/>
  <c r="AK36" i="4"/>
  <c r="AJ36" i="4"/>
  <c r="AB36" i="4"/>
  <c r="U36" i="4"/>
  <c r="BA36" i="4"/>
  <c r="T36" i="4"/>
  <c r="BE36" i="4"/>
  <c r="AL36" i="3"/>
  <c r="AM36" i="3" s="1"/>
  <c r="BJ35" i="4"/>
  <c r="BK35" i="4" s="1"/>
  <c r="R35" i="4"/>
  <c r="S35" i="4" s="1"/>
  <c r="BM35" i="4"/>
  <c r="Z35" i="4"/>
  <c r="AA35" i="4" s="1"/>
  <c r="BF35" i="4"/>
  <c r="BG35" i="4" s="1"/>
  <c r="BJ36" i="3"/>
  <c r="BK36" i="3" s="1"/>
  <c r="BN35" i="4"/>
  <c r="BO34" i="4"/>
  <c r="O38" i="3"/>
  <c r="BE37" i="3"/>
  <c r="AW37" i="3"/>
  <c r="AO37" i="3"/>
  <c r="AG37" i="3"/>
  <c r="Y37" i="3"/>
  <c r="Q37" i="3"/>
  <c r="BD37" i="3"/>
  <c r="AR37" i="3"/>
  <c r="AC37" i="3"/>
  <c r="P37" i="3"/>
  <c r="R37" i="3" s="1"/>
  <c r="S37" i="3" s="1"/>
  <c r="BA37" i="3"/>
  <c r="AN37" i="3"/>
  <c r="AB37" i="3"/>
  <c r="AZ37" i="3"/>
  <c r="AK37" i="3"/>
  <c r="X37" i="3"/>
  <c r="BH37" i="3"/>
  <c r="U37" i="3"/>
  <c r="T37" i="3"/>
  <c r="AJ37" i="3"/>
  <c r="BI37" i="3"/>
  <c r="AF37" i="3"/>
  <c r="AV37" i="3"/>
  <c r="AS37" i="3"/>
  <c r="CA40" i="15" l="1"/>
  <c r="CB39" i="15"/>
  <c r="CD39" i="15" s="1"/>
  <c r="CE39" i="15" s="1"/>
  <c r="AH41" i="15"/>
  <c r="AI40" i="15"/>
  <c r="AK40" i="15" s="1"/>
  <c r="AL40" i="15" s="1"/>
  <c r="BL39" i="15"/>
  <c r="BM38" i="15"/>
  <c r="Y42" i="10"/>
  <c r="Z42" i="10" s="1"/>
  <c r="CF39" i="15"/>
  <c r="CG38" i="15"/>
  <c r="CI38" i="15" s="1"/>
  <c r="CJ38" i="15" s="1"/>
  <c r="BB40" i="15"/>
  <c r="BC39" i="15"/>
  <c r="BE39" i="15" s="1"/>
  <c r="BF39" i="15" s="1"/>
  <c r="AW41" i="15"/>
  <c r="AX40" i="15"/>
  <c r="AZ40" i="15" s="1"/>
  <c r="BA40" i="15" s="1"/>
  <c r="CQ37" i="15"/>
  <c r="CS37" i="15" s="1"/>
  <c r="BE42" i="10"/>
  <c r="BF42" i="10" s="1"/>
  <c r="AO42" i="11"/>
  <c r="AP42" i="11" s="1"/>
  <c r="Z37" i="3"/>
  <c r="AA37" i="3" s="1"/>
  <c r="AP41" i="14"/>
  <c r="AQ41" i="14" s="1"/>
  <c r="AO42" i="10"/>
  <c r="AP42" i="10" s="1"/>
  <c r="V36" i="4"/>
  <c r="W36" i="4" s="1"/>
  <c r="AS42" i="11"/>
  <c r="AT42" i="11" s="1"/>
  <c r="AL37" i="3"/>
  <c r="AM37" i="3" s="1"/>
  <c r="AP37" i="3"/>
  <c r="AQ37" i="3" s="1"/>
  <c r="AC42" i="11"/>
  <c r="AD42" i="11" s="1"/>
  <c r="BE42" i="11"/>
  <c r="BF42" i="11" s="1"/>
  <c r="BA42" i="11"/>
  <c r="BB42" i="11" s="1"/>
  <c r="BJ41" i="11"/>
  <c r="BJ37" i="3"/>
  <c r="BK37" i="3" s="1"/>
  <c r="AL36" i="4"/>
  <c r="AM36" i="4" s="1"/>
  <c r="C21" i="14"/>
  <c r="M20" i="18"/>
  <c r="BI42" i="11"/>
  <c r="Q42" i="11"/>
  <c r="R42" i="11" s="1"/>
  <c r="BH42" i="11"/>
  <c r="U42" i="11"/>
  <c r="V42" i="11" s="1"/>
  <c r="AU43" i="11"/>
  <c r="AE43" i="11"/>
  <c r="O43" i="11"/>
  <c r="X43" i="11"/>
  <c r="AB43" i="11"/>
  <c r="AJ43" i="11"/>
  <c r="AQ43" i="11"/>
  <c r="AA43" i="11"/>
  <c r="N44" i="11"/>
  <c r="M44" i="11" s="1"/>
  <c r="AV43" i="11"/>
  <c r="AZ43" i="11"/>
  <c r="BC43" i="11"/>
  <c r="AM43" i="11"/>
  <c r="W43" i="11"/>
  <c r="BD43" i="11"/>
  <c r="AF43" i="11"/>
  <c r="T43" i="11"/>
  <c r="AY43" i="11"/>
  <c r="AI43" i="11"/>
  <c r="S43" i="11"/>
  <c r="AN43" i="11"/>
  <c r="P43" i="11"/>
  <c r="AR43" i="11"/>
  <c r="AT37" i="3"/>
  <c r="AU37" i="3" s="1"/>
  <c r="AX37" i="3"/>
  <c r="AY37" i="3" s="1"/>
  <c r="V37" i="3"/>
  <c r="W37" i="3" s="1"/>
  <c r="AW42" i="11"/>
  <c r="AX42" i="11" s="1"/>
  <c r="BO35" i="4"/>
  <c r="AG42" i="11"/>
  <c r="AH42" i="11" s="1"/>
  <c r="BV42" i="14"/>
  <c r="BW42" i="14" s="1"/>
  <c r="BJ41" i="15"/>
  <c r="BK41" i="15" s="1"/>
  <c r="AW42" i="14"/>
  <c r="AX42" i="14" s="1"/>
  <c r="AR42" i="14"/>
  <c r="AS42" i="14" s="1"/>
  <c r="BG42" i="14"/>
  <c r="BH42" i="14" s="1"/>
  <c r="BL42" i="14"/>
  <c r="BM42" i="14" s="1"/>
  <c r="AS41" i="14"/>
  <c r="AU41" i="14" s="1"/>
  <c r="AV41" i="14" s="1"/>
  <c r="BQ42" i="14"/>
  <c r="BR42" i="14" s="1"/>
  <c r="AH42" i="14"/>
  <c r="AI42" i="14" s="1"/>
  <c r="BB42" i="14"/>
  <c r="CF42" i="14"/>
  <c r="AC42" i="14"/>
  <c r="AD42" i="14" s="1"/>
  <c r="AI41" i="14"/>
  <c r="AK41" i="14" s="1"/>
  <c r="AL41" i="14" s="1"/>
  <c r="CA42" i="14"/>
  <c r="CB42" i="14" s="1"/>
  <c r="CG41" i="14"/>
  <c r="CI41" i="14" s="1"/>
  <c r="CJ41" i="14" s="1"/>
  <c r="BC41" i="14"/>
  <c r="BE41" i="14" s="1"/>
  <c r="BF41" i="14" s="1"/>
  <c r="AX41" i="14"/>
  <c r="AZ41" i="14" s="1"/>
  <c r="BA41" i="14" s="1"/>
  <c r="BH41" i="14"/>
  <c r="BJ41" i="14" s="1"/>
  <c r="BK41" i="14" s="1"/>
  <c r="BR41" i="14"/>
  <c r="BT41" i="14" s="1"/>
  <c r="BU41" i="14" s="1"/>
  <c r="BM41" i="14"/>
  <c r="BO41" i="14" s="1"/>
  <c r="BP41" i="14" s="1"/>
  <c r="AD41" i="14"/>
  <c r="CB41" i="14"/>
  <c r="CD41" i="14" s="1"/>
  <c r="CE41" i="14" s="1"/>
  <c r="AM42" i="14"/>
  <c r="BN42" i="14"/>
  <c r="AO42" i="14"/>
  <c r="AE42" i="14"/>
  <c r="CH42" i="14"/>
  <c r="BS42" i="14"/>
  <c r="BX42" i="14"/>
  <c r="BI42" i="14"/>
  <c r="AY42" i="14"/>
  <c r="Q42" i="14"/>
  <c r="AT42" i="14"/>
  <c r="BD42" i="14"/>
  <c r="CC42" i="14"/>
  <c r="R43" i="14"/>
  <c r="AJ42" i="14"/>
  <c r="CG42" i="14"/>
  <c r="BW41" i="14"/>
  <c r="BY41" i="14" s="1"/>
  <c r="BZ41" i="14" s="1"/>
  <c r="AP41" i="15"/>
  <c r="AQ41" i="15" s="1"/>
  <c r="BY41" i="15"/>
  <c r="BZ41" i="15" s="1"/>
  <c r="BT41" i="15"/>
  <c r="BU41" i="15" s="1"/>
  <c r="AH36" i="4"/>
  <c r="AI36" i="4" s="1"/>
  <c r="AD36" i="4"/>
  <c r="AE36" i="4" s="1"/>
  <c r="Z36" i="4"/>
  <c r="AA36" i="4" s="1"/>
  <c r="AF41" i="15"/>
  <c r="AG41" i="15" s="1"/>
  <c r="AU41" i="15"/>
  <c r="AV41" i="15" s="1"/>
  <c r="BD42" i="15"/>
  <c r="AN42" i="15"/>
  <c r="R43" i="15"/>
  <c r="BS42" i="15"/>
  <c r="AE42" i="15"/>
  <c r="BI42" i="15"/>
  <c r="AS42" i="15"/>
  <c r="CH42" i="15"/>
  <c r="BH42" i="15"/>
  <c r="AT42" i="15"/>
  <c r="BR42" i="15"/>
  <c r="AD42" i="15"/>
  <c r="BN42" i="15"/>
  <c r="AO42" i="15"/>
  <c r="Q42" i="15"/>
  <c r="BX42" i="15"/>
  <c r="BW42" i="15"/>
  <c r="AJ42" i="15"/>
  <c r="AY42" i="15"/>
  <c r="CC42" i="15"/>
  <c r="CR41" i="15"/>
  <c r="AC42" i="10"/>
  <c r="AD42" i="10" s="1"/>
  <c r="AS42" i="10"/>
  <c r="AT42" i="10" s="1"/>
  <c r="Q42" i="10"/>
  <c r="R42" i="10" s="1"/>
  <c r="AG42" i="10"/>
  <c r="AH42" i="10" s="1"/>
  <c r="AW42" i="10"/>
  <c r="AX42" i="10" s="1"/>
  <c r="N44" i="10"/>
  <c r="BD43" i="10"/>
  <c r="AZ43" i="10"/>
  <c r="AV43" i="10"/>
  <c r="AR43" i="10"/>
  <c r="AN43" i="10"/>
  <c r="AJ43" i="10"/>
  <c r="AF43" i="10"/>
  <c r="AB43" i="10"/>
  <c r="X43" i="10"/>
  <c r="T43" i="10"/>
  <c r="P43" i="10"/>
  <c r="BC43" i="10"/>
  <c r="AU43" i="10"/>
  <c r="AM43" i="10"/>
  <c r="AO43" i="10" s="1"/>
  <c r="AP43" i="10" s="1"/>
  <c r="AE43" i="10"/>
  <c r="AG43" i="10" s="1"/>
  <c r="AH43" i="10" s="1"/>
  <c r="W43" i="10"/>
  <c r="O43" i="10"/>
  <c r="AY43" i="10"/>
  <c r="BA43" i="10" s="1"/>
  <c r="BB43" i="10" s="1"/>
  <c r="AI43" i="10"/>
  <c r="S43" i="10"/>
  <c r="AQ43" i="10"/>
  <c r="AA43" i="10"/>
  <c r="U42" i="10"/>
  <c r="V42" i="10" s="1"/>
  <c r="AK42" i="10"/>
  <c r="AL42" i="10" s="1"/>
  <c r="BA42" i="10"/>
  <c r="BB42" i="10" s="1"/>
  <c r="BJ36" i="4"/>
  <c r="BK36" i="4" s="1"/>
  <c r="BM36" i="4"/>
  <c r="R36" i="4"/>
  <c r="S36" i="4" s="1"/>
  <c r="BN36" i="4"/>
  <c r="BF37" i="3"/>
  <c r="BG37" i="3" s="1"/>
  <c r="AP36" i="4"/>
  <c r="AQ36" i="4" s="1"/>
  <c r="BD38" i="3"/>
  <c r="AV38" i="3"/>
  <c r="AN38" i="3"/>
  <c r="AF38" i="3"/>
  <c r="X38" i="3"/>
  <c r="P38" i="3"/>
  <c r="BI38" i="3"/>
  <c r="BA38" i="3"/>
  <c r="AS38" i="3"/>
  <c r="AK38" i="3"/>
  <c r="AC38" i="3"/>
  <c r="U38" i="3"/>
  <c r="AR38" i="3"/>
  <c r="AG38" i="3"/>
  <c r="BE38" i="3"/>
  <c r="AB38" i="3"/>
  <c r="Q38" i="3"/>
  <c r="AZ38" i="3"/>
  <c r="AO38" i="3"/>
  <c r="O39" i="3"/>
  <c r="BH38" i="3"/>
  <c r="AW38" i="3"/>
  <c r="Y38" i="3"/>
  <c r="AJ38" i="3"/>
  <c r="T38" i="3"/>
  <c r="AH37" i="3"/>
  <c r="AI37" i="3" s="1"/>
  <c r="BB37" i="3"/>
  <c r="BC37" i="3" s="1"/>
  <c r="AT36" i="4"/>
  <c r="AU36" i="4" s="1"/>
  <c r="AX36" i="4"/>
  <c r="AY36" i="4" s="1"/>
  <c r="AD37" i="3"/>
  <c r="AE37" i="3" s="1"/>
  <c r="BE37" i="4"/>
  <c r="AW37" i="4"/>
  <c r="AO37" i="4"/>
  <c r="AG37" i="4"/>
  <c r="Y37" i="4"/>
  <c r="Q37" i="4"/>
  <c r="BD37" i="4"/>
  <c r="AV37" i="4"/>
  <c r="AN37" i="4"/>
  <c r="AF37" i="4"/>
  <c r="X37" i="4"/>
  <c r="P37" i="4"/>
  <c r="O38" i="4"/>
  <c r="N38" i="4" s="1"/>
  <c r="BI37" i="4"/>
  <c r="BA37" i="4"/>
  <c r="AS37" i="4"/>
  <c r="AK37" i="4"/>
  <c r="AC37" i="4"/>
  <c r="U37" i="4"/>
  <c r="BH37" i="4"/>
  <c r="AJ37" i="4"/>
  <c r="AB37" i="4"/>
  <c r="AR37" i="4"/>
  <c r="T37" i="4"/>
  <c r="AZ37" i="4"/>
  <c r="BF36" i="4"/>
  <c r="BG36" i="4" s="1"/>
  <c r="BB36" i="4"/>
  <c r="BC36" i="4" s="1"/>
  <c r="CF40" i="15" l="1"/>
  <c r="CG39" i="15"/>
  <c r="CI39" i="15" s="1"/>
  <c r="CJ39" i="15" s="1"/>
  <c r="CQ38" i="15"/>
  <c r="CS38" i="15" s="1"/>
  <c r="BO38" i="15"/>
  <c r="BP38" i="15" s="1"/>
  <c r="BL40" i="15"/>
  <c r="BM39" i="15"/>
  <c r="BL43" i="14"/>
  <c r="AW42" i="15"/>
  <c r="AX41" i="15"/>
  <c r="AZ41" i="15" s="1"/>
  <c r="BA41" i="15" s="1"/>
  <c r="AH42" i="15"/>
  <c r="AI41" i="15"/>
  <c r="AK41" i="15" s="1"/>
  <c r="AL41" i="15" s="1"/>
  <c r="BB41" i="15"/>
  <c r="BC40" i="15"/>
  <c r="BE40" i="15" s="1"/>
  <c r="BF40" i="15" s="1"/>
  <c r="CA41" i="15"/>
  <c r="CB40" i="15"/>
  <c r="CD40" i="15" s="1"/>
  <c r="CE40" i="15" s="1"/>
  <c r="BJ38" i="3"/>
  <c r="BK38" i="3" s="1"/>
  <c r="Y43" i="10"/>
  <c r="Z43" i="10" s="1"/>
  <c r="BE43" i="10"/>
  <c r="BF43" i="10" s="1"/>
  <c r="V38" i="3"/>
  <c r="W38" i="3" s="1"/>
  <c r="BB38" i="3"/>
  <c r="BC38" i="3" s="1"/>
  <c r="AK43" i="11"/>
  <c r="AL43" i="11" s="1"/>
  <c r="AD38" i="3"/>
  <c r="AE38" i="3" s="1"/>
  <c r="BA43" i="11"/>
  <c r="BB43" i="11" s="1"/>
  <c r="AC43" i="10"/>
  <c r="AD43" i="10" s="1"/>
  <c r="BJ37" i="4"/>
  <c r="BK37" i="4" s="1"/>
  <c r="AS43" i="10"/>
  <c r="AT43" i="10" s="1"/>
  <c r="Q43" i="10"/>
  <c r="R43" i="10" s="1"/>
  <c r="Y43" i="11"/>
  <c r="Z43" i="11" s="1"/>
  <c r="U43" i="11"/>
  <c r="V43" i="11" s="1"/>
  <c r="BE43" i="11"/>
  <c r="BF43" i="11" s="1"/>
  <c r="BI43" i="11"/>
  <c r="AX38" i="3"/>
  <c r="AY38" i="3" s="1"/>
  <c r="BD44" i="11"/>
  <c r="AN44" i="11"/>
  <c r="X44" i="11"/>
  <c r="AY44" i="11"/>
  <c r="AI44" i="11"/>
  <c r="S44" i="11"/>
  <c r="AZ44" i="11"/>
  <c r="AJ44" i="11"/>
  <c r="T44" i="11"/>
  <c r="AU44" i="11"/>
  <c r="AE44" i="11"/>
  <c r="O44" i="11"/>
  <c r="AV44" i="11"/>
  <c r="AF44" i="11"/>
  <c r="P44" i="11"/>
  <c r="AQ44" i="11"/>
  <c r="AA44" i="11"/>
  <c r="N45" i="11"/>
  <c r="M45" i="11" s="1"/>
  <c r="AR44" i="11"/>
  <c r="AB44" i="11"/>
  <c r="BC44" i="11"/>
  <c r="AM44" i="11"/>
  <c r="W44" i="11"/>
  <c r="AW43" i="11"/>
  <c r="AX43" i="11" s="1"/>
  <c r="Z38" i="3"/>
  <c r="AA38" i="3" s="1"/>
  <c r="BF38" i="3"/>
  <c r="BG38" i="3" s="1"/>
  <c r="AC43" i="11"/>
  <c r="AD43" i="11" s="1"/>
  <c r="AS43" i="11"/>
  <c r="AT43" i="11" s="1"/>
  <c r="BH43" i="11"/>
  <c r="Q43" i="11"/>
  <c r="R43" i="11" s="1"/>
  <c r="AO43" i="11"/>
  <c r="AP43" i="11" s="1"/>
  <c r="AG43" i="11"/>
  <c r="AH43" i="11" s="1"/>
  <c r="BJ42" i="11"/>
  <c r="BY42" i="15"/>
  <c r="BZ42" i="15" s="1"/>
  <c r="BT42" i="14"/>
  <c r="BU42" i="14" s="1"/>
  <c r="CI42" i="14"/>
  <c r="CJ42" i="14" s="1"/>
  <c r="BO42" i="14"/>
  <c r="BP42" i="14" s="1"/>
  <c r="AU42" i="14"/>
  <c r="AV42" i="14" s="1"/>
  <c r="BB43" i="14"/>
  <c r="BC43" i="14" s="1"/>
  <c r="CD42" i="14"/>
  <c r="CE42" i="14" s="1"/>
  <c r="BY42" i="14"/>
  <c r="BZ42" i="14" s="1"/>
  <c r="AK42" i="14"/>
  <c r="AL42" i="14" s="1"/>
  <c r="BC42" i="14"/>
  <c r="BE42" i="14" s="1"/>
  <c r="BF42" i="14" s="1"/>
  <c r="BV43" i="14"/>
  <c r="BW43" i="14" s="1"/>
  <c r="BG43" i="14"/>
  <c r="BH43" i="14" s="1"/>
  <c r="AF41" i="14"/>
  <c r="AG41" i="14" s="1"/>
  <c r="AH43" i="14"/>
  <c r="AI43" i="14" s="1"/>
  <c r="AM43" i="14"/>
  <c r="AN43" i="14" s="1"/>
  <c r="BQ43" i="14"/>
  <c r="BR43" i="14" s="1"/>
  <c r="BD43" i="14"/>
  <c r="BN43" i="14"/>
  <c r="AT43" i="14"/>
  <c r="Q43" i="14"/>
  <c r="BI43" i="14"/>
  <c r="AY43" i="14"/>
  <c r="AJ43" i="14"/>
  <c r="BX43" i="14"/>
  <c r="R44" i="14"/>
  <c r="AE43" i="14"/>
  <c r="BM43" i="14"/>
  <c r="CC43" i="14"/>
  <c r="CH43" i="14"/>
  <c r="AO43" i="14"/>
  <c r="BS43" i="14"/>
  <c r="AF42" i="14"/>
  <c r="AG42" i="14" s="1"/>
  <c r="AR43" i="14"/>
  <c r="AS43" i="14" s="1"/>
  <c r="CF43" i="14"/>
  <c r="CG43" i="14" s="1"/>
  <c r="BJ42" i="14"/>
  <c r="BK42" i="14" s="1"/>
  <c r="AN42" i="14"/>
  <c r="AP42" i="14" s="1"/>
  <c r="AQ42" i="14" s="1"/>
  <c r="AZ42" i="14"/>
  <c r="BA42" i="14" s="1"/>
  <c r="AW43" i="14"/>
  <c r="AX43" i="14" s="1"/>
  <c r="CA43" i="14"/>
  <c r="CB43" i="14" s="1"/>
  <c r="AC43" i="14"/>
  <c r="AD43" i="14" s="1"/>
  <c r="AU42" i="15"/>
  <c r="AV42" i="15" s="1"/>
  <c r="BJ42" i="15"/>
  <c r="BK42" i="15" s="1"/>
  <c r="AX37" i="4"/>
  <c r="AY37" i="4" s="1"/>
  <c r="BF37" i="4"/>
  <c r="BG37" i="4" s="1"/>
  <c r="AL37" i="4"/>
  <c r="AM37" i="4" s="1"/>
  <c r="Z37" i="4"/>
  <c r="AA37" i="4" s="1"/>
  <c r="BI43" i="15"/>
  <c r="AS43" i="15"/>
  <c r="BX43" i="15"/>
  <c r="BH43" i="15"/>
  <c r="AJ43" i="15"/>
  <c r="BN43" i="15"/>
  <c r="BS43" i="15"/>
  <c r="AT43" i="15"/>
  <c r="R44" i="15"/>
  <c r="CC43" i="15"/>
  <c r="BR43" i="15"/>
  <c r="BD43" i="15"/>
  <c r="AE43" i="15"/>
  <c r="AO43" i="15"/>
  <c r="AD43" i="15"/>
  <c r="AN43" i="15"/>
  <c r="Q43" i="15"/>
  <c r="BW43" i="15"/>
  <c r="AY43" i="15"/>
  <c r="CH43" i="15"/>
  <c r="AP42" i="15"/>
  <c r="AQ42" i="15" s="1"/>
  <c r="AF42" i="15"/>
  <c r="AG42" i="15" s="1"/>
  <c r="BT42" i="15"/>
  <c r="BU42" i="15" s="1"/>
  <c r="CR42" i="15"/>
  <c r="AW43" i="10"/>
  <c r="AX43" i="10" s="1"/>
  <c r="U43" i="10"/>
  <c r="V43" i="10" s="1"/>
  <c r="BC44" i="10"/>
  <c r="AY44" i="10"/>
  <c r="AU44" i="10"/>
  <c r="AQ44" i="10"/>
  <c r="AM44" i="10"/>
  <c r="AI44" i="10"/>
  <c r="AE44" i="10"/>
  <c r="AA44" i="10"/>
  <c r="W44" i="10"/>
  <c r="S44" i="10"/>
  <c r="O44" i="10"/>
  <c r="N45" i="10"/>
  <c r="AZ44" i="10"/>
  <c r="AR44" i="10"/>
  <c r="AJ44" i="10"/>
  <c r="AB44" i="10"/>
  <c r="T44" i="10"/>
  <c r="BD44" i="10"/>
  <c r="AV44" i="10"/>
  <c r="AN44" i="10"/>
  <c r="AF44" i="10"/>
  <c r="X44" i="10"/>
  <c r="P44" i="10"/>
  <c r="AK43" i="10"/>
  <c r="AL43" i="10" s="1"/>
  <c r="R37" i="4"/>
  <c r="S37" i="4" s="1"/>
  <c r="BM37" i="4"/>
  <c r="AH37" i="4"/>
  <c r="AI37" i="4" s="1"/>
  <c r="AL38" i="3"/>
  <c r="AM38" i="3" s="1"/>
  <c r="BB37" i="4"/>
  <c r="BC37" i="4" s="1"/>
  <c r="AP37" i="4"/>
  <c r="AQ37" i="4" s="1"/>
  <c r="R38" i="3"/>
  <c r="S38" i="3" s="1"/>
  <c r="AT37" i="4"/>
  <c r="AU37" i="4" s="1"/>
  <c r="AD37" i="4"/>
  <c r="AE37" i="4" s="1"/>
  <c r="BN37" i="4"/>
  <c r="BI39" i="3"/>
  <c r="BA39" i="3"/>
  <c r="AS39" i="3"/>
  <c r="AK39" i="3"/>
  <c r="AC39" i="3"/>
  <c r="U39" i="3"/>
  <c r="AG39" i="3"/>
  <c r="T39" i="3"/>
  <c r="BE39" i="3"/>
  <c r="AR39" i="3"/>
  <c r="AF39" i="3"/>
  <c r="BD39" i="3"/>
  <c r="Q39" i="3"/>
  <c r="AO39" i="3"/>
  <c r="AB39" i="3"/>
  <c r="P39" i="3"/>
  <c r="O40" i="3"/>
  <c r="AZ39" i="3"/>
  <c r="BB39" i="3" s="1"/>
  <c r="BC39" i="3" s="1"/>
  <c r="AN39" i="3"/>
  <c r="AW39" i="3"/>
  <c r="AJ39" i="3"/>
  <c r="X39" i="3"/>
  <c r="Y39" i="3"/>
  <c r="BH39" i="3"/>
  <c r="AV39" i="3"/>
  <c r="AH38" i="3"/>
  <c r="AI38" i="3" s="1"/>
  <c r="BO36" i="4"/>
  <c r="V37" i="4"/>
  <c r="W37" i="4" s="1"/>
  <c r="AT38" i="3"/>
  <c r="AU38" i="3" s="1"/>
  <c r="BH38" i="4"/>
  <c r="AZ38" i="4"/>
  <c r="AR38" i="4"/>
  <c r="AJ38" i="4"/>
  <c r="AB38" i="4"/>
  <c r="T38" i="4"/>
  <c r="BE38" i="4"/>
  <c r="AW38" i="4"/>
  <c r="AO38" i="4"/>
  <c r="AG38" i="4"/>
  <c r="Y38" i="4"/>
  <c r="Q38" i="4"/>
  <c r="BD38" i="4"/>
  <c r="AV38" i="4"/>
  <c r="AN38" i="4"/>
  <c r="AF38" i="4"/>
  <c r="X38" i="4"/>
  <c r="P38" i="4"/>
  <c r="AS38" i="4"/>
  <c r="O39" i="4"/>
  <c r="N39" i="4" s="1"/>
  <c r="AK38" i="4"/>
  <c r="BI38" i="4"/>
  <c r="AC38" i="4"/>
  <c r="BA38" i="4"/>
  <c r="U38" i="4"/>
  <c r="AP38" i="3"/>
  <c r="AQ38" i="3" s="1"/>
  <c r="Y44" i="11" l="1"/>
  <c r="Z44" i="11" s="1"/>
  <c r="BE44" i="11"/>
  <c r="BF44" i="11" s="1"/>
  <c r="AO44" i="11"/>
  <c r="AP44" i="11" s="1"/>
  <c r="AW43" i="15"/>
  <c r="AX42" i="15"/>
  <c r="AZ42" i="15" s="1"/>
  <c r="BA42" i="15" s="1"/>
  <c r="CA42" i="15"/>
  <c r="CB41" i="15"/>
  <c r="CD41" i="15" s="1"/>
  <c r="CE41" i="15" s="1"/>
  <c r="BO39" i="15"/>
  <c r="BP39" i="15" s="1"/>
  <c r="CQ39" i="15"/>
  <c r="CS39" i="15" s="1"/>
  <c r="BL41" i="15"/>
  <c r="BM40" i="15"/>
  <c r="BB42" i="15"/>
  <c r="BC41" i="15"/>
  <c r="BE41" i="15" s="1"/>
  <c r="BF41" i="15" s="1"/>
  <c r="AH43" i="15"/>
  <c r="AI42" i="15"/>
  <c r="AK42" i="15" s="1"/>
  <c r="AL42" i="15" s="1"/>
  <c r="CF41" i="15"/>
  <c r="CG40" i="15"/>
  <c r="CI40" i="15" s="1"/>
  <c r="CJ40" i="15" s="1"/>
  <c r="AH39" i="3"/>
  <c r="AI39" i="3" s="1"/>
  <c r="AL39" i="3"/>
  <c r="AM39" i="3" s="1"/>
  <c r="BE43" i="14"/>
  <c r="BF43" i="14" s="1"/>
  <c r="Z39" i="3"/>
  <c r="AA39" i="3" s="1"/>
  <c r="AT39" i="3"/>
  <c r="AU39" i="3" s="1"/>
  <c r="AU43" i="14"/>
  <c r="AV43" i="14" s="1"/>
  <c r="BJ39" i="3"/>
  <c r="BK39" i="3" s="1"/>
  <c r="BF39" i="3"/>
  <c r="BG39" i="3" s="1"/>
  <c r="AW44" i="11"/>
  <c r="AX44" i="11" s="1"/>
  <c r="BJ43" i="11"/>
  <c r="AS44" i="11"/>
  <c r="AT44" i="11" s="1"/>
  <c r="BA44" i="11"/>
  <c r="BB44" i="11" s="1"/>
  <c r="BD45" i="11"/>
  <c r="AN45" i="11"/>
  <c r="X45" i="11"/>
  <c r="AY45" i="11"/>
  <c r="AI45" i="11"/>
  <c r="S45" i="11"/>
  <c r="AZ45" i="11"/>
  <c r="AJ45" i="11"/>
  <c r="T45" i="11"/>
  <c r="AU45" i="11"/>
  <c r="AE45" i="11"/>
  <c r="O45" i="11"/>
  <c r="AV45" i="11"/>
  <c r="AF45" i="11"/>
  <c r="P45" i="11"/>
  <c r="AQ45" i="11"/>
  <c r="AA45" i="11"/>
  <c r="N46" i="11"/>
  <c r="M46" i="11" s="1"/>
  <c r="AR45" i="11"/>
  <c r="AB45" i="11"/>
  <c r="BC45" i="11"/>
  <c r="BE45" i="11" s="1"/>
  <c r="BF45" i="11" s="1"/>
  <c r="AM45" i="11"/>
  <c r="AO45" i="11" s="1"/>
  <c r="AP45" i="11" s="1"/>
  <c r="W45" i="11"/>
  <c r="U44" i="11"/>
  <c r="V44" i="11" s="1"/>
  <c r="AC44" i="11"/>
  <c r="AD44" i="11" s="1"/>
  <c r="AK44" i="11"/>
  <c r="AL44" i="11" s="1"/>
  <c r="BH44" i="11"/>
  <c r="Q44" i="11"/>
  <c r="R44" i="11" s="1"/>
  <c r="BI44" i="11"/>
  <c r="AG44" i="11"/>
  <c r="AH44" i="11" s="1"/>
  <c r="BJ43" i="14"/>
  <c r="BK43" i="14" s="1"/>
  <c r="CD43" i="14"/>
  <c r="CE43" i="14" s="1"/>
  <c r="CI43" i="14"/>
  <c r="CJ43" i="14" s="1"/>
  <c r="BT43" i="14"/>
  <c r="BU43" i="14" s="1"/>
  <c r="BY43" i="14"/>
  <c r="BZ43" i="14" s="1"/>
  <c r="BJ43" i="15"/>
  <c r="BK43" i="15" s="1"/>
  <c r="AP43" i="15"/>
  <c r="AQ43" i="15" s="1"/>
  <c r="AU43" i="15"/>
  <c r="AV43" i="15" s="1"/>
  <c r="AK43" i="14"/>
  <c r="AL43" i="14" s="1"/>
  <c r="AP43" i="14"/>
  <c r="AQ43" i="14" s="1"/>
  <c r="BO43" i="14"/>
  <c r="BP43" i="14" s="1"/>
  <c r="AF43" i="14"/>
  <c r="AG43" i="14" s="1"/>
  <c r="AE44" i="14"/>
  <c r="Q44" i="14"/>
  <c r="BR44" i="14"/>
  <c r="AT44" i="14"/>
  <c r="CH44" i="14"/>
  <c r="BX44" i="14"/>
  <c r="BC44" i="14"/>
  <c r="AJ44" i="14"/>
  <c r="AS44" i="14"/>
  <c r="BM44" i="14"/>
  <c r="CC44" i="14"/>
  <c r="BH44" i="14"/>
  <c r="BN44" i="14"/>
  <c r="AD44" i="14"/>
  <c r="CG44" i="14"/>
  <c r="BS44" i="14"/>
  <c r="AX44" i="14"/>
  <c r="BI44" i="14"/>
  <c r="BW44" i="14"/>
  <c r="AI44" i="14"/>
  <c r="AY44" i="14"/>
  <c r="BD44" i="14"/>
  <c r="R45" i="14"/>
  <c r="AO44" i="14"/>
  <c r="AN44" i="14"/>
  <c r="CB44" i="14"/>
  <c r="AZ43" i="14"/>
  <c r="BA43" i="14" s="1"/>
  <c r="BT43" i="15"/>
  <c r="BU43" i="15" s="1"/>
  <c r="AT38" i="4"/>
  <c r="AU38" i="4" s="1"/>
  <c r="BJ38" i="4"/>
  <c r="BK38" i="4" s="1"/>
  <c r="Z38" i="4"/>
  <c r="AA38" i="4" s="1"/>
  <c r="AH38" i="4"/>
  <c r="AI38" i="4" s="1"/>
  <c r="BF38" i="4"/>
  <c r="BG38" i="4" s="1"/>
  <c r="AF43" i="15"/>
  <c r="AG43" i="15" s="1"/>
  <c r="BN44" i="15"/>
  <c r="CC44" i="15"/>
  <c r="AO44" i="15"/>
  <c r="BD44" i="15"/>
  <c r="R45" i="15"/>
  <c r="BS44" i="15"/>
  <c r="AE44" i="15"/>
  <c r="BW44" i="15"/>
  <c r="CH44" i="15"/>
  <c r="BR44" i="15"/>
  <c r="BT44" i="15" s="1"/>
  <c r="BU44" i="15" s="1"/>
  <c r="AN44" i="15"/>
  <c r="AP44" i="15" s="1"/>
  <c r="AQ44" i="15" s="1"/>
  <c r="Q44" i="15"/>
  <c r="AT44" i="15"/>
  <c r="AS44" i="15"/>
  <c r="AU44" i="15" s="1"/>
  <c r="AV44" i="15" s="1"/>
  <c r="AJ44" i="15"/>
  <c r="BX44" i="15"/>
  <c r="BI44" i="15"/>
  <c r="BH44" i="15"/>
  <c r="AY44" i="15"/>
  <c r="AD44" i="15"/>
  <c r="BY43" i="15"/>
  <c r="BZ43" i="15" s="1"/>
  <c r="CR43" i="15"/>
  <c r="Q44" i="10"/>
  <c r="R44" i="10" s="1"/>
  <c r="AG44" i="10"/>
  <c r="AH44" i="10" s="1"/>
  <c r="AW44" i="10"/>
  <c r="AX44" i="10" s="1"/>
  <c r="U44" i="10"/>
  <c r="V44" i="10" s="1"/>
  <c r="AK44" i="10"/>
  <c r="AL44" i="10" s="1"/>
  <c r="BA44" i="10"/>
  <c r="BB44" i="10" s="1"/>
  <c r="Y44" i="10"/>
  <c r="Z44" i="10" s="1"/>
  <c r="AO44" i="10"/>
  <c r="AP44" i="10" s="1"/>
  <c r="BE44" i="10"/>
  <c r="BF44" i="10" s="1"/>
  <c r="N46" i="10"/>
  <c r="BD45" i="10"/>
  <c r="AZ45" i="10"/>
  <c r="AV45" i="10"/>
  <c r="AR45" i="10"/>
  <c r="AN45" i="10"/>
  <c r="AJ45" i="10"/>
  <c r="AF45" i="10"/>
  <c r="AB45" i="10"/>
  <c r="X45" i="10"/>
  <c r="T45" i="10"/>
  <c r="P45" i="10"/>
  <c r="P80" i="10" s="1"/>
  <c r="AY45" i="10"/>
  <c r="AQ45" i="10"/>
  <c r="AI45" i="10"/>
  <c r="AK45" i="10" s="1"/>
  <c r="AL45" i="10" s="1"/>
  <c r="AA45" i="10"/>
  <c r="S45" i="10"/>
  <c r="BC45" i="10"/>
  <c r="BE45" i="10" s="1"/>
  <c r="BF45" i="10" s="1"/>
  <c r="AU45" i="10"/>
  <c r="AE45" i="10"/>
  <c r="AG45" i="10" s="1"/>
  <c r="AH45" i="10" s="1"/>
  <c r="W45" i="10"/>
  <c r="AM45" i="10"/>
  <c r="AO45" i="10" s="1"/>
  <c r="AP45" i="10" s="1"/>
  <c r="O45" i="10"/>
  <c r="AC44" i="10"/>
  <c r="AD44" i="10" s="1"/>
  <c r="AS44" i="10"/>
  <c r="AT44" i="10" s="1"/>
  <c r="AP38" i="4"/>
  <c r="AQ38" i="4" s="1"/>
  <c r="V38" i="4"/>
  <c r="W38" i="4" s="1"/>
  <c r="AP39" i="3"/>
  <c r="AQ39" i="3" s="1"/>
  <c r="AD38" i="4"/>
  <c r="AE38" i="4" s="1"/>
  <c r="AX38" i="4"/>
  <c r="AY38" i="4" s="1"/>
  <c r="AL38" i="4"/>
  <c r="AM38" i="4" s="1"/>
  <c r="AX39" i="3"/>
  <c r="AY39" i="3" s="1"/>
  <c r="BH40" i="3"/>
  <c r="AZ40" i="3"/>
  <c r="AR40" i="3"/>
  <c r="AJ40" i="3"/>
  <c r="AB40" i="3"/>
  <c r="T40" i="3"/>
  <c r="O41" i="3"/>
  <c r="BE40" i="3"/>
  <c r="AW40" i="3"/>
  <c r="AO40" i="3"/>
  <c r="AG40" i="3"/>
  <c r="Y40" i="3"/>
  <c r="Q40" i="3"/>
  <c r="BI40" i="3"/>
  <c r="AF40" i="3"/>
  <c r="AH40" i="3" s="1"/>
  <c r="AI40" i="3" s="1"/>
  <c r="U40" i="3"/>
  <c r="BD40" i="3"/>
  <c r="BF40" i="3" s="1"/>
  <c r="BG40" i="3" s="1"/>
  <c r="AS40" i="3"/>
  <c r="P40" i="3"/>
  <c r="AN40" i="3"/>
  <c r="AC40" i="3"/>
  <c r="X40" i="3"/>
  <c r="AK40" i="3"/>
  <c r="BA40" i="3"/>
  <c r="AV40" i="3"/>
  <c r="AX40" i="3" s="1"/>
  <c r="AY40" i="3" s="1"/>
  <c r="R39" i="3"/>
  <c r="S39" i="3" s="1"/>
  <c r="V39" i="3"/>
  <c r="W39" i="3" s="1"/>
  <c r="BO37" i="4"/>
  <c r="O40" i="4"/>
  <c r="N40" i="4" s="1"/>
  <c r="BI39" i="4"/>
  <c r="BA39" i="4"/>
  <c r="AS39" i="4"/>
  <c r="AK39" i="4"/>
  <c r="AC39" i="4"/>
  <c r="U39" i="4"/>
  <c r="BH39" i="4"/>
  <c r="AZ39" i="4"/>
  <c r="AR39" i="4"/>
  <c r="AJ39" i="4"/>
  <c r="AB39" i="4"/>
  <c r="T39" i="4"/>
  <c r="BE39" i="4"/>
  <c r="AW39" i="4"/>
  <c r="AO39" i="4"/>
  <c r="AG39" i="4"/>
  <c r="Y39" i="4"/>
  <c r="Q39" i="4"/>
  <c r="AV39" i="4"/>
  <c r="P39" i="4"/>
  <c r="AF39" i="4"/>
  <c r="X39" i="4"/>
  <c r="BD39" i="4"/>
  <c r="AN39" i="4"/>
  <c r="BN38" i="4"/>
  <c r="R38" i="4"/>
  <c r="S38" i="4" s="1"/>
  <c r="BM38" i="4"/>
  <c r="BB38" i="4"/>
  <c r="BC38" i="4" s="1"/>
  <c r="AD39" i="3"/>
  <c r="AE39" i="3" s="1"/>
  <c r="Y45" i="11" l="1"/>
  <c r="Z45" i="11" s="1"/>
  <c r="BL42" i="15"/>
  <c r="BM41" i="15"/>
  <c r="BO40" i="15"/>
  <c r="BP40" i="15" s="1"/>
  <c r="CQ40" i="15"/>
  <c r="CS40" i="15" s="1"/>
  <c r="CF42" i="15"/>
  <c r="CG41" i="15"/>
  <c r="CI41" i="15" s="1"/>
  <c r="CJ41" i="15" s="1"/>
  <c r="AH44" i="15"/>
  <c r="AI43" i="15"/>
  <c r="AK43" i="15" s="1"/>
  <c r="AL43" i="15" s="1"/>
  <c r="CA43" i="15"/>
  <c r="CB42" i="15"/>
  <c r="CD42" i="15" s="1"/>
  <c r="CE42" i="15" s="1"/>
  <c r="BB43" i="15"/>
  <c r="BC42" i="15"/>
  <c r="BE42" i="15" s="1"/>
  <c r="BF42" i="15" s="1"/>
  <c r="AW44" i="15"/>
  <c r="AX43" i="15"/>
  <c r="AZ43" i="15" s="1"/>
  <c r="BA43" i="15" s="1"/>
  <c r="Y45" i="10"/>
  <c r="Z45" i="10" s="1"/>
  <c r="AC45" i="10"/>
  <c r="AD45" i="10" s="1"/>
  <c r="BJ40" i="3"/>
  <c r="BK40" i="3" s="1"/>
  <c r="U45" i="10"/>
  <c r="V45" i="10" s="1"/>
  <c r="BA45" i="10"/>
  <c r="BB45" i="10" s="1"/>
  <c r="BO38" i="4"/>
  <c r="AP40" i="3"/>
  <c r="AQ40" i="3" s="1"/>
  <c r="BA45" i="11"/>
  <c r="BB45" i="11" s="1"/>
  <c r="Z40" i="3"/>
  <c r="AA40" i="3" s="1"/>
  <c r="R40" i="3"/>
  <c r="S40" i="3" s="1"/>
  <c r="AW45" i="10"/>
  <c r="AX45" i="10" s="1"/>
  <c r="AW45" i="11"/>
  <c r="AX45" i="11" s="1"/>
  <c r="AV46" i="11"/>
  <c r="AF46" i="11"/>
  <c r="AY46" i="11"/>
  <c r="AA46" i="11"/>
  <c r="W46" i="11"/>
  <c r="N47" i="11"/>
  <c r="M47" i="11" s="1"/>
  <c r="AR46" i="11"/>
  <c r="AB46" i="11"/>
  <c r="AI46" i="11"/>
  <c r="AM46" i="11"/>
  <c r="AU46" i="11"/>
  <c r="BD46" i="11"/>
  <c r="AN46" i="11"/>
  <c r="X46" i="11"/>
  <c r="X79" i="11" s="1"/>
  <c r="S46" i="11"/>
  <c r="AE46" i="11"/>
  <c r="AZ46" i="11"/>
  <c r="AJ46" i="11"/>
  <c r="T46" i="11"/>
  <c r="AQ46" i="11"/>
  <c r="AS46" i="11" s="1"/>
  <c r="AT46" i="11" s="1"/>
  <c r="BC46" i="11"/>
  <c r="BI45" i="11"/>
  <c r="P79" i="11"/>
  <c r="AG45" i="11"/>
  <c r="AH45" i="11" s="1"/>
  <c r="AX39" i="4"/>
  <c r="AY39" i="4" s="1"/>
  <c r="U45" i="11"/>
  <c r="V45" i="11" s="1"/>
  <c r="AC45" i="11"/>
  <c r="AD45" i="11" s="1"/>
  <c r="AK45" i="11"/>
  <c r="AL45" i="11" s="1"/>
  <c r="AS45" i="10"/>
  <c r="AT45" i="10" s="1"/>
  <c r="BJ44" i="11"/>
  <c r="AS45" i="11"/>
  <c r="AT45" i="11" s="1"/>
  <c r="BH45" i="11"/>
  <c r="O79" i="11"/>
  <c r="Q45" i="11"/>
  <c r="R45" i="11" s="1"/>
  <c r="R79" i="11" s="1"/>
  <c r="B20" i="11" s="1"/>
  <c r="B21" i="11" s="1"/>
  <c r="BJ44" i="14"/>
  <c r="BK44" i="14" s="1"/>
  <c r="AK44" i="14"/>
  <c r="AL44" i="14" s="1"/>
  <c r="BT44" i="14"/>
  <c r="BU44" i="14" s="1"/>
  <c r="AP44" i="14"/>
  <c r="AQ44" i="14" s="1"/>
  <c r="BY44" i="14"/>
  <c r="BZ44" i="14" s="1"/>
  <c r="CD44" i="14"/>
  <c r="CE44" i="14" s="1"/>
  <c r="BO44" i="14"/>
  <c r="BP44" i="14" s="1"/>
  <c r="AU44" i="14"/>
  <c r="AV44" i="14" s="1"/>
  <c r="AZ44" i="14"/>
  <c r="BA44" i="14" s="1"/>
  <c r="AY45" i="14"/>
  <c r="BL45" i="14"/>
  <c r="R46" i="14"/>
  <c r="Q45" i="14"/>
  <c r="AI45" i="14"/>
  <c r="BX45" i="14"/>
  <c r="CC45" i="14"/>
  <c r="BN45" i="14"/>
  <c r="BD45" i="14"/>
  <c r="CA45" i="14"/>
  <c r="AR45" i="14"/>
  <c r="BS45" i="14"/>
  <c r="AW45" i="14"/>
  <c r="BQ45" i="14"/>
  <c r="CH45" i="14"/>
  <c r="AM45" i="14"/>
  <c r="AN45" i="14" s="1"/>
  <c r="BV45" i="14"/>
  <c r="BW45" i="14" s="1"/>
  <c r="AJ45" i="14"/>
  <c r="AJ82" i="14" s="1"/>
  <c r="BI45" i="14"/>
  <c r="BB45" i="14"/>
  <c r="AT45" i="14"/>
  <c r="BG45" i="14"/>
  <c r="AD45" i="14"/>
  <c r="AD82" i="14" s="1"/>
  <c r="AE45" i="14"/>
  <c r="AO45" i="14"/>
  <c r="CF45" i="14"/>
  <c r="CG45" i="14" s="1"/>
  <c r="CI44" i="14"/>
  <c r="CJ44" i="14" s="1"/>
  <c r="BE44" i="14"/>
  <c r="BF44" i="14" s="1"/>
  <c r="AF44" i="14"/>
  <c r="AG44" i="14" s="1"/>
  <c r="AD39" i="4"/>
  <c r="AE39" i="4" s="1"/>
  <c r="BF39" i="4"/>
  <c r="BG39" i="4" s="1"/>
  <c r="BJ39" i="4"/>
  <c r="BK39" i="4" s="1"/>
  <c r="Z39" i="4"/>
  <c r="AA39" i="4" s="1"/>
  <c r="V39" i="4"/>
  <c r="W39" i="4" s="1"/>
  <c r="AP39" i="4"/>
  <c r="AQ39" i="4" s="1"/>
  <c r="BJ44" i="15"/>
  <c r="BK44" i="15" s="1"/>
  <c r="R46" i="15"/>
  <c r="BS45" i="15"/>
  <c r="AE45" i="15"/>
  <c r="CH45" i="15"/>
  <c r="BR45" i="15"/>
  <c r="AT45" i="15"/>
  <c r="AD45" i="15"/>
  <c r="BI45" i="15"/>
  <c r="AS45" i="15"/>
  <c r="BX45" i="15"/>
  <c r="BH45" i="15"/>
  <c r="AJ45" i="15"/>
  <c r="AJ82" i="15" s="1"/>
  <c r="BD45" i="15"/>
  <c r="AN45" i="15"/>
  <c r="AY45" i="15"/>
  <c r="BN45" i="15"/>
  <c r="CC45" i="15"/>
  <c r="BW45" i="15"/>
  <c r="Q45" i="15"/>
  <c r="AO45" i="15"/>
  <c r="BY44" i="15"/>
  <c r="BZ44" i="15" s="1"/>
  <c r="CR44" i="15"/>
  <c r="AF44" i="15"/>
  <c r="AG44" i="15" s="1"/>
  <c r="Q45" i="10"/>
  <c r="R45" i="10" s="1"/>
  <c r="R80" i="10" s="1"/>
  <c r="B20" i="10" s="1"/>
  <c r="O80" i="10"/>
  <c r="N47" i="10"/>
  <c r="BD46" i="10"/>
  <c r="AZ46" i="10"/>
  <c r="AV46" i="10"/>
  <c r="AR46" i="10"/>
  <c r="AQ46" i="10"/>
  <c r="AM46" i="10"/>
  <c r="AI46" i="10"/>
  <c r="AE46" i="10"/>
  <c r="AA46" i="10"/>
  <c r="W46" i="10"/>
  <c r="S46" i="10"/>
  <c r="AU46" i="10"/>
  <c r="BC46" i="10"/>
  <c r="BE46" i="10" s="1"/>
  <c r="BF46" i="10" s="1"/>
  <c r="AJ46" i="10"/>
  <c r="AB46" i="10"/>
  <c r="T46" i="10"/>
  <c r="T80" i="10" s="1"/>
  <c r="AY46" i="10"/>
  <c r="AN46" i="10"/>
  <c r="AF46" i="10"/>
  <c r="X46" i="10"/>
  <c r="X80" i="10" s="1"/>
  <c r="R39" i="4"/>
  <c r="S39" i="4" s="1"/>
  <c r="BM39" i="4"/>
  <c r="O42" i="3"/>
  <c r="BE41" i="3"/>
  <c r="AW41" i="3"/>
  <c r="AO41" i="3"/>
  <c r="AG41" i="3"/>
  <c r="Y41" i="3"/>
  <c r="Q41" i="3"/>
  <c r="BI41" i="3"/>
  <c r="AV41" i="3"/>
  <c r="AJ41" i="3"/>
  <c r="BH41" i="3"/>
  <c r="U41" i="3"/>
  <c r="AS41" i="3"/>
  <c r="AF41" i="3"/>
  <c r="T41" i="3"/>
  <c r="BD41" i="3"/>
  <c r="AR41" i="3"/>
  <c r="AC41" i="3"/>
  <c r="P41" i="3"/>
  <c r="AZ41" i="3"/>
  <c r="AB41" i="3"/>
  <c r="X41" i="3"/>
  <c r="Z41" i="3" s="1"/>
  <c r="AA41" i="3" s="1"/>
  <c r="AN41" i="3"/>
  <c r="AK41" i="3"/>
  <c r="BA41" i="3"/>
  <c r="AT39" i="4"/>
  <c r="AU39" i="4" s="1"/>
  <c r="V40" i="3"/>
  <c r="W40" i="3" s="1"/>
  <c r="BB39" i="4"/>
  <c r="BC39" i="4" s="1"/>
  <c r="BI40" i="4"/>
  <c r="AZ40" i="4"/>
  <c r="AG40" i="4"/>
  <c r="X40" i="4"/>
  <c r="P40" i="4"/>
  <c r="O41" i="4"/>
  <c r="N41" i="4" s="1"/>
  <c r="BH40" i="4"/>
  <c r="AO40" i="4"/>
  <c r="AF40" i="4"/>
  <c r="AW40" i="4"/>
  <c r="AN40" i="4"/>
  <c r="BE40" i="4"/>
  <c r="AV40" i="4"/>
  <c r="U40" i="4"/>
  <c r="BD40" i="4"/>
  <c r="AC40" i="4"/>
  <c r="T40" i="4"/>
  <c r="AK40" i="4"/>
  <c r="AB40" i="4"/>
  <c r="Y40" i="4"/>
  <c r="BA40" i="4"/>
  <c r="Q40" i="4"/>
  <c r="AS40" i="4"/>
  <c r="AR40" i="4"/>
  <c r="AJ40" i="4"/>
  <c r="AD40" i="3"/>
  <c r="AE40" i="3" s="1"/>
  <c r="AL39" i="4"/>
  <c r="AM39" i="4" s="1"/>
  <c r="AL40" i="3"/>
  <c r="AM40" i="3" s="1"/>
  <c r="BN39" i="4"/>
  <c r="AT40" i="3"/>
  <c r="AU40" i="3" s="1"/>
  <c r="AH39" i="4"/>
  <c r="AI39" i="4" s="1"/>
  <c r="BB40" i="3"/>
  <c r="BC40" i="3" s="1"/>
  <c r="BE46" i="11" l="1"/>
  <c r="BF46" i="11" s="1"/>
  <c r="AH45" i="15"/>
  <c r="AI45" i="15" s="1"/>
  <c r="AI44" i="15"/>
  <c r="AK44" i="15" s="1"/>
  <c r="AL44" i="15" s="1"/>
  <c r="AW45" i="15"/>
  <c r="AX44" i="15"/>
  <c r="AZ44" i="15" s="1"/>
  <c r="BA44" i="15" s="1"/>
  <c r="CF43" i="15"/>
  <c r="CG42" i="15"/>
  <c r="CI42" i="15" s="1"/>
  <c r="CJ42" i="15" s="1"/>
  <c r="BB44" i="15"/>
  <c r="BC43" i="15"/>
  <c r="BE43" i="15" s="1"/>
  <c r="BF43" i="15" s="1"/>
  <c r="BO41" i="15"/>
  <c r="BP41" i="15" s="1"/>
  <c r="CQ41" i="15"/>
  <c r="CS41" i="15" s="1"/>
  <c r="CA44" i="15"/>
  <c r="CB43" i="15"/>
  <c r="CD43" i="15" s="1"/>
  <c r="CE43" i="15" s="1"/>
  <c r="BL43" i="15"/>
  <c r="BM42" i="15"/>
  <c r="R41" i="3"/>
  <c r="S41" i="3" s="1"/>
  <c r="BA46" i="10"/>
  <c r="BB46" i="10" s="1"/>
  <c r="AW46" i="11"/>
  <c r="AX46" i="11" s="1"/>
  <c r="AW46" i="10"/>
  <c r="AX46" i="10" s="1"/>
  <c r="BF41" i="3"/>
  <c r="BG41" i="3" s="1"/>
  <c r="AD41" i="3"/>
  <c r="AE41" i="3" s="1"/>
  <c r="AX41" i="3"/>
  <c r="AY41" i="3" s="1"/>
  <c r="BJ45" i="11"/>
  <c r="AG46" i="11"/>
  <c r="AH46" i="11" s="1"/>
  <c r="AH41" i="3"/>
  <c r="AI41" i="3" s="1"/>
  <c r="S79" i="11"/>
  <c r="U46" i="11"/>
  <c r="V46" i="11" s="1"/>
  <c r="V79" i="11" s="1"/>
  <c r="C20" i="11" s="1"/>
  <c r="C21" i="11" s="1"/>
  <c r="BH46" i="11"/>
  <c r="BA46" i="11"/>
  <c r="BB46" i="11" s="1"/>
  <c r="AC46" i="10"/>
  <c r="AD46" i="10" s="1"/>
  <c r="AS46" i="10"/>
  <c r="AT46" i="10" s="1"/>
  <c r="AO46" i="11"/>
  <c r="AP46" i="11" s="1"/>
  <c r="BC47" i="11"/>
  <c r="AM47" i="11"/>
  <c r="N48" i="11"/>
  <c r="M48" i="11" s="1"/>
  <c r="AJ47" i="11"/>
  <c r="AN47" i="11"/>
  <c r="AY47" i="11"/>
  <c r="AI47" i="11"/>
  <c r="AR47" i="11"/>
  <c r="AF47" i="11"/>
  <c r="AU47" i="11"/>
  <c r="AE47" i="11"/>
  <c r="AB47" i="11"/>
  <c r="BD47" i="11"/>
  <c r="AQ47" i="11"/>
  <c r="AA47" i="11"/>
  <c r="AZ47" i="11"/>
  <c r="AV47" i="11"/>
  <c r="BB41" i="3"/>
  <c r="BC41" i="3" s="1"/>
  <c r="AK46" i="11"/>
  <c r="AL46" i="11" s="1"/>
  <c r="Y46" i="11"/>
  <c r="Z46" i="11" s="1"/>
  <c r="Z79" i="11" s="1"/>
  <c r="D20" i="11" s="1"/>
  <c r="D21" i="11" s="1"/>
  <c r="W79" i="11"/>
  <c r="BI46" i="11"/>
  <c r="T79" i="11"/>
  <c r="AC46" i="11"/>
  <c r="AD46" i="11" s="1"/>
  <c r="AW46" i="14"/>
  <c r="AX46" i="14" s="1"/>
  <c r="CI45" i="14"/>
  <c r="CJ45" i="14" s="1"/>
  <c r="AK45" i="14"/>
  <c r="AL45" i="14" s="1"/>
  <c r="AL82" i="14" s="1"/>
  <c r="E20" i="14" s="1"/>
  <c r="M21" i="18" s="1"/>
  <c r="AP45" i="14"/>
  <c r="AQ45" i="14" s="1"/>
  <c r="BJ45" i="15"/>
  <c r="BK45" i="15" s="1"/>
  <c r="AU45" i="15"/>
  <c r="AV45" i="15" s="1"/>
  <c r="BG46" i="14"/>
  <c r="BH46" i="14" s="1"/>
  <c r="BQ46" i="14"/>
  <c r="BR46" i="14" s="1"/>
  <c r="AX45" i="14"/>
  <c r="AZ45" i="14" s="1"/>
  <c r="BA45" i="14" s="1"/>
  <c r="AI82" i="14"/>
  <c r="AR46" i="14"/>
  <c r="AS46" i="14" s="1"/>
  <c r="CF46" i="14"/>
  <c r="CG46" i="14" s="1"/>
  <c r="CB45" i="14"/>
  <c r="CD45" i="14" s="1"/>
  <c r="CE45" i="14" s="1"/>
  <c r="CA46" i="14"/>
  <c r="BM45" i="14"/>
  <c r="BO45" i="14" s="1"/>
  <c r="BP45" i="14" s="1"/>
  <c r="BL46" i="14"/>
  <c r="BM46" i="14" s="1"/>
  <c r="AY46" i="14"/>
  <c r="BN46" i="14"/>
  <c r="R47" i="14"/>
  <c r="BS46" i="14"/>
  <c r="CC46" i="14"/>
  <c r="BX46" i="14"/>
  <c r="CH46" i="14"/>
  <c r="BD46" i="14"/>
  <c r="Q46" i="14"/>
  <c r="BI46" i="14"/>
  <c r="AO46" i="14"/>
  <c r="AT46" i="14"/>
  <c r="AS45" i="14"/>
  <c r="AU45" i="14" s="1"/>
  <c r="AV45" i="14" s="1"/>
  <c r="BV46" i="14"/>
  <c r="AM46" i="14"/>
  <c r="BH45" i="14"/>
  <c r="BJ45" i="14" s="1"/>
  <c r="BK45" i="14" s="1"/>
  <c r="BY45" i="14"/>
  <c r="BZ45" i="14" s="1"/>
  <c r="AF45" i="14"/>
  <c r="AG45" i="14" s="1"/>
  <c r="AG82" i="14" s="1"/>
  <c r="D20" i="14" s="1"/>
  <c r="M5" i="18" s="1"/>
  <c r="AE82" i="14"/>
  <c r="BR45" i="14"/>
  <c r="BT45" i="14" s="1"/>
  <c r="BU45" i="14" s="1"/>
  <c r="BC45" i="14"/>
  <c r="BE45" i="14" s="1"/>
  <c r="BF45" i="14" s="1"/>
  <c r="BB46" i="14"/>
  <c r="BT45" i="15"/>
  <c r="BU45" i="15" s="1"/>
  <c r="BB40" i="4"/>
  <c r="BC40" i="4" s="1"/>
  <c r="V40" i="4"/>
  <c r="W40" i="4" s="1"/>
  <c r="AH40" i="4"/>
  <c r="AI40" i="4" s="1"/>
  <c r="AT40" i="4"/>
  <c r="AU40" i="4" s="1"/>
  <c r="CR45" i="15"/>
  <c r="AE82" i="15"/>
  <c r="AK45" i="15"/>
  <c r="AL45" i="15" s="1"/>
  <c r="AI82" i="15"/>
  <c r="CH46" i="15"/>
  <c r="BR46" i="15"/>
  <c r="AT46" i="15"/>
  <c r="BI46" i="15"/>
  <c r="AS46" i="15"/>
  <c r="Q46" i="15"/>
  <c r="BX46" i="15"/>
  <c r="BH46" i="15"/>
  <c r="BW46" i="15"/>
  <c r="AY46" i="15"/>
  <c r="R47" i="15"/>
  <c r="AO46" i="15"/>
  <c r="BD46" i="15"/>
  <c r="AN46" i="15"/>
  <c r="BN46" i="15"/>
  <c r="CC46" i="15"/>
  <c r="BS46" i="15"/>
  <c r="AP45" i="15"/>
  <c r="AQ45" i="15" s="1"/>
  <c r="AF45" i="15"/>
  <c r="AG45" i="15" s="1"/>
  <c r="AG82" i="15" s="1"/>
  <c r="D20" i="15" s="1"/>
  <c r="AD82" i="15"/>
  <c r="BY45" i="15"/>
  <c r="BZ45" i="15" s="1"/>
  <c r="AG46" i="10"/>
  <c r="AH46" i="10" s="1"/>
  <c r="AZ47" i="10"/>
  <c r="AU47" i="10"/>
  <c r="AJ47" i="10"/>
  <c r="AE47" i="10"/>
  <c r="BD47" i="10"/>
  <c r="AY47" i="10"/>
  <c r="AN47" i="10"/>
  <c r="AI47" i="10"/>
  <c r="AQ47" i="10"/>
  <c r="AF47" i="10"/>
  <c r="N48" i="10"/>
  <c r="AM47" i="10"/>
  <c r="AB47" i="10"/>
  <c r="BC47" i="10"/>
  <c r="AR47" i="10"/>
  <c r="AV47" i="10"/>
  <c r="AA47" i="10"/>
  <c r="U46" i="10"/>
  <c r="V46" i="10" s="1"/>
  <c r="V80" i="10" s="1"/>
  <c r="C20" i="10" s="1"/>
  <c r="S80" i="10"/>
  <c r="AK46" i="10"/>
  <c r="AL46" i="10" s="1"/>
  <c r="Y46" i="10"/>
  <c r="Z46" i="10" s="1"/>
  <c r="Z80" i="10" s="1"/>
  <c r="D20" i="10" s="1"/>
  <c r="W80" i="10"/>
  <c r="AO46" i="10"/>
  <c r="AP46" i="10" s="1"/>
  <c r="K25" i="13"/>
  <c r="K9" i="13"/>
  <c r="B21" i="10"/>
  <c r="BF40" i="4"/>
  <c r="BG40" i="4" s="1"/>
  <c r="BJ40" i="4"/>
  <c r="BK40" i="4" s="1"/>
  <c r="BJ41" i="3"/>
  <c r="BK41" i="3" s="1"/>
  <c r="BN40" i="4"/>
  <c r="O42" i="4"/>
  <c r="N42" i="4" s="1"/>
  <c r="BI41" i="4"/>
  <c r="BA41" i="4"/>
  <c r="AS41" i="4"/>
  <c r="AK41" i="4"/>
  <c r="AC41" i="4"/>
  <c r="U41" i="4"/>
  <c r="AZ41" i="4"/>
  <c r="Y41" i="4"/>
  <c r="P41" i="4"/>
  <c r="BH41" i="4"/>
  <c r="AG41" i="4"/>
  <c r="X41" i="4"/>
  <c r="Z41" i="4" s="1"/>
  <c r="AA41" i="4" s="1"/>
  <c r="AO41" i="4"/>
  <c r="AF41" i="4"/>
  <c r="AW41" i="4"/>
  <c r="AN41" i="4"/>
  <c r="BE41" i="4"/>
  <c r="AV41" i="4"/>
  <c r="T41" i="4"/>
  <c r="BD41" i="4"/>
  <c r="AB41" i="4"/>
  <c r="AD41" i="4" s="1"/>
  <c r="AE41" i="4" s="1"/>
  <c r="Q41" i="4"/>
  <c r="AR41" i="4"/>
  <c r="AJ41" i="4"/>
  <c r="AL41" i="3"/>
  <c r="AM41" i="3" s="1"/>
  <c r="AX40" i="4"/>
  <c r="AY40" i="4" s="1"/>
  <c r="BM40" i="4"/>
  <c r="R40" i="4"/>
  <c r="S40" i="4" s="1"/>
  <c r="AT41" i="3"/>
  <c r="AU41" i="3" s="1"/>
  <c r="AV42" i="3"/>
  <c r="AK42" i="3"/>
  <c r="Q42" i="3"/>
  <c r="BE42" i="3"/>
  <c r="AJ42" i="3"/>
  <c r="Y42" i="3"/>
  <c r="P42" i="3"/>
  <c r="R42" i="3" s="1"/>
  <c r="S42" i="3" s="1"/>
  <c r="O43" i="3"/>
  <c r="AR42" i="3"/>
  <c r="AG42" i="3"/>
  <c r="BI42" i="3"/>
  <c r="AB42" i="3"/>
  <c r="BH42" i="3"/>
  <c r="AO42" i="3"/>
  <c r="X42" i="3"/>
  <c r="BD42" i="3"/>
  <c r="AN42" i="3"/>
  <c r="U42" i="3"/>
  <c r="BA42" i="3"/>
  <c r="T42" i="3"/>
  <c r="AZ42" i="3"/>
  <c r="AW42" i="3"/>
  <c r="AF42" i="3"/>
  <c r="AS42" i="3"/>
  <c r="AC42" i="3"/>
  <c r="AL40" i="4"/>
  <c r="AM40" i="4" s="1"/>
  <c r="Z40" i="4"/>
  <c r="AA40" i="4" s="1"/>
  <c r="BO39" i="4"/>
  <c r="AD40" i="4"/>
  <c r="AE40" i="4" s="1"/>
  <c r="AP40" i="4"/>
  <c r="AQ40" i="4" s="1"/>
  <c r="AP41" i="3"/>
  <c r="AQ41" i="3" s="1"/>
  <c r="V41" i="3"/>
  <c r="W41" i="3" s="1"/>
  <c r="BO46" i="14" l="1"/>
  <c r="BP46" i="14" s="1"/>
  <c r="BB45" i="15"/>
  <c r="BC44" i="15"/>
  <c r="BE44" i="15" s="1"/>
  <c r="BF44" i="15" s="1"/>
  <c r="CQ42" i="15"/>
  <c r="CS42" i="15" s="1"/>
  <c r="BO42" i="15"/>
  <c r="BP42" i="15" s="1"/>
  <c r="CF44" i="15"/>
  <c r="CG43" i="15"/>
  <c r="CI43" i="15" s="1"/>
  <c r="CJ43" i="15" s="1"/>
  <c r="BM43" i="15"/>
  <c r="BL44" i="15"/>
  <c r="CA45" i="15"/>
  <c r="CB44" i="15"/>
  <c r="CD44" i="15" s="1"/>
  <c r="CE44" i="15" s="1"/>
  <c r="AW46" i="15"/>
  <c r="AX45" i="15"/>
  <c r="AZ45" i="15" s="1"/>
  <c r="BA45" i="15" s="1"/>
  <c r="AL82" i="15"/>
  <c r="E20" i="15" s="1"/>
  <c r="E21" i="15" s="1"/>
  <c r="AC47" i="10"/>
  <c r="AD47" i="10" s="1"/>
  <c r="AH42" i="3"/>
  <c r="AI42" i="3" s="1"/>
  <c r="V42" i="3"/>
  <c r="W42" i="3" s="1"/>
  <c r="AK47" i="11"/>
  <c r="AL47" i="11" s="1"/>
  <c r="AS47" i="11"/>
  <c r="AT47" i="11" s="1"/>
  <c r="BA47" i="11"/>
  <c r="BB47" i="11" s="1"/>
  <c r="BB42" i="3"/>
  <c r="BC42" i="3" s="1"/>
  <c r="BJ42" i="3"/>
  <c r="BK42" i="3" s="1"/>
  <c r="AL42" i="3"/>
  <c r="AM42" i="3" s="1"/>
  <c r="AO47" i="10"/>
  <c r="AP47" i="10" s="1"/>
  <c r="AK47" i="10"/>
  <c r="AL47" i="10" s="1"/>
  <c r="BJ41" i="4"/>
  <c r="BK41" i="4" s="1"/>
  <c r="BE47" i="10"/>
  <c r="BF47" i="10" s="1"/>
  <c r="BA47" i="10"/>
  <c r="BB47" i="10" s="1"/>
  <c r="AZ46" i="14"/>
  <c r="BA46" i="14" s="1"/>
  <c r="AW47" i="11"/>
  <c r="AX47" i="11" s="1"/>
  <c r="AO47" i="11"/>
  <c r="AP47" i="11" s="1"/>
  <c r="AD42" i="3"/>
  <c r="AE42" i="3" s="1"/>
  <c r="AS47" i="10"/>
  <c r="AT47" i="10" s="1"/>
  <c r="AU46" i="14"/>
  <c r="AV46" i="14" s="1"/>
  <c r="BI47" i="11"/>
  <c r="BE47" i="11"/>
  <c r="BF47" i="11" s="1"/>
  <c r="AC47" i="11"/>
  <c r="AD47" i="11" s="1"/>
  <c r="BH47" i="11"/>
  <c r="AG47" i="11"/>
  <c r="AH47" i="11" s="1"/>
  <c r="AV48" i="11"/>
  <c r="AF48" i="11"/>
  <c r="AU48" i="11"/>
  <c r="AE48" i="11"/>
  <c r="AR48" i="11"/>
  <c r="AB48" i="11"/>
  <c r="AQ48" i="11"/>
  <c r="AA48" i="11"/>
  <c r="BD48" i="11"/>
  <c r="AN48" i="11"/>
  <c r="BC48" i="11"/>
  <c r="AM48" i="11"/>
  <c r="N49" i="11"/>
  <c r="M49" i="11" s="1"/>
  <c r="AZ48" i="11"/>
  <c r="AJ48" i="11"/>
  <c r="AY48" i="11"/>
  <c r="AI48" i="11"/>
  <c r="BJ46" i="11"/>
  <c r="E21" i="14"/>
  <c r="BT46" i="14"/>
  <c r="BU46" i="14" s="1"/>
  <c r="AM47" i="14"/>
  <c r="AN47" i="14" s="1"/>
  <c r="CI46" i="14"/>
  <c r="CJ46" i="14" s="1"/>
  <c r="AU46" i="15"/>
  <c r="AV46" i="15" s="1"/>
  <c r="BQ47" i="14"/>
  <c r="BR47" i="14" s="1"/>
  <c r="AW47" i="14"/>
  <c r="AX47" i="14" s="1"/>
  <c r="BV47" i="14"/>
  <c r="BW47" i="14" s="1"/>
  <c r="BL47" i="14"/>
  <c r="BM47" i="14" s="1"/>
  <c r="BW46" i="14"/>
  <c r="BY46" i="14" s="1"/>
  <c r="BZ46" i="14" s="1"/>
  <c r="BJ46" i="14"/>
  <c r="BK46" i="14" s="1"/>
  <c r="CB46" i="14"/>
  <c r="CD46" i="14" s="1"/>
  <c r="CE46" i="14" s="1"/>
  <c r="CA47" i="14"/>
  <c r="CB47" i="14" s="1"/>
  <c r="BC46" i="14"/>
  <c r="BE46" i="14" s="1"/>
  <c r="BF46" i="14" s="1"/>
  <c r="BB47" i="14"/>
  <c r="BC47" i="14" s="1"/>
  <c r="AR47" i="14"/>
  <c r="BI47" i="14"/>
  <c r="BS47" i="14"/>
  <c r="AT47" i="14"/>
  <c r="CH47" i="14"/>
  <c r="R48" i="14"/>
  <c r="Q47" i="14"/>
  <c r="BD47" i="14"/>
  <c r="CC47" i="14"/>
  <c r="AO47" i="14"/>
  <c r="AY47" i="14"/>
  <c r="BX47" i="14"/>
  <c r="BN47" i="14"/>
  <c r="CF47" i="14"/>
  <c r="D21" i="14"/>
  <c r="AN46" i="14"/>
  <c r="BG47" i="14"/>
  <c r="CR46" i="15"/>
  <c r="AL41" i="4"/>
  <c r="AM41" i="4" s="1"/>
  <c r="AT41" i="4"/>
  <c r="AU41" i="4" s="1"/>
  <c r="BO40" i="4"/>
  <c r="V41" i="4"/>
  <c r="W41" i="4" s="1"/>
  <c r="AX41" i="4"/>
  <c r="AY41" i="4" s="1"/>
  <c r="AP41" i="4"/>
  <c r="AQ41" i="4" s="1"/>
  <c r="D21" i="15"/>
  <c r="BR47" i="15"/>
  <c r="BI47" i="15"/>
  <c r="AS47" i="15"/>
  <c r="Q47" i="15"/>
  <c r="BH47" i="15"/>
  <c r="R48" i="15"/>
  <c r="CH47" i="15"/>
  <c r="BX47" i="15"/>
  <c r="AY47" i="15"/>
  <c r="BW47" i="15"/>
  <c r="BN47" i="15"/>
  <c r="BS47" i="15"/>
  <c r="AO47" i="15"/>
  <c r="CC47" i="15"/>
  <c r="BD47" i="15"/>
  <c r="AT47" i="15"/>
  <c r="AN47" i="15"/>
  <c r="BY46" i="15"/>
  <c r="BZ46" i="15" s="1"/>
  <c r="BT46" i="15"/>
  <c r="BU46" i="15" s="1"/>
  <c r="BJ46" i="15"/>
  <c r="BK46" i="15" s="1"/>
  <c r="AP46" i="15"/>
  <c r="AQ46" i="15" s="1"/>
  <c r="N49" i="10"/>
  <c r="BD48" i="10"/>
  <c r="AZ48" i="10"/>
  <c r="AV48" i="10"/>
  <c r="AR48" i="10"/>
  <c r="AN48" i="10"/>
  <c r="AJ48" i="10"/>
  <c r="AF48" i="10"/>
  <c r="AB48" i="10"/>
  <c r="BC48" i="10"/>
  <c r="BE48" i="10" s="1"/>
  <c r="BF48" i="10" s="1"/>
  <c r="AM48" i="10"/>
  <c r="AQ48" i="10"/>
  <c r="AA48" i="10"/>
  <c r="AY48" i="10"/>
  <c r="AU48" i="10"/>
  <c r="AE48" i="10"/>
  <c r="AG48" i="10" s="1"/>
  <c r="AH48" i="10" s="1"/>
  <c r="AI48" i="10"/>
  <c r="K5" i="13"/>
  <c r="C21" i="10"/>
  <c r="AW47" i="10"/>
  <c r="AX47" i="10" s="1"/>
  <c r="K21" i="13"/>
  <c r="D21" i="10"/>
  <c r="AG47" i="10"/>
  <c r="AH47" i="10" s="1"/>
  <c r="BM41" i="4"/>
  <c r="R41" i="4"/>
  <c r="S41" i="4" s="1"/>
  <c r="BA42" i="4"/>
  <c r="AR42" i="4"/>
  <c r="Q42" i="4"/>
  <c r="BI42" i="4"/>
  <c r="AZ42" i="4"/>
  <c r="BB42" i="4" s="1"/>
  <c r="BC42" i="4" s="1"/>
  <c r="Y42" i="4"/>
  <c r="P42" i="4"/>
  <c r="O43" i="4"/>
  <c r="N43" i="4" s="1"/>
  <c r="BH42" i="4"/>
  <c r="AG42" i="4"/>
  <c r="X42" i="4"/>
  <c r="AO42" i="4"/>
  <c r="AF42" i="4"/>
  <c r="AW42" i="4"/>
  <c r="AN42" i="4"/>
  <c r="U42" i="4"/>
  <c r="BE42" i="4"/>
  <c r="AV42" i="4"/>
  <c r="AC42" i="4"/>
  <c r="T42" i="4"/>
  <c r="AJ42" i="4"/>
  <c r="AB42" i="4"/>
  <c r="AS42" i="4"/>
  <c r="AK42" i="4"/>
  <c r="BD42" i="4"/>
  <c r="BF42" i="4" s="1"/>
  <c r="BG42" i="4" s="1"/>
  <c r="BB41" i="4"/>
  <c r="BC41" i="4" s="1"/>
  <c r="AP42" i="3"/>
  <c r="AQ42" i="3" s="1"/>
  <c r="AT42" i="3"/>
  <c r="AU42" i="3" s="1"/>
  <c r="AX42" i="3"/>
  <c r="AY42" i="3" s="1"/>
  <c r="BN41" i="4"/>
  <c r="AH41" i="4"/>
  <c r="AI41" i="4" s="1"/>
  <c r="BF42" i="3"/>
  <c r="BG42" i="3" s="1"/>
  <c r="BI43" i="3"/>
  <c r="BA43" i="3"/>
  <c r="AS43" i="3"/>
  <c r="AK43" i="3"/>
  <c r="AC43" i="3"/>
  <c r="U43" i="3"/>
  <c r="O44" i="3"/>
  <c r="BE43" i="3"/>
  <c r="AW43" i="3"/>
  <c r="AO43" i="3"/>
  <c r="AG43" i="3"/>
  <c r="Y43" i="3"/>
  <c r="Q43" i="3"/>
  <c r="AN43" i="3"/>
  <c r="AB43" i="3"/>
  <c r="X43" i="3"/>
  <c r="AR43" i="3"/>
  <c r="BH43" i="3"/>
  <c r="AJ43" i="3"/>
  <c r="T43" i="3"/>
  <c r="AZ43" i="3"/>
  <c r="AF43" i="3"/>
  <c r="BD43" i="3"/>
  <c r="AV43" i="3"/>
  <c r="P43" i="3"/>
  <c r="Z42" i="3"/>
  <c r="AA42" i="3" s="1"/>
  <c r="BF41" i="4"/>
  <c r="BG41" i="4" s="1"/>
  <c r="BO43" i="15" l="1"/>
  <c r="BP43" i="15" s="1"/>
  <c r="CQ43" i="15"/>
  <c r="CS43" i="15" s="1"/>
  <c r="CG44" i="15"/>
  <c r="CI44" i="15" s="1"/>
  <c r="CJ44" i="15" s="1"/>
  <c r="CF45" i="15"/>
  <c r="AW47" i="15"/>
  <c r="AX46" i="15"/>
  <c r="AZ46" i="15" s="1"/>
  <c r="BA46" i="15" s="1"/>
  <c r="AP43" i="3"/>
  <c r="AQ43" i="3" s="1"/>
  <c r="CA46" i="15"/>
  <c r="CB45" i="15"/>
  <c r="CD45" i="15" s="1"/>
  <c r="CE45" i="15" s="1"/>
  <c r="BB46" i="15"/>
  <c r="BC45" i="15"/>
  <c r="BE45" i="15" s="1"/>
  <c r="BF45" i="15" s="1"/>
  <c r="BM44" i="15"/>
  <c r="BL45" i="15"/>
  <c r="AC48" i="10"/>
  <c r="AD48" i="10" s="1"/>
  <c r="BY47" i="15"/>
  <c r="BZ47" i="15" s="1"/>
  <c r="CD47" i="14"/>
  <c r="CE47" i="14" s="1"/>
  <c r="BF43" i="3"/>
  <c r="BG43" i="3" s="1"/>
  <c r="BA48" i="11"/>
  <c r="BB48" i="11" s="1"/>
  <c r="AO48" i="11"/>
  <c r="AP48" i="11" s="1"/>
  <c r="BJ43" i="3"/>
  <c r="BK43" i="3" s="1"/>
  <c r="AO48" i="10"/>
  <c r="AP48" i="10" s="1"/>
  <c r="AK48" i="11"/>
  <c r="AL48" i="11" s="1"/>
  <c r="AG48" i="11"/>
  <c r="AH48" i="11" s="1"/>
  <c r="AW48" i="10"/>
  <c r="AX48" i="10" s="1"/>
  <c r="BH48" i="11"/>
  <c r="AC48" i="11"/>
  <c r="AD48" i="11" s="1"/>
  <c r="BJ47" i="11"/>
  <c r="N50" i="11"/>
  <c r="M50" i="11" s="1"/>
  <c r="AR49" i="11"/>
  <c r="AB49" i="11"/>
  <c r="AQ49" i="11"/>
  <c r="AA49" i="11"/>
  <c r="BD49" i="11"/>
  <c r="AN49" i="11"/>
  <c r="BC49" i="11"/>
  <c r="AM49" i="11"/>
  <c r="AZ49" i="11"/>
  <c r="AJ49" i="11"/>
  <c r="AY49" i="11"/>
  <c r="AI49" i="11"/>
  <c r="AV49" i="11"/>
  <c r="AF49" i="11"/>
  <c r="AU49" i="11"/>
  <c r="AE49" i="11"/>
  <c r="AT43" i="3"/>
  <c r="AU43" i="3" s="1"/>
  <c r="BA48" i="10"/>
  <c r="BB48" i="10" s="1"/>
  <c r="BE48" i="11"/>
  <c r="BF48" i="11" s="1"/>
  <c r="AS48" i="11"/>
  <c r="AT48" i="11" s="1"/>
  <c r="AW48" i="11"/>
  <c r="AX48" i="11" s="1"/>
  <c r="AH43" i="3"/>
  <c r="AI43" i="3" s="1"/>
  <c r="BB43" i="3"/>
  <c r="BC43" i="3" s="1"/>
  <c r="AX43" i="3"/>
  <c r="AY43" i="3" s="1"/>
  <c r="AK48" i="10"/>
  <c r="AL48" i="10" s="1"/>
  <c r="BI48" i="11"/>
  <c r="AM48" i="14"/>
  <c r="AN48" i="14" s="1"/>
  <c r="AZ47" i="14"/>
  <c r="BA47" i="14" s="1"/>
  <c r="BY47" i="14"/>
  <c r="BZ47" i="14" s="1"/>
  <c r="BT47" i="14"/>
  <c r="BU47" i="14" s="1"/>
  <c r="AP46" i="14"/>
  <c r="AQ46" i="14" s="1"/>
  <c r="AR48" i="14"/>
  <c r="AS48" i="14" s="1"/>
  <c r="AS47" i="14"/>
  <c r="AU47" i="14" s="1"/>
  <c r="AV47" i="14" s="1"/>
  <c r="BX48" i="14"/>
  <c r="BI48" i="14"/>
  <c r="BD48" i="14"/>
  <c r="AO48" i="14"/>
  <c r="AY48" i="14"/>
  <c r="AT48" i="14"/>
  <c r="BN48" i="14"/>
  <c r="R49" i="14"/>
  <c r="CC48" i="14"/>
  <c r="BS48" i="14"/>
  <c r="Q48" i="14"/>
  <c r="CH48" i="14"/>
  <c r="BV48" i="14"/>
  <c r="BW48" i="14" s="1"/>
  <c r="AP47" i="14"/>
  <c r="AQ47" i="14" s="1"/>
  <c r="BH47" i="14"/>
  <c r="BJ47" i="14" s="1"/>
  <c r="BK47" i="14" s="1"/>
  <c r="BG48" i="14"/>
  <c r="BO47" i="14"/>
  <c r="BP47" i="14" s="1"/>
  <c r="BB48" i="14"/>
  <c r="BC48" i="14" s="1"/>
  <c r="BE48" i="14" s="1"/>
  <c r="BF48" i="14" s="1"/>
  <c r="AW48" i="14"/>
  <c r="CG47" i="14"/>
  <c r="CI47" i="14" s="1"/>
  <c r="CJ47" i="14" s="1"/>
  <c r="CF48" i="14"/>
  <c r="BL48" i="14"/>
  <c r="BE47" i="14"/>
  <c r="BF47" i="14" s="1"/>
  <c r="CA48" i="14"/>
  <c r="CB48" i="14" s="1"/>
  <c r="BQ48" i="14"/>
  <c r="BR48" i="14" s="1"/>
  <c r="AU47" i="15"/>
  <c r="AV47" i="15" s="1"/>
  <c r="BT47" i="15"/>
  <c r="BU47" i="15" s="1"/>
  <c r="AH42" i="4"/>
  <c r="AI42" i="4" s="1"/>
  <c r="AL42" i="4"/>
  <c r="AM42" i="4" s="1"/>
  <c r="V42" i="4"/>
  <c r="W42" i="4" s="1"/>
  <c r="AD42" i="4"/>
  <c r="AE42" i="4" s="1"/>
  <c r="CR47" i="15"/>
  <c r="BX48" i="15"/>
  <c r="BH48" i="15"/>
  <c r="R49" i="15"/>
  <c r="CH48" i="15"/>
  <c r="AN48" i="15"/>
  <c r="BW48" i="15"/>
  <c r="BN48" i="15"/>
  <c r="BD48" i="15"/>
  <c r="AT48" i="15"/>
  <c r="Q48" i="15"/>
  <c r="CC48" i="15"/>
  <c r="AS48" i="15"/>
  <c r="BI48" i="15"/>
  <c r="AY48" i="15"/>
  <c r="BR48" i="15"/>
  <c r="BS48" i="15"/>
  <c r="AO48" i="15"/>
  <c r="AP47" i="15"/>
  <c r="AQ47" i="15" s="1"/>
  <c r="BJ47" i="15"/>
  <c r="BK47" i="15" s="1"/>
  <c r="AV49" i="10"/>
  <c r="AQ49" i="10"/>
  <c r="AF49" i="10"/>
  <c r="AA49" i="10"/>
  <c r="AZ49" i="10"/>
  <c r="AU49" i="10"/>
  <c r="AJ49" i="10"/>
  <c r="AE49" i="10"/>
  <c r="AG49" i="10" s="1"/>
  <c r="AH49" i="10" s="1"/>
  <c r="N50" i="10"/>
  <c r="AM49" i="10"/>
  <c r="AB49" i="10"/>
  <c r="BD49" i="10"/>
  <c r="AI49" i="10"/>
  <c r="AN49" i="10"/>
  <c r="BC49" i="10"/>
  <c r="AR49" i="10"/>
  <c r="AY49" i="10"/>
  <c r="BA49" i="10" s="1"/>
  <c r="BB49" i="10" s="1"/>
  <c r="AS48" i="10"/>
  <c r="AT48" i="10" s="1"/>
  <c r="AL43" i="3"/>
  <c r="AM43" i="3" s="1"/>
  <c r="Z42" i="4"/>
  <c r="AA42" i="4" s="1"/>
  <c r="BN42" i="4"/>
  <c r="AX42" i="4"/>
  <c r="AY42" i="4" s="1"/>
  <c r="AT42" i="4"/>
  <c r="AU42" i="4" s="1"/>
  <c r="R43" i="3"/>
  <c r="S43" i="3" s="1"/>
  <c r="BJ42" i="4"/>
  <c r="BK42" i="4" s="1"/>
  <c r="Z43" i="3"/>
  <c r="AA43" i="3" s="1"/>
  <c r="BE43" i="4"/>
  <c r="AW43" i="4"/>
  <c r="AO43" i="4"/>
  <c r="AG43" i="4"/>
  <c r="Y43" i="4"/>
  <c r="Q43" i="4"/>
  <c r="AS43" i="4"/>
  <c r="AJ43" i="4"/>
  <c r="BA43" i="4"/>
  <c r="AR43" i="4"/>
  <c r="P43" i="4"/>
  <c r="BI43" i="4"/>
  <c r="AZ43" i="4"/>
  <c r="X43" i="4"/>
  <c r="O44" i="4"/>
  <c r="N44" i="4" s="1"/>
  <c r="BH43" i="4"/>
  <c r="AF43" i="4"/>
  <c r="AN43" i="4"/>
  <c r="AV43" i="4"/>
  <c r="AX43" i="4" s="1"/>
  <c r="AY43" i="4" s="1"/>
  <c r="U43" i="4"/>
  <c r="AK43" i="4"/>
  <c r="AC43" i="4"/>
  <c r="BD43" i="4"/>
  <c r="AB43" i="4"/>
  <c r="T43" i="4"/>
  <c r="V43" i="3"/>
  <c r="W43" i="3" s="1"/>
  <c r="AD43" i="3"/>
  <c r="AE43" i="3" s="1"/>
  <c r="O45" i="3"/>
  <c r="BE44" i="3"/>
  <c r="AW44" i="3"/>
  <c r="AO44" i="3"/>
  <c r="AG44" i="3"/>
  <c r="Y44" i="3"/>
  <c r="Q44" i="3"/>
  <c r="Q80" i="3" s="1"/>
  <c r="BI44" i="3"/>
  <c r="AS44" i="3"/>
  <c r="AC44" i="3"/>
  <c r="P44" i="3"/>
  <c r="BD44" i="3"/>
  <c r="BF44" i="3" s="1"/>
  <c r="BG44" i="3" s="1"/>
  <c r="AN44" i="3"/>
  <c r="T44" i="3"/>
  <c r="AK44" i="3"/>
  <c r="BH44" i="3"/>
  <c r="BJ44" i="3" s="1"/>
  <c r="BK44" i="3" s="1"/>
  <c r="AJ44" i="3"/>
  <c r="AF44" i="3"/>
  <c r="BA44" i="3"/>
  <c r="AB44" i="3"/>
  <c r="AD44" i="3" s="1"/>
  <c r="AE44" i="3" s="1"/>
  <c r="AV44" i="3"/>
  <c r="X44" i="3"/>
  <c r="Z44" i="3" s="1"/>
  <c r="AA44" i="3" s="1"/>
  <c r="U44" i="3"/>
  <c r="U80" i="3" s="1"/>
  <c r="AZ44" i="3"/>
  <c r="BB44" i="3" s="1"/>
  <c r="BC44" i="3" s="1"/>
  <c r="AR44" i="3"/>
  <c r="AT44" i="3" s="1"/>
  <c r="AU44" i="3" s="1"/>
  <c r="AP42" i="4"/>
  <c r="AQ42" i="4" s="1"/>
  <c r="BM42" i="4"/>
  <c r="R42" i="4"/>
  <c r="S42" i="4" s="1"/>
  <c r="BO41" i="4"/>
  <c r="AG49" i="11" l="1"/>
  <c r="AH49" i="11" s="1"/>
  <c r="AO49" i="11"/>
  <c r="AP49" i="11" s="1"/>
  <c r="BL46" i="15"/>
  <c r="BM45" i="15"/>
  <c r="AC49" i="10"/>
  <c r="AD49" i="10" s="1"/>
  <c r="CA47" i="15"/>
  <c r="CB46" i="15"/>
  <c r="CD46" i="15" s="1"/>
  <c r="CE46" i="15" s="1"/>
  <c r="AW48" i="15"/>
  <c r="AX47" i="15"/>
  <c r="AZ47" i="15" s="1"/>
  <c r="BA47" i="15" s="1"/>
  <c r="CQ44" i="15"/>
  <c r="CS44" i="15" s="1"/>
  <c r="BO44" i="15"/>
  <c r="BP44" i="15" s="1"/>
  <c r="CF46" i="15"/>
  <c r="CG45" i="15"/>
  <c r="CI45" i="15" s="1"/>
  <c r="CJ45" i="15" s="1"/>
  <c r="BB47" i="15"/>
  <c r="BC46" i="15"/>
  <c r="BE46" i="15" s="1"/>
  <c r="BF46" i="15" s="1"/>
  <c r="AX44" i="3"/>
  <c r="AY44" i="3" s="1"/>
  <c r="AK49" i="10"/>
  <c r="AL49" i="10" s="1"/>
  <c r="AS49" i="10"/>
  <c r="AT49" i="10" s="1"/>
  <c r="BT48" i="14"/>
  <c r="BU48" i="14" s="1"/>
  <c r="AU48" i="14"/>
  <c r="AV48" i="14" s="1"/>
  <c r="AW49" i="11"/>
  <c r="AX49" i="11" s="1"/>
  <c r="BE49" i="11"/>
  <c r="BF49" i="11" s="1"/>
  <c r="AS49" i="11"/>
  <c r="AT49" i="11" s="1"/>
  <c r="BA49" i="11"/>
  <c r="BB49" i="11" s="1"/>
  <c r="BF43" i="4"/>
  <c r="BG43" i="4" s="1"/>
  <c r="Z43" i="4"/>
  <c r="AA43" i="4" s="1"/>
  <c r="BH49" i="11"/>
  <c r="AC49" i="11"/>
  <c r="AD49" i="11" s="1"/>
  <c r="BO42" i="4"/>
  <c r="AV50" i="11"/>
  <c r="BC50" i="11"/>
  <c r="AU50" i="11"/>
  <c r="AE50" i="11"/>
  <c r="AZ50" i="11"/>
  <c r="AQ50" i="11"/>
  <c r="AR50" i="11"/>
  <c r="AM50" i="11"/>
  <c r="AF50" i="11"/>
  <c r="AI50" i="11"/>
  <c r="AJ50" i="11"/>
  <c r="BD50" i="11"/>
  <c r="AN50" i="11"/>
  <c r="N51" i="11"/>
  <c r="M51" i="11" s="1"/>
  <c r="AB50" i="11"/>
  <c r="AA50" i="11"/>
  <c r="AY50" i="11"/>
  <c r="BA50" i="11" s="1"/>
  <c r="BB50" i="11" s="1"/>
  <c r="BI49" i="11"/>
  <c r="BJ48" i="11"/>
  <c r="AP44" i="3"/>
  <c r="AQ44" i="3" s="1"/>
  <c r="AO49" i="10"/>
  <c r="AP49" i="10" s="1"/>
  <c r="AW49" i="10"/>
  <c r="AX49" i="10" s="1"/>
  <c r="AK49" i="11"/>
  <c r="AL49" i="11" s="1"/>
  <c r="CD48" i="14"/>
  <c r="CE48" i="14" s="1"/>
  <c r="BY48" i="14"/>
  <c r="BZ48" i="14" s="1"/>
  <c r="AP48" i="14"/>
  <c r="AQ48" i="14" s="1"/>
  <c r="BL49" i="14"/>
  <c r="BM49" i="14" s="1"/>
  <c r="BG49" i="14"/>
  <c r="BH49" i="14" s="1"/>
  <c r="AR49" i="14"/>
  <c r="AS49" i="14" s="1"/>
  <c r="CF49" i="14"/>
  <c r="CG49" i="14" s="1"/>
  <c r="AW49" i="14"/>
  <c r="AX49" i="14" s="1"/>
  <c r="CG48" i="14"/>
  <c r="CI48" i="14" s="1"/>
  <c r="CJ48" i="14" s="1"/>
  <c r="BH48" i="14"/>
  <c r="BJ48" i="14" s="1"/>
  <c r="BK48" i="14" s="1"/>
  <c r="BQ49" i="14"/>
  <c r="BR49" i="14" s="1"/>
  <c r="BB49" i="14"/>
  <c r="BC49" i="14" s="1"/>
  <c r="BM48" i="14"/>
  <c r="BO48" i="14" s="1"/>
  <c r="BP48" i="14" s="1"/>
  <c r="BV49" i="14"/>
  <c r="BW49" i="14" s="1"/>
  <c r="BD49" i="14"/>
  <c r="BS49" i="14"/>
  <c r="BI49" i="14"/>
  <c r="AO49" i="14"/>
  <c r="Q49" i="14"/>
  <c r="BN49" i="14"/>
  <c r="CH49" i="14"/>
  <c r="BX49" i="14"/>
  <c r="AT49" i="14"/>
  <c r="R50" i="14"/>
  <c r="AY49" i="14"/>
  <c r="CC49" i="14"/>
  <c r="CA49" i="14"/>
  <c r="AX48" i="14"/>
  <c r="AZ48" i="14" s="1"/>
  <c r="BA48" i="14" s="1"/>
  <c r="AM49" i="14"/>
  <c r="AN49" i="14" s="1"/>
  <c r="BJ48" i="15"/>
  <c r="BK48" i="15" s="1"/>
  <c r="AU48" i="15"/>
  <c r="AV48" i="15" s="1"/>
  <c r="BB43" i="4"/>
  <c r="BC43" i="4" s="1"/>
  <c r="AP43" i="4"/>
  <c r="AQ43" i="4" s="1"/>
  <c r="V43" i="4"/>
  <c r="W43" i="4" s="1"/>
  <c r="AH43" i="4"/>
  <c r="AI43" i="4" s="1"/>
  <c r="AD43" i="4"/>
  <c r="AE43" i="4" s="1"/>
  <c r="BJ43" i="4"/>
  <c r="BK43" i="4" s="1"/>
  <c r="AL43" i="4"/>
  <c r="AM43" i="4" s="1"/>
  <c r="BY48" i="15"/>
  <c r="BZ48" i="15" s="1"/>
  <c r="CR48" i="15"/>
  <c r="AP48" i="15"/>
  <c r="AQ48" i="15" s="1"/>
  <c r="BT48" i="15"/>
  <c r="BU48" i="15" s="1"/>
  <c r="BW49" i="15"/>
  <c r="AY49" i="15"/>
  <c r="BN49" i="15"/>
  <c r="BD49" i="15"/>
  <c r="AT49" i="15"/>
  <c r="Q49" i="15"/>
  <c r="AS49" i="15"/>
  <c r="CH49" i="15"/>
  <c r="BX49" i="15"/>
  <c r="R50" i="15"/>
  <c r="CC49" i="15"/>
  <c r="BS49" i="15"/>
  <c r="AO49" i="15"/>
  <c r="BR49" i="15"/>
  <c r="BI49" i="15"/>
  <c r="BH49" i="15"/>
  <c r="AN49" i="15"/>
  <c r="N51" i="10"/>
  <c r="BD50" i="10"/>
  <c r="AZ50" i="10"/>
  <c r="AV50" i="10"/>
  <c r="AR50" i="10"/>
  <c r="AN50" i="10"/>
  <c r="AJ50" i="10"/>
  <c r="AF50" i="10"/>
  <c r="AB50" i="10"/>
  <c r="AY50" i="10"/>
  <c r="AI50" i="10"/>
  <c r="AK50" i="10" s="1"/>
  <c r="AL50" i="10" s="1"/>
  <c r="BC50" i="10"/>
  <c r="AM50" i="10"/>
  <c r="AU50" i="10"/>
  <c r="AQ50" i="10"/>
  <c r="AA50" i="10"/>
  <c r="AC50" i="10" s="1"/>
  <c r="AD50" i="10" s="1"/>
  <c r="AE50" i="10"/>
  <c r="BE49" i="10"/>
  <c r="BF49" i="10" s="1"/>
  <c r="AZ44" i="4"/>
  <c r="AN44" i="4"/>
  <c r="T44" i="4"/>
  <c r="BI44" i="4"/>
  <c r="AW44" i="4"/>
  <c r="AC44" i="4"/>
  <c r="Q44" i="4"/>
  <c r="BH44" i="4"/>
  <c r="AV44" i="4"/>
  <c r="AB44" i="4"/>
  <c r="AD44" i="4" s="1"/>
  <c r="AE44" i="4" s="1"/>
  <c r="P44" i="4"/>
  <c r="O45" i="4"/>
  <c r="N45" i="4" s="1"/>
  <c r="BE44" i="4"/>
  <c r="AK44" i="4"/>
  <c r="Y44" i="4"/>
  <c r="BD44" i="4"/>
  <c r="AJ44" i="4"/>
  <c r="X44" i="4"/>
  <c r="AS44" i="4"/>
  <c r="AG44" i="4"/>
  <c r="AO44" i="4"/>
  <c r="AF44" i="4"/>
  <c r="U44" i="4"/>
  <c r="U80" i="4" s="1"/>
  <c r="AR44" i="4"/>
  <c r="BA44" i="4"/>
  <c r="BN43" i="4"/>
  <c r="AH44" i="3"/>
  <c r="AI44" i="3" s="1"/>
  <c r="R44" i="3"/>
  <c r="S44" i="3" s="1"/>
  <c r="S80" i="3" s="1"/>
  <c r="B20" i="3" s="1"/>
  <c r="P80" i="3"/>
  <c r="AL44" i="3"/>
  <c r="AM44" i="3" s="1"/>
  <c r="O46" i="3"/>
  <c r="BE45" i="3"/>
  <c r="AW45" i="3"/>
  <c r="AO45" i="3"/>
  <c r="AG45" i="3"/>
  <c r="Y45" i="3"/>
  <c r="Y80" i="3" s="1"/>
  <c r="BM80" i="3" s="1"/>
  <c r="BD45" i="3"/>
  <c r="AV45" i="3"/>
  <c r="AN45" i="3"/>
  <c r="AF45" i="3"/>
  <c r="X45" i="3"/>
  <c r="BI45" i="3"/>
  <c r="BA45" i="3"/>
  <c r="AS45" i="3"/>
  <c r="AK45" i="3"/>
  <c r="AC45" i="3"/>
  <c r="AC80" i="3" s="1"/>
  <c r="AZ45" i="3"/>
  <c r="AJ45" i="3"/>
  <c r="AR45" i="3"/>
  <c r="BH45" i="3"/>
  <c r="BJ45" i="3" s="1"/>
  <c r="BK45" i="3" s="1"/>
  <c r="AB45" i="3"/>
  <c r="R43" i="4"/>
  <c r="S43" i="4" s="1"/>
  <c r="BM43" i="4"/>
  <c r="AT43" i="4"/>
  <c r="AU43" i="4" s="1"/>
  <c r="V44" i="3"/>
  <c r="W44" i="3" s="1"/>
  <c r="W80" i="3" s="1"/>
  <c r="C20" i="3" s="1"/>
  <c r="T80" i="3"/>
  <c r="AL45" i="3" l="1"/>
  <c r="AM45" i="3" s="1"/>
  <c r="C21" i="3"/>
  <c r="K25" i="7"/>
  <c r="AW50" i="11"/>
  <c r="AX50" i="11" s="1"/>
  <c r="AW49" i="15"/>
  <c r="AX48" i="15"/>
  <c r="AZ48" i="15" s="1"/>
  <c r="BA48" i="15" s="1"/>
  <c r="BB48" i="15"/>
  <c r="BC47" i="15"/>
  <c r="BE47" i="15" s="1"/>
  <c r="BF47" i="15" s="1"/>
  <c r="CA48" i="15"/>
  <c r="CB47" i="15"/>
  <c r="CD47" i="15" s="1"/>
  <c r="CE47" i="15" s="1"/>
  <c r="BB45" i="3"/>
  <c r="BC45" i="3" s="1"/>
  <c r="CF47" i="15"/>
  <c r="CG46" i="15"/>
  <c r="CI46" i="15" s="1"/>
  <c r="CJ46" i="15" s="1"/>
  <c r="BO45" i="15"/>
  <c r="BP45" i="15" s="1"/>
  <c r="CQ45" i="15"/>
  <c r="CS45" i="15" s="1"/>
  <c r="BL47" i="15"/>
  <c r="BM46" i="15"/>
  <c r="AS50" i="10"/>
  <c r="AT50" i="10" s="1"/>
  <c r="BT49" i="15"/>
  <c r="BU49" i="15" s="1"/>
  <c r="AU49" i="15"/>
  <c r="AV49" i="15" s="1"/>
  <c r="AH45" i="3"/>
  <c r="AI45" i="3" s="1"/>
  <c r="AW50" i="10"/>
  <c r="AX50" i="10" s="1"/>
  <c r="AG50" i="10"/>
  <c r="AH50" i="10" s="1"/>
  <c r="AX45" i="3"/>
  <c r="AY45" i="3" s="1"/>
  <c r="BE50" i="10"/>
  <c r="BF50" i="10" s="1"/>
  <c r="AK50" i="11"/>
  <c r="AL50" i="11" s="1"/>
  <c r="AS50" i="11"/>
  <c r="AT50" i="11" s="1"/>
  <c r="BH50" i="11"/>
  <c r="AC50" i="11"/>
  <c r="AD50" i="11" s="1"/>
  <c r="AO50" i="11"/>
  <c r="AP50" i="11" s="1"/>
  <c r="AP45" i="3"/>
  <c r="AQ45" i="3" s="1"/>
  <c r="BA50" i="10"/>
  <c r="BB50" i="10" s="1"/>
  <c r="BI50" i="11"/>
  <c r="AG50" i="11"/>
  <c r="AH50" i="11" s="1"/>
  <c r="BJ49" i="11"/>
  <c r="AF51" i="11"/>
  <c r="AJ51" i="11"/>
  <c r="AN51" i="11"/>
  <c r="AM51" i="11"/>
  <c r="N52" i="11"/>
  <c r="M52" i="11" s="1"/>
  <c r="AA51" i="11"/>
  <c r="AE51" i="11"/>
  <c r="AI51" i="11"/>
  <c r="AB51" i="11"/>
  <c r="AQ51" i="11"/>
  <c r="BC51" i="11"/>
  <c r="AV51" i="11"/>
  <c r="AZ51" i="11"/>
  <c r="BD51" i="11"/>
  <c r="AR51" i="11"/>
  <c r="AU51" i="11"/>
  <c r="AY51" i="11"/>
  <c r="AT45" i="3"/>
  <c r="AU45" i="3" s="1"/>
  <c r="BE50" i="11"/>
  <c r="BF50" i="11" s="1"/>
  <c r="CI49" i="14"/>
  <c r="CJ49" i="14" s="1"/>
  <c r="BY49" i="14"/>
  <c r="BZ49" i="14" s="1"/>
  <c r="BJ49" i="14"/>
  <c r="BK49" i="14" s="1"/>
  <c r="BO49" i="14"/>
  <c r="BP49" i="14" s="1"/>
  <c r="BT49" i="14"/>
  <c r="BU49" i="14" s="1"/>
  <c r="AP49" i="14"/>
  <c r="AQ49" i="14" s="1"/>
  <c r="AZ49" i="14"/>
  <c r="BA49" i="14" s="1"/>
  <c r="AW50" i="14"/>
  <c r="CA50" i="14"/>
  <c r="BE49" i="14"/>
  <c r="BF49" i="14" s="1"/>
  <c r="BV50" i="14"/>
  <c r="BW50" i="14" s="1"/>
  <c r="CF50" i="14"/>
  <c r="CG50" i="14" s="1"/>
  <c r="AR50" i="14"/>
  <c r="AS50" i="14" s="1"/>
  <c r="CB49" i="14"/>
  <c r="CD49" i="14" s="1"/>
  <c r="CE49" i="14" s="1"/>
  <c r="BB50" i="14"/>
  <c r="BC50" i="14" s="1"/>
  <c r="BG50" i="14"/>
  <c r="BH50" i="14" s="1"/>
  <c r="AU49" i="14"/>
  <c r="AV49" i="14" s="1"/>
  <c r="BQ50" i="14"/>
  <c r="BR50" i="14" s="1"/>
  <c r="BL50" i="14"/>
  <c r="BM50" i="14" s="1"/>
  <c r="AM50" i="14"/>
  <c r="AN50" i="14" s="1"/>
  <c r="AY50" i="14"/>
  <c r="AO50" i="14"/>
  <c r="Q50" i="14"/>
  <c r="R51" i="14"/>
  <c r="BN50" i="14"/>
  <c r="CC50" i="14"/>
  <c r="CH50" i="14"/>
  <c r="AT50" i="14"/>
  <c r="BD50" i="14"/>
  <c r="BS50" i="14"/>
  <c r="BX50" i="14"/>
  <c r="BI50" i="14"/>
  <c r="AP44" i="4"/>
  <c r="AQ44" i="4" s="1"/>
  <c r="AX44" i="4"/>
  <c r="AY44" i="4" s="1"/>
  <c r="AT44" i="4"/>
  <c r="AU44" i="4" s="1"/>
  <c r="AH44" i="4"/>
  <c r="AI44" i="4" s="1"/>
  <c r="AL44" i="4"/>
  <c r="AM44" i="4" s="1"/>
  <c r="BJ44" i="4"/>
  <c r="BK44" i="4" s="1"/>
  <c r="BF44" i="4"/>
  <c r="BG44" i="4" s="1"/>
  <c r="CR49" i="15"/>
  <c r="BY49" i="15"/>
  <c r="BZ49" i="15" s="1"/>
  <c r="AP49" i="15"/>
  <c r="AQ49" i="15" s="1"/>
  <c r="BJ49" i="15"/>
  <c r="BK49" i="15" s="1"/>
  <c r="BN50" i="15"/>
  <c r="CC50" i="15"/>
  <c r="AO50" i="15"/>
  <c r="CH50" i="15"/>
  <c r="BX50" i="15"/>
  <c r="R51" i="15"/>
  <c r="BW50" i="15"/>
  <c r="AN50" i="15"/>
  <c r="BS50" i="15"/>
  <c r="BI50" i="15"/>
  <c r="AY50" i="15"/>
  <c r="BR50" i="15"/>
  <c r="BH50" i="15"/>
  <c r="AT50" i="15"/>
  <c r="AS50" i="15"/>
  <c r="BD50" i="15"/>
  <c r="Q50" i="15"/>
  <c r="AO50" i="10"/>
  <c r="AP50" i="10" s="1"/>
  <c r="N52" i="10"/>
  <c r="AZ51" i="10"/>
  <c r="AR51" i="10"/>
  <c r="AJ51" i="10"/>
  <c r="AB51" i="10"/>
  <c r="AY51" i="10"/>
  <c r="AQ51" i="10"/>
  <c r="AI51" i="10"/>
  <c r="AA51" i="10"/>
  <c r="BC51" i="10"/>
  <c r="AM51" i="10"/>
  <c r="AV51" i="10"/>
  <c r="AF51" i="10"/>
  <c r="BD51" i="10"/>
  <c r="AN51" i="10"/>
  <c r="AU51" i="10"/>
  <c r="AW51" i="10" s="1"/>
  <c r="AX51" i="10" s="1"/>
  <c r="AE51" i="10"/>
  <c r="BO43" i="4"/>
  <c r="BF45" i="3"/>
  <c r="BG45" i="3" s="1"/>
  <c r="BN44" i="4"/>
  <c r="Q80" i="4"/>
  <c r="K9" i="7"/>
  <c r="B21" i="3"/>
  <c r="AS45" i="4"/>
  <c r="AK45" i="4"/>
  <c r="AC45" i="4"/>
  <c r="AC80" i="4" s="1"/>
  <c r="BA45" i="4"/>
  <c r="AR45" i="4"/>
  <c r="AJ45" i="4"/>
  <c r="AB45" i="4"/>
  <c r="BH45" i="4"/>
  <c r="AW45" i="4"/>
  <c r="AV45" i="4"/>
  <c r="Y45" i="4"/>
  <c r="O46" i="4"/>
  <c r="N46" i="4" s="1"/>
  <c r="X45" i="4"/>
  <c r="BE45" i="4"/>
  <c r="AG45" i="4"/>
  <c r="BD45" i="4"/>
  <c r="AF45" i="4"/>
  <c r="AZ45" i="4"/>
  <c r="AO45" i="4"/>
  <c r="BI45" i="4"/>
  <c r="AN45" i="4"/>
  <c r="BI46" i="3"/>
  <c r="BA46" i="3"/>
  <c r="AS46" i="3"/>
  <c r="AK46" i="3"/>
  <c r="AZ46" i="3"/>
  <c r="BB46" i="3" s="1"/>
  <c r="BC46" i="3" s="1"/>
  <c r="AJ46" i="3"/>
  <c r="O47" i="3"/>
  <c r="AW46" i="3"/>
  <c r="AG46" i="3"/>
  <c r="BH46" i="3"/>
  <c r="AR46" i="3"/>
  <c r="AT46" i="3" s="1"/>
  <c r="AU46" i="3" s="1"/>
  <c r="BE46" i="3"/>
  <c r="BD46" i="3"/>
  <c r="AV46" i="3"/>
  <c r="AO46" i="3"/>
  <c r="AF46" i="3"/>
  <c r="AN46" i="3"/>
  <c r="AD45" i="3"/>
  <c r="AE45" i="3" s="1"/>
  <c r="AE80" i="3" s="1"/>
  <c r="E20" i="3" s="1"/>
  <c r="AB80" i="3"/>
  <c r="R44" i="4"/>
  <c r="S44" i="4" s="1"/>
  <c r="S80" i="4" s="1"/>
  <c r="B20" i="4" s="1"/>
  <c r="B21" i="4" s="1"/>
  <c r="BM44" i="4"/>
  <c r="P80" i="4"/>
  <c r="V44" i="4"/>
  <c r="W44" i="4" s="1"/>
  <c r="W80" i="4" s="1"/>
  <c r="C20" i="4" s="1"/>
  <c r="C21" i="4" s="1"/>
  <c r="T80" i="4"/>
  <c r="Z44" i="4"/>
  <c r="AA44" i="4" s="1"/>
  <c r="Z45" i="3"/>
  <c r="AA45" i="3" s="1"/>
  <c r="AA80" i="3" s="1"/>
  <c r="D20" i="3" s="1"/>
  <c r="X80" i="3"/>
  <c r="BB44" i="4"/>
  <c r="BC44" i="4" s="1"/>
  <c r="AW51" i="11" l="1"/>
  <c r="AX51" i="11" s="1"/>
  <c r="CF48" i="15"/>
  <c r="CG47" i="15"/>
  <c r="CI47" i="15" s="1"/>
  <c r="CJ47" i="15" s="1"/>
  <c r="CQ46" i="15"/>
  <c r="CS46" i="15" s="1"/>
  <c r="BO46" i="15"/>
  <c r="BP46" i="15" s="1"/>
  <c r="CA49" i="15"/>
  <c r="CB48" i="15"/>
  <c r="CD48" i="15" s="1"/>
  <c r="CE48" i="15" s="1"/>
  <c r="BM47" i="15"/>
  <c r="BL48" i="15"/>
  <c r="BB49" i="15"/>
  <c r="BC48" i="15"/>
  <c r="BE48" i="15" s="1"/>
  <c r="BF48" i="15" s="1"/>
  <c r="AW50" i="15"/>
  <c r="AX49" i="15"/>
  <c r="AZ49" i="15" s="1"/>
  <c r="BA49" i="15" s="1"/>
  <c r="AS51" i="10"/>
  <c r="AT51" i="10" s="1"/>
  <c r="BA51" i="10"/>
  <c r="BB51" i="10" s="1"/>
  <c r="BA51" i="11"/>
  <c r="BB51" i="11" s="1"/>
  <c r="AG51" i="10"/>
  <c r="AH51" i="10" s="1"/>
  <c r="AC51" i="10"/>
  <c r="AD51" i="10" s="1"/>
  <c r="AK51" i="10"/>
  <c r="AL51" i="10" s="1"/>
  <c r="BO44" i="4"/>
  <c r="AP46" i="3"/>
  <c r="AQ46" i="3" s="1"/>
  <c r="BF46" i="3"/>
  <c r="BG46" i="3" s="1"/>
  <c r="BB45" i="4"/>
  <c r="BC45" i="4" s="1"/>
  <c r="AX45" i="4"/>
  <c r="AY45" i="4" s="1"/>
  <c r="AO51" i="11"/>
  <c r="AP51" i="11" s="1"/>
  <c r="AP45" i="4"/>
  <c r="AQ45" i="4" s="1"/>
  <c r="AG51" i="11"/>
  <c r="AH51" i="11" s="1"/>
  <c r="AS51" i="11"/>
  <c r="AT51" i="11" s="1"/>
  <c r="AK51" i="11"/>
  <c r="AL51" i="11" s="1"/>
  <c r="AX46" i="3"/>
  <c r="AY46" i="3" s="1"/>
  <c r="BE51" i="11"/>
  <c r="BF51" i="11" s="1"/>
  <c r="BE51" i="10"/>
  <c r="BF51" i="10" s="1"/>
  <c r="AC51" i="11"/>
  <c r="AD51" i="11" s="1"/>
  <c r="BH51" i="11"/>
  <c r="BI51" i="11"/>
  <c r="BC52" i="11"/>
  <c r="AU52" i="11"/>
  <c r="AV52" i="11"/>
  <c r="AQ52" i="11"/>
  <c r="AR52" i="11"/>
  <c r="AJ52" i="11"/>
  <c r="BD52" i="11"/>
  <c r="AE52" i="11"/>
  <c r="AM52" i="11"/>
  <c r="AF52" i="11"/>
  <c r="AI52" i="11"/>
  <c r="AY52" i="11"/>
  <c r="N53" i="11"/>
  <c r="M53" i="11" s="1"/>
  <c r="AZ52" i="11"/>
  <c r="AB52" i="11"/>
  <c r="AA52" i="11"/>
  <c r="AN52" i="11"/>
  <c r="BJ50" i="11"/>
  <c r="AU50" i="15"/>
  <c r="AV50" i="15" s="1"/>
  <c r="BO50" i="14"/>
  <c r="BP50" i="14" s="1"/>
  <c r="BE50" i="14"/>
  <c r="BF50" i="14" s="1"/>
  <c r="BT50" i="14"/>
  <c r="BU50" i="14" s="1"/>
  <c r="BY50" i="15"/>
  <c r="BZ50" i="15" s="1"/>
  <c r="CA51" i="14"/>
  <c r="CB51" i="14" s="1"/>
  <c r="CI50" i="14"/>
  <c r="CJ50" i="14" s="1"/>
  <c r="BJ50" i="14"/>
  <c r="BK50" i="14" s="1"/>
  <c r="BG51" i="14"/>
  <c r="AW51" i="14"/>
  <c r="AX51" i="14" s="1"/>
  <c r="BB51" i="14"/>
  <c r="BC51" i="14" s="1"/>
  <c r="AP50" i="14"/>
  <c r="AQ50" i="14" s="1"/>
  <c r="AM51" i="14"/>
  <c r="AN51" i="14" s="1"/>
  <c r="AR51" i="14"/>
  <c r="AS51" i="14" s="1"/>
  <c r="AS82" i="14" s="1"/>
  <c r="CF51" i="14"/>
  <c r="CG51" i="14" s="1"/>
  <c r="AX50" i="14"/>
  <c r="AZ50" i="14" s="1"/>
  <c r="BA50" i="14" s="1"/>
  <c r="CB50" i="14"/>
  <c r="CD50" i="14" s="1"/>
  <c r="CE50" i="14" s="1"/>
  <c r="BL51" i="14"/>
  <c r="BV51" i="14"/>
  <c r="BY50" i="14"/>
  <c r="BZ50" i="14" s="1"/>
  <c r="AU50" i="14"/>
  <c r="AV50" i="14" s="1"/>
  <c r="AY51" i="14"/>
  <c r="CC51" i="14"/>
  <c r="CH51" i="14"/>
  <c r="BS51" i="14"/>
  <c r="R52" i="14"/>
  <c r="Q51" i="14"/>
  <c r="BN51" i="14"/>
  <c r="BI51" i="14"/>
  <c r="BX51" i="14"/>
  <c r="AT51" i="14"/>
  <c r="AT82" i="14" s="1"/>
  <c r="BD51" i="14"/>
  <c r="AO51" i="14"/>
  <c r="AO82" i="14" s="1"/>
  <c r="BQ51" i="14"/>
  <c r="BJ50" i="15"/>
  <c r="BK50" i="15" s="1"/>
  <c r="AH45" i="4"/>
  <c r="AI45" i="4" s="1"/>
  <c r="BF45" i="4"/>
  <c r="BG45" i="4" s="1"/>
  <c r="BJ45" i="4"/>
  <c r="BK45" i="4" s="1"/>
  <c r="AP50" i="15"/>
  <c r="AQ50" i="15" s="1"/>
  <c r="BT50" i="15"/>
  <c r="BU50" i="15" s="1"/>
  <c r="BX51" i="15"/>
  <c r="BH51" i="15"/>
  <c r="BW51" i="15"/>
  <c r="BN51" i="15"/>
  <c r="AO51" i="15"/>
  <c r="BD51" i="15"/>
  <c r="AN51" i="15"/>
  <c r="AY51" i="15"/>
  <c r="CH51" i="15"/>
  <c r="BI51" i="15"/>
  <c r="BS51" i="15"/>
  <c r="Q51" i="15"/>
  <c r="R52" i="15"/>
  <c r="CC51" i="15"/>
  <c r="BR51" i="15"/>
  <c r="AT51" i="15"/>
  <c r="AT82" i="15" s="1"/>
  <c r="AS51" i="15"/>
  <c r="CR50" i="15"/>
  <c r="AO51" i="10"/>
  <c r="AP51" i="10" s="1"/>
  <c r="N53" i="10"/>
  <c r="BD52" i="10"/>
  <c r="AZ52" i="10"/>
  <c r="AV52" i="10"/>
  <c r="AR52" i="10"/>
  <c r="AN52" i="10"/>
  <c r="AJ52" i="10"/>
  <c r="AF52" i="10"/>
  <c r="AB52" i="10"/>
  <c r="BC52" i="10"/>
  <c r="BE52" i="10" s="1"/>
  <c r="BF52" i="10" s="1"/>
  <c r="AY52" i="10"/>
  <c r="BA52" i="10" s="1"/>
  <c r="BB52" i="10" s="1"/>
  <c r="AU52" i="10"/>
  <c r="AW52" i="10" s="1"/>
  <c r="AX52" i="10" s="1"/>
  <c r="AQ52" i="10"/>
  <c r="AS52" i="10" s="1"/>
  <c r="AT52" i="10" s="1"/>
  <c r="AM52" i="10"/>
  <c r="AO52" i="10" s="1"/>
  <c r="AP52" i="10" s="1"/>
  <c r="AI52" i="10"/>
  <c r="AK52" i="10" s="1"/>
  <c r="AL52" i="10" s="1"/>
  <c r="AE52" i="10"/>
  <c r="AG52" i="10" s="1"/>
  <c r="AH52" i="10" s="1"/>
  <c r="AA52" i="10"/>
  <c r="AC52" i="10" s="1"/>
  <c r="AD52" i="10" s="1"/>
  <c r="K4" i="7"/>
  <c r="D21" i="3"/>
  <c r="K20" i="7"/>
  <c r="E21" i="3"/>
  <c r="BJ46" i="3"/>
  <c r="BK46" i="3" s="1"/>
  <c r="AD45" i="4"/>
  <c r="AE45" i="4" s="1"/>
  <c r="AE80" i="4" s="1"/>
  <c r="E20" i="4" s="1"/>
  <c r="E21" i="4" s="1"/>
  <c r="AB80" i="4"/>
  <c r="AL45" i="4"/>
  <c r="AM45" i="4" s="1"/>
  <c r="AH46" i="3"/>
  <c r="AI46" i="3" s="1"/>
  <c r="BM45" i="4"/>
  <c r="Z45" i="4"/>
  <c r="AA45" i="4" s="1"/>
  <c r="AA80" i="4" s="1"/>
  <c r="D20" i="4" s="1"/>
  <c r="D21" i="4" s="1"/>
  <c r="X80" i="4"/>
  <c r="AT45" i="4"/>
  <c r="AU45" i="4" s="1"/>
  <c r="BI47" i="3"/>
  <c r="BA47" i="3"/>
  <c r="AS47" i="3"/>
  <c r="AK47" i="3"/>
  <c r="BH47" i="3"/>
  <c r="BJ47" i="3" s="1"/>
  <c r="BK47" i="3" s="1"/>
  <c r="AZ47" i="3"/>
  <c r="AR47" i="3"/>
  <c r="AJ47" i="3"/>
  <c r="O48" i="3"/>
  <c r="BE47" i="3"/>
  <c r="AW47" i="3"/>
  <c r="AO47" i="3"/>
  <c r="AG47" i="3"/>
  <c r="AV47" i="3"/>
  <c r="AF47" i="3"/>
  <c r="AN47" i="3"/>
  <c r="BD47" i="3"/>
  <c r="BD46" i="4"/>
  <c r="AV46" i="4"/>
  <c r="AN46" i="4"/>
  <c r="AF46" i="4"/>
  <c r="BA46" i="4"/>
  <c r="AR46" i="4"/>
  <c r="BI46" i="4"/>
  <c r="AZ46" i="4"/>
  <c r="AJ46" i="4"/>
  <c r="AG46" i="4"/>
  <c r="O47" i="4"/>
  <c r="N47" i="4" s="1"/>
  <c r="BE46" i="4"/>
  <c r="AS46" i="4"/>
  <c r="AO46" i="4"/>
  <c r="AW46" i="4"/>
  <c r="AK46" i="4"/>
  <c r="BH46" i="4"/>
  <c r="AL46" i="3"/>
  <c r="AM46" i="3" s="1"/>
  <c r="BN45" i="4"/>
  <c r="Y80" i="4"/>
  <c r="BL49" i="15" l="1"/>
  <c r="BM48" i="15"/>
  <c r="BO47" i="15"/>
  <c r="BP47" i="15" s="1"/>
  <c r="CQ47" i="15"/>
  <c r="CS47" i="15" s="1"/>
  <c r="CA50" i="15"/>
  <c r="CB49" i="15"/>
  <c r="CD49" i="15" s="1"/>
  <c r="CE49" i="15" s="1"/>
  <c r="AW51" i="15"/>
  <c r="AX50" i="15"/>
  <c r="AZ50" i="15" s="1"/>
  <c r="BA50" i="15" s="1"/>
  <c r="BB50" i="15"/>
  <c r="BC49" i="15"/>
  <c r="BE49" i="15" s="1"/>
  <c r="BF49" i="15" s="1"/>
  <c r="CF49" i="15"/>
  <c r="CG48" i="15"/>
  <c r="CI48" i="15" s="1"/>
  <c r="CJ48" i="15" s="1"/>
  <c r="BB47" i="3"/>
  <c r="BC47" i="3" s="1"/>
  <c r="AK52" i="11"/>
  <c r="AL52" i="11" s="1"/>
  <c r="BA52" i="11"/>
  <c r="BB52" i="11" s="1"/>
  <c r="AG52" i="11"/>
  <c r="AH52" i="11" s="1"/>
  <c r="AW52" i="11"/>
  <c r="AX52" i="11" s="1"/>
  <c r="BE52" i="11"/>
  <c r="BF52" i="11" s="1"/>
  <c r="BI52" i="11"/>
  <c r="AS52" i="11"/>
  <c r="AT52" i="11" s="1"/>
  <c r="BJ46" i="4"/>
  <c r="BK46" i="4" s="1"/>
  <c r="BF47" i="3"/>
  <c r="BG47" i="3" s="1"/>
  <c r="AV53" i="11"/>
  <c r="BD53" i="11"/>
  <c r="AZ53" i="11"/>
  <c r="AU53" i="11"/>
  <c r="N54" i="11"/>
  <c r="M54" i="11" s="1"/>
  <c r="AQ53" i="11"/>
  <c r="AY53" i="11"/>
  <c r="BA53" i="11" s="1"/>
  <c r="BB53" i="11" s="1"/>
  <c r="AE53" i="11"/>
  <c r="AJ53" i="11"/>
  <c r="AF53" i="11"/>
  <c r="AN53" i="11"/>
  <c r="AM53" i="11"/>
  <c r="BC53" i="11"/>
  <c r="AA53" i="11"/>
  <c r="AI53" i="11"/>
  <c r="AB53" i="11"/>
  <c r="AR53" i="11"/>
  <c r="AO52" i="11"/>
  <c r="AP52" i="11" s="1"/>
  <c r="BJ51" i="11"/>
  <c r="BH52" i="11"/>
  <c r="AC52" i="11"/>
  <c r="AD52" i="11" s="1"/>
  <c r="AZ51" i="14"/>
  <c r="BA51" i="14" s="1"/>
  <c r="BV52" i="14"/>
  <c r="BW52" i="14" s="1"/>
  <c r="BE51" i="14"/>
  <c r="BF51" i="14" s="1"/>
  <c r="CD51" i="14"/>
  <c r="CE51" i="14" s="1"/>
  <c r="BY51" i="15"/>
  <c r="BZ51" i="15" s="1"/>
  <c r="BQ52" i="14"/>
  <c r="BR52" i="14" s="1"/>
  <c r="AP51" i="14"/>
  <c r="AQ51" i="14" s="1"/>
  <c r="AQ82" i="14" s="1"/>
  <c r="F20" i="14" s="1"/>
  <c r="M6" i="18" s="1"/>
  <c r="BL52" i="14"/>
  <c r="BM52" i="14" s="1"/>
  <c r="BB52" i="14"/>
  <c r="BC52" i="14" s="1"/>
  <c r="BR51" i="14"/>
  <c r="BT51" i="14" s="1"/>
  <c r="BU51" i="14" s="1"/>
  <c r="CF52" i="14"/>
  <c r="BW51" i="14"/>
  <c r="BY51" i="14" s="1"/>
  <c r="BZ51" i="14" s="1"/>
  <c r="BM51" i="14"/>
  <c r="BO51" i="14" s="1"/>
  <c r="BP51" i="14" s="1"/>
  <c r="AN82" i="14"/>
  <c r="AW52" i="14"/>
  <c r="AX52" i="14" s="1"/>
  <c r="CI51" i="14"/>
  <c r="CJ51" i="14" s="1"/>
  <c r="BI52" i="14"/>
  <c r="BX52" i="14"/>
  <c r="R53" i="14"/>
  <c r="CC52" i="14"/>
  <c r="BN52" i="14"/>
  <c r="BD52" i="14"/>
  <c r="AY52" i="14"/>
  <c r="Q52" i="14"/>
  <c r="BS52" i="14"/>
  <c r="CH52" i="14"/>
  <c r="CA52" i="14"/>
  <c r="AU51" i="14"/>
  <c r="AV51" i="14" s="1"/>
  <c r="AV82" i="14" s="1"/>
  <c r="G20" i="14" s="1"/>
  <c r="M22" i="18" s="1"/>
  <c r="BH51" i="14"/>
  <c r="BJ51" i="14" s="1"/>
  <c r="BK51" i="14" s="1"/>
  <c r="BG52" i="14"/>
  <c r="BT51" i="15"/>
  <c r="BU51" i="15" s="1"/>
  <c r="BO45" i="4"/>
  <c r="AT46" i="4"/>
  <c r="AU46" i="4" s="1"/>
  <c r="AP46" i="4"/>
  <c r="AQ46" i="4" s="1"/>
  <c r="AX46" i="4"/>
  <c r="AY46" i="4" s="1"/>
  <c r="AP51" i="15"/>
  <c r="AQ51" i="15" s="1"/>
  <c r="AQ82" i="15" s="1"/>
  <c r="F20" i="15" s="1"/>
  <c r="AN82" i="15"/>
  <c r="CC52" i="15"/>
  <c r="BI52" i="15"/>
  <c r="R53" i="15"/>
  <c r="BD52" i="15"/>
  <c r="Q52" i="15"/>
  <c r="BX52" i="15"/>
  <c r="AY52" i="15"/>
  <c r="BW52" i="15"/>
  <c r="BH52" i="15"/>
  <c r="CH52" i="15"/>
  <c r="BS52" i="15"/>
  <c r="BR52" i="15"/>
  <c r="BN52" i="15"/>
  <c r="BJ51" i="15"/>
  <c r="BK51" i="15" s="1"/>
  <c r="AU51" i="15"/>
  <c r="AV51" i="15" s="1"/>
  <c r="AV82" i="15" s="1"/>
  <c r="G20" i="15" s="1"/>
  <c r="AS82" i="15"/>
  <c r="CR51" i="15"/>
  <c r="AO82" i="15"/>
  <c r="BD53" i="10"/>
  <c r="AV53" i="10"/>
  <c r="AN53" i="10"/>
  <c r="AF53" i="10"/>
  <c r="BC53" i="10"/>
  <c r="BE53" i="10" s="1"/>
  <c r="BF53" i="10" s="1"/>
  <c r="AU53" i="10"/>
  <c r="AW53" i="10" s="1"/>
  <c r="AX53" i="10" s="1"/>
  <c r="AM53" i="10"/>
  <c r="AE53" i="10"/>
  <c r="AY53" i="10"/>
  <c r="AI53" i="10"/>
  <c r="N54" i="10"/>
  <c r="AR53" i="10"/>
  <c r="AB53" i="10"/>
  <c r="AZ53" i="10"/>
  <c r="AJ53" i="10"/>
  <c r="AQ53" i="10"/>
  <c r="AA53" i="10"/>
  <c r="BD47" i="4"/>
  <c r="O48" i="4"/>
  <c r="N48" i="4" s="1"/>
  <c r="BE47" i="4"/>
  <c r="AS47" i="4"/>
  <c r="AR47" i="4"/>
  <c r="AG47" i="4"/>
  <c r="AW47" i="4"/>
  <c r="AJ47" i="4"/>
  <c r="AV47" i="4"/>
  <c r="AF47" i="4"/>
  <c r="BI47" i="4"/>
  <c r="BH47" i="4"/>
  <c r="AO47" i="4"/>
  <c r="BA47" i="4"/>
  <c r="AN47" i="4"/>
  <c r="AZ47" i="4"/>
  <c r="AK47" i="4"/>
  <c r="BN46" i="4"/>
  <c r="AL46" i="4"/>
  <c r="AM46" i="4" s="1"/>
  <c r="BF46" i="4"/>
  <c r="BG46" i="4" s="1"/>
  <c r="BM46" i="4"/>
  <c r="AH46" i="4"/>
  <c r="AI46" i="4" s="1"/>
  <c r="BB46" i="4"/>
  <c r="BC46" i="4" s="1"/>
  <c r="O49" i="3"/>
  <c r="BE48" i="3"/>
  <c r="AW48" i="3"/>
  <c r="AO48" i="3"/>
  <c r="AG48" i="3"/>
  <c r="AV48" i="3"/>
  <c r="AF48" i="3"/>
  <c r="BI48" i="3"/>
  <c r="AS48" i="3"/>
  <c r="BD48" i="3"/>
  <c r="BF48" i="3" s="1"/>
  <c r="BG48" i="3" s="1"/>
  <c r="AN48" i="3"/>
  <c r="BA48" i="3"/>
  <c r="AZ48" i="3"/>
  <c r="BB48" i="3" s="1"/>
  <c r="BC48" i="3" s="1"/>
  <c r="AR48" i="3"/>
  <c r="AK48" i="3"/>
  <c r="BH48" i="3"/>
  <c r="BJ48" i="3" s="1"/>
  <c r="BK48" i="3" s="1"/>
  <c r="AJ48" i="3"/>
  <c r="AP47" i="3"/>
  <c r="AQ47" i="3" s="1"/>
  <c r="AL47" i="3"/>
  <c r="AM47" i="3" s="1"/>
  <c r="AH47" i="3"/>
  <c r="AI47" i="3" s="1"/>
  <c r="AT47" i="3"/>
  <c r="AU47" i="3" s="1"/>
  <c r="AX47" i="3"/>
  <c r="AY47" i="3" s="1"/>
  <c r="AW52" i="15" l="1"/>
  <c r="AX51" i="15"/>
  <c r="AZ51" i="15" s="1"/>
  <c r="BA51" i="15" s="1"/>
  <c r="CA51" i="15"/>
  <c r="CB50" i="15"/>
  <c r="CD50" i="15" s="1"/>
  <c r="CE50" i="15" s="1"/>
  <c r="CF50" i="15"/>
  <c r="CG49" i="15"/>
  <c r="CI49" i="15" s="1"/>
  <c r="CJ49" i="15" s="1"/>
  <c r="BO48" i="15"/>
  <c r="BP48" i="15" s="1"/>
  <c r="CQ48" i="15"/>
  <c r="CS48" i="15" s="1"/>
  <c r="BB51" i="15"/>
  <c r="BC50" i="15"/>
  <c r="BE50" i="15" s="1"/>
  <c r="BF50" i="15" s="1"/>
  <c r="BL50" i="15"/>
  <c r="BM49" i="15"/>
  <c r="AC53" i="10"/>
  <c r="AD53" i="10" s="1"/>
  <c r="AS53" i="10"/>
  <c r="AT53" i="10" s="1"/>
  <c r="AG53" i="10"/>
  <c r="AH53" i="10" s="1"/>
  <c r="AO53" i="10"/>
  <c r="AP53" i="10" s="1"/>
  <c r="AP48" i="3"/>
  <c r="AQ48" i="3" s="1"/>
  <c r="AH48" i="3"/>
  <c r="AI48" i="3" s="1"/>
  <c r="AX48" i="3"/>
  <c r="AY48" i="3" s="1"/>
  <c r="AK53" i="11"/>
  <c r="AL53" i="11" s="1"/>
  <c r="AW53" i="11"/>
  <c r="AX53" i="11" s="1"/>
  <c r="BE53" i="11"/>
  <c r="BF53" i="11" s="1"/>
  <c r="AG53" i="11"/>
  <c r="AH53" i="11" s="1"/>
  <c r="AC53" i="11"/>
  <c r="AD53" i="11" s="1"/>
  <c r="BH53" i="11"/>
  <c r="AL48" i="3"/>
  <c r="AM48" i="3" s="1"/>
  <c r="BB47" i="4"/>
  <c r="BC47" i="4" s="1"/>
  <c r="BJ47" i="4"/>
  <c r="BK47" i="4" s="1"/>
  <c r="AK53" i="10"/>
  <c r="AL53" i="10" s="1"/>
  <c r="AS53" i="11"/>
  <c r="AT53" i="11" s="1"/>
  <c r="BY52" i="14"/>
  <c r="BZ52" i="14" s="1"/>
  <c r="BJ52" i="11"/>
  <c r="BI53" i="11"/>
  <c r="AO53" i="11"/>
  <c r="AP53" i="11" s="1"/>
  <c r="AU54" i="11"/>
  <c r="AE54" i="11"/>
  <c r="BD54" i="11"/>
  <c r="AB54" i="11"/>
  <c r="AQ54" i="11"/>
  <c r="AA54" i="11"/>
  <c r="AN54" i="11"/>
  <c r="AF54" i="11"/>
  <c r="BC54" i="11"/>
  <c r="AM54" i="11"/>
  <c r="AO54" i="11" s="1"/>
  <c r="AP54" i="11" s="1"/>
  <c r="AZ54" i="11"/>
  <c r="N55" i="11"/>
  <c r="M55" i="11" s="1"/>
  <c r="AV54" i="11"/>
  <c r="AY54" i="11"/>
  <c r="BA54" i="11" s="1"/>
  <c r="BB54" i="11" s="1"/>
  <c r="AI54" i="11"/>
  <c r="AJ54" i="11"/>
  <c r="AR54" i="11"/>
  <c r="BV53" i="14"/>
  <c r="BW53" i="14" s="1"/>
  <c r="BO52" i="14"/>
  <c r="BP52" i="14" s="1"/>
  <c r="BT52" i="15"/>
  <c r="BU52" i="15" s="1"/>
  <c r="BT52" i="14"/>
  <c r="BU52" i="14" s="1"/>
  <c r="CF53" i="14"/>
  <c r="CG53" i="14" s="1"/>
  <c r="CA53" i="14"/>
  <c r="CB53" i="14" s="1"/>
  <c r="CB52" i="14"/>
  <c r="CD52" i="14" s="1"/>
  <c r="CE52" i="14" s="1"/>
  <c r="BQ53" i="14"/>
  <c r="BS53" i="14"/>
  <c r="Q53" i="14"/>
  <c r="CC53" i="14"/>
  <c r="BN53" i="14"/>
  <c r="R54" i="14"/>
  <c r="CH53" i="14"/>
  <c r="BI53" i="14"/>
  <c r="BX53" i="14"/>
  <c r="AY53" i="14"/>
  <c r="BD53" i="14"/>
  <c r="AW53" i="14"/>
  <c r="BB53" i="14"/>
  <c r="BC53" i="14" s="1"/>
  <c r="BH52" i="14"/>
  <c r="BJ52" i="14" s="1"/>
  <c r="BK52" i="14" s="1"/>
  <c r="BG53" i="14"/>
  <c r="BH53" i="14" s="1"/>
  <c r="CG52" i="14"/>
  <c r="CI52" i="14" s="1"/>
  <c r="CJ52" i="14" s="1"/>
  <c r="BL53" i="14"/>
  <c r="BE52" i="14"/>
  <c r="BF52" i="14" s="1"/>
  <c r="G21" i="14"/>
  <c r="AZ52" i="14"/>
  <c r="BA52" i="14" s="1"/>
  <c r="F21" i="14"/>
  <c r="BJ52" i="15"/>
  <c r="BK52" i="15" s="1"/>
  <c r="AL47" i="4"/>
  <c r="AM47" i="4" s="1"/>
  <c r="AP47" i="4"/>
  <c r="AQ47" i="4" s="1"/>
  <c r="BN53" i="15"/>
  <c r="CH53" i="15"/>
  <c r="BR53" i="15"/>
  <c r="Q53" i="15"/>
  <c r="BD53" i="15"/>
  <c r="BS53" i="15"/>
  <c r="R54" i="15"/>
  <c r="CC53" i="15"/>
  <c r="AY53" i="15"/>
  <c r="BI53" i="15"/>
  <c r="BH53" i="15"/>
  <c r="BW53" i="15"/>
  <c r="BX53" i="15"/>
  <c r="BY52" i="15"/>
  <c r="BZ52" i="15" s="1"/>
  <c r="G21" i="15"/>
  <c r="CR52" i="15"/>
  <c r="F21" i="15"/>
  <c r="BA53" i="10"/>
  <c r="BB53" i="10" s="1"/>
  <c r="N55" i="10"/>
  <c r="BD54" i="10"/>
  <c r="AZ54" i="10"/>
  <c r="AV54" i="10"/>
  <c r="AR54" i="10"/>
  <c r="AN54" i="10"/>
  <c r="AJ54" i="10"/>
  <c r="AF54" i="10"/>
  <c r="AB54" i="10"/>
  <c r="BC54" i="10"/>
  <c r="BE54" i="10" s="1"/>
  <c r="BF54" i="10" s="1"/>
  <c r="AY54" i="10"/>
  <c r="BA54" i="10" s="1"/>
  <c r="BB54" i="10" s="1"/>
  <c r="AU54" i="10"/>
  <c r="AW54" i="10" s="1"/>
  <c r="AX54" i="10" s="1"/>
  <c r="AQ54" i="10"/>
  <c r="AS54" i="10" s="1"/>
  <c r="AT54" i="10" s="1"/>
  <c r="AM54" i="10"/>
  <c r="AO54" i="10" s="1"/>
  <c r="AP54" i="10" s="1"/>
  <c r="AI54" i="10"/>
  <c r="AK54" i="10" s="1"/>
  <c r="AL54" i="10" s="1"/>
  <c r="AE54" i="10"/>
  <c r="AG54" i="10" s="1"/>
  <c r="AH54" i="10" s="1"/>
  <c r="AA54" i="10"/>
  <c r="AC54" i="10" s="1"/>
  <c r="AD54" i="10" s="1"/>
  <c r="O50" i="3"/>
  <c r="BE49" i="3"/>
  <c r="AW49" i="3"/>
  <c r="AO49" i="3"/>
  <c r="AG49" i="3"/>
  <c r="BD49" i="3"/>
  <c r="BF49" i="3" s="1"/>
  <c r="BG49" i="3" s="1"/>
  <c r="AV49" i="3"/>
  <c r="AN49" i="3"/>
  <c r="AP49" i="3" s="1"/>
  <c r="AQ49" i="3" s="1"/>
  <c r="AF49" i="3"/>
  <c r="BI49" i="3"/>
  <c r="BA49" i="3"/>
  <c r="AS49" i="3"/>
  <c r="AK49" i="3"/>
  <c r="BH49" i="3"/>
  <c r="BJ49" i="3" s="1"/>
  <c r="BK49" i="3" s="1"/>
  <c r="AR49" i="3"/>
  <c r="AJ49" i="3"/>
  <c r="AZ49" i="3"/>
  <c r="AT48" i="3"/>
  <c r="AU48" i="3" s="1"/>
  <c r="BO46" i="4"/>
  <c r="AT47" i="4"/>
  <c r="AU47" i="4" s="1"/>
  <c r="BN47" i="4"/>
  <c r="AH47" i="4"/>
  <c r="AI47" i="4" s="1"/>
  <c r="BM47" i="4"/>
  <c r="BH48" i="4"/>
  <c r="AZ48" i="4"/>
  <c r="AR48" i="4"/>
  <c r="AJ48" i="4"/>
  <c r="BD48" i="4"/>
  <c r="AV48" i="4"/>
  <c r="AN48" i="4"/>
  <c r="AF48" i="4"/>
  <c r="BE48" i="4"/>
  <c r="AS48" i="4"/>
  <c r="O49" i="4"/>
  <c r="N49" i="4" s="1"/>
  <c r="BI48" i="4"/>
  <c r="AO48" i="4"/>
  <c r="BA48" i="4"/>
  <c r="AK48" i="4"/>
  <c r="AW48" i="4"/>
  <c r="AG48" i="4"/>
  <c r="AX47" i="4"/>
  <c r="AY47" i="4" s="1"/>
  <c r="BF47" i="4"/>
  <c r="BG47" i="4" s="1"/>
  <c r="BE54" i="11" l="1"/>
  <c r="BF54" i="11" s="1"/>
  <c r="AG54" i="11"/>
  <c r="AH54" i="11" s="1"/>
  <c r="AX49" i="3"/>
  <c r="AY49" i="3" s="1"/>
  <c r="CF51" i="15"/>
  <c r="CG50" i="15"/>
  <c r="CI50" i="15" s="1"/>
  <c r="CJ50" i="15" s="1"/>
  <c r="BO49" i="15"/>
  <c r="BP49" i="15" s="1"/>
  <c r="CQ49" i="15"/>
  <c r="CS49" i="15" s="1"/>
  <c r="BM50" i="15"/>
  <c r="BL51" i="15"/>
  <c r="CA52" i="15"/>
  <c r="CB51" i="15"/>
  <c r="CD51" i="15" s="1"/>
  <c r="CE51" i="15" s="1"/>
  <c r="BB49" i="3"/>
  <c r="BC49" i="3" s="1"/>
  <c r="AH49" i="3"/>
  <c r="AI49" i="3" s="1"/>
  <c r="BB52" i="15"/>
  <c r="BC51" i="15"/>
  <c r="BE51" i="15" s="1"/>
  <c r="BF51" i="15" s="1"/>
  <c r="AW53" i="15"/>
  <c r="AX52" i="15"/>
  <c r="AZ52" i="15" s="1"/>
  <c r="BA52" i="15" s="1"/>
  <c r="AT49" i="3"/>
  <c r="AU49" i="3" s="1"/>
  <c r="BJ53" i="14"/>
  <c r="BK53" i="14" s="1"/>
  <c r="CD53" i="14"/>
  <c r="CE53" i="14" s="1"/>
  <c r="AS54" i="11"/>
  <c r="AT54" i="11" s="1"/>
  <c r="AW54" i="11"/>
  <c r="AX54" i="11" s="1"/>
  <c r="AL49" i="3"/>
  <c r="AM49" i="3" s="1"/>
  <c r="BE53" i="14"/>
  <c r="BF53" i="14" s="1"/>
  <c r="AZ55" i="11"/>
  <c r="AJ55" i="11"/>
  <c r="AM55" i="11"/>
  <c r="AU55" i="11"/>
  <c r="AV55" i="11"/>
  <c r="AF55" i="11"/>
  <c r="N56" i="11"/>
  <c r="M56" i="11" s="1"/>
  <c r="AE55" i="11"/>
  <c r="AR55" i="11"/>
  <c r="AB55" i="11"/>
  <c r="AQ55" i="11"/>
  <c r="AI55" i="11"/>
  <c r="BD55" i="11"/>
  <c r="AN55" i="11"/>
  <c r="BC55" i="11"/>
  <c r="AA55" i="11"/>
  <c r="AY55" i="11"/>
  <c r="BA55" i="11" s="1"/>
  <c r="BB55" i="11" s="1"/>
  <c r="BI54" i="11"/>
  <c r="BJ53" i="11"/>
  <c r="AK54" i="11"/>
  <c r="AL54" i="11" s="1"/>
  <c r="BH54" i="11"/>
  <c r="AC54" i="11"/>
  <c r="AD54" i="11" s="1"/>
  <c r="BL54" i="14"/>
  <c r="BM54" i="14" s="1"/>
  <c r="AW54" i="14"/>
  <c r="AX54" i="14" s="1"/>
  <c r="BY53" i="14"/>
  <c r="BZ53" i="14" s="1"/>
  <c r="BY53" i="15"/>
  <c r="BZ53" i="15" s="1"/>
  <c r="BB54" i="14"/>
  <c r="BC54" i="14" s="1"/>
  <c r="BM53" i="14"/>
  <c r="BO53" i="14" s="1"/>
  <c r="BP53" i="14" s="1"/>
  <c r="CI53" i="14"/>
  <c r="CJ53" i="14" s="1"/>
  <c r="BR53" i="14"/>
  <c r="BT53" i="14" s="1"/>
  <c r="BU53" i="14" s="1"/>
  <c r="BQ54" i="14"/>
  <c r="BS54" i="14"/>
  <c r="BI54" i="14"/>
  <c r="BX54" i="14"/>
  <c r="CC54" i="14"/>
  <c r="R55" i="14"/>
  <c r="BD54" i="14"/>
  <c r="CH54" i="14"/>
  <c r="Q54" i="14"/>
  <c r="BN54" i="14"/>
  <c r="AY54" i="14"/>
  <c r="CA54" i="14"/>
  <c r="CB54" i="14" s="1"/>
  <c r="BG54" i="14"/>
  <c r="AX53" i="14"/>
  <c r="CF54" i="14"/>
  <c r="BV54" i="14"/>
  <c r="CR53" i="15"/>
  <c r="BO47" i="4"/>
  <c r="BB48" i="4"/>
  <c r="BC48" i="4" s="1"/>
  <c r="AP48" i="4"/>
  <c r="AQ48" i="4" s="1"/>
  <c r="BJ48" i="4"/>
  <c r="BK48" i="4" s="1"/>
  <c r="BT53" i="15"/>
  <c r="BU53" i="15" s="1"/>
  <c r="BW54" i="15"/>
  <c r="AY54" i="15"/>
  <c r="R55" i="15"/>
  <c r="BS54" i="15"/>
  <c r="Q54" i="15"/>
  <c r="CH54" i="15"/>
  <c r="BX54" i="15"/>
  <c r="CC54" i="15"/>
  <c r="BN54" i="15"/>
  <c r="BI54" i="15"/>
  <c r="BH54" i="15"/>
  <c r="BD54" i="15"/>
  <c r="BR54" i="15"/>
  <c r="BJ53" i="15"/>
  <c r="BK53" i="15" s="1"/>
  <c r="N56" i="10"/>
  <c r="AZ55" i="10"/>
  <c r="AR55" i="10"/>
  <c r="AJ55" i="10"/>
  <c r="AB55" i="10"/>
  <c r="AY55" i="10"/>
  <c r="AQ55" i="10"/>
  <c r="AS55" i="10" s="1"/>
  <c r="AT55" i="10" s="1"/>
  <c r="AI55" i="10"/>
  <c r="AK55" i="10" s="1"/>
  <c r="AL55" i="10" s="1"/>
  <c r="AA55" i="10"/>
  <c r="AC55" i="10" s="1"/>
  <c r="AD55" i="10" s="1"/>
  <c r="AU55" i="10"/>
  <c r="AE55" i="10"/>
  <c r="BD55" i="10"/>
  <c r="AN55" i="10"/>
  <c r="AV55" i="10"/>
  <c r="AF55" i="10"/>
  <c r="BC55" i="10"/>
  <c r="BE55" i="10" s="1"/>
  <c r="BF55" i="10" s="1"/>
  <c r="AM55" i="10"/>
  <c r="AO55" i="10" s="1"/>
  <c r="AP55" i="10" s="1"/>
  <c r="AH48" i="4"/>
  <c r="AI48" i="4" s="1"/>
  <c r="BM48" i="4"/>
  <c r="AX48" i="4"/>
  <c r="AY48" i="4" s="1"/>
  <c r="BN48" i="4"/>
  <c r="BF48" i="4"/>
  <c r="BG48" i="4" s="1"/>
  <c r="AL48" i="4"/>
  <c r="AM48" i="4" s="1"/>
  <c r="BH49" i="4"/>
  <c r="AZ49" i="4"/>
  <c r="AR49" i="4"/>
  <c r="AJ49" i="4"/>
  <c r="BE49" i="4"/>
  <c r="AS49" i="4"/>
  <c r="AF49" i="4"/>
  <c r="O50" i="4"/>
  <c r="N50" i="4" s="1"/>
  <c r="BD49" i="4"/>
  <c r="BF49" i="4" s="1"/>
  <c r="BG49" i="4" s="1"/>
  <c r="BI49" i="4"/>
  <c r="AN49" i="4"/>
  <c r="BA49" i="4"/>
  <c r="AK49" i="4"/>
  <c r="AW49" i="4"/>
  <c r="AG49" i="4"/>
  <c r="AV49" i="4"/>
  <c r="AO49" i="4"/>
  <c r="AT48" i="4"/>
  <c r="AU48" i="4" s="1"/>
  <c r="BI50" i="3"/>
  <c r="BA50" i="3"/>
  <c r="AS50" i="3"/>
  <c r="AK50" i="3"/>
  <c r="BH50" i="3"/>
  <c r="AR50" i="3"/>
  <c r="AT50" i="3" s="1"/>
  <c r="AU50" i="3" s="1"/>
  <c r="BE50" i="3"/>
  <c r="AO50" i="3"/>
  <c r="AZ50" i="3"/>
  <c r="AJ50" i="3"/>
  <c r="AL50" i="3" s="1"/>
  <c r="AM50" i="3" s="1"/>
  <c r="AW50" i="3"/>
  <c r="AV50" i="3"/>
  <c r="AN50" i="3"/>
  <c r="O51" i="3"/>
  <c r="AG50" i="3"/>
  <c r="BD50" i="3"/>
  <c r="AF50" i="3"/>
  <c r="AK55" i="11" l="1"/>
  <c r="AL55" i="11" s="1"/>
  <c r="CD54" i="14"/>
  <c r="CE54" i="14" s="1"/>
  <c r="BJ50" i="3"/>
  <c r="BK50" i="3" s="1"/>
  <c r="CA53" i="15"/>
  <c r="CB52" i="15"/>
  <c r="CD52" i="15" s="1"/>
  <c r="CE52" i="15" s="1"/>
  <c r="BL52" i="15"/>
  <c r="BM51" i="15"/>
  <c r="BO51" i="15" s="1"/>
  <c r="BP51" i="15" s="1"/>
  <c r="BB53" i="15"/>
  <c r="BC52" i="15"/>
  <c r="BE52" i="15" s="1"/>
  <c r="BF52" i="15" s="1"/>
  <c r="BO50" i="15"/>
  <c r="BP50" i="15" s="1"/>
  <c r="CQ50" i="15"/>
  <c r="CS50" i="15" s="1"/>
  <c r="AW54" i="15"/>
  <c r="AX53" i="15"/>
  <c r="AZ53" i="15" s="1"/>
  <c r="BA53" i="15" s="1"/>
  <c r="BA55" i="10"/>
  <c r="BB55" i="10" s="1"/>
  <c r="CF52" i="15"/>
  <c r="CG51" i="15"/>
  <c r="CI51" i="15" s="1"/>
  <c r="CJ51" i="15" s="1"/>
  <c r="BT54" i="15"/>
  <c r="BU54" i="15" s="1"/>
  <c r="AW55" i="11"/>
  <c r="AX55" i="11" s="1"/>
  <c r="BE55" i="11"/>
  <c r="BF55" i="11" s="1"/>
  <c r="AS55" i="11"/>
  <c r="AT55" i="11" s="1"/>
  <c r="AH50" i="3"/>
  <c r="AI50" i="3" s="1"/>
  <c r="BE54" i="14"/>
  <c r="BF54" i="14" s="1"/>
  <c r="AT49" i="4"/>
  <c r="AU49" i="4" s="1"/>
  <c r="BF50" i="3"/>
  <c r="BG50" i="3" s="1"/>
  <c r="AX50" i="3"/>
  <c r="AY50" i="3" s="1"/>
  <c r="BI55" i="11"/>
  <c r="AO55" i="11"/>
  <c r="AP55" i="11" s="1"/>
  <c r="BJ54" i="11"/>
  <c r="BH55" i="11"/>
  <c r="AC55" i="11"/>
  <c r="AD55" i="11" s="1"/>
  <c r="AG55" i="11"/>
  <c r="AH55" i="11" s="1"/>
  <c r="AV56" i="11"/>
  <c r="AZ56" i="11"/>
  <c r="BD56" i="11"/>
  <c r="AR56" i="11"/>
  <c r="AQ56" i="11"/>
  <c r="AU56" i="11"/>
  <c r="AY56" i="11"/>
  <c r="AM56" i="11"/>
  <c r="AF56" i="11"/>
  <c r="AF79" i="11" s="1"/>
  <c r="AJ56" i="11"/>
  <c r="AN56" i="11"/>
  <c r="BC56" i="11"/>
  <c r="N57" i="11"/>
  <c r="M57" i="11" s="1"/>
  <c r="AA56" i="11"/>
  <c r="AE56" i="11"/>
  <c r="AI56" i="11"/>
  <c r="AB56" i="11"/>
  <c r="BS55" i="14"/>
  <c r="Q55" i="14"/>
  <c r="BI55" i="14"/>
  <c r="CH55" i="14"/>
  <c r="AY55" i="14"/>
  <c r="BX55" i="14"/>
  <c r="BN55" i="14"/>
  <c r="R56" i="14"/>
  <c r="CC55" i="14"/>
  <c r="BD55" i="14"/>
  <c r="BV55" i="14"/>
  <c r="CF55" i="14"/>
  <c r="CG55" i="14" s="1"/>
  <c r="CI55" i="14" s="1"/>
  <c r="CJ55" i="14" s="1"/>
  <c r="BG55" i="14"/>
  <c r="AZ54" i="14"/>
  <c r="BA54" i="14" s="1"/>
  <c r="BW54" i="14"/>
  <c r="BY54" i="14" s="1"/>
  <c r="BZ54" i="14" s="1"/>
  <c r="BQ55" i="14"/>
  <c r="BR55" i="14" s="1"/>
  <c r="BT55" i="14" s="1"/>
  <c r="BU55" i="14" s="1"/>
  <c r="BL55" i="14"/>
  <c r="BM55" i="14" s="1"/>
  <c r="BO54" i="14"/>
  <c r="BP54" i="14" s="1"/>
  <c r="AW55" i="14"/>
  <c r="AZ53" i="14"/>
  <c r="BA53" i="14" s="1"/>
  <c r="CA55" i="14"/>
  <c r="BR54" i="14"/>
  <c r="BT54" i="14" s="1"/>
  <c r="BU54" i="14" s="1"/>
  <c r="BH54" i="14"/>
  <c r="BJ54" i="14" s="1"/>
  <c r="BK54" i="14" s="1"/>
  <c r="CG54" i="14"/>
  <c r="CI54" i="14" s="1"/>
  <c r="CJ54" i="14" s="1"/>
  <c r="BB55" i="14"/>
  <c r="BJ54" i="15"/>
  <c r="BK54" i="15" s="1"/>
  <c r="BO48" i="4"/>
  <c r="AX49" i="4"/>
  <c r="AY49" i="4" s="1"/>
  <c r="AL49" i="4"/>
  <c r="AM49" i="4" s="1"/>
  <c r="BB49" i="4"/>
  <c r="BC49" i="4" s="1"/>
  <c r="BY54" i="15"/>
  <c r="BZ54" i="15" s="1"/>
  <c r="BX55" i="15"/>
  <c r="BH55" i="15"/>
  <c r="BD55" i="15"/>
  <c r="BS55" i="15"/>
  <c r="BI55" i="15"/>
  <c r="CC55" i="15"/>
  <c r="BR55" i="15"/>
  <c r="Q55" i="15"/>
  <c r="BW55" i="15"/>
  <c r="CH55" i="15"/>
  <c r="BN55" i="15"/>
  <c r="R56" i="15"/>
  <c r="AY55" i="15"/>
  <c r="CR54" i="15"/>
  <c r="AG55" i="10"/>
  <c r="AH55" i="10" s="1"/>
  <c r="AW55" i="10"/>
  <c r="AX55" i="10" s="1"/>
  <c r="N57" i="10"/>
  <c r="BD56" i="10"/>
  <c r="AZ56" i="10"/>
  <c r="AV56" i="10"/>
  <c r="AR56" i="10"/>
  <c r="AN56" i="10"/>
  <c r="AJ56" i="10"/>
  <c r="AF56" i="10"/>
  <c r="AF80" i="10" s="1"/>
  <c r="AB56" i="10"/>
  <c r="AB80" i="10" s="1"/>
  <c r="BC56" i="10"/>
  <c r="BE56" i="10" s="1"/>
  <c r="BF56" i="10" s="1"/>
  <c r="AY56" i="10"/>
  <c r="BA56" i="10" s="1"/>
  <c r="BB56" i="10" s="1"/>
  <c r="AU56" i="10"/>
  <c r="AW56" i="10" s="1"/>
  <c r="AX56" i="10" s="1"/>
  <c r="AQ56" i="10"/>
  <c r="AS56" i="10" s="1"/>
  <c r="AT56" i="10" s="1"/>
  <c r="AM56" i="10"/>
  <c r="AO56" i="10" s="1"/>
  <c r="AP56" i="10" s="1"/>
  <c r="AI56" i="10"/>
  <c r="AK56" i="10" s="1"/>
  <c r="AL56" i="10" s="1"/>
  <c r="AE56" i="10"/>
  <c r="AA56" i="10"/>
  <c r="BJ49" i="4"/>
  <c r="BK49" i="4" s="1"/>
  <c r="BI51" i="3"/>
  <c r="BA51" i="3"/>
  <c r="AS51" i="3"/>
  <c r="AK51" i="3"/>
  <c r="BH51" i="3"/>
  <c r="AZ51" i="3"/>
  <c r="AR51" i="3"/>
  <c r="AT51" i="3" s="1"/>
  <c r="AU51" i="3" s="1"/>
  <c r="AJ51" i="3"/>
  <c r="AL51" i="3" s="1"/>
  <c r="AM51" i="3" s="1"/>
  <c r="O52" i="3"/>
  <c r="BE51" i="3"/>
  <c r="AW51" i="3"/>
  <c r="AO51" i="3"/>
  <c r="AG51" i="3"/>
  <c r="BD51" i="3"/>
  <c r="AN51" i="3"/>
  <c r="AF51" i="3"/>
  <c r="AV51" i="3"/>
  <c r="BN49" i="4"/>
  <c r="BD50" i="4"/>
  <c r="AV50" i="4"/>
  <c r="AN50" i="4"/>
  <c r="AF50" i="4"/>
  <c r="BH50" i="4"/>
  <c r="AZ50" i="4"/>
  <c r="AR50" i="4"/>
  <c r="AJ50" i="4"/>
  <c r="AS50" i="4"/>
  <c r="AG50" i="4"/>
  <c r="O51" i="4"/>
  <c r="N51" i="4" s="1"/>
  <c r="BE50" i="4"/>
  <c r="AO50" i="4"/>
  <c r="BI50" i="4"/>
  <c r="AK50" i="4"/>
  <c r="BA50" i="4"/>
  <c r="AW50" i="4"/>
  <c r="AP50" i="3"/>
  <c r="AQ50" i="3" s="1"/>
  <c r="AH49" i="4"/>
  <c r="AI49" i="4" s="1"/>
  <c r="BM49" i="4"/>
  <c r="BB50" i="3"/>
  <c r="BC50" i="3" s="1"/>
  <c r="AP49" i="4"/>
  <c r="AQ49" i="4" s="1"/>
  <c r="CQ51" i="15" l="1"/>
  <c r="CS51" i="15" s="1"/>
  <c r="BB54" i="15"/>
  <c r="BC53" i="15"/>
  <c r="BE53" i="15" s="1"/>
  <c r="BF53" i="15" s="1"/>
  <c r="BM52" i="15"/>
  <c r="BL53" i="15"/>
  <c r="AW55" i="15"/>
  <c r="AX54" i="15"/>
  <c r="AZ54" i="15" s="1"/>
  <c r="BA54" i="15" s="1"/>
  <c r="BF51" i="3"/>
  <c r="BG51" i="3" s="1"/>
  <c r="BB51" i="3"/>
  <c r="BC51" i="3" s="1"/>
  <c r="CA54" i="15"/>
  <c r="CB53" i="15"/>
  <c r="CD53" i="15" s="1"/>
  <c r="CE53" i="15" s="1"/>
  <c r="CG52" i="15"/>
  <c r="CI52" i="15" s="1"/>
  <c r="CJ52" i="15" s="1"/>
  <c r="CF53" i="15"/>
  <c r="BJ51" i="3"/>
  <c r="BK51" i="3" s="1"/>
  <c r="AK56" i="11"/>
  <c r="AL56" i="11" s="1"/>
  <c r="BA56" i="11"/>
  <c r="BB56" i="11" s="1"/>
  <c r="AP51" i="3"/>
  <c r="AQ51" i="3" s="1"/>
  <c r="AW56" i="11"/>
  <c r="AX56" i="11" s="1"/>
  <c r="AX51" i="3"/>
  <c r="AY51" i="3" s="1"/>
  <c r="BY55" i="15"/>
  <c r="BZ55" i="15" s="1"/>
  <c r="AS56" i="11"/>
  <c r="AT56" i="11" s="1"/>
  <c r="BJ55" i="11"/>
  <c r="BE56" i="11"/>
  <c r="BF56" i="11" s="1"/>
  <c r="AG56" i="11"/>
  <c r="AH56" i="11" s="1"/>
  <c r="AH79" i="11" s="1"/>
  <c r="F20" i="11" s="1"/>
  <c r="F21" i="11" s="1"/>
  <c r="AE79" i="11"/>
  <c r="BB50" i="4"/>
  <c r="BC50" i="4" s="1"/>
  <c r="AH51" i="3"/>
  <c r="AI51" i="3" s="1"/>
  <c r="BH56" i="11"/>
  <c r="AA79" i="11"/>
  <c r="AC56" i="11"/>
  <c r="AD56" i="11" s="1"/>
  <c r="AD79" i="11" s="1"/>
  <c r="E20" i="11" s="1"/>
  <c r="E21" i="11" s="1"/>
  <c r="AB79" i="11"/>
  <c r="BI56" i="11"/>
  <c r="AR57" i="11"/>
  <c r="AZ57" i="11"/>
  <c r="AI57" i="11"/>
  <c r="AM57" i="11"/>
  <c r="AU57" i="11"/>
  <c r="AY57" i="11"/>
  <c r="BA57" i="11" s="1"/>
  <c r="BB57" i="11" s="1"/>
  <c r="N58" i="11"/>
  <c r="M58" i="11" s="1"/>
  <c r="AV57" i="11"/>
  <c r="AJ57" i="11"/>
  <c r="AN57" i="11"/>
  <c r="BC57" i="11"/>
  <c r="AQ57" i="11"/>
  <c r="BD57" i="11"/>
  <c r="AO56" i="11"/>
  <c r="AP56" i="11" s="1"/>
  <c r="BO55" i="14"/>
  <c r="BP55" i="14" s="1"/>
  <c r="CA56" i="14"/>
  <c r="CB56" i="14" s="1"/>
  <c r="BG56" i="14"/>
  <c r="BH56" i="14" s="1"/>
  <c r="AW56" i="14"/>
  <c r="AX56" i="14" s="1"/>
  <c r="BJ55" i="15"/>
  <c r="BK55" i="15" s="1"/>
  <c r="CB55" i="14"/>
  <c r="CD55" i="14" s="1"/>
  <c r="CE55" i="14" s="1"/>
  <c r="CF56" i="14"/>
  <c r="CG56" i="14" s="1"/>
  <c r="BH55" i="14"/>
  <c r="BJ55" i="14" s="1"/>
  <c r="BK55" i="14" s="1"/>
  <c r="BI56" i="14"/>
  <c r="CH56" i="14"/>
  <c r="BX56" i="14"/>
  <c r="AY56" i="14"/>
  <c r="CC56" i="14"/>
  <c r="R57" i="14"/>
  <c r="Q56" i="14"/>
  <c r="BD56" i="14"/>
  <c r="BN56" i="14"/>
  <c r="BS56" i="14"/>
  <c r="BB56" i="14"/>
  <c r="BV56" i="14"/>
  <c r="BW56" i="14" s="1"/>
  <c r="BY56" i="14" s="1"/>
  <c r="BZ56" i="14" s="1"/>
  <c r="AX55" i="14"/>
  <c r="BW55" i="14"/>
  <c r="BY55" i="14" s="1"/>
  <c r="BZ55" i="14" s="1"/>
  <c r="BL56" i="14"/>
  <c r="BC55" i="14"/>
  <c r="BQ56" i="14"/>
  <c r="BT55" i="15"/>
  <c r="BU55" i="15" s="1"/>
  <c r="AT50" i="4"/>
  <c r="AU50" i="4" s="1"/>
  <c r="BO49" i="4"/>
  <c r="BJ50" i="4"/>
  <c r="BK50" i="4" s="1"/>
  <c r="BI56" i="15"/>
  <c r="CC56" i="15"/>
  <c r="BD56" i="15"/>
  <c r="BX56" i="15"/>
  <c r="BN56" i="15"/>
  <c r="CH56" i="15"/>
  <c r="BS56" i="15"/>
  <c r="BR56" i="15"/>
  <c r="R57" i="15"/>
  <c r="AY56" i="15"/>
  <c r="BH56" i="15"/>
  <c r="BW56" i="15"/>
  <c r="Q56" i="15"/>
  <c r="CR55" i="15"/>
  <c r="AC56" i="10"/>
  <c r="AD56" i="10" s="1"/>
  <c r="AD80" i="10" s="1"/>
  <c r="E20" i="10" s="1"/>
  <c r="AA80" i="10"/>
  <c r="BD57" i="10"/>
  <c r="AV57" i="10"/>
  <c r="AN57" i="10"/>
  <c r="BC57" i="10"/>
  <c r="AU57" i="10"/>
  <c r="AM57" i="10"/>
  <c r="AY57" i="10"/>
  <c r="AI57" i="10"/>
  <c r="N58" i="10"/>
  <c r="AR57" i="10"/>
  <c r="AZ57" i="10"/>
  <c r="AJ57" i="10"/>
  <c r="AQ57" i="10"/>
  <c r="AG56" i="10"/>
  <c r="AH56" i="10" s="1"/>
  <c r="AH80" i="10" s="1"/>
  <c r="F20" i="10" s="1"/>
  <c r="AE80" i="10"/>
  <c r="BM50" i="4"/>
  <c r="AH50" i="4"/>
  <c r="AI50" i="4" s="1"/>
  <c r="BD51" i="4"/>
  <c r="AV51" i="4"/>
  <c r="AN51" i="4"/>
  <c r="AF51" i="4"/>
  <c r="AS51" i="4"/>
  <c r="AG51" i="4"/>
  <c r="O52" i="4"/>
  <c r="N52" i="4" s="1"/>
  <c r="BE51" i="4"/>
  <c r="AR51" i="4"/>
  <c r="AO51" i="4"/>
  <c r="BI51" i="4"/>
  <c r="BH51" i="4"/>
  <c r="AK51" i="4"/>
  <c r="BA51" i="4"/>
  <c r="AJ51" i="4"/>
  <c r="AZ51" i="4"/>
  <c r="AW51" i="4"/>
  <c r="AX50" i="4"/>
  <c r="AY50" i="4" s="1"/>
  <c r="BF50" i="4"/>
  <c r="BG50" i="4" s="1"/>
  <c r="AP50" i="4"/>
  <c r="AQ50" i="4" s="1"/>
  <c r="BN50" i="4"/>
  <c r="AL50" i="4"/>
  <c r="AM50" i="4" s="1"/>
  <c r="O53" i="3"/>
  <c r="BE52" i="3"/>
  <c r="AW52" i="3"/>
  <c r="AO52" i="3"/>
  <c r="AG52" i="3"/>
  <c r="BD52" i="3"/>
  <c r="BF52" i="3" s="1"/>
  <c r="BG52" i="3" s="1"/>
  <c r="AN52" i="3"/>
  <c r="BA52" i="3"/>
  <c r="AK52" i="3"/>
  <c r="AV52" i="3"/>
  <c r="AF52" i="3"/>
  <c r="AS52" i="3"/>
  <c r="AR52" i="3"/>
  <c r="AJ52" i="3"/>
  <c r="BI52" i="3"/>
  <c r="AZ52" i="3"/>
  <c r="BB52" i="3" s="1"/>
  <c r="BC52" i="3" s="1"/>
  <c r="BH52" i="3"/>
  <c r="AW56" i="15" l="1"/>
  <c r="AX55" i="15"/>
  <c r="AZ55" i="15" s="1"/>
  <c r="BA55" i="15" s="1"/>
  <c r="CF54" i="15"/>
  <c r="CG53" i="15"/>
  <c r="CI53" i="15" s="1"/>
  <c r="CJ53" i="15" s="1"/>
  <c r="BL54" i="15"/>
  <c r="BM53" i="15"/>
  <c r="BO52" i="15"/>
  <c r="BP52" i="15" s="1"/>
  <c r="CQ52" i="15"/>
  <c r="CS52" i="15" s="1"/>
  <c r="CA55" i="15"/>
  <c r="CB54" i="15"/>
  <c r="CD54" i="15" s="1"/>
  <c r="CE54" i="15" s="1"/>
  <c r="BB55" i="15"/>
  <c r="BC54" i="15"/>
  <c r="BE54" i="15" s="1"/>
  <c r="BF54" i="15" s="1"/>
  <c r="CF57" i="14"/>
  <c r="CG57" i="14" s="1"/>
  <c r="AP52" i="3"/>
  <c r="AQ52" i="3" s="1"/>
  <c r="AX52" i="3"/>
  <c r="AY52" i="3" s="1"/>
  <c r="AO57" i="10"/>
  <c r="AP57" i="10" s="1"/>
  <c r="AT52" i="3"/>
  <c r="AU52" i="3" s="1"/>
  <c r="AS57" i="11"/>
  <c r="AT57" i="11" s="1"/>
  <c r="BE57" i="10"/>
  <c r="BF57" i="10" s="1"/>
  <c r="BI57" i="11"/>
  <c r="AW57" i="11"/>
  <c r="AX57" i="11" s="1"/>
  <c r="AO57" i="11"/>
  <c r="AP57" i="11" s="1"/>
  <c r="BE57" i="11"/>
  <c r="BF57" i="11" s="1"/>
  <c r="AY58" i="11"/>
  <c r="AI58" i="11"/>
  <c r="AR58" i="11"/>
  <c r="AU58" i="11"/>
  <c r="BD58" i="11"/>
  <c r="AV58" i="11"/>
  <c r="AQ58" i="11"/>
  <c r="AN58" i="11"/>
  <c r="AJ58" i="11"/>
  <c r="BC58" i="11"/>
  <c r="AM58" i="11"/>
  <c r="N59" i="11"/>
  <c r="M59" i="11" s="1"/>
  <c r="AZ58" i="11"/>
  <c r="BH57" i="11"/>
  <c r="AK57" i="11"/>
  <c r="AL57" i="11" s="1"/>
  <c r="AH52" i="3"/>
  <c r="AI52" i="3" s="1"/>
  <c r="AL52" i="3"/>
  <c r="AM52" i="3" s="1"/>
  <c r="BJ51" i="4"/>
  <c r="BK51" i="4" s="1"/>
  <c r="AS57" i="10"/>
  <c r="AT57" i="10" s="1"/>
  <c r="AW57" i="10"/>
  <c r="AX57" i="10" s="1"/>
  <c r="BJ56" i="11"/>
  <c r="CD56" i="14"/>
  <c r="CE56" i="14" s="1"/>
  <c r="BJ56" i="14"/>
  <c r="BK56" i="14" s="1"/>
  <c r="BT56" i="15"/>
  <c r="BU56" i="15" s="1"/>
  <c r="BQ57" i="14"/>
  <c r="BR57" i="14" s="1"/>
  <c r="BB57" i="14"/>
  <c r="BC57" i="14" s="1"/>
  <c r="AW57" i="14"/>
  <c r="BL57" i="14"/>
  <c r="BM57" i="14" s="1"/>
  <c r="BE55" i="14"/>
  <c r="BF55" i="14" s="1"/>
  <c r="BR56" i="14"/>
  <c r="BT56" i="14" s="1"/>
  <c r="BU56" i="14" s="1"/>
  <c r="AZ56" i="14"/>
  <c r="BA56" i="14" s="1"/>
  <c r="CI56" i="14"/>
  <c r="CJ56" i="14" s="1"/>
  <c r="R58" i="14"/>
  <c r="CH57" i="14"/>
  <c r="AX57" i="14"/>
  <c r="AX82" i="14" s="1"/>
  <c r="CC57" i="14"/>
  <c r="BX57" i="14"/>
  <c r="BS57" i="14"/>
  <c r="AY57" i="14"/>
  <c r="AY82" i="14" s="1"/>
  <c r="Q57" i="14"/>
  <c r="BN57" i="14"/>
  <c r="BI57" i="14"/>
  <c r="BD57" i="14"/>
  <c r="BD82" i="14" s="1"/>
  <c r="CA57" i="14"/>
  <c r="CB57" i="14" s="1"/>
  <c r="AZ55" i="14"/>
  <c r="BA55" i="14" s="1"/>
  <c r="BC56" i="14"/>
  <c r="BE56" i="14" s="1"/>
  <c r="BF56" i="14" s="1"/>
  <c r="BG57" i="14"/>
  <c r="BV57" i="14"/>
  <c r="BW57" i="14" s="1"/>
  <c r="BM56" i="14"/>
  <c r="BO56" i="14" s="1"/>
  <c r="BP56" i="14" s="1"/>
  <c r="BJ56" i="15"/>
  <c r="BK56" i="15" s="1"/>
  <c r="CR56" i="15"/>
  <c r="AP51" i="4"/>
  <c r="AQ51" i="4" s="1"/>
  <c r="BR57" i="15"/>
  <c r="BW57" i="15"/>
  <c r="AY57" i="15"/>
  <c r="BN57" i="15"/>
  <c r="R58" i="15"/>
  <c r="BD57" i="15"/>
  <c r="BD82" i="15" s="1"/>
  <c r="BS57" i="15"/>
  <c r="CH57" i="15"/>
  <c r="BI57" i="15"/>
  <c r="BH57" i="15"/>
  <c r="Q57" i="15"/>
  <c r="CC57" i="15"/>
  <c r="BX57" i="15"/>
  <c r="BY56" i="15"/>
  <c r="BZ56" i="15" s="1"/>
  <c r="AK57" i="10"/>
  <c r="AL57" i="10" s="1"/>
  <c r="K23" i="13"/>
  <c r="F21" i="10"/>
  <c r="BA57" i="10"/>
  <c r="BB57" i="10" s="1"/>
  <c r="K7" i="13"/>
  <c r="E21" i="10"/>
  <c r="N59" i="10"/>
  <c r="BD58" i="10"/>
  <c r="AZ58" i="10"/>
  <c r="AV58" i="10"/>
  <c r="AR58" i="10"/>
  <c r="AN58" i="10"/>
  <c r="AJ58" i="10"/>
  <c r="BC58" i="10"/>
  <c r="AY58" i="10"/>
  <c r="AU58" i="10"/>
  <c r="AQ58" i="10"/>
  <c r="AM58" i="10"/>
  <c r="AI58" i="10"/>
  <c r="AH51" i="4"/>
  <c r="AI51" i="4" s="1"/>
  <c r="BM51" i="4"/>
  <c r="AX51" i="4"/>
  <c r="AY51" i="4" s="1"/>
  <c r="BN51" i="4"/>
  <c r="AT51" i="4"/>
  <c r="AU51" i="4" s="1"/>
  <c r="BF51" i="4"/>
  <c r="BG51" i="4" s="1"/>
  <c r="BB51" i="4"/>
  <c r="BC51" i="4" s="1"/>
  <c r="BJ52" i="3"/>
  <c r="BK52" i="3" s="1"/>
  <c r="O54" i="3"/>
  <c r="BE53" i="3"/>
  <c r="AW53" i="3"/>
  <c r="AO53" i="3"/>
  <c r="AG53" i="3"/>
  <c r="BD53" i="3"/>
  <c r="AV53" i="3"/>
  <c r="AX53" i="3" s="1"/>
  <c r="AY53" i="3" s="1"/>
  <c r="AN53" i="3"/>
  <c r="AF53" i="3"/>
  <c r="BI53" i="3"/>
  <c r="BA53" i="3"/>
  <c r="AS53" i="3"/>
  <c r="AK53" i="3"/>
  <c r="AZ53" i="3"/>
  <c r="AJ53" i="3"/>
  <c r="BH53" i="3"/>
  <c r="AR53" i="3"/>
  <c r="AL51" i="4"/>
  <c r="AM51" i="4" s="1"/>
  <c r="BI52" i="4"/>
  <c r="AZ52" i="4"/>
  <c r="AR52" i="4"/>
  <c r="AJ52" i="4"/>
  <c r="BD52" i="4"/>
  <c r="AV52" i="4"/>
  <c r="AN52" i="4"/>
  <c r="AF52" i="4"/>
  <c r="BH52" i="4"/>
  <c r="BJ52" i="4" s="1"/>
  <c r="BK52" i="4" s="1"/>
  <c r="AG52" i="4"/>
  <c r="BE52" i="4"/>
  <c r="AS52" i="4"/>
  <c r="O53" i="4"/>
  <c r="N53" i="4" s="1"/>
  <c r="AW52" i="4"/>
  <c r="AO52" i="4"/>
  <c r="AK52" i="4"/>
  <c r="BA52" i="4"/>
  <c r="BO50" i="4"/>
  <c r="AS58" i="11" l="1"/>
  <c r="AT58" i="11" s="1"/>
  <c r="BJ57" i="11"/>
  <c r="BF53" i="3"/>
  <c r="BG53" i="3" s="1"/>
  <c r="BG58" i="14"/>
  <c r="BL55" i="15"/>
  <c r="BM54" i="15"/>
  <c r="CQ53" i="15"/>
  <c r="CS53" i="15" s="1"/>
  <c r="BO53" i="15"/>
  <c r="BP53" i="15" s="1"/>
  <c r="BB56" i="15"/>
  <c r="BC55" i="15"/>
  <c r="BE55" i="15" s="1"/>
  <c r="BF55" i="15" s="1"/>
  <c r="CF55" i="15"/>
  <c r="CG54" i="15"/>
  <c r="CI54" i="15" s="1"/>
  <c r="CJ54" i="15" s="1"/>
  <c r="AP53" i="3"/>
  <c r="AQ53" i="3" s="1"/>
  <c r="BE58" i="11"/>
  <c r="BF58" i="11" s="1"/>
  <c r="CA56" i="15"/>
  <c r="CB55" i="15"/>
  <c r="CD55" i="15" s="1"/>
  <c r="CE55" i="15" s="1"/>
  <c r="AW57" i="15"/>
  <c r="AX57" i="15" s="1"/>
  <c r="AZ57" i="15" s="1"/>
  <c r="BA57" i="15" s="1"/>
  <c r="BA82" i="15" s="1"/>
  <c r="H20" i="15" s="1"/>
  <c r="AX56" i="15"/>
  <c r="AZ56" i="15" s="1"/>
  <c r="BA56" i="15" s="1"/>
  <c r="AH53" i="3"/>
  <c r="AI53" i="3" s="1"/>
  <c r="BJ53" i="3"/>
  <c r="BK53" i="3" s="1"/>
  <c r="AK58" i="10"/>
  <c r="AL58" i="10" s="1"/>
  <c r="BA58" i="10"/>
  <c r="BB58" i="10" s="1"/>
  <c r="BJ57" i="15"/>
  <c r="BK57" i="15" s="1"/>
  <c r="CI57" i="14"/>
  <c r="CJ57" i="14" s="1"/>
  <c r="BY57" i="14"/>
  <c r="BZ57" i="14" s="1"/>
  <c r="AT53" i="3"/>
  <c r="AU53" i="3" s="1"/>
  <c r="AW58" i="10"/>
  <c r="AX58" i="10" s="1"/>
  <c r="AW58" i="11"/>
  <c r="AX58" i="11" s="1"/>
  <c r="BI58" i="11"/>
  <c r="BH58" i="11"/>
  <c r="AK58" i="11"/>
  <c r="AL58" i="11" s="1"/>
  <c r="AL53" i="3"/>
  <c r="AM53" i="3" s="1"/>
  <c r="AO58" i="10"/>
  <c r="AP58" i="10" s="1"/>
  <c r="BE58" i="10"/>
  <c r="BF58" i="10" s="1"/>
  <c r="AZ59" i="11"/>
  <c r="AJ59" i="11"/>
  <c r="AM59" i="11"/>
  <c r="AV59" i="11"/>
  <c r="AY59" i="11"/>
  <c r="BA59" i="11" s="1"/>
  <c r="BB59" i="11" s="1"/>
  <c r="AQ59" i="11"/>
  <c r="AR59" i="11"/>
  <c r="AI59" i="11"/>
  <c r="AU59" i="11"/>
  <c r="BD59" i="11"/>
  <c r="AN59" i="11"/>
  <c r="BC59" i="11"/>
  <c r="N60" i="11"/>
  <c r="M60" i="11" s="1"/>
  <c r="BA58" i="11"/>
  <c r="BB58" i="11" s="1"/>
  <c r="BB53" i="3"/>
  <c r="BC53" i="3" s="1"/>
  <c r="AO58" i="11"/>
  <c r="AP58" i="11" s="1"/>
  <c r="BE57" i="14"/>
  <c r="BF57" i="14" s="1"/>
  <c r="BF82" i="14" s="1"/>
  <c r="I20" i="14" s="1"/>
  <c r="M23" i="18" s="1"/>
  <c r="BT57" i="14"/>
  <c r="BU57" i="14" s="1"/>
  <c r="CD57" i="14"/>
  <c r="CE57" i="14" s="1"/>
  <c r="BO57" i="14"/>
  <c r="BP57" i="14" s="1"/>
  <c r="CH58" i="14"/>
  <c r="BI58" i="14"/>
  <c r="BS58" i="14"/>
  <c r="Q58" i="14"/>
  <c r="BX58" i="14"/>
  <c r="BR58" i="14"/>
  <c r="BN58" i="14"/>
  <c r="CC58" i="14"/>
  <c r="R59" i="14"/>
  <c r="BW58" i="14"/>
  <c r="BH58" i="14"/>
  <c r="BL58" i="14"/>
  <c r="BM58" i="14" s="1"/>
  <c r="AZ57" i="14"/>
  <c r="BA57" i="14" s="1"/>
  <c r="BA82" i="14" s="1"/>
  <c r="H20" i="14" s="1"/>
  <c r="M7" i="18" s="1"/>
  <c r="BC82" i="14"/>
  <c r="CA58" i="14"/>
  <c r="BH57" i="14"/>
  <c r="BJ57" i="14" s="1"/>
  <c r="BK57" i="14" s="1"/>
  <c r="CF58" i="14"/>
  <c r="BF52" i="4"/>
  <c r="BG52" i="4" s="1"/>
  <c r="AX52" i="4"/>
  <c r="AY52" i="4" s="1"/>
  <c r="AL52" i="4"/>
  <c r="AM52" i="4" s="1"/>
  <c r="AP52" i="4"/>
  <c r="AQ52" i="4" s="1"/>
  <c r="CR57" i="15"/>
  <c r="AY82" i="15"/>
  <c r="BY57" i="15"/>
  <c r="BZ57" i="15" s="1"/>
  <c r="BT57" i="15"/>
  <c r="BU57" i="15" s="1"/>
  <c r="BI58" i="15"/>
  <c r="BX58" i="15"/>
  <c r="BH58" i="15"/>
  <c r="Q58" i="15"/>
  <c r="BN58" i="15"/>
  <c r="R59" i="15"/>
  <c r="BW58" i="15"/>
  <c r="CC58" i="15"/>
  <c r="BS58" i="15"/>
  <c r="BR58" i="15"/>
  <c r="CH58" i="15"/>
  <c r="AS58" i="10"/>
  <c r="AT58" i="10" s="1"/>
  <c r="N60" i="10"/>
  <c r="BD59" i="10"/>
  <c r="AZ59" i="10"/>
  <c r="AV59" i="10"/>
  <c r="AR59" i="10"/>
  <c r="AN59" i="10"/>
  <c r="AJ59" i="10"/>
  <c r="AU59" i="10"/>
  <c r="AW59" i="10" s="1"/>
  <c r="AX59" i="10" s="1"/>
  <c r="AQ59" i="10"/>
  <c r="AS59" i="10" s="1"/>
  <c r="AT59" i="10" s="1"/>
  <c r="AI59" i="10"/>
  <c r="BC59" i="10"/>
  <c r="AM59" i="10"/>
  <c r="AY59" i="10"/>
  <c r="BH53" i="4"/>
  <c r="AZ53" i="4"/>
  <c r="AR53" i="4"/>
  <c r="AJ53" i="4"/>
  <c r="O54" i="4"/>
  <c r="N54" i="4" s="1"/>
  <c r="AO53" i="4"/>
  <c r="AF53" i="4"/>
  <c r="BE53" i="4"/>
  <c r="AV53" i="4"/>
  <c r="AK53" i="4"/>
  <c r="AW53" i="4"/>
  <c r="AG53" i="4"/>
  <c r="BI53" i="4"/>
  <c r="AS53" i="4"/>
  <c r="BD53" i="4"/>
  <c r="BA53" i="4"/>
  <c r="AN53" i="4"/>
  <c r="BN52" i="4"/>
  <c r="BB52" i="4"/>
  <c r="BC52" i="4" s="1"/>
  <c r="AT52" i="4"/>
  <c r="AU52" i="4" s="1"/>
  <c r="AH52" i="4"/>
  <c r="AI52" i="4" s="1"/>
  <c r="BM52" i="4"/>
  <c r="BO51" i="4"/>
  <c r="BI54" i="3"/>
  <c r="BA54" i="3"/>
  <c r="AS54" i="3"/>
  <c r="AK54" i="3"/>
  <c r="AZ54" i="3"/>
  <c r="AJ54" i="3"/>
  <c r="O55" i="3"/>
  <c r="AW54" i="3"/>
  <c r="AG54" i="3"/>
  <c r="BH54" i="3"/>
  <c r="AR54" i="3"/>
  <c r="AT54" i="3" s="1"/>
  <c r="AU54" i="3" s="1"/>
  <c r="BE54" i="3"/>
  <c r="BD54" i="3"/>
  <c r="AV54" i="3"/>
  <c r="AO54" i="3"/>
  <c r="AN54" i="3"/>
  <c r="AF54" i="3"/>
  <c r="AH54" i="3" s="1"/>
  <c r="AI54" i="3" s="1"/>
  <c r="AX82" i="15" l="1"/>
  <c r="AW59" i="11"/>
  <c r="AX59" i="11" s="1"/>
  <c r="BF54" i="3"/>
  <c r="BG54" i="3" s="1"/>
  <c r="AL54" i="3"/>
  <c r="AM54" i="3" s="1"/>
  <c r="BB57" i="15"/>
  <c r="BC57" i="15" s="1"/>
  <c r="BE57" i="15" s="1"/>
  <c r="BF57" i="15" s="1"/>
  <c r="BC56" i="15"/>
  <c r="BO54" i="15"/>
  <c r="BP54" i="15" s="1"/>
  <c r="CQ54" i="15"/>
  <c r="CS54" i="15" s="1"/>
  <c r="CA57" i="15"/>
  <c r="CB56" i="15"/>
  <c r="CD56" i="15" s="1"/>
  <c r="CE56" i="15" s="1"/>
  <c r="BL56" i="15"/>
  <c r="BM55" i="15"/>
  <c r="BT58" i="15"/>
  <c r="BU58" i="15" s="1"/>
  <c r="CG55" i="15"/>
  <c r="CI55" i="15" s="1"/>
  <c r="CJ55" i="15" s="1"/>
  <c r="CF56" i="15"/>
  <c r="BY58" i="14"/>
  <c r="BZ58" i="14" s="1"/>
  <c r="AO59" i="10"/>
  <c r="AP59" i="10" s="1"/>
  <c r="BT58" i="14"/>
  <c r="BU58" i="14" s="1"/>
  <c r="BE59" i="10"/>
  <c r="BF59" i="10" s="1"/>
  <c r="BF53" i="4"/>
  <c r="BG53" i="4" s="1"/>
  <c r="AO59" i="11"/>
  <c r="AP59" i="11" s="1"/>
  <c r="AS59" i="11"/>
  <c r="AT59" i="11" s="1"/>
  <c r="AQ60" i="11"/>
  <c r="BD60" i="11"/>
  <c r="AR60" i="11"/>
  <c r="BC60" i="11"/>
  <c r="AM60" i="11"/>
  <c r="AV60" i="11"/>
  <c r="AJ60" i="11"/>
  <c r="AY60" i="11"/>
  <c r="AI60" i="11"/>
  <c r="AN60" i="11"/>
  <c r="AU60" i="11"/>
  <c r="N61" i="11"/>
  <c r="M61" i="11" s="1"/>
  <c r="AZ60" i="11"/>
  <c r="BI59" i="11"/>
  <c r="BJ58" i="11"/>
  <c r="BB54" i="3"/>
  <c r="BC54" i="3" s="1"/>
  <c r="AK59" i="10"/>
  <c r="AL59" i="10" s="1"/>
  <c r="BE59" i="11"/>
  <c r="BF59" i="11" s="1"/>
  <c r="BH59" i="11"/>
  <c r="AK59" i="11"/>
  <c r="AL59" i="11" s="1"/>
  <c r="AP54" i="3"/>
  <c r="AQ54" i="3" s="1"/>
  <c r="BA59" i="10"/>
  <c r="BB59" i="10" s="1"/>
  <c r="CF59" i="14"/>
  <c r="CG59" i="14" s="1"/>
  <c r="BO58" i="14"/>
  <c r="BP58" i="14" s="1"/>
  <c r="CA59" i="14"/>
  <c r="CB59" i="14" s="1"/>
  <c r="I21" i="14"/>
  <c r="CG58" i="14"/>
  <c r="CI58" i="14" s="1"/>
  <c r="CJ58" i="14" s="1"/>
  <c r="CH59" i="14"/>
  <c r="BR59" i="14"/>
  <c r="R60" i="14"/>
  <c r="BW59" i="14"/>
  <c r="CC59" i="14"/>
  <c r="BN59" i="14"/>
  <c r="Q59" i="14"/>
  <c r="BI59" i="14"/>
  <c r="BX59" i="14"/>
  <c r="BS59" i="14"/>
  <c r="BL59" i="14"/>
  <c r="BM59" i="14" s="1"/>
  <c r="H21" i="14"/>
  <c r="BJ58" i="14"/>
  <c r="BK58" i="14" s="1"/>
  <c r="CB58" i="14"/>
  <c r="CD58" i="14" s="1"/>
  <c r="CE58" i="14" s="1"/>
  <c r="BG59" i="14"/>
  <c r="BH59" i="14" s="1"/>
  <c r="CR58" i="15"/>
  <c r="BY58" i="15"/>
  <c r="BZ58" i="15" s="1"/>
  <c r="BO52" i="4"/>
  <c r="AL53" i="4"/>
  <c r="AM53" i="4" s="1"/>
  <c r="H21" i="15"/>
  <c r="BJ58" i="15"/>
  <c r="BK58" i="15" s="1"/>
  <c r="R60" i="15"/>
  <c r="BS59" i="15"/>
  <c r="Q59" i="15"/>
  <c r="BI59" i="15"/>
  <c r="BW59" i="15"/>
  <c r="BR59" i="15"/>
  <c r="CH59" i="15"/>
  <c r="BN59" i="15"/>
  <c r="BH59" i="15"/>
  <c r="CC59" i="15"/>
  <c r="BX59" i="15"/>
  <c r="N61" i="10"/>
  <c r="BD60" i="10"/>
  <c r="AZ60" i="10"/>
  <c r="AV60" i="10"/>
  <c r="AR60" i="10"/>
  <c r="AN60" i="10"/>
  <c r="AJ60" i="10"/>
  <c r="BC60" i="10"/>
  <c r="AY60" i="10"/>
  <c r="AU60" i="10"/>
  <c r="AQ60" i="10"/>
  <c r="AM60" i="10"/>
  <c r="AI60" i="10"/>
  <c r="BI55" i="3"/>
  <c r="BA55" i="3"/>
  <c r="AS55" i="3"/>
  <c r="AK55" i="3"/>
  <c r="AK80" i="3" s="1"/>
  <c r="BH55" i="3"/>
  <c r="AZ55" i="3"/>
  <c r="AR55" i="3"/>
  <c r="AJ55" i="3"/>
  <c r="O56" i="3"/>
  <c r="BE55" i="3"/>
  <c r="AW55" i="3"/>
  <c r="AO55" i="3"/>
  <c r="AG55" i="3"/>
  <c r="AG80" i="3" s="1"/>
  <c r="AV55" i="3"/>
  <c r="AF55" i="3"/>
  <c r="BD55" i="3"/>
  <c r="AN55" i="3"/>
  <c r="AW54" i="4"/>
  <c r="AN54" i="4"/>
  <c r="BD54" i="4"/>
  <c r="AK54" i="4"/>
  <c r="BA54" i="4"/>
  <c r="AR54" i="4"/>
  <c r="BE54" i="4"/>
  <c r="O55" i="4"/>
  <c r="N55" i="4" s="1"/>
  <c r="AO54" i="4"/>
  <c r="AZ54" i="4"/>
  <c r="AJ54" i="4"/>
  <c r="AV54" i="4"/>
  <c r="AS54" i="4"/>
  <c r="BH54" i="4"/>
  <c r="AG54" i="4"/>
  <c r="AF54" i="4"/>
  <c r="BI54" i="4"/>
  <c r="BM53" i="4"/>
  <c r="AH53" i="4"/>
  <c r="AI53" i="4" s="1"/>
  <c r="AT53" i="4"/>
  <c r="AU53" i="4" s="1"/>
  <c r="BB53" i="4"/>
  <c r="BC53" i="4" s="1"/>
  <c r="AX54" i="3"/>
  <c r="AY54" i="3" s="1"/>
  <c r="BN53" i="4"/>
  <c r="BJ54" i="3"/>
  <c r="BK54" i="3" s="1"/>
  <c r="AP53" i="4"/>
  <c r="AQ53" i="4" s="1"/>
  <c r="AX53" i="4"/>
  <c r="AY53" i="4" s="1"/>
  <c r="BJ53" i="4"/>
  <c r="BK53" i="4" s="1"/>
  <c r="CD59" i="14" l="1"/>
  <c r="CE59" i="14" s="1"/>
  <c r="BA60" i="10"/>
  <c r="BB60" i="10" s="1"/>
  <c r="BJ59" i="11"/>
  <c r="AW60" i="11"/>
  <c r="AX60" i="11" s="1"/>
  <c r="BE60" i="11"/>
  <c r="BF60" i="11" s="1"/>
  <c r="BL57" i="15"/>
  <c r="BM56" i="15"/>
  <c r="CA58" i="15"/>
  <c r="CB57" i="15"/>
  <c r="CD57" i="15" s="1"/>
  <c r="CE57" i="15" s="1"/>
  <c r="AK60" i="10"/>
  <c r="AL60" i="10" s="1"/>
  <c r="CF57" i="15"/>
  <c r="CG56" i="15"/>
  <c r="CI56" i="15" s="1"/>
  <c r="CJ56" i="15" s="1"/>
  <c r="AT55" i="3"/>
  <c r="AU55" i="3" s="1"/>
  <c r="BE56" i="15"/>
  <c r="BF56" i="15" s="1"/>
  <c r="BC82" i="15"/>
  <c r="BB55" i="3"/>
  <c r="BC55" i="3" s="1"/>
  <c r="BO59" i="14"/>
  <c r="BP59" i="14" s="1"/>
  <c r="BF82" i="15"/>
  <c r="I20" i="15" s="1"/>
  <c r="I21" i="15" s="1"/>
  <c r="BJ55" i="3"/>
  <c r="BK55" i="3" s="1"/>
  <c r="AO60" i="11"/>
  <c r="AP60" i="11" s="1"/>
  <c r="BO55" i="15"/>
  <c r="BP55" i="15" s="1"/>
  <c r="CQ55" i="15"/>
  <c r="CS55" i="15" s="1"/>
  <c r="AX55" i="3"/>
  <c r="AY55" i="3" s="1"/>
  <c r="AP55" i="3"/>
  <c r="AQ55" i="3" s="1"/>
  <c r="AW60" i="10"/>
  <c r="AX60" i="10" s="1"/>
  <c r="AS60" i="11"/>
  <c r="AT60" i="11" s="1"/>
  <c r="AX54" i="4"/>
  <c r="AY54" i="4" s="1"/>
  <c r="BA60" i="11"/>
  <c r="BB60" i="11" s="1"/>
  <c r="BI60" i="11"/>
  <c r="BF55" i="3"/>
  <c r="BG55" i="3" s="1"/>
  <c r="AO60" i="10"/>
  <c r="AP60" i="10" s="1"/>
  <c r="BE60" i="10"/>
  <c r="BF60" i="10" s="1"/>
  <c r="BY59" i="15"/>
  <c r="BZ59" i="15" s="1"/>
  <c r="BJ54" i="4"/>
  <c r="BK54" i="4" s="1"/>
  <c r="AP54" i="4"/>
  <c r="AQ54" i="4" s="1"/>
  <c r="AS60" i="10"/>
  <c r="AT60" i="10" s="1"/>
  <c r="AR61" i="11"/>
  <c r="BC61" i="11"/>
  <c r="AQ61" i="11"/>
  <c r="BD61" i="11"/>
  <c r="AN61" i="11"/>
  <c r="AU61" i="11"/>
  <c r="AI61" i="11"/>
  <c r="AZ61" i="11"/>
  <c r="AJ61" i="11"/>
  <c r="AM61" i="11"/>
  <c r="AO61" i="11" s="1"/>
  <c r="AP61" i="11" s="1"/>
  <c r="AV61" i="11"/>
  <c r="N62" i="11"/>
  <c r="M62" i="11" s="1"/>
  <c r="AY61" i="11"/>
  <c r="AK60" i="11"/>
  <c r="AL60" i="11" s="1"/>
  <c r="BH60" i="11"/>
  <c r="BT59" i="14"/>
  <c r="BU59" i="14" s="1"/>
  <c r="BT59" i="15"/>
  <c r="BU59" i="15" s="1"/>
  <c r="BY59" i="14"/>
  <c r="BZ59" i="14" s="1"/>
  <c r="CI59" i="14"/>
  <c r="CJ59" i="14" s="1"/>
  <c r="BJ59" i="14"/>
  <c r="BK59" i="14" s="1"/>
  <c r="BS60" i="14"/>
  <c r="BR60" i="14"/>
  <c r="BI60" i="14"/>
  <c r="BN60" i="14"/>
  <c r="BH60" i="14"/>
  <c r="CC60" i="14"/>
  <c r="CB60" i="14"/>
  <c r="R61" i="14"/>
  <c r="CG60" i="14"/>
  <c r="BX60" i="14"/>
  <c r="Q60" i="14"/>
  <c r="BM60" i="14"/>
  <c r="BO60" i="14" s="1"/>
  <c r="BP60" i="14" s="1"/>
  <c r="BW60" i="14"/>
  <c r="CH60" i="14"/>
  <c r="BN54" i="4"/>
  <c r="AT54" i="4"/>
  <c r="AU54" i="4" s="1"/>
  <c r="CR59" i="15"/>
  <c r="BJ59" i="15"/>
  <c r="BK59" i="15" s="1"/>
  <c r="BW60" i="15"/>
  <c r="BN60" i="15"/>
  <c r="Q60" i="15"/>
  <c r="BS60" i="15"/>
  <c r="CH60" i="15"/>
  <c r="BR60" i="15"/>
  <c r="BI60" i="15"/>
  <c r="CC60" i="15"/>
  <c r="BH60" i="15"/>
  <c r="BX60" i="15"/>
  <c r="R61" i="15"/>
  <c r="N62" i="10"/>
  <c r="BD61" i="10"/>
  <c r="AZ61" i="10"/>
  <c r="AV61" i="10"/>
  <c r="AR61" i="10"/>
  <c r="AN61" i="10"/>
  <c r="AJ61" i="10"/>
  <c r="AQ61" i="10"/>
  <c r="BC61" i="10"/>
  <c r="AM61" i="10"/>
  <c r="AU61" i="10"/>
  <c r="AI61" i="10"/>
  <c r="AY61" i="10"/>
  <c r="AL54" i="4"/>
  <c r="AM54" i="4" s="1"/>
  <c r="BF54" i="4"/>
  <c r="BG54" i="4" s="1"/>
  <c r="AL55" i="3"/>
  <c r="AM55" i="3" s="1"/>
  <c r="AM80" i="3" s="1"/>
  <c r="G20" i="3" s="1"/>
  <c r="AJ80" i="3"/>
  <c r="AH55" i="3"/>
  <c r="AI55" i="3" s="1"/>
  <c r="AI80" i="3" s="1"/>
  <c r="F20" i="3" s="1"/>
  <c r="AF80" i="3"/>
  <c r="BO53" i="4"/>
  <c r="BB54" i="4"/>
  <c r="BC54" i="4" s="1"/>
  <c r="BM54" i="4"/>
  <c r="BO54" i="4" s="1"/>
  <c r="AH54" i="4"/>
  <c r="AI54" i="4" s="1"/>
  <c r="BD55" i="4"/>
  <c r="AV55" i="4"/>
  <c r="AN55" i="4"/>
  <c r="AF55" i="4"/>
  <c r="BE55" i="4"/>
  <c r="AS55" i="4"/>
  <c r="AJ55" i="4"/>
  <c r="BI55" i="4"/>
  <c r="AZ55" i="4"/>
  <c r="AW55" i="4"/>
  <c r="AG55" i="4"/>
  <c r="BH55" i="4"/>
  <c r="BJ55" i="4" s="1"/>
  <c r="BK55" i="4" s="1"/>
  <c r="AR55" i="4"/>
  <c r="O56" i="4"/>
  <c r="N56" i="4" s="1"/>
  <c r="AO55" i="4"/>
  <c r="AK55" i="4"/>
  <c r="AK80" i="4" s="1"/>
  <c r="BA55" i="4"/>
  <c r="O57" i="3"/>
  <c r="BE56" i="3"/>
  <c r="AW56" i="3"/>
  <c r="AO56" i="3"/>
  <c r="BD56" i="3"/>
  <c r="AN56" i="3"/>
  <c r="BA56" i="3"/>
  <c r="AV56" i="3"/>
  <c r="AR56" i="3"/>
  <c r="BI56" i="3"/>
  <c r="AZ56" i="3"/>
  <c r="BB56" i="3" s="1"/>
  <c r="BC56" i="3" s="1"/>
  <c r="BH56" i="3"/>
  <c r="AS56" i="3"/>
  <c r="CF58" i="15" l="1"/>
  <c r="CG57" i="15"/>
  <c r="CI57" i="15" s="1"/>
  <c r="CJ57" i="15" s="1"/>
  <c r="CA59" i="15"/>
  <c r="CB58" i="15"/>
  <c r="CD58" i="15" s="1"/>
  <c r="CE58" i="15" s="1"/>
  <c r="BO56" i="15"/>
  <c r="BP56" i="15" s="1"/>
  <c r="CQ56" i="15"/>
  <c r="CS56" i="15" s="1"/>
  <c r="BM57" i="15"/>
  <c r="BL58" i="15"/>
  <c r="AO61" i="10"/>
  <c r="AP61" i="10" s="1"/>
  <c r="AT55" i="4"/>
  <c r="AU55" i="4" s="1"/>
  <c r="AS61" i="11"/>
  <c r="AT61" i="11" s="1"/>
  <c r="BE61" i="10"/>
  <c r="BF61" i="10" s="1"/>
  <c r="AK61" i="10"/>
  <c r="AL61" i="10" s="1"/>
  <c r="BF56" i="3"/>
  <c r="BG56" i="3" s="1"/>
  <c r="AW61" i="11"/>
  <c r="AX61" i="11" s="1"/>
  <c r="BE61" i="11"/>
  <c r="BF61" i="11" s="1"/>
  <c r="BA61" i="11"/>
  <c r="BB61" i="11" s="1"/>
  <c r="BI61" i="11"/>
  <c r="BJ56" i="3"/>
  <c r="BK56" i="3" s="1"/>
  <c r="BB55" i="4"/>
  <c r="BC55" i="4" s="1"/>
  <c r="AS61" i="10"/>
  <c r="AT61" i="10" s="1"/>
  <c r="AU62" i="11"/>
  <c r="BD62" i="11"/>
  <c r="AR62" i="11"/>
  <c r="N63" i="11"/>
  <c r="M63" i="11" s="1"/>
  <c r="AQ62" i="11"/>
  <c r="AV62" i="11"/>
  <c r="AJ62" i="11"/>
  <c r="BC62" i="11"/>
  <c r="AM62" i="11"/>
  <c r="AN62" i="11"/>
  <c r="AN79" i="11" s="1"/>
  <c r="AY62" i="11"/>
  <c r="AI62" i="11"/>
  <c r="AZ62" i="11"/>
  <c r="BJ60" i="11"/>
  <c r="BH61" i="11"/>
  <c r="AK61" i="11"/>
  <c r="AL61" i="11" s="1"/>
  <c r="BT60" i="14"/>
  <c r="BU60" i="14" s="1"/>
  <c r="CI60" i="14"/>
  <c r="CJ60" i="14" s="1"/>
  <c r="Q61" i="14"/>
  <c r="CB61" i="14"/>
  <c r="R62" i="14"/>
  <c r="BI61" i="14"/>
  <c r="BX61" i="14"/>
  <c r="CC61" i="14"/>
  <c r="BS61" i="14"/>
  <c r="CG61" i="14"/>
  <c r="BH61" i="14"/>
  <c r="BN61" i="14"/>
  <c r="BN82" i="14" s="1"/>
  <c r="BW61" i="14"/>
  <c r="BM61" i="14"/>
  <c r="BR61" i="14"/>
  <c r="CH61" i="14"/>
  <c r="CD60" i="14"/>
  <c r="CE60" i="14" s="1"/>
  <c r="BY60" i="14"/>
  <c r="BZ60" i="14" s="1"/>
  <c r="BJ60" i="14"/>
  <c r="BK60" i="14" s="1"/>
  <c r="BT60" i="15"/>
  <c r="BU60" i="15" s="1"/>
  <c r="BY60" i="15"/>
  <c r="BZ60" i="15" s="1"/>
  <c r="CR60" i="15"/>
  <c r="CH61" i="15"/>
  <c r="BR61" i="15"/>
  <c r="BI61" i="15"/>
  <c r="Q61" i="15"/>
  <c r="R62" i="15"/>
  <c r="BN61" i="15"/>
  <c r="BN82" i="15" s="1"/>
  <c r="CC61" i="15"/>
  <c r="BX61" i="15"/>
  <c r="BW61" i="15"/>
  <c r="BS61" i="15"/>
  <c r="BH61" i="15"/>
  <c r="BJ60" i="15"/>
  <c r="BK60" i="15" s="1"/>
  <c r="AW61" i="10"/>
  <c r="AX61" i="10" s="1"/>
  <c r="BA61" i="10"/>
  <c r="BB61" i="10" s="1"/>
  <c r="N63" i="10"/>
  <c r="BD62" i="10"/>
  <c r="AZ62" i="10"/>
  <c r="AV62" i="10"/>
  <c r="AR62" i="10"/>
  <c r="AN62" i="10"/>
  <c r="AN80" i="10" s="1"/>
  <c r="AJ62" i="10"/>
  <c r="AJ80" i="10" s="1"/>
  <c r="BC62" i="10"/>
  <c r="AY62" i="10"/>
  <c r="AU62" i="10"/>
  <c r="AQ62" i="10"/>
  <c r="AM62" i="10"/>
  <c r="AI62" i="10"/>
  <c r="BM55" i="4"/>
  <c r="AH55" i="4"/>
  <c r="AI55" i="4" s="1"/>
  <c r="AI80" i="4" s="1"/>
  <c r="F20" i="4" s="1"/>
  <c r="F21" i="4" s="1"/>
  <c r="AF80" i="4"/>
  <c r="BN55" i="4"/>
  <c r="AG80" i="4"/>
  <c r="AP55" i="4"/>
  <c r="AQ55" i="4" s="1"/>
  <c r="K5" i="7"/>
  <c r="F21" i="3"/>
  <c r="AS56" i="4"/>
  <c r="BA56" i="4"/>
  <c r="BI56" i="4"/>
  <c r="AZ56" i="4"/>
  <c r="AW56" i="4"/>
  <c r="AN56" i="4"/>
  <c r="BH56" i="4"/>
  <c r="AR56" i="4"/>
  <c r="BE56" i="4"/>
  <c r="AO56" i="4"/>
  <c r="AV56" i="4"/>
  <c r="O57" i="4"/>
  <c r="N57" i="4" s="1"/>
  <c r="BD56" i="4"/>
  <c r="O58" i="3"/>
  <c r="BE57" i="3"/>
  <c r="AW57" i="3"/>
  <c r="AO57" i="3"/>
  <c r="BD57" i="3"/>
  <c r="AV57" i="3"/>
  <c r="AN57" i="3"/>
  <c r="AP57" i="3" s="1"/>
  <c r="AQ57" i="3" s="1"/>
  <c r="BI57" i="3"/>
  <c r="BA57" i="3"/>
  <c r="AS57" i="3"/>
  <c r="BH57" i="3"/>
  <c r="BJ57" i="3" s="1"/>
  <c r="BK57" i="3" s="1"/>
  <c r="AR57" i="3"/>
  <c r="AZ57" i="3"/>
  <c r="AX55" i="4"/>
  <c r="AY55" i="4" s="1"/>
  <c r="AX56" i="3"/>
  <c r="AY56" i="3" s="1"/>
  <c r="BF55" i="4"/>
  <c r="BG55" i="4" s="1"/>
  <c r="K21" i="7"/>
  <c r="G21" i="3"/>
  <c r="AT56" i="3"/>
  <c r="AU56" i="3" s="1"/>
  <c r="AP56" i="3"/>
  <c r="AQ56" i="3" s="1"/>
  <c r="AL55" i="4"/>
  <c r="AM55" i="4" s="1"/>
  <c r="AM80" i="4" s="1"/>
  <c r="G20" i="4" s="1"/>
  <c r="G21" i="4" s="1"/>
  <c r="AJ80" i="4"/>
  <c r="BM58" i="15" l="1"/>
  <c r="BL59" i="15"/>
  <c r="CQ57" i="15"/>
  <c r="CS57" i="15" s="1"/>
  <c r="BO57" i="15"/>
  <c r="BP57" i="15" s="1"/>
  <c r="CA60" i="15"/>
  <c r="CB59" i="15"/>
  <c r="CD59" i="15" s="1"/>
  <c r="CE59" i="15" s="1"/>
  <c r="CF59" i="15"/>
  <c r="CG58" i="15"/>
  <c r="CI58" i="15" s="1"/>
  <c r="CJ58" i="15" s="1"/>
  <c r="BA62" i="10"/>
  <c r="BB62" i="10" s="1"/>
  <c r="CI61" i="14"/>
  <c r="CJ61" i="14" s="1"/>
  <c r="BE62" i="11"/>
  <c r="BF62" i="11" s="1"/>
  <c r="AW62" i="10"/>
  <c r="AX62" i="10" s="1"/>
  <c r="BT61" i="14"/>
  <c r="BU61" i="14" s="1"/>
  <c r="AS62" i="11"/>
  <c r="AT62" i="11" s="1"/>
  <c r="AW62" i="11"/>
  <c r="AX62" i="11" s="1"/>
  <c r="BJ61" i="11"/>
  <c r="AT56" i="4"/>
  <c r="AU56" i="4" s="1"/>
  <c r="BB56" i="4"/>
  <c r="BC56" i="4" s="1"/>
  <c r="BA62" i="11"/>
  <c r="BB62" i="11" s="1"/>
  <c r="AV63" i="11"/>
  <c r="N64" i="11"/>
  <c r="M64" i="11" s="1"/>
  <c r="AR63" i="11"/>
  <c r="BC63" i="11"/>
  <c r="BD63" i="11"/>
  <c r="AY63" i="11"/>
  <c r="AU63" i="11"/>
  <c r="AZ63" i="11"/>
  <c r="AQ63" i="11"/>
  <c r="AX56" i="4"/>
  <c r="AY56" i="4" s="1"/>
  <c r="BE62" i="10"/>
  <c r="BF62" i="10" s="1"/>
  <c r="AJ79" i="11"/>
  <c r="BI62" i="11"/>
  <c r="AS62" i="10"/>
  <c r="AT62" i="10" s="1"/>
  <c r="BY61" i="15"/>
  <c r="BZ61" i="15" s="1"/>
  <c r="CD61" i="14"/>
  <c r="CE61" i="14" s="1"/>
  <c r="AK62" i="11"/>
  <c r="AL62" i="11" s="1"/>
  <c r="AL79" i="11" s="1"/>
  <c r="G20" i="11" s="1"/>
  <c r="G21" i="11" s="1"/>
  <c r="BH62" i="11"/>
  <c r="AI79" i="11"/>
  <c r="AO62" i="11"/>
  <c r="AP62" i="11" s="1"/>
  <c r="AP79" i="11" s="1"/>
  <c r="H20" i="11" s="1"/>
  <c r="H21" i="11" s="1"/>
  <c r="AM79" i="11"/>
  <c r="BO61" i="14"/>
  <c r="BP61" i="14" s="1"/>
  <c r="BP82" i="14" s="1"/>
  <c r="K20" i="14" s="1"/>
  <c r="M24" i="18" s="1"/>
  <c r="BY61" i="14"/>
  <c r="BZ61" i="14" s="1"/>
  <c r="BM82" i="14"/>
  <c r="BW62" i="14"/>
  <c r="CB62" i="14"/>
  <c r="CG62" i="14"/>
  <c r="BR62" i="14"/>
  <c r="BS62" i="14"/>
  <c r="CH62" i="14"/>
  <c r="BX62" i="14"/>
  <c r="Q62" i="14"/>
  <c r="R63" i="14"/>
  <c r="CC62" i="14"/>
  <c r="BJ61" i="14"/>
  <c r="BK61" i="14" s="1"/>
  <c r="BK82" i="14" s="1"/>
  <c r="J20" i="14" s="1"/>
  <c r="M8" i="18" s="1"/>
  <c r="BI82" i="14"/>
  <c r="BH82" i="14"/>
  <c r="BT61" i="15"/>
  <c r="BU61" i="15" s="1"/>
  <c r="BO55" i="4"/>
  <c r="BJ56" i="4"/>
  <c r="BK56" i="4" s="1"/>
  <c r="BW62" i="15"/>
  <c r="Q62" i="15"/>
  <c r="CC62" i="15"/>
  <c r="BS62" i="15"/>
  <c r="BX62" i="15"/>
  <c r="R63" i="15"/>
  <c r="BR62" i="15"/>
  <c r="CH62" i="15"/>
  <c r="BJ61" i="15"/>
  <c r="BK61" i="15" s="1"/>
  <c r="BK82" i="15" s="1"/>
  <c r="J20" i="15" s="1"/>
  <c r="BH82" i="15"/>
  <c r="CR61" i="15"/>
  <c r="BI82" i="15"/>
  <c r="AO62" i="10"/>
  <c r="AP62" i="10" s="1"/>
  <c r="AP80" i="10" s="1"/>
  <c r="H20" i="10" s="1"/>
  <c r="AM80" i="10"/>
  <c r="AK62" i="10"/>
  <c r="AL62" i="10" s="1"/>
  <c r="AL80" i="10" s="1"/>
  <c r="G20" i="10" s="1"/>
  <c r="AI80" i="10"/>
  <c r="N64" i="10"/>
  <c r="BD63" i="10"/>
  <c r="AZ63" i="10"/>
  <c r="AV63" i="10"/>
  <c r="AR63" i="10"/>
  <c r="AU63" i="10"/>
  <c r="AQ63" i="10"/>
  <c r="BC63" i="10"/>
  <c r="AY63" i="10"/>
  <c r="AP56" i="4"/>
  <c r="AQ56" i="4" s="1"/>
  <c r="BM56" i="4"/>
  <c r="BF56" i="4"/>
  <c r="BG56" i="4" s="1"/>
  <c r="BH57" i="4"/>
  <c r="BJ57" i="4" s="1"/>
  <c r="BK57" i="4" s="1"/>
  <c r="AZ57" i="4"/>
  <c r="AR57" i="4"/>
  <c r="BI57" i="4"/>
  <c r="O58" i="4"/>
  <c r="N58" i="4" s="1"/>
  <c r="AO57" i="4"/>
  <c r="AW57" i="4"/>
  <c r="AN57" i="4"/>
  <c r="BD57" i="4"/>
  <c r="BF57" i="4" s="1"/>
  <c r="BG57" i="4" s="1"/>
  <c r="BA57" i="4"/>
  <c r="AV57" i="4"/>
  <c r="AX57" i="4" s="1"/>
  <c r="AY57" i="4" s="1"/>
  <c r="BE57" i="4"/>
  <c r="AS57" i="4"/>
  <c r="BI58" i="3"/>
  <c r="BA58" i="3"/>
  <c r="AS58" i="3"/>
  <c r="AZ58" i="3"/>
  <c r="O59" i="3"/>
  <c r="AW58" i="3"/>
  <c r="BH58" i="3"/>
  <c r="AR58" i="3"/>
  <c r="BE58" i="3"/>
  <c r="BD58" i="3"/>
  <c r="AO58" i="3"/>
  <c r="AV58" i="3"/>
  <c r="AN58" i="3"/>
  <c r="AX57" i="3"/>
  <c r="AY57" i="3" s="1"/>
  <c r="BB57" i="3"/>
  <c r="BC57" i="3" s="1"/>
  <c r="BF57" i="3"/>
  <c r="BG57" i="3" s="1"/>
  <c r="BN56" i="4"/>
  <c r="AT57" i="3"/>
  <c r="AU57" i="3" s="1"/>
  <c r="AW63" i="11" l="1"/>
  <c r="AX63" i="11" s="1"/>
  <c r="BE63" i="11"/>
  <c r="BF63" i="11" s="1"/>
  <c r="CF60" i="15"/>
  <c r="CG59" i="15"/>
  <c r="CI59" i="15" s="1"/>
  <c r="CJ59" i="15" s="1"/>
  <c r="CA61" i="15"/>
  <c r="CB60" i="15"/>
  <c r="CD60" i="15" s="1"/>
  <c r="CE60" i="15" s="1"/>
  <c r="BM59" i="15"/>
  <c r="BL60" i="15"/>
  <c r="BO58" i="15"/>
  <c r="BP58" i="15" s="1"/>
  <c r="CQ58" i="15"/>
  <c r="CS58" i="15" s="1"/>
  <c r="AX58" i="3"/>
  <c r="AY58" i="3" s="1"/>
  <c r="BB58" i="3"/>
  <c r="BC58" i="3" s="1"/>
  <c r="AS63" i="10"/>
  <c r="AT63" i="10" s="1"/>
  <c r="AW63" i="10"/>
  <c r="AX63" i="10" s="1"/>
  <c r="BA63" i="11"/>
  <c r="BB63" i="11" s="1"/>
  <c r="AT57" i="4"/>
  <c r="AU57" i="4" s="1"/>
  <c r="BI63" i="11"/>
  <c r="BY62" i="15"/>
  <c r="BZ62" i="15" s="1"/>
  <c r="BC64" i="11"/>
  <c r="N65" i="11"/>
  <c r="M65" i="11" s="1"/>
  <c r="AV64" i="11"/>
  <c r="AY64" i="11"/>
  <c r="AZ64" i="11"/>
  <c r="AU64" i="11"/>
  <c r="AR64" i="11"/>
  <c r="AQ64" i="11"/>
  <c r="BD64" i="11"/>
  <c r="BH63" i="11"/>
  <c r="AS63" i="11"/>
  <c r="AT63" i="11" s="1"/>
  <c r="BJ62" i="11"/>
  <c r="CD62" i="14"/>
  <c r="CE62" i="14" s="1"/>
  <c r="BY62" i="14"/>
  <c r="BZ62" i="14" s="1"/>
  <c r="K21" i="14"/>
  <c r="CI62" i="14"/>
  <c r="CJ62" i="14" s="1"/>
  <c r="BT62" i="14"/>
  <c r="BU62" i="14" s="1"/>
  <c r="Q63" i="14"/>
  <c r="BS63" i="14"/>
  <c r="CC63" i="14"/>
  <c r="CB63" i="14"/>
  <c r="R64" i="14"/>
  <c r="CH63" i="14"/>
  <c r="BX63" i="14"/>
  <c r="CG63" i="14"/>
  <c r="BR63" i="14"/>
  <c r="BW63" i="14"/>
  <c r="J21" i="14"/>
  <c r="BN57" i="4"/>
  <c r="BT62" i="15"/>
  <c r="BU62" i="15" s="1"/>
  <c r="R64" i="15"/>
  <c r="BS63" i="15"/>
  <c r="Q63" i="15"/>
  <c r="CH63" i="15"/>
  <c r="BX63" i="15"/>
  <c r="BR63" i="15"/>
  <c r="CC63" i="15"/>
  <c r="BW63" i="15"/>
  <c r="CR62" i="15"/>
  <c r="J21" i="15"/>
  <c r="BE63" i="10"/>
  <c r="BF63" i="10" s="1"/>
  <c r="K4" i="13"/>
  <c r="G21" i="10"/>
  <c r="K20" i="13"/>
  <c r="H21" i="10"/>
  <c r="BA63" i="10"/>
  <c r="BB63" i="10" s="1"/>
  <c r="N65" i="10"/>
  <c r="BD64" i="10"/>
  <c r="AZ64" i="10"/>
  <c r="AV64" i="10"/>
  <c r="AR64" i="10"/>
  <c r="BC64" i="10"/>
  <c r="AY64" i="10"/>
  <c r="AU64" i="10"/>
  <c r="AQ64" i="10"/>
  <c r="AS64" i="10" s="1"/>
  <c r="AT64" i="10" s="1"/>
  <c r="AP57" i="4"/>
  <c r="AQ57" i="4" s="1"/>
  <c r="BM57" i="4"/>
  <c r="BF58" i="3"/>
  <c r="BG58" i="3" s="1"/>
  <c r="BO56" i="4"/>
  <c r="AT58" i="3"/>
  <c r="AU58" i="3" s="1"/>
  <c r="BH58" i="4"/>
  <c r="AW58" i="4"/>
  <c r="AN58" i="4"/>
  <c r="O59" i="4"/>
  <c r="N59" i="4" s="1"/>
  <c r="AV58" i="4"/>
  <c r="BE58" i="4"/>
  <c r="AR58" i="4"/>
  <c r="BI58" i="4"/>
  <c r="AO58" i="4"/>
  <c r="BD58" i="4"/>
  <c r="BA58" i="4"/>
  <c r="AZ58" i="4"/>
  <c r="AS58" i="4"/>
  <c r="BJ58" i="3"/>
  <c r="BK58" i="3" s="1"/>
  <c r="AP58" i="3"/>
  <c r="AQ58" i="3" s="1"/>
  <c r="BI59" i="3"/>
  <c r="BA59" i="3"/>
  <c r="AS59" i="3"/>
  <c r="BH59" i="3"/>
  <c r="AZ59" i="3"/>
  <c r="AR59" i="3"/>
  <c r="O60" i="3"/>
  <c r="BE59" i="3"/>
  <c r="AW59" i="3"/>
  <c r="AO59" i="3"/>
  <c r="BD59" i="3"/>
  <c r="AN59" i="3"/>
  <c r="AV59" i="3"/>
  <c r="AX59" i="3" s="1"/>
  <c r="AY59" i="3" s="1"/>
  <c r="BB57" i="4"/>
  <c r="BC57" i="4" s="1"/>
  <c r="BL61" i="15" l="1"/>
  <c r="BM61" i="15" s="1"/>
  <c r="BO61" i="15" s="1"/>
  <c r="BP61" i="15" s="1"/>
  <c r="BM60" i="15"/>
  <c r="AW64" i="10"/>
  <c r="AX64" i="10" s="1"/>
  <c r="CQ59" i="15"/>
  <c r="CS59" i="15" s="1"/>
  <c r="BO59" i="15"/>
  <c r="BP59" i="15" s="1"/>
  <c r="BA64" i="10"/>
  <c r="BB64" i="10" s="1"/>
  <c r="BE64" i="10"/>
  <c r="BF64" i="10" s="1"/>
  <c r="BY63" i="14"/>
  <c r="BZ63" i="14" s="1"/>
  <c r="CA62" i="15"/>
  <c r="CB61" i="15"/>
  <c r="CD61" i="15" s="1"/>
  <c r="CE61" i="15" s="1"/>
  <c r="CF61" i="15"/>
  <c r="CG60" i="15"/>
  <c r="CI60" i="15" s="1"/>
  <c r="CJ60" i="15" s="1"/>
  <c r="BO57" i="4"/>
  <c r="BJ63" i="11"/>
  <c r="AW64" i="11"/>
  <c r="AX64" i="11" s="1"/>
  <c r="BB59" i="3"/>
  <c r="BC59" i="3" s="1"/>
  <c r="BF59" i="3"/>
  <c r="BG59" i="3" s="1"/>
  <c r="BY63" i="15"/>
  <c r="BZ63" i="15" s="1"/>
  <c r="CI63" i="14"/>
  <c r="CJ63" i="14" s="1"/>
  <c r="AT59" i="3"/>
  <c r="AU59" i="3" s="1"/>
  <c r="AX58" i="4"/>
  <c r="AY58" i="4" s="1"/>
  <c r="BJ58" i="4"/>
  <c r="BK58" i="4" s="1"/>
  <c r="BE64" i="11"/>
  <c r="BF64" i="11" s="1"/>
  <c r="CD63" i="14"/>
  <c r="CE63" i="14" s="1"/>
  <c r="AR65" i="11"/>
  <c r="AQ65" i="11"/>
  <c r="N66" i="11"/>
  <c r="M66" i="11" s="1"/>
  <c r="BD65" i="11"/>
  <c r="AZ65" i="11"/>
  <c r="BC65" i="11"/>
  <c r="AU65" i="11"/>
  <c r="AV65" i="11"/>
  <c r="AY65" i="11"/>
  <c r="BA65" i="11" s="1"/>
  <c r="BB65" i="11" s="1"/>
  <c r="AP59" i="3"/>
  <c r="AQ59" i="3" s="1"/>
  <c r="BJ59" i="3"/>
  <c r="BK59" i="3" s="1"/>
  <c r="AS64" i="11"/>
  <c r="AT64" i="11" s="1"/>
  <c r="BH64" i="11"/>
  <c r="BI64" i="11"/>
  <c r="BA64" i="11"/>
  <c r="BB64" i="11" s="1"/>
  <c r="CB64" i="14"/>
  <c r="CH64" i="14"/>
  <c r="BR64" i="14"/>
  <c r="CG64" i="14"/>
  <c r="BX64" i="14"/>
  <c r="CC64" i="14"/>
  <c r="R65" i="14"/>
  <c r="BW64" i="14"/>
  <c r="Q64" i="14"/>
  <c r="BS64" i="14"/>
  <c r="BT63" i="14"/>
  <c r="BU63" i="14" s="1"/>
  <c r="BT63" i="15"/>
  <c r="BU63" i="15" s="1"/>
  <c r="CR63" i="15"/>
  <c r="BX64" i="15"/>
  <c r="CC64" i="15"/>
  <c r="BS64" i="15"/>
  <c r="Q64" i="15"/>
  <c r="CH64" i="15"/>
  <c r="R65" i="15"/>
  <c r="BW64" i="15"/>
  <c r="BR64" i="15"/>
  <c r="N66" i="10"/>
  <c r="BD65" i="10"/>
  <c r="AZ65" i="10"/>
  <c r="AV65" i="10"/>
  <c r="AR65" i="10"/>
  <c r="AQ65" i="10"/>
  <c r="BC65" i="10"/>
  <c r="AY65" i="10"/>
  <c r="AU65" i="10"/>
  <c r="BF58" i="4"/>
  <c r="BG58" i="4" s="1"/>
  <c r="BN58" i="4"/>
  <c r="AP58" i="4"/>
  <c r="AQ58" i="4" s="1"/>
  <c r="BM58" i="4"/>
  <c r="AT58" i="4"/>
  <c r="AU58" i="4" s="1"/>
  <c r="O61" i="3"/>
  <c r="BE60" i="3"/>
  <c r="AW60" i="3"/>
  <c r="AO60" i="3"/>
  <c r="AV60" i="3"/>
  <c r="BI60" i="3"/>
  <c r="AS60" i="3"/>
  <c r="BD60" i="3"/>
  <c r="AN60" i="3"/>
  <c r="BH60" i="3"/>
  <c r="BA60" i="3"/>
  <c r="AZ60" i="3"/>
  <c r="AR60" i="3"/>
  <c r="BB58" i="4"/>
  <c r="BC58" i="4" s="1"/>
  <c r="BD59" i="4"/>
  <c r="AV59" i="4"/>
  <c r="AN59" i="4"/>
  <c r="BA59" i="4"/>
  <c r="AS59" i="4"/>
  <c r="AO59" i="4"/>
  <c r="BI59" i="4"/>
  <c r="AW59" i="4"/>
  <c r="AZ59" i="4"/>
  <c r="AR59" i="4"/>
  <c r="BE59" i="4"/>
  <c r="BH59" i="4"/>
  <c r="O60" i="4"/>
  <c r="N60" i="4" s="1"/>
  <c r="CA63" i="15" l="1"/>
  <c r="CB62" i="15"/>
  <c r="CD62" i="15" s="1"/>
  <c r="CE62" i="15" s="1"/>
  <c r="CF62" i="15"/>
  <c r="CG61" i="15"/>
  <c r="CI61" i="15" s="1"/>
  <c r="CJ61" i="15" s="1"/>
  <c r="BM82" i="15"/>
  <c r="CQ60" i="15"/>
  <c r="CS60" i="15" s="1"/>
  <c r="BO60" i="15"/>
  <c r="BP60" i="15" s="1"/>
  <c r="BP82" i="15" s="1"/>
  <c r="K20" i="15" s="1"/>
  <c r="K21" i="15" s="1"/>
  <c r="AW65" i="10"/>
  <c r="AX65" i="10" s="1"/>
  <c r="BJ60" i="3"/>
  <c r="BK60" i="3" s="1"/>
  <c r="AT60" i="3"/>
  <c r="AU60" i="3" s="1"/>
  <c r="AP60" i="3"/>
  <c r="AQ60" i="3" s="1"/>
  <c r="BE65" i="10"/>
  <c r="BF65" i="10" s="1"/>
  <c r="BY64" i="14"/>
  <c r="BZ64" i="14" s="1"/>
  <c r="BY64" i="15"/>
  <c r="BZ64" i="15" s="1"/>
  <c r="AW65" i="11"/>
  <c r="AX65" i="11" s="1"/>
  <c r="BE65" i="11"/>
  <c r="BF65" i="11" s="1"/>
  <c r="BA65" i="10"/>
  <c r="BB65" i="10" s="1"/>
  <c r="BJ59" i="4"/>
  <c r="BK59" i="4" s="1"/>
  <c r="BH65" i="11"/>
  <c r="AS65" i="11"/>
  <c r="AT65" i="11" s="1"/>
  <c r="AX59" i="4"/>
  <c r="AY59" i="4" s="1"/>
  <c r="BF60" i="3"/>
  <c r="BG60" i="3" s="1"/>
  <c r="CD64" i="14"/>
  <c r="CE64" i="14" s="1"/>
  <c r="BI65" i="11"/>
  <c r="BJ64" i="11"/>
  <c r="AQ66" i="11"/>
  <c r="N67" i="11"/>
  <c r="M67" i="11" s="1"/>
  <c r="BC66" i="11"/>
  <c r="BE66" i="11" s="1"/>
  <c r="BF66" i="11" s="1"/>
  <c r="BD66" i="11"/>
  <c r="AR66" i="11"/>
  <c r="AY66" i="11"/>
  <c r="AV66" i="11"/>
  <c r="AU66" i="11"/>
  <c r="AZ66" i="11"/>
  <c r="CI64" i="14"/>
  <c r="CJ64" i="14" s="1"/>
  <c r="Q65" i="14"/>
  <c r="CG65" i="14"/>
  <c r="R66" i="14"/>
  <c r="CB65" i="14"/>
  <c r="BX65" i="14"/>
  <c r="BS65" i="14"/>
  <c r="CC65" i="14"/>
  <c r="CH65" i="14"/>
  <c r="BW65" i="14"/>
  <c r="BR65" i="14"/>
  <c r="BT64" i="14"/>
  <c r="BU64" i="14" s="1"/>
  <c r="BO58" i="4"/>
  <c r="BT64" i="15"/>
  <c r="BU64" i="15" s="1"/>
  <c r="CR64" i="15"/>
  <c r="CH65" i="15"/>
  <c r="Q65" i="15"/>
  <c r="BX65" i="15"/>
  <c r="BS65" i="15"/>
  <c r="CC65" i="15"/>
  <c r="R66" i="15"/>
  <c r="BW65" i="15"/>
  <c r="BY65" i="15" s="1"/>
  <c r="BZ65" i="15" s="1"/>
  <c r="BR65" i="15"/>
  <c r="N67" i="10"/>
  <c r="BD66" i="10"/>
  <c r="AZ66" i="10"/>
  <c r="AV66" i="10"/>
  <c r="AR66" i="10"/>
  <c r="BC66" i="10"/>
  <c r="AY66" i="10"/>
  <c r="BA66" i="10" s="1"/>
  <c r="BB66" i="10" s="1"/>
  <c r="AU66" i="10"/>
  <c r="AQ66" i="10"/>
  <c r="AS66" i="10" s="1"/>
  <c r="AT66" i="10" s="1"/>
  <c r="AS65" i="10"/>
  <c r="AT65" i="10" s="1"/>
  <c r="O62" i="3"/>
  <c r="BE61" i="3"/>
  <c r="AW61" i="3"/>
  <c r="AO61" i="3"/>
  <c r="AO80" i="3" s="1"/>
  <c r="BD61" i="3"/>
  <c r="BF61" i="3" s="1"/>
  <c r="BG61" i="3" s="1"/>
  <c r="AV61" i="3"/>
  <c r="AN61" i="3"/>
  <c r="BI61" i="3"/>
  <c r="BA61" i="3"/>
  <c r="AS61" i="3"/>
  <c r="AS80" i="3" s="1"/>
  <c r="AZ61" i="3"/>
  <c r="BH61" i="3"/>
  <c r="AR61" i="3"/>
  <c r="AT59" i="4"/>
  <c r="AU59" i="4" s="1"/>
  <c r="BF59" i="4"/>
  <c r="BG59" i="4" s="1"/>
  <c r="BB59" i="4"/>
  <c r="BC59" i="4" s="1"/>
  <c r="O61" i="4"/>
  <c r="N61" i="4" s="1"/>
  <c r="BI60" i="4"/>
  <c r="BA60" i="4"/>
  <c r="AS60" i="4"/>
  <c r="AR60" i="4"/>
  <c r="AZ60" i="4"/>
  <c r="AO60" i="4"/>
  <c r="AW60" i="4"/>
  <c r="AV60" i="4"/>
  <c r="BH60" i="4"/>
  <c r="BJ60" i="4" s="1"/>
  <c r="BK60" i="4" s="1"/>
  <c r="BE60" i="4"/>
  <c r="AN60" i="4"/>
  <c r="BD60" i="4"/>
  <c r="AX60" i="3"/>
  <c r="AY60" i="3" s="1"/>
  <c r="BM59" i="4"/>
  <c r="AP59" i="4"/>
  <c r="AQ59" i="4" s="1"/>
  <c r="BN59" i="4"/>
  <c r="BB60" i="3"/>
  <c r="BC60" i="3" s="1"/>
  <c r="CF63" i="15" l="1"/>
  <c r="CG62" i="15"/>
  <c r="CQ61" i="15"/>
  <c r="CS61" i="15" s="1"/>
  <c r="CA64" i="15"/>
  <c r="CB63" i="15"/>
  <c r="CD63" i="15" s="1"/>
  <c r="CE63" i="15" s="1"/>
  <c r="BY65" i="14"/>
  <c r="BZ65" i="14" s="1"/>
  <c r="AW66" i="10"/>
  <c r="AX66" i="10" s="1"/>
  <c r="BE66" i="10"/>
  <c r="BF66" i="10" s="1"/>
  <c r="BB61" i="3"/>
  <c r="BC61" i="3" s="1"/>
  <c r="CI65" i="14"/>
  <c r="CJ65" i="14" s="1"/>
  <c r="BF60" i="4"/>
  <c r="BG60" i="4" s="1"/>
  <c r="AT60" i="4"/>
  <c r="AU60" i="4" s="1"/>
  <c r="BA66" i="11"/>
  <c r="BB66" i="11" s="1"/>
  <c r="BD67" i="11"/>
  <c r="N68" i="11"/>
  <c r="M68" i="11" s="1"/>
  <c r="BC67" i="11"/>
  <c r="AZ67" i="11"/>
  <c r="AQ67" i="11"/>
  <c r="AV67" i="11"/>
  <c r="AY67" i="11"/>
  <c r="AR67" i="11"/>
  <c r="AU67" i="11"/>
  <c r="BB60" i="4"/>
  <c r="BC60" i="4" s="1"/>
  <c r="AX61" i="3"/>
  <c r="AY61" i="3" s="1"/>
  <c r="AW66" i="11"/>
  <c r="AX66" i="11" s="1"/>
  <c r="BI66" i="11"/>
  <c r="AS66" i="11"/>
  <c r="AT66" i="11" s="1"/>
  <c r="BH66" i="11"/>
  <c r="CD65" i="14"/>
  <c r="CE65" i="14" s="1"/>
  <c r="BJ65" i="11"/>
  <c r="BT65" i="14"/>
  <c r="BU65" i="14" s="1"/>
  <c r="BS66" i="14"/>
  <c r="Q66" i="14"/>
  <c r="CG66" i="14"/>
  <c r="R67" i="14"/>
  <c r="CH66" i="14"/>
  <c r="CB66" i="14"/>
  <c r="BW66" i="14"/>
  <c r="BR66" i="14"/>
  <c r="BX66" i="14"/>
  <c r="CC66" i="14"/>
  <c r="CR65" i="15"/>
  <c r="BW66" i="15"/>
  <c r="Q66" i="15"/>
  <c r="BX66" i="15"/>
  <c r="CH66" i="15"/>
  <c r="R67" i="15"/>
  <c r="CC66" i="15"/>
  <c r="BR66" i="15"/>
  <c r="BS66" i="15"/>
  <c r="BT65" i="15"/>
  <c r="BU65" i="15" s="1"/>
  <c r="N68" i="10"/>
  <c r="BD67" i="10"/>
  <c r="AZ67" i="10"/>
  <c r="AV67" i="10"/>
  <c r="AR67" i="10"/>
  <c r="BC67" i="10"/>
  <c r="AY67" i="10"/>
  <c r="BA67" i="10" s="1"/>
  <c r="BB67" i="10" s="1"/>
  <c r="AU67" i="10"/>
  <c r="AQ67" i="10"/>
  <c r="BO59" i="4"/>
  <c r="BN60" i="4"/>
  <c r="AP61" i="3"/>
  <c r="AQ61" i="3" s="1"/>
  <c r="AQ80" i="3" s="1"/>
  <c r="H20" i="3" s="1"/>
  <c r="AN80" i="3"/>
  <c r="AT61" i="3"/>
  <c r="AU61" i="3" s="1"/>
  <c r="AU80" i="3" s="1"/>
  <c r="I20" i="3" s="1"/>
  <c r="AR80" i="3"/>
  <c r="BM60" i="4"/>
  <c r="AP60" i="4"/>
  <c r="AQ60" i="4" s="1"/>
  <c r="BJ61" i="3"/>
  <c r="BK61" i="3" s="1"/>
  <c r="AX60" i="4"/>
  <c r="AY60" i="4" s="1"/>
  <c r="O62" i="4"/>
  <c r="N62" i="4" s="1"/>
  <c r="BH61" i="4"/>
  <c r="AO61" i="4"/>
  <c r="BE61" i="4"/>
  <c r="AV61" i="4"/>
  <c r="AW61" i="4"/>
  <c r="BI61" i="4"/>
  <c r="AS61" i="4"/>
  <c r="AS80" i="4" s="1"/>
  <c r="BD61" i="4"/>
  <c r="BA61" i="4"/>
  <c r="AZ61" i="4"/>
  <c r="AR61" i="4"/>
  <c r="AN61" i="4"/>
  <c r="BI62" i="3"/>
  <c r="BA62" i="3"/>
  <c r="AZ62" i="3"/>
  <c r="O63" i="3"/>
  <c r="AW62" i="3"/>
  <c r="BH62" i="3"/>
  <c r="BE62" i="3"/>
  <c r="BD62" i="3"/>
  <c r="AV62" i="3"/>
  <c r="CA65" i="15" l="1"/>
  <c r="CB64" i="15"/>
  <c r="CD64" i="15" s="1"/>
  <c r="CE64" i="15" s="1"/>
  <c r="AS67" i="10"/>
  <c r="AT67" i="10" s="1"/>
  <c r="CI62" i="15"/>
  <c r="CJ62" i="15" s="1"/>
  <c r="CQ62" i="15"/>
  <c r="CS62" i="15" s="1"/>
  <c r="AX62" i="3"/>
  <c r="AY62" i="3" s="1"/>
  <c r="AW67" i="10"/>
  <c r="AX67" i="10" s="1"/>
  <c r="CF64" i="15"/>
  <c r="CG63" i="15"/>
  <c r="CI63" i="15" s="1"/>
  <c r="CJ63" i="15" s="1"/>
  <c r="BE67" i="10"/>
  <c r="BF67" i="10" s="1"/>
  <c r="BA67" i="11"/>
  <c r="BB67" i="11" s="1"/>
  <c r="BF62" i="3"/>
  <c r="BG62" i="3" s="1"/>
  <c r="BO60" i="4"/>
  <c r="AW67" i="11"/>
  <c r="AX67" i="11" s="1"/>
  <c r="BB61" i="4"/>
  <c r="BC61" i="4" s="1"/>
  <c r="BI67" i="11"/>
  <c r="AS67" i="11"/>
  <c r="AT67" i="11" s="1"/>
  <c r="BH67" i="11"/>
  <c r="CI66" i="14"/>
  <c r="CJ66" i="14" s="1"/>
  <c r="BE67" i="11"/>
  <c r="BF67" i="11" s="1"/>
  <c r="BB62" i="3"/>
  <c r="BC62" i="3" s="1"/>
  <c r="CD66" i="14"/>
  <c r="CE66" i="14" s="1"/>
  <c r="BJ66" i="11"/>
  <c r="AU68" i="11"/>
  <c r="BD68" i="11"/>
  <c r="BC68" i="11"/>
  <c r="AQ68" i="11"/>
  <c r="N69" i="11"/>
  <c r="M69" i="11" s="1"/>
  <c r="AR68" i="11"/>
  <c r="AR79" i="11" s="1"/>
  <c r="AY68" i="11"/>
  <c r="AZ68" i="11"/>
  <c r="AV68" i="11"/>
  <c r="AV79" i="11" s="1"/>
  <c r="BY66" i="14"/>
  <c r="BZ66" i="14" s="1"/>
  <c r="CB67" i="14"/>
  <c r="Q67" i="14"/>
  <c r="CH67" i="14"/>
  <c r="BW67" i="14"/>
  <c r="BY67" i="14" s="1"/>
  <c r="BZ67" i="14" s="1"/>
  <c r="CG67" i="14"/>
  <c r="BX67" i="14"/>
  <c r="BX82" i="14" s="1"/>
  <c r="CC67" i="14"/>
  <c r="BR67" i="14"/>
  <c r="BR82" i="14" s="1"/>
  <c r="BS67" i="14"/>
  <c r="BS82" i="14" s="1"/>
  <c r="R68" i="14"/>
  <c r="BT66" i="14"/>
  <c r="BU66" i="14" s="1"/>
  <c r="BT66" i="15"/>
  <c r="BU66" i="15" s="1"/>
  <c r="BW67" i="15"/>
  <c r="BS67" i="15"/>
  <c r="R68" i="15"/>
  <c r="BR67" i="15"/>
  <c r="Q67" i="15"/>
  <c r="BX67" i="15"/>
  <c r="BX82" i="15" s="1"/>
  <c r="CH67" i="15"/>
  <c r="CC67" i="15"/>
  <c r="CR66" i="15"/>
  <c r="BY66" i="15"/>
  <c r="BZ66" i="15" s="1"/>
  <c r="N69" i="10"/>
  <c r="BD68" i="10"/>
  <c r="AZ68" i="10"/>
  <c r="AV68" i="10"/>
  <c r="AV80" i="10" s="1"/>
  <c r="AR68" i="10"/>
  <c r="AR80" i="10" s="1"/>
  <c r="BC68" i="10"/>
  <c r="BE68" i="10" s="1"/>
  <c r="BF68" i="10" s="1"/>
  <c r="AY68" i="10"/>
  <c r="BA68" i="10" s="1"/>
  <c r="BB68" i="10" s="1"/>
  <c r="AU68" i="10"/>
  <c r="AQ68" i="10"/>
  <c r="AX61" i="4"/>
  <c r="AY61" i="4" s="1"/>
  <c r="BJ62" i="3"/>
  <c r="BK62" i="3" s="1"/>
  <c r="BN61" i="4"/>
  <c r="AO80" i="4"/>
  <c r="K22" i="7"/>
  <c r="I21" i="3"/>
  <c r="BJ61" i="4"/>
  <c r="BK61" i="4" s="1"/>
  <c r="AT61" i="4"/>
  <c r="AU61" i="4" s="1"/>
  <c r="AU80" i="4" s="1"/>
  <c r="I20" i="4" s="1"/>
  <c r="I21" i="4" s="1"/>
  <c r="AR80" i="4"/>
  <c r="BF61" i="4"/>
  <c r="BG61" i="4" s="1"/>
  <c r="BE62" i="4"/>
  <c r="AW62" i="4"/>
  <c r="BD62" i="4"/>
  <c r="BA62" i="4"/>
  <c r="O63" i="4"/>
  <c r="N63" i="4" s="1"/>
  <c r="AZ62" i="4"/>
  <c r="BH62" i="4"/>
  <c r="AV62" i="4"/>
  <c r="BI62" i="4"/>
  <c r="K6" i="7"/>
  <c r="H21" i="3"/>
  <c r="AP61" i="4"/>
  <c r="AQ61" i="4" s="1"/>
  <c r="AQ80" i="4" s="1"/>
  <c r="H20" i="4" s="1"/>
  <c r="H21" i="4" s="1"/>
  <c r="BM61" i="4"/>
  <c r="AN80" i="4"/>
  <c r="BI63" i="3"/>
  <c r="BA63" i="3"/>
  <c r="BH63" i="3"/>
  <c r="AZ63" i="3"/>
  <c r="O64" i="3"/>
  <c r="BE63" i="3"/>
  <c r="AW63" i="3"/>
  <c r="AV63" i="3"/>
  <c r="BD63" i="3"/>
  <c r="CA66" i="15" l="1"/>
  <c r="CB65" i="15"/>
  <c r="CD65" i="15" s="1"/>
  <c r="CE65" i="15" s="1"/>
  <c r="CG64" i="15"/>
  <c r="CF65" i="15"/>
  <c r="CQ63" i="15"/>
  <c r="CS63" i="15" s="1"/>
  <c r="BA68" i="11"/>
  <c r="BB68" i="11" s="1"/>
  <c r="BJ67" i="11"/>
  <c r="BJ62" i="4"/>
  <c r="BK62" i="4" s="1"/>
  <c r="BE68" i="11"/>
  <c r="BF68" i="11" s="1"/>
  <c r="AX63" i="3"/>
  <c r="AY63" i="3" s="1"/>
  <c r="BB63" i="3"/>
  <c r="BC63" i="3" s="1"/>
  <c r="BB62" i="4"/>
  <c r="BC62" i="4" s="1"/>
  <c r="BI68" i="11"/>
  <c r="BJ63" i="3"/>
  <c r="BK63" i="3" s="1"/>
  <c r="CI67" i="14"/>
  <c r="CJ67" i="14" s="1"/>
  <c r="BC69" i="11"/>
  <c r="BD69" i="11"/>
  <c r="AZ69" i="11"/>
  <c r="AY69" i="11"/>
  <c r="N70" i="11"/>
  <c r="M70" i="11" s="1"/>
  <c r="AW68" i="11"/>
  <c r="AX68" i="11" s="1"/>
  <c r="AX79" i="11" s="1"/>
  <c r="J20" i="11" s="1"/>
  <c r="J21" i="11" s="1"/>
  <c r="AU79" i="11"/>
  <c r="AS68" i="11"/>
  <c r="AT68" i="11" s="1"/>
  <c r="AT79" i="11" s="1"/>
  <c r="I20" i="11" s="1"/>
  <c r="I21" i="11" s="1"/>
  <c r="AQ79" i="11"/>
  <c r="BH68" i="11"/>
  <c r="CD67" i="14"/>
  <c r="CE67" i="14" s="1"/>
  <c r="BZ82" i="14"/>
  <c r="M20" i="14" s="1"/>
  <c r="M25" i="18" s="1"/>
  <c r="BW82" i="14"/>
  <c r="BT67" i="14"/>
  <c r="BU67" i="14" s="1"/>
  <c r="BU82" i="14" s="1"/>
  <c r="L20" i="14" s="1"/>
  <c r="M9" i="18" s="1"/>
  <c r="CH68" i="14"/>
  <c r="Q68" i="14"/>
  <c r="CG68" i="14"/>
  <c r="CC68" i="14"/>
  <c r="CB68" i="14"/>
  <c r="R69" i="14"/>
  <c r="BO61" i="4"/>
  <c r="BF62" i="4"/>
  <c r="BG62" i="4" s="1"/>
  <c r="R69" i="15"/>
  <c r="CH68" i="15"/>
  <c r="CC68" i="15"/>
  <c r="Q68" i="15"/>
  <c r="BT67" i="15"/>
  <c r="BU67" i="15" s="1"/>
  <c r="BU82" i="15" s="1"/>
  <c r="L20" i="15" s="1"/>
  <c r="BR82" i="15"/>
  <c r="CR67" i="15"/>
  <c r="BS82" i="15"/>
  <c r="BY67" i="15"/>
  <c r="BZ67" i="15" s="1"/>
  <c r="BZ82" i="15" s="1"/>
  <c r="M20" i="15" s="1"/>
  <c r="BW82" i="15"/>
  <c r="AS68" i="10"/>
  <c r="AT68" i="10" s="1"/>
  <c r="AT80" i="10" s="1"/>
  <c r="I20" i="10" s="1"/>
  <c r="AQ80" i="10"/>
  <c r="N70" i="10"/>
  <c r="BD69" i="10"/>
  <c r="AZ69" i="10"/>
  <c r="BC69" i="10"/>
  <c r="AY69" i="10"/>
  <c r="AW68" i="10"/>
  <c r="AX68" i="10" s="1"/>
  <c r="AX80" i="10" s="1"/>
  <c r="J20" i="10" s="1"/>
  <c r="AU80" i="10"/>
  <c r="BA63" i="4"/>
  <c r="BI63" i="4"/>
  <c r="AZ63" i="4"/>
  <c r="BB63" i="4" s="1"/>
  <c r="BC63" i="4" s="1"/>
  <c r="AW63" i="4"/>
  <c r="AV63" i="4"/>
  <c r="BH63" i="4"/>
  <c r="BD63" i="4"/>
  <c r="BE63" i="4"/>
  <c r="O64" i="4"/>
  <c r="N64" i="4" s="1"/>
  <c r="BN62" i="4"/>
  <c r="O65" i="3"/>
  <c r="BE64" i="3"/>
  <c r="AW64" i="3"/>
  <c r="BD64" i="3"/>
  <c r="AV64" i="3"/>
  <c r="AX64" i="3" s="1"/>
  <c r="AY64" i="3" s="1"/>
  <c r="BA64" i="3"/>
  <c r="AZ64" i="3"/>
  <c r="BI64" i="3"/>
  <c r="BH64" i="3"/>
  <c r="BM62" i="4"/>
  <c r="AX62" i="4"/>
  <c r="AY62" i="4" s="1"/>
  <c r="BF63" i="3"/>
  <c r="BG63" i="3" s="1"/>
  <c r="CI68" i="14" l="1"/>
  <c r="CJ68" i="14" s="1"/>
  <c r="BJ63" i="4"/>
  <c r="BK63" i="4" s="1"/>
  <c r="CF66" i="15"/>
  <c r="CG65" i="15"/>
  <c r="CI64" i="15"/>
  <c r="CJ64" i="15" s="1"/>
  <c r="CQ64" i="15"/>
  <c r="CS64" i="15" s="1"/>
  <c r="CA67" i="15"/>
  <c r="CB66" i="15"/>
  <c r="CD66" i="15" s="1"/>
  <c r="CE66" i="15" s="1"/>
  <c r="BB64" i="3"/>
  <c r="BC64" i="3" s="1"/>
  <c r="BE69" i="10"/>
  <c r="BF69" i="10" s="1"/>
  <c r="BJ64" i="3"/>
  <c r="BK64" i="3" s="1"/>
  <c r="BI69" i="11"/>
  <c r="BE69" i="11"/>
  <c r="BF69" i="11" s="1"/>
  <c r="BA69" i="11"/>
  <c r="BB69" i="11" s="1"/>
  <c r="BH69" i="11"/>
  <c r="BJ68" i="11"/>
  <c r="BF64" i="3"/>
  <c r="BG64" i="3" s="1"/>
  <c r="BA69" i="10"/>
  <c r="BB69" i="10" s="1"/>
  <c r="BC70" i="11"/>
  <c r="BD70" i="11"/>
  <c r="AY70" i="11"/>
  <c r="N71" i="11"/>
  <c r="M71" i="11" s="1"/>
  <c r="AZ70" i="11"/>
  <c r="M21" i="14"/>
  <c r="CH69" i="14"/>
  <c r="Q69" i="14"/>
  <c r="CC69" i="14"/>
  <c r="CG69" i="14"/>
  <c r="R70" i="14"/>
  <c r="CB69" i="14"/>
  <c r="CD68" i="14"/>
  <c r="CE68" i="14" s="1"/>
  <c r="L21" i="14"/>
  <c r="M21" i="15"/>
  <c r="CH69" i="15"/>
  <c r="Q69" i="15"/>
  <c r="R70" i="15"/>
  <c r="CC69" i="15"/>
  <c r="L21" i="15"/>
  <c r="CR68" i="15"/>
  <c r="K22" i="13"/>
  <c r="J21" i="10"/>
  <c r="N71" i="10"/>
  <c r="BD70" i="10"/>
  <c r="AZ70" i="10"/>
  <c r="BC70" i="10"/>
  <c r="AY70" i="10"/>
  <c r="K6" i="13"/>
  <c r="I21" i="10"/>
  <c r="O66" i="3"/>
  <c r="BE65" i="3"/>
  <c r="AW65" i="3"/>
  <c r="BD65" i="3"/>
  <c r="AV65" i="3"/>
  <c r="AX65" i="3" s="1"/>
  <c r="AY65" i="3" s="1"/>
  <c r="BI65" i="3"/>
  <c r="BA65" i="3"/>
  <c r="AZ65" i="3"/>
  <c r="BB65" i="3" s="1"/>
  <c r="BC65" i="3" s="1"/>
  <c r="BH65" i="3"/>
  <c r="BF63" i="4"/>
  <c r="BG63" i="4" s="1"/>
  <c r="BM63" i="4"/>
  <c r="AX63" i="4"/>
  <c r="AY63" i="4" s="1"/>
  <c r="BN63" i="4"/>
  <c r="BO62" i="4"/>
  <c r="O65" i="4"/>
  <c r="N65" i="4" s="1"/>
  <c r="BI64" i="4"/>
  <c r="BA64" i="4"/>
  <c r="AW64" i="4"/>
  <c r="BE64" i="4"/>
  <c r="AV64" i="4"/>
  <c r="BD64" i="4"/>
  <c r="BF64" i="4" s="1"/>
  <c r="BG64" i="4" s="1"/>
  <c r="AZ64" i="4"/>
  <c r="BH64" i="4"/>
  <c r="CA68" i="15" l="1"/>
  <c r="CB67" i="15"/>
  <c r="CD67" i="15" s="1"/>
  <c r="CE67" i="15" s="1"/>
  <c r="CI65" i="15"/>
  <c r="CJ65" i="15" s="1"/>
  <c r="CQ65" i="15"/>
  <c r="CS65" i="15" s="1"/>
  <c r="CF67" i="15"/>
  <c r="CG66" i="15"/>
  <c r="BJ69" i="11"/>
  <c r="BA70" i="10"/>
  <c r="BB70" i="10" s="1"/>
  <c r="BB64" i="4"/>
  <c r="BC64" i="4" s="1"/>
  <c r="BI70" i="11"/>
  <c r="BH70" i="11"/>
  <c r="BA70" i="11"/>
  <c r="BB70" i="11" s="1"/>
  <c r="BE70" i="10"/>
  <c r="BF70" i="10" s="1"/>
  <c r="N72" i="11"/>
  <c r="M72" i="11" s="1"/>
  <c r="BD71" i="11"/>
  <c r="AY71" i="11"/>
  <c r="AZ71" i="11"/>
  <c r="BC71" i="11"/>
  <c r="BE71" i="11" s="1"/>
  <c r="BF71" i="11" s="1"/>
  <c r="BE70" i="11"/>
  <c r="BF70" i="11" s="1"/>
  <c r="BF65" i="3"/>
  <c r="BG65" i="3" s="1"/>
  <c r="CI69" i="14"/>
  <c r="CJ69" i="14" s="1"/>
  <c r="CD69" i="14"/>
  <c r="CE69" i="14" s="1"/>
  <c r="CC70" i="14"/>
  <c r="CH70" i="14"/>
  <c r="CG70" i="14"/>
  <c r="R71" i="14"/>
  <c r="CB70" i="14"/>
  <c r="Q70" i="14"/>
  <c r="CR69" i="15"/>
  <c r="Q70" i="15"/>
  <c r="CC70" i="15"/>
  <c r="R71" i="15"/>
  <c r="CH70" i="15"/>
  <c r="N72" i="10"/>
  <c r="BD71" i="10"/>
  <c r="AZ71" i="10"/>
  <c r="BC71" i="10"/>
  <c r="BE71" i="10" s="1"/>
  <c r="BF71" i="10" s="1"/>
  <c r="AY71" i="10"/>
  <c r="BJ64" i="4"/>
  <c r="BK64" i="4" s="1"/>
  <c r="BA65" i="4"/>
  <c r="O66" i="4"/>
  <c r="N66" i="4" s="1"/>
  <c r="BH65" i="4"/>
  <c r="AW65" i="4"/>
  <c r="BI65" i="4"/>
  <c r="AV65" i="4"/>
  <c r="BE65" i="4"/>
  <c r="AZ65" i="4"/>
  <c r="BD65" i="4"/>
  <c r="BM64" i="4"/>
  <c r="AX64" i="4"/>
  <c r="AY64" i="4" s="1"/>
  <c r="BO63" i="4"/>
  <c r="BN64" i="4"/>
  <c r="BJ65" i="3"/>
  <c r="BK65" i="3" s="1"/>
  <c r="BI66" i="3"/>
  <c r="BA66" i="3"/>
  <c r="BH66" i="3"/>
  <c r="AZ66" i="3"/>
  <c r="BE66" i="3"/>
  <c r="AW66" i="3"/>
  <c r="AV66" i="3"/>
  <c r="O67" i="3"/>
  <c r="BD66" i="3"/>
  <c r="CA69" i="15" l="1"/>
  <c r="CB68" i="15"/>
  <c r="CD68" i="15" s="1"/>
  <c r="CE68" i="15" s="1"/>
  <c r="CI66" i="15"/>
  <c r="CJ66" i="15" s="1"/>
  <c r="CQ66" i="15"/>
  <c r="CS66" i="15" s="1"/>
  <c r="CG67" i="15"/>
  <c r="CF68" i="15"/>
  <c r="BF66" i="3"/>
  <c r="BG66" i="3" s="1"/>
  <c r="BA71" i="10"/>
  <c r="BB71" i="10" s="1"/>
  <c r="BB65" i="4"/>
  <c r="BC65" i="4" s="1"/>
  <c r="BI71" i="11"/>
  <c r="BA71" i="11"/>
  <c r="BB71" i="11" s="1"/>
  <c r="BH71" i="11"/>
  <c r="AX66" i="3"/>
  <c r="AY66" i="3" s="1"/>
  <c r="CI70" i="14"/>
  <c r="CJ70" i="14" s="1"/>
  <c r="AY72" i="11"/>
  <c r="AZ72" i="11"/>
  <c r="N73" i="11"/>
  <c r="M73" i="11" s="1"/>
  <c r="BC72" i="11"/>
  <c r="BD72" i="11"/>
  <c r="BJ70" i="11"/>
  <c r="CD70" i="14"/>
  <c r="CE70" i="14" s="1"/>
  <c r="CH71" i="14"/>
  <c r="CG71" i="14"/>
  <c r="R72" i="14"/>
  <c r="CC71" i="14"/>
  <c r="Q71" i="14"/>
  <c r="CB71" i="14"/>
  <c r="Q71" i="15"/>
  <c r="R72" i="15"/>
  <c r="CC71" i="15"/>
  <c r="CH71" i="15"/>
  <c r="CR70" i="15"/>
  <c r="N73" i="10"/>
  <c r="BD72" i="10"/>
  <c r="AZ72" i="10"/>
  <c r="BC72" i="10"/>
  <c r="AY72" i="10"/>
  <c r="BI67" i="3"/>
  <c r="BA67" i="3"/>
  <c r="BA80" i="3" s="1"/>
  <c r="BH67" i="3"/>
  <c r="AZ67" i="3"/>
  <c r="O68" i="3"/>
  <c r="BE67" i="3"/>
  <c r="AW67" i="3"/>
  <c r="AW80" i="3" s="1"/>
  <c r="BD67" i="3"/>
  <c r="AV67" i="3"/>
  <c r="BM65" i="4"/>
  <c r="AX65" i="4"/>
  <c r="AY65" i="4" s="1"/>
  <c r="BJ65" i="4"/>
  <c r="BK65" i="4" s="1"/>
  <c r="BB66" i="3"/>
  <c r="BC66" i="3" s="1"/>
  <c r="BO64" i="4"/>
  <c r="BE66" i="4"/>
  <c r="AW66" i="4"/>
  <c r="O67" i="4"/>
  <c r="N67" i="4" s="1"/>
  <c r="BH66" i="4"/>
  <c r="BD66" i="4"/>
  <c r="BF66" i="4" s="1"/>
  <c r="BG66" i="4" s="1"/>
  <c r="BA66" i="4"/>
  <c r="AV66" i="4"/>
  <c r="BI66" i="4"/>
  <c r="AZ66" i="4"/>
  <c r="BJ66" i="3"/>
  <c r="BK66" i="3" s="1"/>
  <c r="BF65" i="4"/>
  <c r="BG65" i="4" s="1"/>
  <c r="BN65" i="4"/>
  <c r="CF69" i="15" l="1"/>
  <c r="CG68" i="15"/>
  <c r="CI67" i="15"/>
  <c r="CJ67" i="15" s="1"/>
  <c r="CQ67" i="15"/>
  <c r="CS67" i="15" s="1"/>
  <c r="CA70" i="15"/>
  <c r="CB69" i="15"/>
  <c r="CD69" i="15" s="1"/>
  <c r="CE69" i="15" s="1"/>
  <c r="BB66" i="4"/>
  <c r="BC66" i="4" s="1"/>
  <c r="BJ67" i="3"/>
  <c r="BK67" i="3" s="1"/>
  <c r="BE72" i="10"/>
  <c r="BF72" i="10" s="1"/>
  <c r="CI71" i="14"/>
  <c r="CJ71" i="14" s="1"/>
  <c r="BE72" i="11"/>
  <c r="BF72" i="11" s="1"/>
  <c r="BI72" i="11"/>
  <c r="BA72" i="11"/>
  <c r="BB72" i="11" s="1"/>
  <c r="BH72" i="11"/>
  <c r="BJ71" i="11"/>
  <c r="BF67" i="3"/>
  <c r="BG67" i="3" s="1"/>
  <c r="BD73" i="11"/>
  <c r="AZ73" i="11"/>
  <c r="AY73" i="11"/>
  <c r="N74" i="11"/>
  <c r="M74" i="11" s="1"/>
  <c r="BC73" i="11"/>
  <c r="BE73" i="11" s="1"/>
  <c r="BF73" i="11" s="1"/>
  <c r="CD71" i="14"/>
  <c r="CE71" i="14" s="1"/>
  <c r="CB72" i="14"/>
  <c r="Q72" i="14"/>
  <c r="CG72" i="14"/>
  <c r="CC72" i="14"/>
  <c r="R73" i="14"/>
  <c r="CH72" i="14"/>
  <c r="BN66" i="4"/>
  <c r="CC72" i="15"/>
  <c r="R73" i="15"/>
  <c r="CH72" i="15"/>
  <c r="Q72" i="15"/>
  <c r="CR71" i="15"/>
  <c r="BA72" i="10"/>
  <c r="BB72" i="10" s="1"/>
  <c r="N74" i="10"/>
  <c r="BD73" i="10"/>
  <c r="AZ73" i="10"/>
  <c r="AY73" i="10"/>
  <c r="BC73" i="10"/>
  <c r="AX66" i="4"/>
  <c r="AY66" i="4" s="1"/>
  <c r="BM66" i="4"/>
  <c r="O69" i="3"/>
  <c r="BE68" i="3"/>
  <c r="BD68" i="3"/>
  <c r="BI68" i="3"/>
  <c r="BH68" i="3"/>
  <c r="BB67" i="3"/>
  <c r="BC67" i="3" s="1"/>
  <c r="BC80" i="3" s="1"/>
  <c r="K20" i="3" s="1"/>
  <c r="AZ80" i="3"/>
  <c r="BJ66" i="4"/>
  <c r="BK66" i="4" s="1"/>
  <c r="BO65" i="4"/>
  <c r="BE67" i="4"/>
  <c r="AV67" i="4"/>
  <c r="BD67" i="4"/>
  <c r="BA67" i="4"/>
  <c r="BA80" i="4" s="1"/>
  <c r="O68" i="4"/>
  <c r="N68" i="4" s="1"/>
  <c r="AW67" i="4"/>
  <c r="BH67" i="4"/>
  <c r="BI67" i="4"/>
  <c r="AZ67" i="4"/>
  <c r="AX67" i="3"/>
  <c r="AY67" i="3" s="1"/>
  <c r="AY80" i="3" s="1"/>
  <c r="J20" i="3" s="1"/>
  <c r="AV80" i="3"/>
  <c r="CA71" i="15" l="1"/>
  <c r="CB70" i="15"/>
  <c r="CD70" i="15" s="1"/>
  <c r="CE70" i="15" s="1"/>
  <c r="CI68" i="15"/>
  <c r="CJ68" i="15" s="1"/>
  <c r="CQ68" i="15"/>
  <c r="CS68" i="15" s="1"/>
  <c r="CG69" i="15"/>
  <c r="CI69" i="15" s="1"/>
  <c r="CJ69" i="15" s="1"/>
  <c r="CF70" i="15"/>
  <c r="BE73" i="10"/>
  <c r="BF73" i="10" s="1"/>
  <c r="CI72" i="14"/>
  <c r="CJ72" i="14" s="1"/>
  <c r="BJ67" i="4"/>
  <c r="BK67" i="4" s="1"/>
  <c r="BF67" i="4"/>
  <c r="BG67" i="4" s="1"/>
  <c r="BF68" i="3"/>
  <c r="BG68" i="3" s="1"/>
  <c r="BO66" i="4"/>
  <c r="BJ72" i="11"/>
  <c r="BI73" i="11"/>
  <c r="BA73" i="10"/>
  <c r="BB73" i="10" s="1"/>
  <c r="BA73" i="11"/>
  <c r="BB73" i="11" s="1"/>
  <c r="BH73" i="11"/>
  <c r="BJ68" i="3"/>
  <c r="BK68" i="3" s="1"/>
  <c r="N75" i="11"/>
  <c r="M75" i="11" s="1"/>
  <c r="AZ74" i="11"/>
  <c r="BD74" i="11"/>
  <c r="BC74" i="11"/>
  <c r="AY74" i="11"/>
  <c r="CG73" i="14"/>
  <c r="CC73" i="14"/>
  <c r="CB73" i="14"/>
  <c r="CH73" i="14"/>
  <c r="R74" i="14"/>
  <c r="Q73" i="14"/>
  <c r="CD72" i="14"/>
  <c r="CE72" i="14" s="1"/>
  <c r="CC73" i="15"/>
  <c r="CH73" i="15"/>
  <c r="R74" i="15"/>
  <c r="Q73" i="15"/>
  <c r="CR72" i="15"/>
  <c r="N75" i="10"/>
  <c r="BD74" i="10"/>
  <c r="AZ74" i="10"/>
  <c r="BC74" i="10"/>
  <c r="AY74" i="10"/>
  <c r="K23" i="7"/>
  <c r="K21" i="3"/>
  <c r="BB67" i="4"/>
  <c r="BC67" i="4" s="1"/>
  <c r="BC80" i="4" s="1"/>
  <c r="K20" i="4" s="1"/>
  <c r="K21" i="4" s="1"/>
  <c r="AZ80" i="4"/>
  <c r="BM67" i="4"/>
  <c r="AX67" i="4"/>
  <c r="AY67" i="4" s="1"/>
  <c r="AY80" i="4" s="1"/>
  <c r="J20" i="4" s="1"/>
  <c r="J21" i="4" s="1"/>
  <c r="AV80" i="4"/>
  <c r="O70" i="3"/>
  <c r="BE69" i="3"/>
  <c r="BD69" i="3"/>
  <c r="BF69" i="3" s="1"/>
  <c r="BG69" i="3" s="1"/>
  <c r="BI69" i="3"/>
  <c r="BH69" i="3"/>
  <c r="O69" i="4"/>
  <c r="N69" i="4" s="1"/>
  <c r="BI68" i="4"/>
  <c r="BH68" i="4"/>
  <c r="BE68" i="4"/>
  <c r="BD68" i="4"/>
  <c r="K7" i="7"/>
  <c r="J21" i="3"/>
  <c r="BN67" i="4"/>
  <c r="AW80" i="4"/>
  <c r="CG70" i="15" l="1"/>
  <c r="CF71" i="15"/>
  <c r="CQ69" i="15"/>
  <c r="CS69" i="15" s="1"/>
  <c r="CI73" i="14"/>
  <c r="CJ73" i="14" s="1"/>
  <c r="CA72" i="15"/>
  <c r="CB71" i="15"/>
  <c r="CD71" i="15" s="1"/>
  <c r="CE71" i="15" s="1"/>
  <c r="BE74" i="10"/>
  <c r="BF74" i="10" s="1"/>
  <c r="BE74" i="11"/>
  <c r="BF74" i="11" s="1"/>
  <c r="BI74" i="11"/>
  <c r="BJ69" i="3"/>
  <c r="BK69" i="3" s="1"/>
  <c r="BA74" i="10"/>
  <c r="BB74" i="10" s="1"/>
  <c r="AZ75" i="11"/>
  <c r="AY75" i="11"/>
  <c r="N76" i="11"/>
  <c r="M76" i="11" s="1"/>
  <c r="BD75" i="11"/>
  <c r="BC75" i="11"/>
  <c r="BE75" i="11" s="1"/>
  <c r="BF75" i="11" s="1"/>
  <c r="BJ73" i="11"/>
  <c r="BJ68" i="4"/>
  <c r="BK68" i="4" s="1"/>
  <c r="BA74" i="11"/>
  <c r="BB74" i="11" s="1"/>
  <c r="BH74" i="11"/>
  <c r="CB74" i="14"/>
  <c r="CH74" i="14"/>
  <c r="Q74" i="14"/>
  <c r="CC74" i="14"/>
  <c r="R75" i="14"/>
  <c r="CG74" i="14"/>
  <c r="CD73" i="14"/>
  <c r="CE73" i="14" s="1"/>
  <c r="BN68" i="4"/>
  <c r="CC74" i="15"/>
  <c r="CH74" i="15"/>
  <c r="R75" i="15"/>
  <c r="Q74" i="15"/>
  <c r="CR73" i="15"/>
  <c r="N76" i="10"/>
  <c r="BD75" i="10"/>
  <c r="AZ75" i="10"/>
  <c r="BC75" i="10"/>
  <c r="AY75" i="10"/>
  <c r="BA75" i="10" s="1"/>
  <c r="BB75" i="10" s="1"/>
  <c r="BE69" i="4"/>
  <c r="BD69" i="4"/>
  <c r="BI69" i="4"/>
  <c r="O70" i="4"/>
  <c r="N70" i="4" s="1"/>
  <c r="BH69" i="4"/>
  <c r="BO67" i="4"/>
  <c r="BI70" i="3"/>
  <c r="BH70" i="3"/>
  <c r="BJ70" i="3" s="1"/>
  <c r="BK70" i="3" s="1"/>
  <c r="BE70" i="3"/>
  <c r="BD70" i="3"/>
  <c r="BF70" i="3" s="1"/>
  <c r="BG70" i="3" s="1"/>
  <c r="O71" i="3"/>
  <c r="BM68" i="4"/>
  <c r="BF68" i="4"/>
  <c r="BG68" i="4" s="1"/>
  <c r="CA73" i="15" l="1"/>
  <c r="CB72" i="15"/>
  <c r="CD72" i="15" s="1"/>
  <c r="CE72" i="15" s="1"/>
  <c r="BJ74" i="11"/>
  <c r="CI74" i="14"/>
  <c r="CJ74" i="14" s="1"/>
  <c r="CG71" i="15"/>
  <c r="CI71" i="15" s="1"/>
  <c r="CJ71" i="15" s="1"/>
  <c r="CF72" i="15"/>
  <c r="CI70" i="15"/>
  <c r="CJ70" i="15" s="1"/>
  <c r="CQ70" i="15"/>
  <c r="CS70" i="15" s="1"/>
  <c r="BJ69" i="4"/>
  <c r="BK69" i="4" s="1"/>
  <c r="BI75" i="11"/>
  <c r="AZ76" i="11"/>
  <c r="BD76" i="11"/>
  <c r="BC76" i="11"/>
  <c r="N77" i="11"/>
  <c r="M77" i="11" s="1"/>
  <c r="AY76" i="11"/>
  <c r="BA75" i="11"/>
  <c r="BB75" i="11" s="1"/>
  <c r="BH75" i="11"/>
  <c r="R76" i="14"/>
  <c r="CC75" i="14"/>
  <c r="CC82" i="14" s="1"/>
  <c r="CH75" i="14"/>
  <c r="CH82" i="14" s="1"/>
  <c r="CG75" i="14"/>
  <c r="CI75" i="14" s="1"/>
  <c r="CJ75" i="14" s="1"/>
  <c r="CJ82" i="14" s="1"/>
  <c r="O20" i="14" s="1"/>
  <c r="CB75" i="14"/>
  <c r="CB82" i="14" s="1"/>
  <c r="Q75" i="14"/>
  <c r="CD74" i="14"/>
  <c r="CE74" i="14" s="1"/>
  <c r="BO68" i="4"/>
  <c r="R76" i="15"/>
  <c r="CC75" i="15"/>
  <c r="Q75" i="15"/>
  <c r="CH75" i="15"/>
  <c r="CH82" i="15" s="1"/>
  <c r="CR74" i="15"/>
  <c r="N77" i="10"/>
  <c r="BD76" i="10"/>
  <c r="AZ76" i="10"/>
  <c r="BC76" i="10"/>
  <c r="AY76" i="10"/>
  <c r="BE75" i="10"/>
  <c r="BF75" i="10" s="1"/>
  <c r="BE70" i="4"/>
  <c r="BI70" i="4"/>
  <c r="O71" i="4"/>
  <c r="N71" i="4" s="1"/>
  <c r="BH70" i="4"/>
  <c r="BD70" i="4"/>
  <c r="BI71" i="3"/>
  <c r="BH71" i="3"/>
  <c r="O72" i="3"/>
  <c r="BE71" i="3"/>
  <c r="BD71" i="3"/>
  <c r="BM69" i="4"/>
  <c r="BF69" i="4"/>
  <c r="BG69" i="4" s="1"/>
  <c r="BN69" i="4"/>
  <c r="CF73" i="15" l="1"/>
  <c r="CG72" i="15"/>
  <c r="CA74" i="15"/>
  <c r="CB73" i="15"/>
  <c r="CD73" i="15" s="1"/>
  <c r="CE73" i="15" s="1"/>
  <c r="BE76" i="10"/>
  <c r="BF76" i="10" s="1"/>
  <c r="CQ71" i="15"/>
  <c r="CS71" i="15" s="1"/>
  <c r="BI76" i="11"/>
  <c r="BE76" i="11"/>
  <c r="BF76" i="11" s="1"/>
  <c r="BJ71" i="3"/>
  <c r="BK71" i="3" s="1"/>
  <c r="BJ70" i="4"/>
  <c r="BK70" i="4" s="1"/>
  <c r="BJ75" i="11"/>
  <c r="M26" i="18"/>
  <c r="B21" i="18" s="1"/>
  <c r="BA76" i="11"/>
  <c r="BB76" i="11" s="1"/>
  <c r="BH76" i="11"/>
  <c r="BF71" i="3"/>
  <c r="BG71" i="3" s="1"/>
  <c r="BA76" i="10"/>
  <c r="BB76" i="10" s="1"/>
  <c r="N78" i="11"/>
  <c r="M78" i="11" s="1"/>
  <c r="AY77" i="11"/>
  <c r="BD77" i="11"/>
  <c r="BC77" i="11"/>
  <c r="BE77" i="11" s="1"/>
  <c r="BF77" i="11" s="1"/>
  <c r="AZ77" i="11"/>
  <c r="BI77" i="11" s="1"/>
  <c r="CG82" i="14"/>
  <c r="CD75" i="14"/>
  <c r="CE75" i="14" s="1"/>
  <c r="CE82" i="14" s="1"/>
  <c r="N20" i="14" s="1"/>
  <c r="M10" i="18" s="1"/>
  <c r="O21" i="14"/>
  <c r="R77" i="14"/>
  <c r="Q76" i="14"/>
  <c r="BN70" i="4"/>
  <c r="CR75" i="15"/>
  <c r="CC82" i="15"/>
  <c r="R77" i="15"/>
  <c r="Q76" i="15"/>
  <c r="N78" i="10"/>
  <c r="BD77" i="10"/>
  <c r="AZ77" i="10"/>
  <c r="BC77" i="10"/>
  <c r="AY77" i="10"/>
  <c r="O73" i="3"/>
  <c r="BE72" i="3"/>
  <c r="BD72" i="3"/>
  <c r="BF72" i="3" s="1"/>
  <c r="BG72" i="3" s="1"/>
  <c r="BH72" i="3"/>
  <c r="BJ72" i="3" s="1"/>
  <c r="BK72" i="3" s="1"/>
  <c r="BI72" i="3"/>
  <c r="BF70" i="4"/>
  <c r="BG70" i="4" s="1"/>
  <c r="BM70" i="4"/>
  <c r="BD71" i="4"/>
  <c r="BI71" i="4"/>
  <c r="O72" i="4"/>
  <c r="N72" i="4" s="1"/>
  <c r="BE71" i="4"/>
  <c r="BH71" i="4"/>
  <c r="BO69" i="4"/>
  <c r="CA75" i="15" l="1"/>
  <c r="CB75" i="15" s="1"/>
  <c r="CD75" i="15" s="1"/>
  <c r="CE75" i="15" s="1"/>
  <c r="CB74" i="15"/>
  <c r="CQ72" i="15"/>
  <c r="CS72" i="15" s="1"/>
  <c r="CI72" i="15"/>
  <c r="CJ72" i="15" s="1"/>
  <c r="BE77" i="10"/>
  <c r="BF77" i="10" s="1"/>
  <c r="CF74" i="15"/>
  <c r="CG73" i="15"/>
  <c r="E10" i="9"/>
  <c r="F10" i="9"/>
  <c r="F9" i="9"/>
  <c r="F17" i="9"/>
  <c r="E9" i="9"/>
  <c r="E8" i="9"/>
  <c r="E31" i="9"/>
  <c r="F33" i="9"/>
  <c r="E30" i="9"/>
  <c r="F15" i="9"/>
  <c r="F14" i="9"/>
  <c r="E32" i="9"/>
  <c r="F19" i="9"/>
  <c r="F13" i="9"/>
  <c r="F37" i="9"/>
  <c r="F22" i="9"/>
  <c r="E14" i="9"/>
  <c r="E22" i="9"/>
  <c r="E26" i="9"/>
  <c r="E18" i="9"/>
  <c r="E27" i="9"/>
  <c r="E13" i="9"/>
  <c r="E17" i="9"/>
  <c r="F21" i="9"/>
  <c r="F25" i="9"/>
  <c r="F28" i="9"/>
  <c r="E20" i="9"/>
  <c r="E33" i="9"/>
  <c r="F24" i="9"/>
  <c r="F23" i="9"/>
  <c r="E19" i="9"/>
  <c r="E29" i="9"/>
  <c r="F27" i="9"/>
  <c r="F30" i="9"/>
  <c r="F36" i="9"/>
  <c r="E35" i="9"/>
  <c r="F32" i="9"/>
  <c r="F16" i="9"/>
  <c r="E28" i="9"/>
  <c r="F35" i="9"/>
  <c r="F31" i="9"/>
  <c r="F29" i="9"/>
  <c r="F18" i="9"/>
  <c r="E23" i="9"/>
  <c r="E16" i="9"/>
  <c r="F20" i="9"/>
  <c r="F26" i="9"/>
  <c r="E15" i="9"/>
  <c r="E25" i="9"/>
  <c r="E37" i="9"/>
  <c r="E36" i="9"/>
  <c r="E21" i="9"/>
  <c r="E24" i="9"/>
  <c r="F8" i="9"/>
  <c r="BN71" i="4"/>
  <c r="BJ71" i="4"/>
  <c r="BK71" i="4" s="1"/>
  <c r="B24" i="18"/>
  <c r="B20" i="18"/>
  <c r="B27" i="18"/>
  <c r="B25" i="18"/>
  <c r="B22" i="18"/>
  <c r="B26" i="18"/>
  <c r="B23" i="18"/>
  <c r="BJ76" i="11"/>
  <c r="BA77" i="10"/>
  <c r="BB77" i="10" s="1"/>
  <c r="BA77" i="11"/>
  <c r="BB77" i="11" s="1"/>
  <c r="BH77" i="11"/>
  <c r="AZ78" i="11"/>
  <c r="BC78" i="11"/>
  <c r="BD78" i="11"/>
  <c r="BD79" i="11" s="1"/>
  <c r="AY78" i="11"/>
  <c r="B9" i="18"/>
  <c r="B11" i="18"/>
  <c r="B4" i="18"/>
  <c r="B10" i="18"/>
  <c r="B13" i="18"/>
  <c r="B7" i="18"/>
  <c r="B12" i="18"/>
  <c r="B14" i="18"/>
  <c r="B16" i="18"/>
  <c r="B15" i="18"/>
  <c r="B6" i="18"/>
  <c r="B5" i="18"/>
  <c r="B8" i="18"/>
  <c r="R78" i="14"/>
  <c r="Q77" i="14"/>
  <c r="N21" i="14"/>
  <c r="BO70" i="4"/>
  <c r="R78" i="15"/>
  <c r="Q77" i="15"/>
  <c r="CR82" i="15"/>
  <c r="BD78" i="10"/>
  <c r="BD80" i="10" s="1"/>
  <c r="AZ78" i="10"/>
  <c r="AZ80" i="10" s="1"/>
  <c r="N79" i="10"/>
  <c r="BC78" i="10"/>
  <c r="AY78" i="10"/>
  <c r="BM71" i="4"/>
  <c r="BF71" i="4"/>
  <c r="BG71" i="4" s="1"/>
  <c r="O73" i="4"/>
  <c r="N73" i="4" s="1"/>
  <c r="BI72" i="4"/>
  <c r="BH72" i="4"/>
  <c r="BD72" i="4"/>
  <c r="BE72" i="4"/>
  <c r="O74" i="3"/>
  <c r="BE73" i="3"/>
  <c r="BD73" i="3"/>
  <c r="BI73" i="3"/>
  <c r="BH73" i="3"/>
  <c r="CQ73" i="15" l="1"/>
  <c r="CS73" i="15" s="1"/>
  <c r="CI73" i="15"/>
  <c r="CJ73" i="15" s="1"/>
  <c r="CF75" i="15"/>
  <c r="CG75" i="15" s="1"/>
  <c r="CG74" i="15"/>
  <c r="CD74" i="15"/>
  <c r="CE74" i="15" s="1"/>
  <c r="CE82" i="15" s="1"/>
  <c r="N20" i="15" s="1"/>
  <c r="N21" i="15" s="1"/>
  <c r="CB82" i="15"/>
  <c r="BO71" i="4"/>
  <c r="BF73" i="3"/>
  <c r="BG73" i="3" s="1"/>
  <c r="BN72" i="4"/>
  <c r="G33" i="9"/>
  <c r="B28" i="18"/>
  <c r="C20" i="8" s="1"/>
  <c r="BE78" i="11"/>
  <c r="BF78" i="11" s="1"/>
  <c r="BF79" i="11" s="1"/>
  <c r="L20" i="11" s="1"/>
  <c r="L21" i="11" s="1"/>
  <c r="BJ72" i="4"/>
  <c r="BK72" i="4" s="1"/>
  <c r="G14" i="9"/>
  <c r="G18" i="9"/>
  <c r="G28" i="9"/>
  <c r="AZ79" i="11"/>
  <c r="BI79" i="11" s="1"/>
  <c r="BI78" i="11"/>
  <c r="BJ77" i="11"/>
  <c r="G32" i="9"/>
  <c r="G30" i="9"/>
  <c r="BJ73" i="3"/>
  <c r="BK73" i="3" s="1"/>
  <c r="BH78" i="11"/>
  <c r="E34" i="9" s="1"/>
  <c r="AY79" i="11"/>
  <c r="BA78" i="11"/>
  <c r="BB78" i="11" s="1"/>
  <c r="BB79" i="11" s="1"/>
  <c r="K20" i="11" s="1"/>
  <c r="K21" i="11" s="1"/>
  <c r="BC79" i="11"/>
  <c r="G31" i="9"/>
  <c r="B17" i="18"/>
  <c r="B20" i="8" s="1"/>
  <c r="R79" i="14"/>
  <c r="Q78" i="14"/>
  <c r="Q78" i="15"/>
  <c r="R79" i="15"/>
  <c r="BA78" i="10"/>
  <c r="BB78" i="10" s="1"/>
  <c r="BB80" i="10" s="1"/>
  <c r="K20" i="10" s="1"/>
  <c r="AY80" i="10"/>
  <c r="BE78" i="10"/>
  <c r="BF78" i="10" s="1"/>
  <c r="BF80" i="10" s="1"/>
  <c r="L20" i="10" s="1"/>
  <c r="BC80" i="10"/>
  <c r="BF72" i="4"/>
  <c r="BG72" i="4" s="1"/>
  <c r="BM72" i="4"/>
  <c r="BO72" i="4" s="1"/>
  <c r="BI74" i="3"/>
  <c r="BH74" i="3"/>
  <c r="BJ74" i="3" s="1"/>
  <c r="BK74" i="3" s="1"/>
  <c r="BE74" i="3"/>
  <c r="BD74" i="3"/>
  <c r="O75" i="3"/>
  <c r="BD73" i="4"/>
  <c r="BH73" i="4"/>
  <c r="BE73" i="4"/>
  <c r="BI73" i="4"/>
  <c r="O74" i="4"/>
  <c r="N74" i="4" s="1"/>
  <c r="CG82" i="15" l="1"/>
  <c r="CQ74" i="15"/>
  <c r="CI74" i="15"/>
  <c r="CJ74" i="15" s="1"/>
  <c r="CJ82" i="15" s="1"/>
  <c r="O20" i="15" s="1"/>
  <c r="O21" i="15" s="1"/>
  <c r="CQ75" i="15"/>
  <c r="CS75" i="15" s="1"/>
  <c r="CI75" i="15"/>
  <c r="CJ75" i="15" s="1"/>
  <c r="BF74" i="3"/>
  <c r="BG74" i="3" s="1"/>
  <c r="E11" i="9"/>
  <c r="E12" i="9"/>
  <c r="F11" i="9"/>
  <c r="F12" i="9"/>
  <c r="F34" i="9"/>
  <c r="BJ78" i="11"/>
  <c r="G29" i="9"/>
  <c r="G25" i="9"/>
  <c r="G13" i="9"/>
  <c r="BH79" i="11"/>
  <c r="BJ79" i="11" s="1"/>
  <c r="G23" i="9"/>
  <c r="G22" i="9"/>
  <c r="G17" i="9"/>
  <c r="G19" i="9"/>
  <c r="G24" i="9"/>
  <c r="G10" i="9"/>
  <c r="G8" i="9"/>
  <c r="G27" i="9"/>
  <c r="G20" i="9"/>
  <c r="G16" i="9"/>
  <c r="G15" i="9"/>
  <c r="G9" i="9"/>
  <c r="BJ73" i="4"/>
  <c r="BK73" i="4" s="1"/>
  <c r="G26" i="9"/>
  <c r="G21" i="9"/>
  <c r="Q79" i="14"/>
  <c r="R80" i="14"/>
  <c r="Q80" i="14" s="1"/>
  <c r="Q79" i="15"/>
  <c r="R80" i="15"/>
  <c r="K24" i="13"/>
  <c r="L21" i="10"/>
  <c r="K8" i="13"/>
  <c r="K21" i="10"/>
  <c r="BI75" i="3"/>
  <c r="BH75" i="3"/>
  <c r="O76" i="3"/>
  <c r="BE75" i="3"/>
  <c r="BD75" i="3"/>
  <c r="BM73" i="4"/>
  <c r="BF73" i="4"/>
  <c r="BG73" i="4" s="1"/>
  <c r="BE74" i="4"/>
  <c r="BI74" i="4"/>
  <c r="BH74" i="4"/>
  <c r="BD74" i="4"/>
  <c r="O75" i="4"/>
  <c r="N75" i="4" s="1"/>
  <c r="BN73" i="4"/>
  <c r="CS74" i="15" l="1"/>
  <c r="CS82" i="15" s="1"/>
  <c r="CQ82" i="15"/>
  <c r="H11" i="9" s="1"/>
  <c r="G12" i="9"/>
  <c r="F38" i="9"/>
  <c r="D35" i="8" s="1"/>
  <c r="E38" i="9"/>
  <c r="E35" i="8" s="1"/>
  <c r="F35" i="8" s="1"/>
  <c r="G11" i="9"/>
  <c r="BJ75" i="3"/>
  <c r="BK75" i="3" s="1"/>
  <c r="Q80" i="15"/>
  <c r="G34" i="9"/>
  <c r="BJ74" i="4"/>
  <c r="BK74" i="4" s="1"/>
  <c r="BN74" i="4"/>
  <c r="B13" i="13"/>
  <c r="B7" i="13"/>
  <c r="B9" i="13"/>
  <c r="B6" i="13"/>
  <c r="B12" i="13"/>
  <c r="B8" i="13"/>
  <c r="B10" i="13"/>
  <c r="B16" i="13"/>
  <c r="B11" i="13"/>
  <c r="B5" i="13"/>
  <c r="B15" i="13"/>
  <c r="B14" i="13"/>
  <c r="B4" i="13"/>
  <c r="B24" i="13"/>
  <c r="B20" i="13"/>
  <c r="B22" i="13"/>
  <c r="B25" i="13"/>
  <c r="B26" i="13"/>
  <c r="B23" i="13"/>
  <c r="B21" i="13"/>
  <c r="B27" i="13"/>
  <c r="BO73" i="4"/>
  <c r="BF75" i="3"/>
  <c r="BG75" i="3" s="1"/>
  <c r="BM74" i="4"/>
  <c r="BO74" i="4" s="1"/>
  <c r="BF74" i="4"/>
  <c r="BG74" i="4" s="1"/>
  <c r="O77" i="3"/>
  <c r="BE76" i="3"/>
  <c r="BD76" i="3"/>
  <c r="BI76" i="3"/>
  <c r="BH76" i="3"/>
  <c r="O76" i="4"/>
  <c r="N76" i="4" s="1"/>
  <c r="BI75" i="4"/>
  <c r="BE75" i="4"/>
  <c r="BD75" i="4"/>
  <c r="BH75" i="4"/>
  <c r="I13" i="9" l="1"/>
  <c r="I28" i="9"/>
  <c r="H19" i="9"/>
  <c r="H29" i="9"/>
  <c r="H31" i="9"/>
  <c r="I15" i="9"/>
  <c r="H16" i="9"/>
  <c r="H12" i="9"/>
  <c r="I33" i="9"/>
  <c r="H18" i="9"/>
  <c r="I30" i="9"/>
  <c r="I16" i="9"/>
  <c r="H26" i="9"/>
  <c r="H25" i="9"/>
  <c r="I24" i="9"/>
  <c r="I11" i="9"/>
  <c r="J11" i="9" s="1"/>
  <c r="I22" i="9"/>
  <c r="I26" i="9"/>
  <c r="I25" i="9"/>
  <c r="H32" i="9"/>
  <c r="H20" i="9"/>
  <c r="I23" i="9"/>
  <c r="I32" i="9"/>
  <c r="H28" i="9"/>
  <c r="I19" i="9"/>
  <c r="J19" i="9" s="1"/>
  <c r="I34" i="9"/>
  <c r="H30" i="9"/>
  <c r="I37" i="9"/>
  <c r="H36" i="9"/>
  <c r="H14" i="9"/>
  <c r="H17" i="9"/>
  <c r="H13" i="9"/>
  <c r="I20" i="9"/>
  <c r="H37" i="9"/>
  <c r="I18" i="9"/>
  <c r="I17" i="9"/>
  <c r="I29" i="9"/>
  <c r="J29" i="9" s="1"/>
  <c r="I12" i="9"/>
  <c r="H23" i="9"/>
  <c r="H34" i="9"/>
  <c r="I35" i="9"/>
  <c r="H27" i="9"/>
  <c r="H24" i="9"/>
  <c r="H21" i="9"/>
  <c r="I14" i="9"/>
  <c r="J14" i="9" s="1"/>
  <c r="H22" i="9"/>
  <c r="H15" i="9"/>
  <c r="H35" i="9"/>
  <c r="I36" i="9"/>
  <c r="I27" i="9"/>
  <c r="I31" i="9"/>
  <c r="H33" i="9"/>
  <c r="I21" i="9"/>
  <c r="J21" i="9" s="1"/>
  <c r="I10" i="9"/>
  <c r="H10" i="9"/>
  <c r="H9" i="9"/>
  <c r="I9" i="9"/>
  <c r="J9" i="9" s="1"/>
  <c r="B35" i="8"/>
  <c r="C35" i="8"/>
  <c r="G38" i="9"/>
  <c r="BJ75" i="4"/>
  <c r="BK75" i="4" s="1"/>
  <c r="J24" i="9"/>
  <c r="BF76" i="3"/>
  <c r="BG76" i="3" s="1"/>
  <c r="J32" i="9"/>
  <c r="J25" i="9"/>
  <c r="J22" i="9"/>
  <c r="J15" i="9"/>
  <c r="J16" i="9"/>
  <c r="J17" i="9"/>
  <c r="BN75" i="4"/>
  <c r="B28" i="13"/>
  <c r="C12" i="8" s="1"/>
  <c r="B17" i="13"/>
  <c r="B12" i="8" s="1"/>
  <c r="BF75" i="4"/>
  <c r="BG75" i="4" s="1"/>
  <c r="BM75" i="4"/>
  <c r="O78" i="3"/>
  <c r="O79" i="3" s="1"/>
  <c r="BE77" i="3"/>
  <c r="BE80" i="3" s="1"/>
  <c r="BD77" i="3"/>
  <c r="BI77" i="3"/>
  <c r="BI80" i="3" s="1"/>
  <c r="BH77" i="3"/>
  <c r="O77" i="4"/>
  <c r="N77" i="4" s="1"/>
  <c r="BI76" i="4"/>
  <c r="BD76" i="4"/>
  <c r="BH76" i="4"/>
  <c r="BE76" i="4"/>
  <c r="BJ76" i="3"/>
  <c r="BK76" i="3" s="1"/>
  <c r="J35" i="9" l="1"/>
  <c r="J13" i="9"/>
  <c r="J18" i="9"/>
  <c r="J28" i="9"/>
  <c r="J20" i="9"/>
  <c r="J30" i="9"/>
  <c r="J10" i="9"/>
  <c r="J31" i="9"/>
  <c r="H38" i="9"/>
  <c r="E40" i="8" s="1"/>
  <c r="J27" i="9"/>
  <c r="J33" i="9"/>
  <c r="J26" i="9"/>
  <c r="I38" i="9"/>
  <c r="D40" i="8" s="1"/>
  <c r="J12" i="9"/>
  <c r="J34" i="9"/>
  <c r="BJ76" i="4"/>
  <c r="BK76" i="4" s="1"/>
  <c r="J36" i="9"/>
  <c r="J37" i="9"/>
  <c r="J23" i="9"/>
  <c r="BN76" i="4"/>
  <c r="BO75" i="4"/>
  <c r="BJ77" i="3"/>
  <c r="BK77" i="3" s="1"/>
  <c r="BK80" i="3" s="1"/>
  <c r="M20" i="3" s="1"/>
  <c r="BH80" i="3"/>
  <c r="BF77" i="3"/>
  <c r="BG77" i="3" s="1"/>
  <c r="BG80" i="3" s="1"/>
  <c r="L20" i="3" s="1"/>
  <c r="BD80" i="3"/>
  <c r="BE77" i="4"/>
  <c r="BI77" i="4"/>
  <c r="BI80" i="4" s="1"/>
  <c r="BH77" i="4"/>
  <c r="O78" i="4"/>
  <c r="BD77" i="4"/>
  <c r="BM76" i="4"/>
  <c r="BF76" i="4"/>
  <c r="BG76" i="4" s="1"/>
  <c r="C40" i="8" l="1"/>
  <c r="F40" i="8"/>
  <c r="J38" i="9"/>
  <c r="B40" i="8"/>
  <c r="BO76" i="4"/>
  <c r="O79" i="4"/>
  <c r="N79" i="4" s="1"/>
  <c r="N78" i="4"/>
  <c r="BJ77" i="4"/>
  <c r="BK77" i="4" s="1"/>
  <c r="BK80" i="4" s="1"/>
  <c r="M20" i="4" s="1"/>
  <c r="M21" i="4" s="1"/>
  <c r="BH80" i="4"/>
  <c r="BN77" i="4"/>
  <c r="BE80" i="4"/>
  <c r="K8" i="7"/>
  <c r="L21" i="3"/>
  <c r="BM77" i="4"/>
  <c r="BF77" i="4"/>
  <c r="BG77" i="4" s="1"/>
  <c r="BG80" i="4" s="1"/>
  <c r="L20" i="4" s="1"/>
  <c r="L21" i="4" s="1"/>
  <c r="BD80" i="4"/>
  <c r="K24" i="7"/>
  <c r="M21" i="3"/>
  <c r="K30" i="9" l="1"/>
  <c r="K12" i="9"/>
  <c r="L9" i="9"/>
  <c r="L17" i="9"/>
  <c r="L37" i="9"/>
  <c r="K31" i="9"/>
  <c r="L22" i="9"/>
  <c r="K24" i="9"/>
  <c r="K26" i="9"/>
  <c r="K33" i="9"/>
  <c r="L18" i="9"/>
  <c r="L34" i="9"/>
  <c r="L19" i="9"/>
  <c r="L27" i="9"/>
  <c r="K15" i="9"/>
  <c r="L31" i="9"/>
  <c r="L32" i="9"/>
  <c r="K28" i="9"/>
  <c r="L26" i="9"/>
  <c r="K32" i="9"/>
  <c r="K8" i="9"/>
  <c r="L12" i="9"/>
  <c r="L30" i="9"/>
  <c r="K13" i="9"/>
  <c r="L33" i="9"/>
  <c r="L11" i="9"/>
  <c r="L16" i="9"/>
  <c r="K20" i="9"/>
  <c r="K17" i="9"/>
  <c r="K21" i="9"/>
  <c r="L25" i="9"/>
  <c r="L14" i="9"/>
  <c r="K19" i="9"/>
  <c r="M19" i="9" s="1"/>
  <c r="L23" i="9"/>
  <c r="L28" i="9"/>
  <c r="K22" i="9"/>
  <c r="L36" i="9"/>
  <c r="L24" i="9"/>
  <c r="K14" i="9"/>
  <c r="L8" i="9"/>
  <c r="L15" i="9"/>
  <c r="K37" i="9"/>
  <c r="L13" i="9"/>
  <c r="K36" i="9"/>
  <c r="K27" i="9"/>
  <c r="L29" i="9"/>
  <c r="K18" i="9"/>
  <c r="M18" i="9" s="1"/>
  <c r="K25" i="9"/>
  <c r="M25" i="9" s="1"/>
  <c r="K35" i="9"/>
  <c r="K16" i="9"/>
  <c r="L21" i="9"/>
  <c r="K23" i="9"/>
  <c r="K34" i="9"/>
  <c r="L20" i="9"/>
  <c r="K29" i="9"/>
  <c r="L35" i="9"/>
  <c r="K9" i="9"/>
  <c r="K10" i="9"/>
  <c r="B13" i="7"/>
  <c r="B5" i="7"/>
  <c r="B8" i="7"/>
  <c r="B16" i="7"/>
  <c r="B12" i="7"/>
  <c r="B11" i="7"/>
  <c r="B4" i="7"/>
  <c r="B14" i="7"/>
  <c r="B10" i="7"/>
  <c r="B9" i="7"/>
  <c r="B15" i="7"/>
  <c r="B6" i="7"/>
  <c r="B7" i="7"/>
  <c r="BN80" i="4"/>
  <c r="B26" i="7"/>
  <c r="B21" i="7"/>
  <c r="B20" i="7"/>
  <c r="B24" i="7"/>
  <c r="B27" i="7"/>
  <c r="B23" i="7"/>
  <c r="B22" i="7"/>
  <c r="B25" i="7"/>
  <c r="BO77" i="4"/>
  <c r="BO80" i="4" s="1"/>
  <c r="BM80" i="4"/>
  <c r="K11" i="9" s="1"/>
  <c r="M11" i="9" s="1"/>
  <c r="M22" i="9" l="1"/>
  <c r="K38" i="9"/>
  <c r="E41" i="8" s="1"/>
  <c r="M23" i="9"/>
  <c r="M29" i="9"/>
  <c r="M27" i="9"/>
  <c r="M9" i="9"/>
  <c r="M16" i="9"/>
  <c r="M14" i="9"/>
  <c r="M34" i="9"/>
  <c r="M17" i="9"/>
  <c r="L10" i="9"/>
  <c r="L38" i="9" s="1"/>
  <c r="D41" i="8" s="1"/>
  <c r="M20" i="9"/>
  <c r="M13" i="9"/>
  <c r="M32" i="9"/>
  <c r="M24" i="9"/>
  <c r="M15" i="9"/>
  <c r="M21" i="9"/>
  <c r="M28" i="9"/>
  <c r="M33" i="9"/>
  <c r="M31" i="9"/>
  <c r="M12" i="9"/>
  <c r="M8" i="9"/>
  <c r="M26" i="9"/>
  <c r="M30" i="9"/>
  <c r="B17" i="7"/>
  <c r="B22" i="8" s="1"/>
  <c r="B28" i="7"/>
  <c r="C22" i="8" s="1"/>
  <c r="F41" i="8" l="1"/>
  <c r="M10" i="9"/>
  <c r="B41" i="8" s="1"/>
  <c r="M38" i="9" l="1"/>
  <c r="C41" i="8"/>
</calcChain>
</file>

<file path=xl/sharedStrings.xml><?xml version="1.0" encoding="utf-8"?>
<sst xmlns="http://schemas.openxmlformats.org/spreadsheetml/2006/main" count="1447" uniqueCount="216">
  <si>
    <t>Amortización</t>
  </si>
  <si>
    <t>Semestral</t>
  </si>
  <si>
    <t>USD 2030</t>
  </si>
  <si>
    <t>USD 2035</t>
  </si>
  <si>
    <t>USD 2038</t>
  </si>
  <si>
    <t>USD 2041</t>
  </si>
  <si>
    <t>USD 2046</t>
  </si>
  <si>
    <t>EUR 2030</t>
  </si>
  <si>
    <t>EUR 2035</t>
  </si>
  <si>
    <t>EUR 2038</t>
  </si>
  <si>
    <t>EUR 2041</t>
  </si>
  <si>
    <t>EUR 2046</t>
  </si>
  <si>
    <t>Mensual</t>
  </si>
  <si>
    <t xml:space="preserve">Cada 100 VN </t>
  </si>
  <si>
    <t>Trimestral</t>
  </si>
  <si>
    <t>EUR</t>
  </si>
  <si>
    <t>Base de cálculo 30/360</t>
  </si>
  <si>
    <t>CHF</t>
  </si>
  <si>
    <t>Anual</t>
  </si>
  <si>
    <t>Exit yield</t>
  </si>
  <si>
    <t>Características</t>
  </si>
  <si>
    <t>Fecha de emisión</t>
  </si>
  <si>
    <t>Fecha de vencimiento</t>
  </si>
  <si>
    <t>Moneda</t>
  </si>
  <si>
    <t>USD</t>
  </si>
  <si>
    <t>Plazo en años</t>
  </si>
  <si>
    <t>Años de gracia</t>
  </si>
  <si>
    <t>Final período de gracia</t>
  </si>
  <si>
    <t>Primer pago de intereses</t>
  </si>
  <si>
    <t>Capitalización</t>
  </si>
  <si>
    <t>no</t>
  </si>
  <si>
    <t>Pago de intereses</t>
  </si>
  <si>
    <t>Amortización cuotas</t>
  </si>
  <si>
    <t>Primera amortización</t>
  </si>
  <si>
    <t>VNO</t>
  </si>
  <si>
    <t xml:space="preserve">VNA </t>
  </si>
  <si>
    <t>Valor presente @ exit yield</t>
  </si>
  <si>
    <t>Valor presente @ EY USD</t>
  </si>
  <si>
    <t>Fecha final de cupón</t>
  </si>
  <si>
    <t>Tasas nominales anuales</t>
  </si>
  <si>
    <t>Fecha cupón</t>
  </si>
  <si>
    <t>Interés</t>
  </si>
  <si>
    <t>Amort.</t>
  </si>
  <si>
    <t>Total (I+K)</t>
  </si>
  <si>
    <t>Valor presente</t>
  </si>
  <si>
    <t>TOTAL</t>
  </si>
  <si>
    <t>Intereses</t>
  </si>
  <si>
    <t>Principal</t>
  </si>
  <si>
    <t>Total</t>
  </si>
  <si>
    <t>Intereses corridos de bonos elegibles al canje</t>
  </si>
  <si>
    <t>Fecha de referencia:</t>
  </si>
  <si>
    <t>Bonos elegibles</t>
  </si>
  <si>
    <t>Stock vigente</t>
  </si>
  <si>
    <t>Tasa</t>
  </si>
  <si>
    <t>Última fecha de pago</t>
  </si>
  <si>
    <t>Días desde el último pago de cupón</t>
  </si>
  <si>
    <t>Frecuencia de pago</t>
  </si>
  <si>
    <t>Intereses corridos
c/100 VNA</t>
  </si>
  <si>
    <t>Intereses corridos
en USD</t>
  </si>
  <si>
    <t>BIRAD 2023</t>
  </si>
  <si>
    <t>BIRAD 2022</t>
  </si>
  <si>
    <t>BIRAD 2028 (ene)</t>
  </si>
  <si>
    <t>BIRAD 2028 (jul)</t>
  </si>
  <si>
    <t>BIRAD 2048</t>
  </si>
  <si>
    <t>BIRAD 2021</t>
  </si>
  <si>
    <t>BIRAD 2027</t>
  </si>
  <si>
    <t>BIRAD 2036</t>
  </si>
  <si>
    <t>BIRAD 2117</t>
  </si>
  <si>
    <t>BIRAD 2026</t>
  </si>
  <si>
    <t>BIRAD 2046</t>
  </si>
  <si>
    <t>BIRAE 2023</t>
  </si>
  <si>
    <t>BIRAE 2022</t>
  </si>
  <si>
    <t>BIRAE 2027</t>
  </si>
  <si>
    <t>BIRAE 2028</t>
  </si>
  <si>
    <t>BIRAE 2047</t>
  </si>
  <si>
    <t>BIRAF 2020</t>
  </si>
  <si>
    <t>DISCOUNT EUR</t>
  </si>
  <si>
    <t>DISCOUNT USD</t>
  </si>
  <si>
    <t>PAR EUR</t>
  </si>
  <si>
    <t>PAR USD</t>
  </si>
  <si>
    <t>Relación de canje</t>
  </si>
  <si>
    <t>Instrumento</t>
  </si>
  <si>
    <t>VN</t>
  </si>
  <si>
    <t>Intereses devengados</t>
  </si>
  <si>
    <t>VNO nuevos bonos</t>
  </si>
  <si>
    <t>VNO nuevos bonos (USD)</t>
  </si>
  <si>
    <t>VNO Nuevos bonos ex. PDI</t>
  </si>
  <si>
    <t>CAP</t>
  </si>
  <si>
    <t>Nota: Se asume que los bonos elegibles se canjean por nuevos bonos en la misma moneda.</t>
  </si>
  <si>
    <t>Valor propuesta</t>
  </si>
  <si>
    <t>intereses Corridos</t>
  </si>
  <si>
    <t>VPN</t>
  </si>
  <si>
    <t>EY = 10%</t>
  </si>
  <si>
    <t>Promedio</t>
  </si>
  <si>
    <t>Propuestas de Reestructuración de los Bonos con Legislación Extranjera</t>
  </si>
  <si>
    <t>Valuación de las propuestas</t>
  </si>
  <si>
    <t>Supuesto de exit yield: 10%</t>
  </si>
  <si>
    <t xml:space="preserve">Propuestas </t>
  </si>
  <si>
    <r>
      <t xml:space="preserve">Valor Presente promedio </t>
    </r>
    <r>
      <rPr>
        <sz val="9"/>
        <color theme="0"/>
        <rFont val="GothamBook"/>
        <family val="3"/>
      </rPr>
      <t xml:space="preserve">
cada VN 100</t>
    </r>
  </si>
  <si>
    <t>Bonos en USD</t>
  </si>
  <si>
    <t>Bonos en EUR</t>
  </si>
  <si>
    <t>Deuda actual</t>
  </si>
  <si>
    <t>Propuestas de Argentina</t>
  </si>
  <si>
    <t>Argentina I (22-abr)</t>
  </si>
  <si>
    <r>
      <t xml:space="preserve">Argentina II (26-may) </t>
    </r>
    <r>
      <rPr>
        <vertAlign val="superscript"/>
        <sz val="9"/>
        <color rgb="FF3E3E3E"/>
        <rFont val="GothamBook"/>
        <family val="3"/>
      </rPr>
      <t>1</t>
    </r>
  </si>
  <si>
    <r>
      <t xml:space="preserve">Argentina III (17-jun) </t>
    </r>
    <r>
      <rPr>
        <vertAlign val="superscript"/>
        <sz val="9"/>
        <color rgb="FF3E3E3E"/>
        <rFont val="GothamBold"/>
        <family val="3"/>
      </rPr>
      <t>1</t>
    </r>
  </si>
  <si>
    <t>+ VRI (expo)</t>
  </si>
  <si>
    <t>Contrapropuestas de bonistas</t>
  </si>
  <si>
    <r>
      <t xml:space="preserve">AHBG (15-may) </t>
    </r>
    <r>
      <rPr>
        <vertAlign val="superscript"/>
        <sz val="9"/>
        <color rgb="FF3E3E3E"/>
        <rFont val="GothamBook"/>
        <family val="3"/>
      </rPr>
      <t>2</t>
    </r>
  </si>
  <si>
    <r>
      <t xml:space="preserve">BG + EBG (15-may) </t>
    </r>
    <r>
      <rPr>
        <vertAlign val="superscript"/>
        <sz val="9"/>
        <color rgb="FF3E3E3E"/>
        <rFont val="GothamBook"/>
        <family val="3"/>
      </rPr>
      <t>2</t>
    </r>
  </si>
  <si>
    <t>+ VRI (PIB)</t>
  </si>
  <si>
    <r>
      <t xml:space="preserve">AHBG/EBG (27-may) </t>
    </r>
    <r>
      <rPr>
        <vertAlign val="superscript"/>
        <sz val="9"/>
        <color rgb="FF3E3E3E"/>
        <rFont val="GothamBook"/>
        <family val="3"/>
      </rPr>
      <t>2</t>
    </r>
  </si>
  <si>
    <r>
      <t xml:space="preserve">AHBG/EBG (14-jun) </t>
    </r>
    <r>
      <rPr>
        <vertAlign val="superscript"/>
        <sz val="9"/>
        <color rgb="FF3E3E3E"/>
        <rFont val="GothamBold"/>
        <family val="3"/>
      </rPr>
      <t>1,</t>
    </r>
    <r>
      <rPr>
        <vertAlign val="superscript"/>
        <sz val="9"/>
        <color rgb="FF3E3E3E"/>
        <rFont val="GothamBook"/>
        <family val="3"/>
      </rPr>
      <t>2</t>
    </r>
  </si>
  <si>
    <r>
      <t xml:space="preserve">BG (17-jun) </t>
    </r>
    <r>
      <rPr>
        <vertAlign val="superscript"/>
        <sz val="9"/>
        <color rgb="FF3E3E3E"/>
        <rFont val="GothamBold"/>
        <family val="3"/>
      </rPr>
      <t>1</t>
    </r>
  </si>
  <si>
    <r>
      <rPr>
        <vertAlign val="superscript"/>
        <sz val="8"/>
        <rFont val="GothamBook"/>
        <family val="3"/>
      </rPr>
      <t>2</t>
    </r>
    <r>
      <rPr>
        <sz val="8"/>
        <rFont val="GothamBook"/>
        <family val="3"/>
      </rPr>
      <t xml:space="preserve"> Incluye pago en efectivo por cupones vencidos e intereses corridos.</t>
    </r>
  </si>
  <si>
    <t>En millones de USD</t>
  </si>
  <si>
    <t>2020-2024</t>
  </si>
  <si>
    <t>2020-2030</t>
  </si>
  <si>
    <t>Perfil total (2020-2117)</t>
  </si>
  <si>
    <t>Servicios totales</t>
  </si>
  <si>
    <t>Perfil actual</t>
  </si>
  <si>
    <t>Argentina II (26-may)</t>
  </si>
  <si>
    <r>
      <t xml:space="preserve">BG + EBG (15-may) </t>
    </r>
    <r>
      <rPr>
        <vertAlign val="superscript"/>
        <sz val="9"/>
        <color rgb="FF3E3E3E"/>
        <rFont val="GothamBook"/>
        <family val="3"/>
      </rPr>
      <t>1,2</t>
    </r>
  </si>
  <si>
    <r>
      <t xml:space="preserve">AHBG/EBG (27-may) </t>
    </r>
    <r>
      <rPr>
        <vertAlign val="superscript"/>
        <sz val="9"/>
        <color rgb="FF3E3E3E"/>
        <rFont val="GothamBook"/>
        <family val="3"/>
      </rPr>
      <t>1,2</t>
    </r>
  </si>
  <si>
    <r>
      <t xml:space="preserve">AHBG/EBG (14-jun) </t>
    </r>
    <r>
      <rPr>
        <vertAlign val="superscript"/>
        <sz val="9"/>
        <color rgb="FF3E3E3E"/>
        <rFont val="GothamBold"/>
        <family val="3"/>
      </rPr>
      <t>1,2</t>
    </r>
  </si>
  <si>
    <r>
      <rPr>
        <vertAlign val="superscript"/>
        <sz val="8"/>
        <rFont val="GothamBook"/>
        <family val="3"/>
      </rPr>
      <t>1</t>
    </r>
    <r>
      <rPr>
        <sz val="8"/>
        <rFont val="GothamBook"/>
        <family val="3"/>
      </rPr>
      <t xml:space="preserve"> No incluye instrumentos vinculados al PIB o a las exportaciones (VRI).</t>
    </r>
  </si>
  <si>
    <t>Argentina III (17-jun)</t>
  </si>
  <si>
    <t>Perfil de vencimientos nuevos bonos, según propuesta</t>
  </si>
  <si>
    <t>en millones de USD</t>
  </si>
  <si>
    <t>Perfil actual (bonos elegibles)</t>
  </si>
  <si>
    <t>AHBG/EBG (14-jun)</t>
  </si>
  <si>
    <t>BG (17-jun)</t>
  </si>
  <si>
    <t>Año</t>
  </si>
  <si>
    <t>2049 a 2117</t>
  </si>
  <si>
    <t xml:space="preserve">Perfil de vencimientos </t>
  </si>
  <si>
    <t>USDI 2030</t>
  </si>
  <si>
    <t>USD 2027</t>
  </si>
  <si>
    <t>EUR 2027</t>
  </si>
  <si>
    <t>USD 2033</t>
  </si>
  <si>
    <t>EUR 2033</t>
  </si>
  <si>
    <t>USD 2036</t>
  </si>
  <si>
    <t>EUR 2036</t>
  </si>
  <si>
    <t>USD 2045</t>
  </si>
  <si>
    <t>EUR 2045</t>
  </si>
  <si>
    <t>Fecha final de capitalización</t>
  </si>
  <si>
    <t>VNO EY 10%</t>
  </si>
  <si>
    <t>VNA al 15/11/2021</t>
  </si>
  <si>
    <t>Perfil total en USD</t>
  </si>
  <si>
    <t>BONO USD 2027</t>
  </si>
  <si>
    <t>BONO EUR 2027</t>
  </si>
  <si>
    <t>BONO USD 2030</t>
  </si>
  <si>
    <t>BONO EUR 2030</t>
  </si>
  <si>
    <t>BONO USD 2033</t>
  </si>
  <si>
    <t>BONO EUR 2033</t>
  </si>
  <si>
    <t>BONO USD 2036</t>
  </si>
  <si>
    <t>BONO EUR 2036</t>
  </si>
  <si>
    <t>BONO USD 2038</t>
  </si>
  <si>
    <t>BONO EUR 2038</t>
  </si>
  <si>
    <t>BONO USD 2041</t>
  </si>
  <si>
    <t>BONO EUR 2041</t>
  </si>
  <si>
    <t>BONO USD 2045</t>
  </si>
  <si>
    <t>BONO EUR 2045</t>
  </si>
  <si>
    <t>VNA</t>
  </si>
  <si>
    <t>BIRAD 2021 6,875%</t>
  </si>
  <si>
    <t>BIRAD 2022 5,625%</t>
  </si>
  <si>
    <t>BIRAD 2023 4,625%</t>
  </si>
  <si>
    <t>BIRAF 2020 3,375%</t>
  </si>
  <si>
    <t>BIRAE 2022 3,875%</t>
  </si>
  <si>
    <t>BIRAE 2023 3,375%</t>
  </si>
  <si>
    <t>BIRAD 2026 7,5%</t>
  </si>
  <si>
    <t>BIRAD 2027 6,875%</t>
  </si>
  <si>
    <t>BIRAD 2028 5,875%</t>
  </si>
  <si>
    <t>BIRAD 2028 6,625%</t>
  </si>
  <si>
    <t>BIRAD 2036 7,125%</t>
  </si>
  <si>
    <t>BIRAE 2027 5%</t>
  </si>
  <si>
    <t>BIRAE 2028 5,25%</t>
  </si>
  <si>
    <t>BIRAD 2046 7,625%</t>
  </si>
  <si>
    <t>BIRAD 2048 6,875%</t>
  </si>
  <si>
    <t>BIRAD 2117 7,125%</t>
  </si>
  <si>
    <t>BIRAE 2047 6,25%</t>
  </si>
  <si>
    <t>Intereses corridos</t>
  </si>
  <si>
    <t>USDI 2023</t>
  </si>
  <si>
    <t>EURI 2030</t>
  </si>
  <si>
    <t>TOTALES</t>
  </si>
  <si>
    <t>Argentina III - Reestructuración bonos legislación extranjera 2020</t>
  </si>
  <si>
    <t>Argentina III - Valor de la propuesta para cada bono elegible</t>
  </si>
  <si>
    <t>AHBG/EBG - Reestructuración bonos legislación extranjera 2020</t>
  </si>
  <si>
    <t>AHBG/EBG - Valor de la propuesta para cada bono elegible</t>
  </si>
  <si>
    <t>BG - Reestructuración bonos legislación extranjera 2020</t>
  </si>
  <si>
    <t>BG - Valor de la propuesta para cada bono elegible</t>
  </si>
  <si>
    <t>montos en millones</t>
  </si>
  <si>
    <t>Perfil de vencimientos</t>
  </si>
  <si>
    <t>Argentina III - Alocación estimada de nuevos bonos</t>
  </si>
  <si>
    <t>AHBG/EBG - Alocación estimada de nuevos bonos</t>
  </si>
  <si>
    <t>BG - Alocación estimada de nuevos bonos</t>
  </si>
  <si>
    <t>montos en millones; en moneda de origen</t>
  </si>
  <si>
    <t>Estructura de cupones</t>
  </si>
  <si>
    <t>Cupón anual. No incluye bonos para reconocimiento de intereses corridos ni instrumentos contingentes (VRI).</t>
  </si>
  <si>
    <t>Fecha de pago</t>
  </si>
  <si>
    <t>Argentina III</t>
  </si>
  <si>
    <t>AHBG/EBG</t>
  </si>
  <si>
    <t>BG</t>
  </si>
  <si>
    <t>Deuda actual (Títulos elegibles)</t>
  </si>
  <si>
    <t>Cupón promedio por mes</t>
  </si>
  <si>
    <t>Títulos en USD</t>
  </si>
  <si>
    <t>Prom. USD</t>
  </si>
  <si>
    <t>Títulos en EUR</t>
  </si>
  <si>
    <t>Prom. EUR</t>
  </si>
  <si>
    <t>PAR</t>
  </si>
  <si>
    <t>DISC</t>
  </si>
  <si>
    <t>Amortizaciones</t>
  </si>
  <si>
    <t>Intereses corridos
en Moneda de Origen</t>
  </si>
  <si>
    <t>BONO USDI 2023</t>
  </si>
  <si>
    <r>
      <rPr>
        <vertAlign val="superscript"/>
        <sz val="8"/>
        <rFont val="GothamBook"/>
        <family val="3"/>
      </rPr>
      <t xml:space="preserve">1 </t>
    </r>
    <r>
      <rPr>
        <sz val="8"/>
        <rFont val="GothamBook"/>
        <family val="3"/>
      </rPr>
      <t>Incluye instrumento emitido por cupones vencidos e intereses corridos.</t>
    </r>
  </si>
  <si>
    <t>Esta versión reemplaza la original publicada el 22 de junio, que contenía un error de cálculo en las estimaciones de las propuestas de los acreedores. Debido a esta corrección, en la propuesta de AHBG/EGB el valor estimado de la oferta pasa de 60,2 a 60,5 para los bonos elegibles denominados en dólares y de 54,2 a 54,3 para los bonos en euros, mientras que los vencimientos estimados para 2021 se modifican de USD610 millones a USD804 millones. En la propuesta del BG, el valor estimado de la oferta pasa de 50,9 a 51 para los bonos en euros.</t>
  </si>
  <si>
    <t>TC (vs. 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</si>
</sst>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8" formatCode="&quot;$&quot;\ #,##0.00;[Red]\-&quot;$&quot;\ #,##0.00"/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0.0%"/>
    <numFmt numFmtId="167" formatCode="0.000%"/>
    <numFmt numFmtId="168" formatCode="#,##0.0_);\(#,##0.0\)"/>
    <numFmt numFmtId="169" formatCode="&quot;$&quot;\ #,##0.0;[Red]\-&quot;$&quot;\ #,##0.0"/>
    <numFmt numFmtId="170" formatCode="_ * #,##0_ ;_ * \-#,##0_ ;_ * &quot;-&quot;??_ ;_ @_ "/>
    <numFmt numFmtId="171" formatCode="#,##0_ ;\-#,##0\ "/>
    <numFmt numFmtId="172" formatCode="0.00000"/>
    <numFmt numFmtId="173" formatCode="_ * #,##0.0_ ;_ * \-#,##0.0_ ;_ * &quot;-&quot;??_ ;_ @_ "/>
    <numFmt numFmtId="174" formatCode="#,##0.0"/>
    <numFmt numFmtId="175" formatCode="_ * #,##0.000000_ ;_ * \-#,##0.000000_ ;_ * &quot;-&quot;??_ ;_ @_ "/>
    <numFmt numFmtId="176" formatCode="0_ ;\-0\ "/>
    <numFmt numFmtId="177" formatCode="dd/mm/yy;@"/>
    <numFmt numFmtId="178" formatCode="_ * #,##0.00000000_ ;_ * \-#,##0.00000000_ ;_ * &quot;-&quot;??_ ;_ @_ "/>
    <numFmt numFmtId="179" formatCode="#,##0.0_ ;\-#,##0.0\ 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GothamBold"/>
      <family val="3"/>
    </font>
    <font>
      <b/>
      <sz val="10"/>
      <color theme="1"/>
      <name val="Calibri"/>
      <family val="2"/>
      <scheme val="minor"/>
    </font>
    <font>
      <sz val="9"/>
      <color rgb="FF3E3E3E"/>
      <name val="GothamBook"/>
      <family val="3"/>
    </font>
    <font>
      <sz val="10"/>
      <color theme="1"/>
      <name val="Calibri"/>
      <family val="2"/>
      <scheme val="minor"/>
    </font>
    <font>
      <sz val="9"/>
      <color theme="1"/>
      <name val="GothamBook"/>
      <family val="3"/>
    </font>
    <font>
      <b/>
      <sz val="9"/>
      <color rgb="FF345AA6"/>
      <name val="GothamBold"/>
      <family val="3"/>
    </font>
    <font>
      <sz val="9"/>
      <color rgb="FFFFFFFF"/>
      <name val="GothamBold"/>
      <family val="3"/>
    </font>
    <font>
      <sz val="9"/>
      <color rgb="FF3E3E3E"/>
      <name val="GothamBold"/>
      <family val="3"/>
    </font>
    <font>
      <b/>
      <sz val="9"/>
      <color rgb="FF3E3E3E"/>
      <name val="GothamBold"/>
      <family val="3"/>
    </font>
    <font>
      <sz val="9"/>
      <color theme="1"/>
      <name val="GothamBold"/>
      <family val="3"/>
    </font>
    <font>
      <b/>
      <sz val="9"/>
      <color theme="1"/>
      <name val="GothamBook"/>
      <family val="3"/>
    </font>
    <font>
      <b/>
      <sz val="9"/>
      <color theme="1"/>
      <name val="GothamBold"/>
      <family val="3"/>
    </font>
    <font>
      <sz val="12"/>
      <color rgb="FF3E3E3E"/>
      <name val="GothamBold"/>
      <family val="3"/>
    </font>
    <font>
      <b/>
      <sz val="10"/>
      <color theme="0"/>
      <name val="GothamBold"/>
      <family val="3"/>
    </font>
    <font>
      <b/>
      <sz val="12"/>
      <color rgb="FF3E3E3E"/>
      <name val="GothamBold"/>
      <family val="3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GothamBold"/>
      <family val="3"/>
    </font>
    <font>
      <sz val="10"/>
      <name val="Calibri"/>
      <family val="2"/>
      <scheme val="minor"/>
    </font>
    <font>
      <sz val="9"/>
      <color theme="0"/>
      <name val="GothamBold"/>
      <family val="3"/>
    </font>
    <font>
      <b/>
      <sz val="9"/>
      <color rgb="FF3E3E3E"/>
      <name val="GothamBook"/>
      <family val="3"/>
    </font>
    <font>
      <b/>
      <i/>
      <sz val="9"/>
      <color rgb="FF3E3E3E"/>
      <name val="GothamBook"/>
      <family val="3"/>
    </font>
    <font>
      <sz val="10"/>
      <color rgb="FF3E3E3E"/>
      <name val="GothamBold"/>
      <family val="3"/>
    </font>
    <font>
      <sz val="9"/>
      <color theme="0"/>
      <name val="GothamBook"/>
      <family val="3"/>
    </font>
    <font>
      <sz val="9"/>
      <name val="GothamBold"/>
      <family val="3"/>
    </font>
    <font>
      <b/>
      <sz val="10"/>
      <name val="Calibri"/>
      <family val="2"/>
      <scheme val="minor"/>
    </font>
    <font>
      <vertAlign val="superscript"/>
      <sz val="9"/>
      <color rgb="FF3E3E3E"/>
      <name val="GothamBook"/>
      <family val="3"/>
    </font>
    <font>
      <vertAlign val="superscript"/>
      <sz val="9"/>
      <color rgb="FF3E3E3E"/>
      <name val="GothamBold"/>
      <family val="3"/>
    </font>
    <font>
      <sz val="10"/>
      <color theme="1" tint="0.499984740745262"/>
      <name val="Calibri"/>
      <family val="2"/>
      <scheme val="minor"/>
    </font>
    <font>
      <sz val="8"/>
      <name val="GothamBook"/>
      <family val="3"/>
    </font>
    <font>
      <vertAlign val="superscript"/>
      <sz val="8"/>
      <name val="GothamBook"/>
      <family val="3"/>
    </font>
    <font>
      <sz val="16"/>
      <color rgb="FF3E3E3E"/>
      <name val="GothamBold"/>
      <family val="3"/>
    </font>
    <font>
      <sz val="12"/>
      <color rgb="FF3E3E3E"/>
      <name val="GothamBook"/>
      <family val="3"/>
    </font>
    <font>
      <b/>
      <u/>
      <sz val="9"/>
      <color theme="1"/>
      <name val="GothamBook"/>
      <family val="3"/>
    </font>
    <font>
      <b/>
      <sz val="9"/>
      <color theme="0"/>
      <name val="GothamBook"/>
      <family val="3"/>
    </font>
    <font>
      <sz val="8"/>
      <color rgb="FF3E3E3E"/>
      <name val="GothamBook"/>
      <family val="3"/>
    </font>
    <font>
      <sz val="10"/>
      <color theme="1"/>
      <name val="GothamBook"/>
      <family val="3"/>
    </font>
  </fonts>
  <fills count="11">
    <fill>
      <patternFill patternType="none"/>
    </fill>
    <fill>
      <patternFill patternType="gray125"/>
    </fill>
    <fill>
      <patternFill patternType="solid">
        <fgColor rgb="FF87A5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rgb="FF345AA6"/>
      </left>
      <right style="thin">
        <color rgb="FF345AA6"/>
      </right>
      <top style="thin">
        <color rgb="FF345AA6"/>
      </top>
      <bottom style="thin">
        <color rgb="FF345AA6"/>
      </bottom>
      <diagonal/>
    </border>
    <border>
      <left style="thin">
        <color rgb="FF345AA6"/>
      </left>
      <right/>
      <top style="thin">
        <color rgb="FF345AA6"/>
      </top>
      <bottom style="thin">
        <color rgb="FF345AA6"/>
      </bottom>
      <diagonal/>
    </border>
    <border>
      <left/>
      <right/>
      <top style="thin">
        <color rgb="FF345AA6"/>
      </top>
      <bottom style="thin">
        <color rgb="FF345AA6"/>
      </bottom>
      <diagonal/>
    </border>
    <border>
      <left style="thin">
        <color rgb="FF345AA6"/>
      </left>
      <right style="thin">
        <color rgb="FF345AA6"/>
      </right>
      <top style="thin">
        <color rgb="FF345AA6"/>
      </top>
      <bottom/>
      <diagonal/>
    </border>
    <border>
      <left style="thin">
        <color rgb="FF345AA6"/>
      </left>
      <right style="thin">
        <color rgb="FF345AA6"/>
      </right>
      <top/>
      <bottom style="thin">
        <color rgb="FF345AA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45AA6"/>
      </left>
      <right/>
      <top/>
      <bottom/>
      <diagonal/>
    </border>
    <border>
      <left style="thin">
        <color rgb="FF345AA6"/>
      </left>
      <right style="thin">
        <color rgb="FF345AA6"/>
      </right>
      <top/>
      <bottom/>
      <diagonal/>
    </border>
    <border>
      <left style="thin">
        <color rgb="FF345AA6"/>
      </left>
      <right/>
      <top style="thin">
        <color theme="0"/>
      </top>
      <bottom style="thin">
        <color theme="0"/>
      </bottom>
      <diagonal/>
    </border>
    <border>
      <left style="thin">
        <color rgb="FF345AA6"/>
      </left>
      <right style="thin">
        <color rgb="FF345AA6"/>
      </right>
      <top style="thin">
        <color theme="0"/>
      </top>
      <bottom style="thin">
        <color theme="0"/>
      </bottom>
      <diagonal/>
    </border>
    <border>
      <left style="thin">
        <color rgb="FF345AA6"/>
      </left>
      <right/>
      <top style="thin">
        <color theme="0"/>
      </top>
      <bottom style="thin">
        <color rgb="FF345AA6"/>
      </bottom>
      <diagonal/>
    </border>
    <border>
      <left style="thin">
        <color rgb="FF345AA6"/>
      </left>
      <right style="thin">
        <color rgb="FF345AA6"/>
      </right>
      <top style="thin">
        <color theme="0"/>
      </top>
      <bottom style="thin">
        <color rgb="FF345AA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45AA6"/>
      </left>
      <right/>
      <top/>
      <bottom style="thin">
        <color rgb="FF345AA6"/>
      </bottom>
      <diagonal/>
    </border>
    <border>
      <left/>
      <right/>
      <top/>
      <bottom style="thin">
        <color rgb="FF345AA6"/>
      </bottom>
      <diagonal/>
    </border>
    <border>
      <left/>
      <right style="thin">
        <color rgb="FF345AA6"/>
      </right>
      <top style="thin">
        <color rgb="FF345AA6"/>
      </top>
      <bottom/>
      <diagonal/>
    </border>
    <border>
      <left style="thin">
        <color rgb="FF345AA6"/>
      </left>
      <right/>
      <top style="thin">
        <color rgb="FF345AA6"/>
      </top>
      <bottom/>
      <diagonal/>
    </border>
    <border>
      <left/>
      <right/>
      <top style="thin">
        <color rgb="FF345AA6"/>
      </top>
      <bottom/>
      <diagonal/>
    </border>
    <border>
      <left/>
      <right style="thin">
        <color rgb="FF345AA6"/>
      </right>
      <top/>
      <bottom/>
      <diagonal/>
    </border>
    <border>
      <left/>
      <right style="thin">
        <color rgb="FF345AA6"/>
      </right>
      <top/>
      <bottom style="thin">
        <color rgb="FF345AA6"/>
      </bottom>
      <diagonal/>
    </border>
    <border>
      <left/>
      <right style="thin">
        <color rgb="FF345AA6"/>
      </right>
      <top style="thin">
        <color rgb="FF345AA6"/>
      </top>
      <bottom style="thin">
        <color rgb="FF345AA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345AA6"/>
      </left>
      <right style="thin">
        <color rgb="FF345AA6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9">
    <xf numFmtId="0" fontId="0" fillId="0" borderId="0" xfId="0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9" fontId="6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6" fillId="3" borderId="0" xfId="0" applyFont="1" applyFill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168" fontId="10" fillId="0" borderId="1" xfId="0" applyNumberFormat="1" applyFont="1" applyBorder="1" applyAlignment="1">
      <alignment horizontal="center" vertical="center"/>
    </xf>
    <xf numFmtId="168" fontId="10" fillId="3" borderId="1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0" fontId="11" fillId="0" borderId="12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14" fontId="6" fillId="0" borderId="24" xfId="0" applyNumberFormat="1" applyFont="1" applyBorder="1" applyAlignment="1">
      <alignment horizontal="center" vertical="center"/>
    </xf>
    <xf numFmtId="10" fontId="6" fillId="0" borderId="6" xfId="2" applyNumberFormat="1" applyFont="1" applyBorder="1" applyAlignment="1">
      <alignment horizontal="center" vertical="center"/>
    </xf>
    <xf numFmtId="10" fontId="6" fillId="0" borderId="7" xfId="2" applyNumberFormat="1" applyFont="1" applyBorder="1" applyAlignment="1">
      <alignment horizontal="center" vertical="center"/>
    </xf>
    <xf numFmtId="10" fontId="6" fillId="0" borderId="7" xfId="0" applyNumberFormat="1" applyFont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43" fontId="6" fillId="0" borderId="0" xfId="1" applyFont="1" applyBorder="1" applyAlignment="1">
      <alignment horizontal="center" vertical="center"/>
    </xf>
    <xf numFmtId="43" fontId="6" fillId="0" borderId="10" xfId="1" applyFont="1" applyFill="1" applyBorder="1" applyAlignment="1">
      <alignment horizontal="center" vertical="center"/>
    </xf>
    <xf numFmtId="43" fontId="6" fillId="0" borderId="9" xfId="1" applyFont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43" fontId="6" fillId="0" borderId="10" xfId="1" applyFont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67" fontId="6" fillId="0" borderId="10" xfId="0" applyNumberFormat="1" applyFont="1" applyBorder="1" applyAlignment="1">
      <alignment horizontal="center" vertical="center"/>
    </xf>
    <xf numFmtId="43" fontId="6" fillId="0" borderId="0" xfId="1" applyFont="1" applyFill="1" applyAlignment="1">
      <alignment vertical="center"/>
    </xf>
    <xf numFmtId="43" fontId="6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43" fontId="6" fillId="0" borderId="9" xfId="1" applyFont="1" applyFill="1" applyBorder="1" applyAlignment="1">
      <alignment horizontal="center" vertical="center"/>
    </xf>
    <xf numFmtId="8" fontId="6" fillId="0" borderId="10" xfId="1" applyNumberFormat="1" applyFont="1" applyFill="1" applyBorder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14" fontId="6" fillId="0" borderId="11" xfId="0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167" fontId="6" fillId="0" borderId="12" xfId="0" applyNumberFormat="1" applyFont="1" applyBorder="1" applyAlignment="1">
      <alignment vertical="center"/>
    </xf>
    <xf numFmtId="167" fontId="6" fillId="0" borderId="12" xfId="0" applyNumberFormat="1" applyFont="1" applyBorder="1" applyAlignment="1">
      <alignment horizontal="center" vertical="center"/>
    </xf>
    <xf numFmtId="167" fontId="6" fillId="0" borderId="13" xfId="0" applyNumberFormat="1" applyFont="1" applyBorder="1" applyAlignment="1">
      <alignment horizontal="center" vertical="center"/>
    </xf>
    <xf numFmtId="8" fontId="6" fillId="0" borderId="9" xfId="1" applyNumberFormat="1" applyFont="1" applyFill="1" applyBorder="1" applyAlignment="1">
      <alignment horizontal="center" vertical="center"/>
    </xf>
    <xf numFmtId="8" fontId="6" fillId="0" borderId="0" xfId="1" applyNumberFormat="1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43" fontId="11" fillId="0" borderId="20" xfId="0" applyNumberFormat="1" applyFont="1" applyBorder="1" applyAlignment="1">
      <alignment horizontal="center" vertical="center"/>
    </xf>
    <xf numFmtId="43" fontId="11" fillId="0" borderId="21" xfId="0" applyNumberFormat="1" applyFont="1" applyBorder="1" applyAlignment="1">
      <alignment horizontal="center" vertical="center"/>
    </xf>
    <xf numFmtId="43" fontId="11" fillId="0" borderId="22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170" fontId="4" fillId="0" borderId="15" xfId="3" applyNumberFormat="1" applyFont="1" applyFill="1" applyBorder="1"/>
    <xf numFmtId="167" fontId="4" fillId="0" borderId="15" xfId="2" applyNumberFormat="1" applyFont="1" applyFill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171" fontId="4" fillId="0" borderId="15" xfId="3" applyNumberFormat="1" applyFont="1" applyFill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right" vertical="center" wrapText="1"/>
    </xf>
    <xf numFmtId="170" fontId="4" fillId="0" borderId="5" xfId="3" applyNumberFormat="1" applyFont="1" applyFill="1" applyBorder="1"/>
    <xf numFmtId="167" fontId="4" fillId="0" borderId="5" xfId="2" applyNumberFormat="1" applyFont="1" applyFill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71" fontId="4" fillId="0" borderId="5" xfId="3" applyNumberFormat="1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3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18" fillId="0" borderId="0" xfId="0" applyFont="1" applyAlignment="1">
      <alignment horizontal="left" vertical="center"/>
    </xf>
    <xf numFmtId="9" fontId="5" fillId="0" borderId="0" xfId="0" applyNumberFormat="1" applyFont="1"/>
    <xf numFmtId="0" fontId="5" fillId="0" borderId="0" xfId="0" applyFont="1" applyAlignment="1">
      <alignment horizontal="center" vertical="center"/>
    </xf>
    <xf numFmtId="172" fontId="5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66" fontId="19" fillId="0" borderId="0" xfId="2" applyNumberFormat="1" applyFont="1" applyAlignment="1">
      <alignment horizontal="center" vertical="center" wrapText="1"/>
    </xf>
    <xf numFmtId="2" fontId="15" fillId="7" borderId="1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170" fontId="4" fillId="0" borderId="4" xfId="3" applyNumberFormat="1" applyFont="1" applyBorder="1"/>
    <xf numFmtId="170" fontId="4" fillId="0" borderId="28" xfId="3" applyNumberFormat="1" applyFont="1" applyBorder="1"/>
    <xf numFmtId="3" fontId="4" fillId="5" borderId="28" xfId="0" applyNumberFormat="1" applyFont="1" applyFill="1" applyBorder="1"/>
    <xf numFmtId="3" fontId="4" fillId="0" borderId="29" xfId="0" applyNumberFormat="1" applyFont="1" applyBorder="1"/>
    <xf numFmtId="3" fontId="4" fillId="5" borderId="27" xfId="0" applyNumberFormat="1" applyFont="1" applyFill="1" applyBorder="1"/>
    <xf numFmtId="3" fontId="4" fillId="0" borderId="28" xfId="0" applyNumberFormat="1" applyFont="1" applyBorder="1"/>
    <xf numFmtId="3" fontId="4" fillId="0" borderId="27" xfId="0" applyNumberFormat="1" applyFont="1" applyBorder="1"/>
    <xf numFmtId="170" fontId="4" fillId="0" borderId="27" xfId="3" applyNumberFormat="1" applyFont="1" applyFill="1" applyBorder="1"/>
    <xf numFmtId="0" fontId="4" fillId="0" borderId="15" xfId="0" applyFont="1" applyBorder="1" applyAlignment="1">
      <alignment horizontal="center"/>
    </xf>
    <xf numFmtId="0" fontId="4" fillId="0" borderId="15" xfId="0" applyFont="1" applyBorder="1"/>
    <xf numFmtId="170" fontId="4" fillId="0" borderId="15" xfId="3" applyNumberFormat="1" applyFont="1" applyBorder="1"/>
    <xf numFmtId="170" fontId="4" fillId="0" borderId="14" xfId="3" applyNumberFormat="1" applyFont="1" applyBorder="1"/>
    <xf numFmtId="3" fontId="4" fillId="5" borderId="14" xfId="0" applyNumberFormat="1" applyFont="1" applyFill="1" applyBorder="1"/>
    <xf numFmtId="3" fontId="4" fillId="0" borderId="0" xfId="0" applyNumberFormat="1" applyFont="1"/>
    <xf numFmtId="3" fontId="4" fillId="5" borderId="30" xfId="0" applyNumberFormat="1" applyFont="1" applyFill="1" applyBorder="1"/>
    <xf numFmtId="3" fontId="4" fillId="0" borderId="14" xfId="0" applyNumberFormat="1" applyFont="1" applyBorder="1"/>
    <xf numFmtId="3" fontId="4" fillId="0" borderId="30" xfId="0" applyNumberFormat="1" applyFont="1" applyBorder="1"/>
    <xf numFmtId="170" fontId="4" fillId="0" borderId="30" xfId="3" applyNumberFormat="1" applyFont="1" applyFill="1" applyBorder="1"/>
    <xf numFmtId="173" fontId="4" fillId="0" borderId="14" xfId="3" applyNumberFormat="1" applyFont="1" applyBorder="1"/>
    <xf numFmtId="170" fontId="4" fillId="3" borderId="14" xfId="3" applyNumberFormat="1" applyFont="1" applyFill="1" applyBorder="1"/>
    <xf numFmtId="173" fontId="4" fillId="3" borderId="14" xfId="3" applyNumberFormat="1" applyFont="1" applyFill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170" fontId="4" fillId="0" borderId="5" xfId="3" applyNumberFormat="1" applyFont="1" applyBorder="1"/>
    <xf numFmtId="170" fontId="4" fillId="0" borderId="25" xfId="3" applyNumberFormat="1" applyFont="1" applyBorder="1"/>
    <xf numFmtId="3" fontId="4" fillId="0" borderId="25" xfId="0" applyNumberFormat="1" applyFont="1" applyBorder="1"/>
    <xf numFmtId="3" fontId="4" fillId="0" borderId="26" xfId="0" applyNumberFormat="1" applyFont="1" applyBorder="1"/>
    <xf numFmtId="3" fontId="4" fillId="0" borderId="31" xfId="0" applyNumberFormat="1" applyFont="1" applyBorder="1"/>
    <xf numFmtId="3" fontId="4" fillId="5" borderId="25" xfId="0" applyNumberFormat="1" applyFont="1" applyFill="1" applyBorder="1"/>
    <xf numFmtId="3" fontId="4" fillId="5" borderId="31" xfId="0" applyNumberFormat="1" applyFont="1" applyFill="1" applyBorder="1"/>
    <xf numFmtId="170" fontId="4" fillId="0" borderId="31" xfId="3" applyNumberFormat="1" applyFont="1" applyFill="1" applyBorder="1"/>
    <xf numFmtId="3" fontId="4" fillId="8" borderId="28" xfId="0" applyNumberFormat="1" applyFont="1" applyFill="1" applyBorder="1"/>
    <xf numFmtId="3" fontId="4" fillId="5" borderId="29" xfId="0" applyNumberFormat="1" applyFont="1" applyFill="1" applyBorder="1"/>
    <xf numFmtId="3" fontId="4" fillId="8" borderId="14" xfId="0" applyNumberFormat="1" applyFont="1" applyFill="1" applyBorder="1"/>
    <xf numFmtId="3" fontId="4" fillId="5" borderId="0" xfId="0" applyNumberFormat="1" applyFont="1" applyFill="1"/>
    <xf numFmtId="170" fontId="4" fillId="0" borderId="14" xfId="3" applyNumberFormat="1" applyFont="1" applyFill="1" applyBorder="1"/>
    <xf numFmtId="172" fontId="4" fillId="0" borderId="0" xfId="0" applyNumberFormat="1" applyFont="1"/>
    <xf numFmtId="3" fontId="4" fillId="8" borderId="25" xfId="0" applyNumberFormat="1" applyFont="1" applyFill="1" applyBorder="1"/>
    <xf numFmtId="3" fontId="4" fillId="5" borderId="26" xfId="0" applyNumberFormat="1" applyFont="1" applyFill="1" applyBorder="1"/>
    <xf numFmtId="3" fontId="15" fillId="2" borderId="1" xfId="0" applyNumberFormat="1" applyFont="1" applyFill="1" applyBorder="1" applyAlignment="1">
      <alignment horizontal="right" vertical="center" wrapText="1"/>
    </xf>
    <xf numFmtId="3" fontId="15" fillId="2" borderId="5" xfId="0" applyNumberFormat="1" applyFont="1" applyFill="1" applyBorder="1" applyAlignment="1">
      <alignment horizontal="right" vertical="center" wrapText="1"/>
    </xf>
    <xf numFmtId="3" fontId="15" fillId="2" borderId="31" xfId="0" applyNumberFormat="1" applyFont="1" applyFill="1" applyBorder="1" applyAlignment="1">
      <alignment horizontal="right" vertical="center" wrapText="1"/>
    </xf>
    <xf numFmtId="3" fontId="15" fillId="7" borderId="32" xfId="0" applyNumberFormat="1" applyFont="1" applyFill="1" applyBorder="1" applyAlignment="1">
      <alignment horizontal="center" vertical="center" wrapText="1"/>
    </xf>
    <xf numFmtId="3" fontId="15" fillId="7" borderId="1" xfId="0" applyNumberFormat="1" applyFont="1" applyFill="1" applyBorder="1" applyAlignment="1">
      <alignment horizontal="right" vertical="center" wrapText="1"/>
    </xf>
    <xf numFmtId="3" fontId="15" fillId="7" borderId="3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18" fillId="0" borderId="0" xfId="0" applyFont="1"/>
    <xf numFmtId="0" fontId="18" fillId="0" borderId="0" xfId="0" applyFont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right"/>
    </xf>
    <xf numFmtId="0" fontId="5" fillId="3" borderId="0" xfId="0" applyFont="1" applyFill="1"/>
    <xf numFmtId="3" fontId="18" fillId="3" borderId="0" xfId="0" applyNumberFormat="1" applyFont="1" applyFill="1" applyAlignment="1">
      <alignment horizontal="right"/>
    </xf>
    <xf numFmtId="3" fontId="5" fillId="3" borderId="0" xfId="0" applyNumberFormat="1" applyFont="1" applyFill="1"/>
    <xf numFmtId="43" fontId="5" fillId="3" borderId="0" xfId="1" applyFont="1" applyFill="1"/>
    <xf numFmtId="0" fontId="14" fillId="0" borderId="0" xfId="0" applyFont="1"/>
    <xf numFmtId="0" fontId="21" fillId="2" borderId="1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5" borderId="23" xfId="0" applyFont="1" applyFill="1" applyBorder="1" applyAlignment="1">
      <alignment horizontal="center"/>
    </xf>
    <xf numFmtId="166" fontId="4" fillId="3" borderId="14" xfId="2" applyNumberFormat="1" applyFont="1" applyFill="1" applyBorder="1" applyAlignment="1">
      <alignment horizontal="left" vertical="center"/>
    </xf>
    <xf numFmtId="4" fontId="4" fillId="3" borderId="4" xfId="3" applyNumberFormat="1" applyFont="1" applyFill="1" applyBorder="1" applyAlignment="1">
      <alignment horizontal="center" vertical="center"/>
    </xf>
    <xf numFmtId="4" fontId="0" fillId="0" borderId="0" xfId="0" applyNumberFormat="1"/>
    <xf numFmtId="0" fontId="10" fillId="0" borderId="24" xfId="0" applyFont="1" applyBorder="1" applyAlignment="1">
      <alignment horizontal="center"/>
    </xf>
    <xf numFmtId="2" fontId="4" fillId="5" borderId="24" xfId="0" applyNumberFormat="1" applyFont="1" applyFill="1" applyBorder="1" applyAlignment="1">
      <alignment horizontal="center"/>
    </xf>
    <xf numFmtId="4" fontId="4" fillId="3" borderId="15" xfId="3" applyNumberFormat="1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/>
    </xf>
    <xf numFmtId="2" fontId="4" fillId="5" borderId="33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6" fontId="4" fillId="3" borderId="25" xfId="2" applyNumberFormat="1" applyFont="1" applyFill="1" applyBorder="1" applyAlignment="1">
      <alignment horizontal="left" vertical="center"/>
    </xf>
    <xf numFmtId="4" fontId="4" fillId="3" borderId="5" xfId="3" applyNumberFormat="1" applyFont="1" applyFill="1" applyBorder="1" applyAlignment="1">
      <alignment horizontal="center" vertical="center"/>
    </xf>
    <xf numFmtId="0" fontId="24" fillId="0" borderId="0" xfId="0" applyFont="1"/>
    <xf numFmtId="4" fontId="24" fillId="0" borderId="0" xfId="0" applyNumberFormat="1" applyFont="1"/>
    <xf numFmtId="166" fontId="4" fillId="3" borderId="15" xfId="2" applyNumberFormat="1" applyFont="1" applyFill="1" applyBorder="1" applyAlignment="1">
      <alignment horizontal="left" vertical="center"/>
    </xf>
    <xf numFmtId="2" fontId="4" fillId="5" borderId="23" xfId="0" applyNumberFormat="1" applyFont="1" applyFill="1" applyBorder="1" applyAlignment="1">
      <alignment horizontal="center"/>
    </xf>
    <xf numFmtId="166" fontId="4" fillId="3" borderId="5" xfId="2" applyNumberFormat="1" applyFont="1" applyFill="1" applyBorder="1" applyAlignment="1">
      <alignment horizontal="left" vertical="center"/>
    </xf>
    <xf numFmtId="43" fontId="6" fillId="3" borderId="6" xfId="1" applyFont="1" applyFill="1" applyBorder="1" applyAlignment="1">
      <alignment horizontal="center" vertical="center"/>
    </xf>
    <xf numFmtId="43" fontId="6" fillId="3" borderId="0" xfId="1" applyFont="1" applyFill="1" applyAlignment="1">
      <alignment vertical="center"/>
    </xf>
    <xf numFmtId="43" fontId="6" fillId="3" borderId="0" xfId="1" applyFont="1" applyFill="1" applyBorder="1" applyAlignment="1">
      <alignment horizontal="center" vertical="center"/>
    </xf>
    <xf numFmtId="43" fontId="6" fillId="3" borderId="10" xfId="1" applyFont="1" applyFill="1" applyBorder="1" applyAlignment="1">
      <alignment horizontal="center" vertical="center"/>
    </xf>
    <xf numFmtId="43" fontId="6" fillId="3" borderId="9" xfId="1" applyFont="1" applyFill="1" applyBorder="1" applyAlignment="1">
      <alignment horizontal="center" vertical="center"/>
    </xf>
    <xf numFmtId="0" fontId="17" fillId="0" borderId="0" xfId="0" applyFont="1"/>
    <xf numFmtId="174" fontId="17" fillId="0" borderId="0" xfId="0" applyNumberFormat="1" applyFont="1"/>
    <xf numFmtId="3" fontId="17" fillId="0" borderId="0" xfId="0" applyNumberFormat="1" applyFont="1"/>
    <xf numFmtId="0" fontId="5" fillId="0" borderId="0" xfId="0" applyFont="1" applyAlignment="1">
      <alignment vertical="center"/>
    </xf>
    <xf numFmtId="174" fontId="5" fillId="0" borderId="0" xfId="0" applyNumberFormat="1" applyFont="1"/>
    <xf numFmtId="174" fontId="25" fillId="2" borderId="1" xfId="0" applyNumberFormat="1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vertical="center"/>
    </xf>
    <xf numFmtId="174" fontId="26" fillId="5" borderId="4" xfId="4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" fillId="3" borderId="5" xfId="0" applyFont="1" applyFill="1" applyBorder="1" applyAlignment="1">
      <alignment vertical="center"/>
    </xf>
    <xf numFmtId="174" fontId="4" fillId="0" borderId="5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174" fontId="4" fillId="0" borderId="1" xfId="0" applyNumberFormat="1" applyFont="1" applyBorder="1" applyAlignment="1">
      <alignment horizontal="center" vertical="center"/>
    </xf>
    <xf numFmtId="174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4" fontId="4" fillId="0" borderId="1" xfId="4" applyNumberFormat="1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174" fontId="4" fillId="0" borderId="4" xfId="0" applyNumberFormat="1" applyFont="1" applyBorder="1" applyAlignment="1">
      <alignment horizontal="center" vertical="center"/>
    </xf>
    <xf numFmtId="174" fontId="4" fillId="0" borderId="4" xfId="4" applyNumberFormat="1" applyFont="1" applyFill="1" applyBorder="1" applyAlignment="1">
      <alignment horizontal="center" vertical="center"/>
    </xf>
    <xf numFmtId="174" fontId="4" fillId="0" borderId="5" xfId="4" applyNumberFormat="1" applyFont="1" applyFill="1" applyBorder="1" applyAlignment="1">
      <alignment horizontal="center" vertical="center"/>
    </xf>
    <xf numFmtId="174" fontId="4" fillId="0" borderId="30" xfId="0" applyNumberFormat="1" applyFont="1" applyBorder="1" applyAlignment="1">
      <alignment horizontal="center" vertical="center"/>
    </xf>
    <xf numFmtId="174" fontId="9" fillId="0" borderId="27" xfId="0" applyNumberFormat="1" applyFont="1" applyBorder="1" applyAlignment="1">
      <alignment horizontal="center" vertical="center"/>
    </xf>
    <xf numFmtId="49" fontId="9" fillId="0" borderId="31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174" fontId="30" fillId="0" borderId="0" xfId="0" applyNumberFormat="1" applyFont="1"/>
    <xf numFmtId="3" fontId="30" fillId="0" borderId="0" xfId="0" applyNumberFormat="1" applyFont="1"/>
    <xf numFmtId="0" fontId="30" fillId="0" borderId="0" xfId="0" applyFont="1"/>
    <xf numFmtId="174" fontId="21" fillId="2" borderId="1" xfId="0" applyNumberFormat="1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vertical="center"/>
    </xf>
    <xf numFmtId="3" fontId="26" fillId="5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3" fontId="5" fillId="0" borderId="0" xfId="0" applyNumberFormat="1" applyFont="1"/>
    <xf numFmtId="14" fontId="4" fillId="0" borderId="0" xfId="0" applyNumberFormat="1" applyFont="1" applyAlignment="1">
      <alignment horizontal="left" vertical="center"/>
    </xf>
    <xf numFmtId="175" fontId="4" fillId="0" borderId="0" xfId="0" applyNumberFormat="1" applyFont="1"/>
    <xf numFmtId="166" fontId="4" fillId="0" borderId="0" xfId="2" applyNumberFormat="1" applyFont="1"/>
    <xf numFmtId="9" fontId="4" fillId="0" borderId="0" xfId="2" applyFont="1"/>
    <xf numFmtId="170" fontId="4" fillId="0" borderId="0" xfId="0" applyNumberFormat="1" applyFont="1"/>
    <xf numFmtId="0" fontId="9" fillId="0" borderId="0" xfId="0" applyFont="1"/>
    <xf numFmtId="170" fontId="4" fillId="0" borderId="0" xfId="3" applyNumberFormat="1" applyFont="1" applyBorder="1"/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1" fillId="0" borderId="23" xfId="0" applyFont="1" applyBorder="1" applyAlignment="1">
      <alignment horizontal="center" vertical="center"/>
    </xf>
    <xf numFmtId="167" fontId="6" fillId="0" borderId="9" xfId="2" applyNumberFormat="1" applyFont="1" applyBorder="1" applyAlignment="1">
      <alignment horizontal="center" vertical="center"/>
    </xf>
    <xf numFmtId="167" fontId="6" fillId="0" borderId="0" xfId="2" applyNumberFormat="1" applyFont="1" applyBorder="1" applyAlignment="1">
      <alignment horizontal="center" vertical="center"/>
    </xf>
    <xf numFmtId="167" fontId="6" fillId="0" borderId="10" xfId="2" applyNumberFormat="1" applyFont="1" applyBorder="1" applyAlignment="1">
      <alignment horizontal="center" vertical="center"/>
    </xf>
    <xf numFmtId="43" fontId="6" fillId="0" borderId="6" xfId="1" applyFont="1" applyFill="1" applyBorder="1" applyAlignment="1">
      <alignment horizontal="center" vertical="center"/>
    </xf>
    <xf numFmtId="167" fontId="6" fillId="0" borderId="0" xfId="2" applyNumberFormat="1" applyFont="1" applyAlignment="1">
      <alignment horizontal="center" vertical="center"/>
    </xf>
    <xf numFmtId="167" fontId="6" fillId="0" borderId="0" xfId="2" applyNumberFormat="1" applyFont="1" applyFill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3" fontId="6" fillId="0" borderId="0" xfId="0" applyNumberFormat="1" applyFont="1" applyAlignment="1">
      <alignment horizontal="center" vertical="center"/>
    </xf>
    <xf numFmtId="167" fontId="6" fillId="0" borderId="0" xfId="2" applyNumberFormat="1" applyFont="1" applyAlignment="1">
      <alignment vertical="center"/>
    </xf>
    <xf numFmtId="167" fontId="6" fillId="0" borderId="11" xfId="2" applyNumberFormat="1" applyFont="1" applyBorder="1" applyAlignment="1">
      <alignment horizontal="center" vertical="center"/>
    </xf>
    <xf numFmtId="167" fontId="6" fillId="0" borderId="12" xfId="2" applyNumberFormat="1" applyFont="1" applyBorder="1" applyAlignment="1">
      <alignment vertical="center"/>
    </xf>
    <xf numFmtId="167" fontId="6" fillId="0" borderId="12" xfId="2" applyNumberFormat="1" applyFont="1" applyBorder="1" applyAlignment="1">
      <alignment horizontal="center" vertical="center"/>
    </xf>
    <xf numFmtId="167" fontId="6" fillId="0" borderId="13" xfId="2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right"/>
    </xf>
    <xf numFmtId="43" fontId="5" fillId="0" borderId="0" xfId="1" applyFont="1"/>
    <xf numFmtId="0" fontId="10" fillId="0" borderId="23" xfId="0" applyFont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3" fontId="15" fillId="2" borderId="32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14" fontId="6" fillId="0" borderId="41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14" fontId="6" fillId="0" borderId="33" xfId="0" applyNumberFormat="1" applyFont="1" applyBorder="1" applyAlignment="1">
      <alignment horizontal="center" vertical="center"/>
    </xf>
    <xf numFmtId="43" fontId="6" fillId="0" borderId="0" xfId="1" applyFont="1" applyAlignment="1">
      <alignment vertical="center"/>
    </xf>
    <xf numFmtId="0" fontId="35" fillId="0" borderId="0" xfId="0" applyFont="1" applyAlignment="1">
      <alignment vertical="center"/>
    </xf>
    <xf numFmtId="10" fontId="11" fillId="0" borderId="0" xfId="0" applyNumberFormat="1" applyFont="1" applyAlignment="1">
      <alignment horizontal="center" vertical="center"/>
    </xf>
    <xf numFmtId="10" fontId="6" fillId="0" borderId="9" xfId="0" applyNumberFormat="1" applyFont="1" applyBorder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43" fontId="6" fillId="0" borderId="0" xfId="4" applyFont="1" applyAlignment="1">
      <alignment horizontal="center" vertical="center"/>
    </xf>
    <xf numFmtId="43" fontId="6" fillId="0" borderId="10" xfId="4" applyFont="1" applyBorder="1" applyAlignment="1">
      <alignment horizontal="center" vertical="center"/>
    </xf>
    <xf numFmtId="10" fontId="6" fillId="0" borderId="10" xfId="0" applyNumberFormat="1" applyFont="1" applyBorder="1" applyAlignment="1">
      <alignment horizontal="center" vertical="center"/>
    </xf>
    <xf numFmtId="43" fontId="6" fillId="9" borderId="0" xfId="4" applyFont="1" applyFill="1" applyAlignment="1">
      <alignment horizontal="center" vertical="center"/>
    </xf>
    <xf numFmtId="8" fontId="6" fillId="0" borderId="0" xfId="4" applyNumberFormat="1" applyFont="1" applyAlignment="1">
      <alignment horizontal="center" vertical="center"/>
    </xf>
    <xf numFmtId="8" fontId="6" fillId="0" borderId="10" xfId="4" applyNumberFormat="1" applyFont="1" applyBorder="1" applyAlignment="1">
      <alignment horizontal="center" vertical="center"/>
    </xf>
    <xf numFmtId="10" fontId="6" fillId="0" borderId="0" xfId="0" applyNumberFormat="1" applyFont="1" applyAlignment="1">
      <alignment vertical="center"/>
    </xf>
    <xf numFmtId="10" fontId="6" fillId="0" borderId="12" xfId="0" applyNumberFormat="1" applyFont="1" applyBorder="1" applyAlignment="1">
      <alignment vertical="center"/>
    </xf>
    <xf numFmtId="10" fontId="6" fillId="0" borderId="12" xfId="0" applyNumberFormat="1" applyFont="1" applyBorder="1" applyAlignment="1">
      <alignment horizontal="center" vertical="center"/>
    </xf>
    <xf numFmtId="10" fontId="6" fillId="0" borderId="13" xfId="0" applyNumberFormat="1" applyFont="1" applyBorder="1" applyAlignment="1">
      <alignment horizontal="center" vertical="center"/>
    </xf>
    <xf numFmtId="170" fontId="4" fillId="0" borderId="15" xfId="5" applyNumberFormat="1" applyFont="1" applyBorder="1"/>
    <xf numFmtId="170" fontId="4" fillId="0" borderId="5" xfId="5" applyNumberFormat="1" applyFont="1" applyBorder="1"/>
    <xf numFmtId="178" fontId="5" fillId="0" borderId="0" xfId="5" applyNumberFormat="1" applyFont="1"/>
    <xf numFmtId="0" fontId="27" fillId="0" borderId="0" xfId="0" applyFont="1"/>
    <xf numFmtId="0" fontId="22" fillId="0" borderId="0" xfId="0" applyFont="1"/>
    <xf numFmtId="0" fontId="3" fillId="0" borderId="0" xfId="0" applyFont="1"/>
    <xf numFmtId="4" fontId="4" fillId="3" borderId="4" xfId="5" applyNumberFormat="1" applyFont="1" applyFill="1" applyBorder="1" applyAlignment="1">
      <alignment horizontal="center" vertical="center"/>
    </xf>
    <xf numFmtId="4" fontId="4" fillId="3" borderId="15" xfId="5" applyNumberFormat="1" applyFont="1" applyFill="1" applyBorder="1" applyAlignment="1">
      <alignment horizontal="center" vertical="center"/>
    </xf>
    <xf numFmtId="4" fontId="4" fillId="3" borderId="5" xfId="5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3" fontId="4" fillId="0" borderId="0" xfId="0" applyNumberFormat="1" applyFont="1" applyBorder="1"/>
    <xf numFmtId="3" fontId="4" fillId="5" borderId="0" xfId="0" applyNumberFormat="1" applyFont="1" applyFill="1" applyBorder="1"/>
    <xf numFmtId="0" fontId="15" fillId="2" borderId="32" xfId="0" applyFont="1" applyFill="1" applyBorder="1" applyAlignment="1">
      <alignment horizontal="center" vertical="center" wrapText="1"/>
    </xf>
    <xf numFmtId="2" fontId="15" fillId="7" borderId="4" xfId="0" applyNumberFormat="1" applyFont="1" applyFill="1" applyBorder="1" applyAlignment="1">
      <alignment horizontal="center" vertical="center" wrapText="1"/>
    </xf>
    <xf numFmtId="170" fontId="4" fillId="0" borderId="4" xfId="5" applyNumberFormat="1" applyFont="1" applyBorder="1"/>
    <xf numFmtId="0" fontId="15" fillId="2" borderId="1" xfId="0" applyFont="1" applyFill="1" applyBorder="1" applyAlignment="1">
      <alignment vertical="center" wrapText="1"/>
    </xf>
    <xf numFmtId="10" fontId="6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6" fillId="0" borderId="41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14" fontId="4" fillId="0" borderId="4" xfId="0" applyNumberFormat="1" applyFont="1" applyFill="1" applyBorder="1" applyAlignment="1">
      <alignment horizontal="center" vertical="center"/>
    </xf>
    <xf numFmtId="14" fontId="4" fillId="0" borderId="15" xfId="0" applyNumberFormat="1" applyFont="1" applyFill="1" applyBorder="1" applyAlignment="1">
      <alignment horizontal="center" vertical="center"/>
    </xf>
    <xf numFmtId="165" fontId="4" fillId="0" borderId="15" xfId="0" applyNumberFormat="1" applyFont="1" applyFill="1" applyBorder="1" applyAlignment="1">
      <alignment horizontal="center" vertical="center"/>
    </xf>
    <xf numFmtId="14" fontId="4" fillId="0" borderId="15" xfId="2" applyNumberFormat="1" applyFont="1" applyFill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center" vertical="center"/>
    </xf>
    <xf numFmtId="3" fontId="9" fillId="0" borderId="17" xfId="3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174" fontId="15" fillId="2" borderId="1" xfId="0" applyNumberFormat="1" applyFont="1" applyFill="1" applyBorder="1" applyAlignment="1">
      <alignment horizontal="right" vertical="center" wrapText="1"/>
    </xf>
    <xf numFmtId="4" fontId="4" fillId="0" borderId="15" xfId="3" applyNumberFormat="1" applyFont="1" applyFill="1" applyBorder="1" applyAlignment="1">
      <alignment horizontal="center" vertical="center"/>
    </xf>
    <xf numFmtId="179" fontId="21" fillId="2" borderId="1" xfId="1" applyNumberFormat="1" applyFont="1" applyFill="1" applyBorder="1" applyAlignment="1">
      <alignment horizontal="center" vertical="center" wrapText="1"/>
    </xf>
    <xf numFmtId="179" fontId="4" fillId="3" borderId="4" xfId="1" applyNumberFormat="1" applyFont="1" applyFill="1" applyBorder="1" applyAlignment="1">
      <alignment horizontal="center" vertical="center"/>
    </xf>
    <xf numFmtId="179" fontId="4" fillId="3" borderId="15" xfId="1" applyNumberFormat="1" applyFont="1" applyFill="1" applyBorder="1" applyAlignment="1">
      <alignment horizontal="center" vertical="center"/>
    </xf>
    <xf numFmtId="179" fontId="4" fillId="3" borderId="5" xfId="1" applyNumberFormat="1" applyFont="1" applyFill="1" applyBorder="1" applyAlignment="1">
      <alignment horizontal="center" vertical="center"/>
    </xf>
    <xf numFmtId="179" fontId="4" fillId="0" borderId="15" xfId="1" applyNumberFormat="1" applyFont="1" applyFill="1" applyBorder="1" applyAlignment="1">
      <alignment horizontal="center" vertical="center"/>
    </xf>
    <xf numFmtId="179" fontId="14" fillId="0" borderId="0" xfId="1" applyNumberFormat="1" applyFont="1" applyAlignment="1">
      <alignment horizontal="center"/>
    </xf>
    <xf numFmtId="179" fontId="15" fillId="2" borderId="1" xfId="1" applyNumberFormat="1" applyFont="1" applyFill="1" applyBorder="1" applyAlignment="1">
      <alignment horizontal="center" vertical="center" wrapText="1"/>
    </xf>
    <xf numFmtId="179" fontId="24" fillId="0" borderId="0" xfId="1" applyNumberFormat="1" applyFont="1" applyAlignment="1">
      <alignment horizontal="center"/>
    </xf>
    <xf numFmtId="179" fontId="0" fillId="0" borderId="0" xfId="1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16" fillId="0" borderId="0" xfId="0" applyFont="1"/>
    <xf numFmtId="174" fontId="16" fillId="0" borderId="0" xfId="0" applyNumberFormat="1" applyFont="1"/>
    <xf numFmtId="3" fontId="16" fillId="0" borderId="0" xfId="0" applyNumberFormat="1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74" fontId="14" fillId="0" borderId="0" xfId="0" applyNumberFormat="1" applyFont="1"/>
    <xf numFmtId="3" fontId="14" fillId="0" borderId="0" xfId="0" applyNumberFormat="1" applyFont="1"/>
    <xf numFmtId="170" fontId="4" fillId="0" borderId="30" xfId="3" applyNumberFormat="1" applyFont="1" applyBorder="1"/>
    <xf numFmtId="176" fontId="4" fillId="0" borderId="15" xfId="0" applyNumberFormat="1" applyFont="1" applyBorder="1" applyAlignment="1">
      <alignment horizontal="center"/>
    </xf>
    <xf numFmtId="14" fontId="9" fillId="5" borderId="1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right" vertical="center" wrapText="1"/>
    </xf>
    <xf numFmtId="3" fontId="15" fillId="2" borderId="3" xfId="0" applyNumberFormat="1" applyFont="1" applyFill="1" applyBorder="1" applyAlignment="1">
      <alignment horizontal="right" vertical="center" wrapText="1"/>
    </xf>
    <xf numFmtId="3" fontId="15" fillId="2" borderId="32" xfId="0" applyNumberFormat="1" applyFont="1" applyFill="1" applyBorder="1" applyAlignment="1">
      <alignment horizontal="right" vertical="center" wrapText="1"/>
    </xf>
    <xf numFmtId="0" fontId="9" fillId="0" borderId="20" xfId="0" applyFont="1" applyBorder="1" applyAlignment="1">
      <alignment vertical="center" wrapText="1"/>
    </xf>
    <xf numFmtId="177" fontId="9" fillId="0" borderId="2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4" fontId="4" fillId="0" borderId="32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3" fontId="9" fillId="0" borderId="40" xfId="4" applyNumberFormat="1" applyFont="1" applyFill="1" applyBorder="1" applyAlignment="1">
      <alignment horizontal="center" vertical="center"/>
    </xf>
    <xf numFmtId="3" fontId="6" fillId="0" borderId="6" xfId="1" applyNumberFormat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center" vertical="center"/>
    </xf>
    <xf numFmtId="3" fontId="6" fillId="0" borderId="9" xfId="1" applyNumberFormat="1" applyFont="1" applyFill="1" applyBorder="1" applyAlignment="1">
      <alignment horizontal="center" vertical="center"/>
    </xf>
    <xf numFmtId="3" fontId="6" fillId="0" borderId="9" xfId="1" applyNumberFormat="1" applyFont="1" applyBorder="1" applyAlignment="1">
      <alignment horizontal="center" vertical="center"/>
    </xf>
    <xf numFmtId="3" fontId="6" fillId="0" borderId="0" xfId="1" applyNumberFormat="1" applyFont="1" applyBorder="1" applyAlignment="1">
      <alignment horizontal="center" vertical="center"/>
    </xf>
    <xf numFmtId="1" fontId="9" fillId="0" borderId="40" xfId="3" applyNumberFormat="1" applyFont="1" applyFill="1" applyBorder="1" applyAlignment="1">
      <alignment horizontal="center" vertical="center"/>
    </xf>
    <xf numFmtId="1" fontId="4" fillId="0" borderId="19" xfId="0" applyNumberFormat="1" applyFont="1" applyFill="1" applyBorder="1" applyAlignment="1">
      <alignment horizontal="center" vertical="center"/>
    </xf>
    <xf numFmtId="1" fontId="9" fillId="0" borderId="40" xfId="4" applyNumberFormat="1" applyFont="1" applyFill="1" applyBorder="1" applyAlignment="1">
      <alignment horizontal="center" vertical="center"/>
    </xf>
    <xf numFmtId="1" fontId="9" fillId="0" borderId="17" xfId="3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horizontal="left" vertic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center" vertical="center"/>
    </xf>
    <xf numFmtId="0" fontId="25" fillId="2" borderId="34" xfId="0" applyFont="1" applyFill="1" applyBorder="1" applyAlignment="1">
      <alignment horizontal="center" vertical="center"/>
    </xf>
    <xf numFmtId="0" fontId="25" fillId="2" borderId="35" xfId="0" applyFont="1" applyFill="1" applyBorder="1" applyAlignment="1">
      <alignment horizontal="center" vertical="center"/>
    </xf>
    <xf numFmtId="0" fontId="25" fillId="2" borderId="36" xfId="0" applyFont="1" applyFill="1" applyBorder="1" applyAlignment="1">
      <alignment horizontal="center" vertical="center"/>
    </xf>
    <xf numFmtId="0" fontId="25" fillId="2" borderId="31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25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30" xfId="0" applyFont="1" applyFill="1" applyBorder="1" applyAlignment="1">
      <alignment horizontal="center" vertical="center" wrapText="1"/>
    </xf>
    <xf numFmtId="14" fontId="6" fillId="3" borderId="44" xfId="0" applyNumberFormat="1" applyFont="1" applyFill="1" applyBorder="1" applyAlignment="1">
      <alignment horizontal="center"/>
    </xf>
    <xf numFmtId="167" fontId="6" fillId="3" borderId="47" xfId="2" applyNumberFormat="1" applyFont="1" applyFill="1" applyBorder="1"/>
    <xf numFmtId="167" fontId="6" fillId="3" borderId="48" xfId="2" applyNumberFormat="1" applyFont="1" applyFill="1" applyBorder="1"/>
    <xf numFmtId="167" fontId="25" fillId="2" borderId="42" xfId="2" applyNumberFormat="1" applyFont="1" applyFill="1" applyBorder="1"/>
    <xf numFmtId="14" fontId="6" fillId="3" borderId="49" xfId="0" applyNumberFormat="1" applyFont="1" applyFill="1" applyBorder="1" applyAlignment="1">
      <alignment horizontal="center"/>
    </xf>
    <xf numFmtId="167" fontId="6" fillId="3" borderId="43" xfId="2" applyNumberFormat="1" applyFont="1" applyFill="1" applyBorder="1"/>
    <xf numFmtId="167" fontId="25" fillId="2" borderId="44" xfId="2" applyNumberFormat="1" applyFont="1" applyFill="1" applyBorder="1"/>
    <xf numFmtId="14" fontId="6" fillId="3" borderId="4" xfId="0" applyNumberFormat="1" applyFont="1" applyFill="1" applyBorder="1" applyAlignment="1">
      <alignment horizontal="center"/>
    </xf>
    <xf numFmtId="167" fontId="6" fillId="3" borderId="0" xfId="2" applyNumberFormat="1" applyFont="1" applyFill="1" applyBorder="1"/>
    <xf numFmtId="167" fontId="25" fillId="2" borderId="48" xfId="2" applyNumberFormat="1" applyFont="1" applyFill="1" applyBorder="1"/>
    <xf numFmtId="167" fontId="6" fillId="3" borderId="45" xfId="2" applyNumberFormat="1" applyFont="1" applyFill="1" applyBorder="1"/>
    <xf numFmtId="167" fontId="6" fillId="3" borderId="49" xfId="2" applyNumberFormat="1" applyFont="1" applyFill="1" applyBorder="1"/>
    <xf numFmtId="14" fontId="6" fillId="3" borderId="15" xfId="0" applyNumberFormat="1" applyFont="1" applyFill="1" applyBorder="1" applyAlignment="1">
      <alignment horizontal="center"/>
    </xf>
    <xf numFmtId="167" fontId="25" fillId="2" borderId="45" xfId="2" applyNumberFormat="1" applyFont="1" applyFill="1" applyBorder="1"/>
    <xf numFmtId="14" fontId="6" fillId="3" borderId="46" xfId="0" applyNumberFormat="1" applyFont="1" applyFill="1" applyBorder="1" applyAlignment="1">
      <alignment horizontal="center"/>
    </xf>
    <xf numFmtId="167" fontId="6" fillId="3" borderId="38" xfId="2" applyNumberFormat="1" applyFont="1" applyFill="1" applyBorder="1"/>
    <xf numFmtId="167" fontId="6" fillId="3" borderId="39" xfId="2" applyNumberFormat="1" applyFont="1" applyFill="1" applyBorder="1"/>
    <xf numFmtId="167" fontId="25" fillId="2" borderId="46" xfId="2" applyNumberFormat="1" applyFont="1" applyFill="1" applyBorder="1"/>
    <xf numFmtId="14" fontId="6" fillId="3" borderId="37" xfId="0" applyNumberFormat="1" applyFont="1" applyFill="1" applyBorder="1" applyAlignment="1">
      <alignment horizontal="center"/>
    </xf>
    <xf numFmtId="167" fontId="6" fillId="3" borderId="37" xfId="2" applyNumberFormat="1" applyFont="1" applyFill="1" applyBorder="1"/>
    <xf numFmtId="167" fontId="25" fillId="2" borderId="39" xfId="2" applyNumberFormat="1" applyFont="1" applyFill="1" applyBorder="1"/>
    <xf numFmtId="14" fontId="6" fillId="3" borderId="5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3" fontId="6" fillId="0" borderId="0" xfId="1" applyNumberFormat="1" applyFont="1" applyFill="1" applyAlignment="1">
      <alignment horizontal="center" vertical="center"/>
    </xf>
    <xf numFmtId="3" fontId="6" fillId="0" borderId="7" xfId="1" applyNumberFormat="1" applyFont="1" applyFill="1" applyBorder="1" applyAlignment="1">
      <alignment horizontal="center" vertical="center"/>
    </xf>
    <xf numFmtId="3" fontId="6" fillId="0" borderId="8" xfId="1" applyNumberFormat="1" applyFont="1" applyFill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3" fontId="11" fillId="0" borderId="21" xfId="0" applyNumberFormat="1" applyFont="1" applyBorder="1" applyAlignment="1">
      <alignment horizontal="center" vertical="center"/>
    </xf>
    <xf numFmtId="3" fontId="11" fillId="0" borderId="22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4" fontId="9" fillId="0" borderId="22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2" fontId="15" fillId="7" borderId="5" xfId="0" applyNumberFormat="1" applyFont="1" applyFill="1" applyBorder="1" applyAlignment="1">
      <alignment horizontal="center" vertical="center" wrapText="1"/>
    </xf>
    <xf numFmtId="2" fontId="15" fillId="7" borderId="31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3" fontId="6" fillId="0" borderId="0" xfId="4" applyNumberFormat="1" applyFont="1" applyAlignment="1">
      <alignment horizontal="center" vertical="center"/>
    </xf>
    <xf numFmtId="3" fontId="6" fillId="0" borderId="10" xfId="4" applyNumberFormat="1" applyFont="1" applyBorder="1" applyAlignment="1">
      <alignment horizontal="center" vertical="center"/>
    </xf>
    <xf numFmtId="3" fontId="6" fillId="0" borderId="6" xfId="1" applyNumberFormat="1" applyFont="1" applyBorder="1" applyAlignment="1">
      <alignment horizontal="center" vertical="center"/>
    </xf>
    <xf numFmtId="3" fontId="6" fillId="0" borderId="7" xfId="1" applyNumberFormat="1" applyFont="1" applyBorder="1" applyAlignment="1">
      <alignment horizontal="center" vertical="center"/>
    </xf>
    <xf numFmtId="3" fontId="6" fillId="0" borderId="8" xfId="1" applyNumberFormat="1" applyFont="1" applyBorder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3" fontId="6" fillId="0" borderId="10" xfId="1" applyNumberFormat="1" applyFont="1" applyBorder="1" applyAlignment="1">
      <alignment horizontal="center" vertical="center"/>
    </xf>
    <xf numFmtId="3" fontId="6" fillId="0" borderId="11" xfId="1" applyNumberFormat="1" applyFont="1" applyBorder="1" applyAlignment="1">
      <alignment horizontal="center" vertical="center"/>
    </xf>
    <xf numFmtId="3" fontId="6" fillId="0" borderId="12" xfId="1" applyNumberFormat="1" applyFont="1" applyBorder="1" applyAlignment="1">
      <alignment horizontal="center" vertical="center"/>
    </xf>
    <xf numFmtId="3" fontId="6" fillId="0" borderId="13" xfId="1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7" fontId="10" fillId="0" borderId="1" xfId="0" applyNumberFormat="1" applyFont="1" applyBorder="1" applyAlignment="1">
      <alignment horizontal="center" vertical="center"/>
    </xf>
    <xf numFmtId="3" fontId="6" fillId="3" borderId="6" xfId="1" applyNumberFormat="1" applyFont="1" applyFill="1" applyBorder="1" applyAlignment="1">
      <alignment horizontal="center" vertical="center"/>
    </xf>
    <xf numFmtId="3" fontId="6" fillId="3" borderId="0" xfId="1" applyNumberFormat="1" applyFont="1" applyFill="1" applyBorder="1" applyAlignment="1">
      <alignment horizontal="center" vertical="center"/>
    </xf>
    <xf numFmtId="3" fontId="6" fillId="3" borderId="10" xfId="1" applyNumberFormat="1" applyFont="1" applyFill="1" applyBorder="1" applyAlignment="1">
      <alignment horizontal="center" vertical="center"/>
    </xf>
    <xf numFmtId="3" fontId="6" fillId="3" borderId="9" xfId="1" applyNumberFormat="1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6" fillId="3" borderId="0" xfId="1" applyNumberFormat="1" applyFont="1" applyFill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8" fillId="0" borderId="0" xfId="0" applyFont="1"/>
    <xf numFmtId="0" fontId="38" fillId="0" borderId="50" xfId="0" applyFont="1" applyBorder="1" applyAlignment="1">
      <alignment horizontal="center" vertical="center" wrapText="1"/>
    </xf>
    <xf numFmtId="0" fontId="38" fillId="0" borderId="51" xfId="0" applyFont="1" applyBorder="1" applyAlignment="1">
      <alignment horizontal="center" vertical="center" wrapText="1"/>
    </xf>
    <xf numFmtId="0" fontId="38" fillId="0" borderId="52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8" fillId="0" borderId="57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74" fontId="25" fillId="2" borderId="4" xfId="0" applyNumberFormat="1" applyFont="1" applyFill="1" applyBorder="1" applyAlignment="1">
      <alignment horizontal="center" vertical="center" wrapText="1"/>
    </xf>
    <xf numFmtId="174" fontId="25" fillId="2" borderId="5" xfId="0" applyNumberFormat="1" applyFont="1" applyFill="1" applyBorder="1" applyAlignment="1">
      <alignment horizontal="center" vertical="center" wrapText="1"/>
    </xf>
    <xf numFmtId="174" fontId="21" fillId="2" borderId="2" xfId="0" applyNumberFormat="1" applyFont="1" applyFill="1" applyBorder="1" applyAlignment="1">
      <alignment horizontal="center" vertical="center" wrapText="1"/>
    </xf>
    <xf numFmtId="174" fontId="21" fillId="2" borderId="3" xfId="0" applyNumberFormat="1" applyFont="1" applyFill="1" applyBorder="1" applyAlignment="1">
      <alignment horizontal="center" vertical="center" wrapText="1"/>
    </xf>
    <xf numFmtId="174" fontId="21" fillId="2" borderId="32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74" fontId="21" fillId="2" borderId="28" xfId="0" applyNumberFormat="1" applyFont="1" applyFill="1" applyBorder="1" applyAlignment="1">
      <alignment horizontal="center" vertical="center" wrapText="1"/>
    </xf>
    <xf numFmtId="174" fontId="2" fillId="2" borderId="27" xfId="0" applyNumberFormat="1" applyFont="1" applyFill="1" applyBorder="1" applyAlignment="1">
      <alignment horizontal="center" vertical="center" wrapText="1"/>
    </xf>
    <xf numFmtId="174" fontId="2" fillId="2" borderId="25" xfId="0" applyNumberFormat="1" applyFont="1" applyFill="1" applyBorder="1" applyAlignment="1">
      <alignment horizontal="center" vertical="center" wrapText="1"/>
    </xf>
    <xf numFmtId="174" fontId="2" fillId="2" borderId="31" xfId="0" applyNumberFormat="1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3" fontId="15" fillId="2" borderId="32" xfId="0" applyNumberFormat="1" applyFont="1" applyFill="1" applyBorder="1" applyAlignment="1">
      <alignment horizontal="center" vertical="center" wrapText="1"/>
    </xf>
    <xf numFmtId="3" fontId="15" fillId="7" borderId="2" xfId="0" applyNumberFormat="1" applyFont="1" applyFill="1" applyBorder="1" applyAlignment="1">
      <alignment horizontal="center" vertical="center" wrapText="1"/>
    </xf>
    <xf numFmtId="3" fontId="15" fillId="7" borderId="3" xfId="0" applyNumberFormat="1" applyFont="1" applyFill="1" applyBorder="1" applyAlignment="1">
      <alignment horizontal="center" vertical="center" wrapText="1"/>
    </xf>
    <xf numFmtId="3" fontId="15" fillId="7" borderId="32" xfId="0" applyNumberFormat="1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3" fontId="15" fillId="2" borderId="28" xfId="0" applyNumberFormat="1" applyFont="1" applyFill="1" applyBorder="1" applyAlignment="1">
      <alignment horizontal="center" vertical="center" wrapText="1"/>
    </xf>
    <xf numFmtId="3" fontId="15" fillId="2" borderId="29" xfId="0" applyNumberFormat="1" applyFont="1" applyFill="1" applyBorder="1" applyAlignment="1">
      <alignment horizontal="center" vertical="center" wrapText="1"/>
    </xf>
    <xf numFmtId="3" fontId="15" fillId="2" borderId="27" xfId="0" applyNumberFormat="1" applyFont="1" applyFill="1" applyBorder="1" applyAlignment="1">
      <alignment horizontal="center" vertical="center" wrapText="1"/>
    </xf>
    <xf numFmtId="3" fontId="15" fillId="7" borderId="14" xfId="0" applyNumberFormat="1" applyFont="1" applyFill="1" applyBorder="1" applyAlignment="1">
      <alignment horizontal="center" vertical="center" wrapText="1"/>
    </xf>
    <xf numFmtId="3" fontId="15" fillId="7" borderId="0" xfId="0" applyNumberFormat="1" applyFont="1" applyFill="1" applyBorder="1" applyAlignment="1">
      <alignment horizontal="center" vertical="center" wrapText="1"/>
    </xf>
    <xf numFmtId="3" fontId="15" fillId="7" borderId="30" xfId="0" applyNumberFormat="1" applyFont="1" applyFill="1" applyBorder="1" applyAlignment="1">
      <alignment horizontal="center" vertical="center" wrapText="1"/>
    </xf>
    <xf numFmtId="0" fontId="25" fillId="2" borderId="42" xfId="0" applyFont="1" applyFill="1" applyBorder="1" applyAlignment="1">
      <alignment horizontal="center" vertical="center"/>
    </xf>
    <xf numFmtId="0" fontId="25" fillId="2" borderId="44" xfId="0" applyFont="1" applyFill="1" applyBorder="1" applyAlignment="1">
      <alignment horizontal="center" vertical="center"/>
    </xf>
    <xf numFmtId="0" fontId="25" fillId="2" borderId="46" xfId="0" applyFont="1" applyFill="1" applyBorder="1" applyAlignment="1">
      <alignment horizontal="center" vertical="center"/>
    </xf>
    <xf numFmtId="0" fontId="36" fillId="10" borderId="34" xfId="0" applyFont="1" applyFill="1" applyBorder="1" applyAlignment="1">
      <alignment horizontal="center" vertical="center"/>
    </xf>
    <xf numFmtId="0" fontId="36" fillId="10" borderId="35" xfId="0" applyFont="1" applyFill="1" applyBorder="1" applyAlignment="1">
      <alignment horizontal="center" vertical="center"/>
    </xf>
    <xf numFmtId="0" fontId="36" fillId="10" borderId="36" xfId="0" applyFont="1" applyFill="1" applyBorder="1" applyAlignment="1">
      <alignment horizontal="center" vertical="center"/>
    </xf>
    <xf numFmtId="0" fontId="25" fillId="2" borderId="37" xfId="0" applyFont="1" applyFill="1" applyBorder="1" applyAlignment="1">
      <alignment horizontal="center" vertical="center"/>
    </xf>
    <xf numFmtId="0" fontId="25" fillId="2" borderId="38" xfId="0" applyFont="1" applyFill="1" applyBorder="1" applyAlignment="1">
      <alignment horizontal="center" vertical="center"/>
    </xf>
    <xf numFmtId="0" fontId="25" fillId="2" borderId="39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 wrapText="1"/>
    </xf>
    <xf numFmtId="0" fontId="25" fillId="2" borderId="46" xfId="0" applyFont="1" applyFill="1" applyBorder="1" applyAlignment="1">
      <alignment horizontal="center" vertical="center" wrapText="1"/>
    </xf>
    <xf numFmtId="0" fontId="25" fillId="2" borderId="44" xfId="0" applyFont="1" applyFill="1" applyBorder="1" applyAlignment="1">
      <alignment horizontal="center" vertical="center" wrapText="1"/>
    </xf>
    <xf numFmtId="0" fontId="25" fillId="2" borderId="43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3" xfId="0" applyFont="1" applyFill="1" applyBorder="1" applyAlignment="1">
      <alignment horizontal="center" vertical="center"/>
    </xf>
    <xf numFmtId="0" fontId="36" fillId="10" borderId="32" xfId="0" applyFont="1" applyFill="1" applyBorder="1" applyAlignment="1">
      <alignment horizontal="center" vertical="center"/>
    </xf>
    <xf numFmtId="0" fontId="25" fillId="2" borderId="35" xfId="0" applyFont="1" applyFill="1" applyBorder="1" applyAlignment="1">
      <alignment horizontal="center" vertical="center"/>
    </xf>
    <xf numFmtId="0" fontId="25" fillId="2" borderId="42" xfId="0" applyFont="1" applyFill="1" applyBorder="1" applyAlignment="1">
      <alignment horizontal="center" vertical="center" wrapText="1"/>
    </xf>
    <xf numFmtId="0" fontId="25" fillId="2" borderId="35" xfId="0" applyFont="1" applyFill="1" applyBorder="1" applyAlignment="1">
      <alignment horizontal="center" vertical="center" wrapText="1"/>
    </xf>
    <xf numFmtId="0" fontId="25" fillId="2" borderId="36" xfId="0" applyFont="1" applyFill="1" applyBorder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 wrapText="1"/>
    </xf>
    <xf numFmtId="0" fontId="36" fillId="10" borderId="34" xfId="0" applyFont="1" applyFill="1" applyBorder="1" applyAlignment="1">
      <alignment horizontal="center" vertical="top"/>
    </xf>
    <xf numFmtId="0" fontId="36" fillId="10" borderId="35" xfId="0" applyFont="1" applyFill="1" applyBorder="1" applyAlignment="1">
      <alignment horizontal="center" vertical="top"/>
    </xf>
    <xf numFmtId="0" fontId="36" fillId="10" borderId="36" xfId="0" applyFont="1" applyFill="1" applyBorder="1" applyAlignment="1">
      <alignment horizontal="center" vertical="top"/>
    </xf>
    <xf numFmtId="0" fontId="36" fillId="7" borderId="35" xfId="0" applyFont="1" applyFill="1" applyBorder="1" applyAlignment="1">
      <alignment horizontal="center" vertical="center" wrapText="1"/>
    </xf>
    <xf numFmtId="0" fontId="36" fillId="7" borderId="36" xfId="0" applyFont="1" applyFill="1" applyBorder="1" applyAlignment="1">
      <alignment horizontal="center" vertical="center" wrapText="1"/>
    </xf>
  </cellXfs>
  <cellStyles count="6">
    <cellStyle name="Millares" xfId="1" builtinId="3"/>
    <cellStyle name="Millares 2" xfId="3" xr:uid="{1B5D5195-CCA8-40D6-BD9E-FB04F640A0D5}"/>
    <cellStyle name="Millares 2 2" xfId="4" xr:uid="{EC96995A-6D5D-44DC-BE89-5B12FBE11FC7}"/>
    <cellStyle name="Millares 2 2 2" xfId="5" xr:uid="{327A278E-EBB2-40DF-BD2C-CEB8324AC9D5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3E3E3E"/>
      <color rgb="FF345AA6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8255105124228641E-2"/>
          <c:y val="4.1301863611766208E-2"/>
          <c:w val="0.94183497281678996"/>
          <c:h val="0.81745726232048732"/>
        </c:manualLayout>
      </c:layout>
      <c:lineChart>
        <c:grouping val="standard"/>
        <c:varyColors val="0"/>
        <c:ser>
          <c:idx val="1"/>
          <c:order val="2"/>
          <c:tx>
            <c:strRef>
              <c:f>'Perfil nuevos'!$D$7</c:f>
              <c:strCache>
                <c:ptCount val="1"/>
                <c:pt idx="0">
                  <c:v>Perfil actual (bonos elegibles)</c:v>
                </c:pt>
              </c:strCache>
            </c:strRef>
          </c:tx>
          <c:spPr>
            <a:ln>
              <a:solidFill>
                <a:srgbClr val="BE0027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'Perfil nuevos'!$A$8:$A$37</c15:sqref>
                  </c15:fullRef>
                </c:ext>
              </c:extLst>
              <c:f>'Perfil nuevos'!$A$8:$A$36</c:f>
              <c:strCache>
                <c:ptCount val="29"/>
                <c:pt idx="0">
                  <c:v>2020 </c:v>
                </c:pt>
                <c:pt idx="1">
                  <c:v>2021 </c:v>
                </c:pt>
                <c:pt idx="2">
                  <c:v>2022 </c:v>
                </c:pt>
                <c:pt idx="3">
                  <c:v>2023 </c:v>
                </c:pt>
                <c:pt idx="4">
                  <c:v>2024 </c:v>
                </c:pt>
                <c:pt idx="5">
                  <c:v>2025 </c:v>
                </c:pt>
                <c:pt idx="6">
                  <c:v>2026 </c:v>
                </c:pt>
                <c:pt idx="7">
                  <c:v>2027 </c:v>
                </c:pt>
                <c:pt idx="8">
                  <c:v>2028 </c:v>
                </c:pt>
                <c:pt idx="9">
                  <c:v>2029 </c:v>
                </c:pt>
                <c:pt idx="10">
                  <c:v>2030 </c:v>
                </c:pt>
                <c:pt idx="11">
                  <c:v>2031 </c:v>
                </c:pt>
                <c:pt idx="12">
                  <c:v>2032 </c:v>
                </c:pt>
                <c:pt idx="13">
                  <c:v>2033 </c:v>
                </c:pt>
                <c:pt idx="14">
                  <c:v>2034 </c:v>
                </c:pt>
                <c:pt idx="15">
                  <c:v>2035 </c:v>
                </c:pt>
                <c:pt idx="16">
                  <c:v>2036 </c:v>
                </c:pt>
                <c:pt idx="17">
                  <c:v>2037 </c:v>
                </c:pt>
                <c:pt idx="18">
                  <c:v>2038 </c:v>
                </c:pt>
                <c:pt idx="19">
                  <c:v>2039 </c:v>
                </c:pt>
                <c:pt idx="20">
                  <c:v>2040 </c:v>
                </c:pt>
                <c:pt idx="21">
                  <c:v>2041 </c:v>
                </c:pt>
                <c:pt idx="22">
                  <c:v>2042 </c:v>
                </c:pt>
                <c:pt idx="23">
                  <c:v>2043 </c:v>
                </c:pt>
                <c:pt idx="24">
                  <c:v>2044 </c:v>
                </c:pt>
                <c:pt idx="25">
                  <c:v>2045 </c:v>
                </c:pt>
                <c:pt idx="26">
                  <c:v>2046 </c:v>
                </c:pt>
                <c:pt idx="27">
                  <c:v>2047 </c:v>
                </c:pt>
                <c:pt idx="28">
                  <c:v>2048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'Perfil nuevos'!$D$8:$D$37</c15:sqref>
                  </c15:fullRef>
                </c:ext>
              </c:extLst>
              <c:f>'Perfil nuevos'!$D$8:$D$36</c:f>
              <c:numCache>
                <c:formatCode>_ * #,##0_ ;_ * \-#,##0_ ;_ * "-"??_ ;_ @_ </c:formatCode>
                <c:ptCount val="29"/>
                <c:pt idx="0">
                  <c:v>3468.0061835350939</c:v>
                </c:pt>
                <c:pt idx="1">
                  <c:v>8408.2165797198577</c:v>
                </c:pt>
                <c:pt idx="2">
                  <c:v>8316.9572802145722</c:v>
                </c:pt>
                <c:pt idx="3">
                  <c:v>6349.5330335314156</c:v>
                </c:pt>
                <c:pt idx="4">
                  <c:v>4578.6788702597023</c:v>
                </c:pt>
                <c:pt idx="5">
                  <c:v>4482.0204525905992</c:v>
                </c:pt>
                <c:pt idx="6">
                  <c:v>10641.047932886415</c:v>
                </c:pt>
                <c:pt idx="7">
                  <c:v>8826.965282487381</c:v>
                </c:pt>
                <c:pt idx="8">
                  <c:v>9625.1309381486135</c:v>
                </c:pt>
                <c:pt idx="9">
                  <c:v>3627.1773485215012</c:v>
                </c:pt>
                <c:pt idx="10">
                  <c:v>4206.7325781139725</c:v>
                </c:pt>
                <c:pt idx="11">
                  <c:v>4047.0491323493698</c:v>
                </c:pt>
                <c:pt idx="12">
                  <c:v>3887.5100813227928</c:v>
                </c:pt>
                <c:pt idx="13">
                  <c:v>3727.6822408538951</c:v>
                </c:pt>
                <c:pt idx="14">
                  <c:v>2386.2281758222152</c:v>
                </c:pt>
                <c:pt idx="15">
                  <c:v>2323.4130014033526</c:v>
                </c:pt>
                <c:pt idx="16">
                  <c:v>4010.7422216775408</c:v>
                </c:pt>
                <c:pt idx="17">
                  <c:v>2073.095152565626</c:v>
                </c:pt>
                <c:pt idx="18">
                  <c:v>2651.7228449140184</c:v>
                </c:pt>
                <c:pt idx="19">
                  <c:v>664.57907015965816</c:v>
                </c:pt>
                <c:pt idx="20">
                  <c:v>664.72346487519678</c:v>
                </c:pt>
                <c:pt idx="21">
                  <c:v>664.57907015965816</c:v>
                </c:pt>
                <c:pt idx="22">
                  <c:v>664.57907015965816</c:v>
                </c:pt>
                <c:pt idx="23">
                  <c:v>664.57907015965816</c:v>
                </c:pt>
                <c:pt idx="24">
                  <c:v>664.72346487519678</c:v>
                </c:pt>
                <c:pt idx="25">
                  <c:v>664.57907015965816</c:v>
                </c:pt>
                <c:pt idx="26">
                  <c:v>3309.7353201596579</c:v>
                </c:pt>
                <c:pt idx="27">
                  <c:v>1298.1566927141894</c:v>
                </c:pt>
                <c:pt idx="28">
                  <c:v>3299.0625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E-4ACE-857A-370DB5EE8DFA}"/>
            </c:ext>
          </c:extLst>
        </c:ser>
        <c:ser>
          <c:idx val="5"/>
          <c:order val="5"/>
          <c:tx>
            <c:strRef>
              <c:f>'Perfil nuevos'!$G$7</c:f>
              <c:strCache>
                <c:ptCount val="1"/>
                <c:pt idx="0">
                  <c:v>Argentina III (17-jun)</c:v>
                </c:pt>
              </c:strCache>
            </c:strRef>
          </c:tx>
          <c:spPr>
            <a:ln>
              <a:solidFill>
                <a:srgbClr val="26547F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'Perfil nuevos'!$A$8:$A$37</c15:sqref>
                  </c15:fullRef>
                </c:ext>
              </c:extLst>
              <c:f>'Perfil nuevos'!$A$8:$A$36</c:f>
              <c:strCache>
                <c:ptCount val="29"/>
                <c:pt idx="0">
                  <c:v>2020 </c:v>
                </c:pt>
                <c:pt idx="1">
                  <c:v>2021 </c:v>
                </c:pt>
                <c:pt idx="2">
                  <c:v>2022 </c:v>
                </c:pt>
                <c:pt idx="3">
                  <c:v>2023 </c:v>
                </c:pt>
                <c:pt idx="4">
                  <c:v>2024 </c:v>
                </c:pt>
                <c:pt idx="5">
                  <c:v>2025 </c:v>
                </c:pt>
                <c:pt idx="6">
                  <c:v>2026 </c:v>
                </c:pt>
                <c:pt idx="7">
                  <c:v>2027 </c:v>
                </c:pt>
                <c:pt idx="8">
                  <c:v>2028 </c:v>
                </c:pt>
                <c:pt idx="9">
                  <c:v>2029 </c:v>
                </c:pt>
                <c:pt idx="10">
                  <c:v>2030 </c:v>
                </c:pt>
                <c:pt idx="11">
                  <c:v>2031 </c:v>
                </c:pt>
                <c:pt idx="12">
                  <c:v>2032 </c:v>
                </c:pt>
                <c:pt idx="13">
                  <c:v>2033 </c:v>
                </c:pt>
                <c:pt idx="14">
                  <c:v>2034 </c:v>
                </c:pt>
                <c:pt idx="15">
                  <c:v>2035 </c:v>
                </c:pt>
                <c:pt idx="16">
                  <c:v>2036 </c:v>
                </c:pt>
                <c:pt idx="17">
                  <c:v>2037 </c:v>
                </c:pt>
                <c:pt idx="18">
                  <c:v>2038 </c:v>
                </c:pt>
                <c:pt idx="19">
                  <c:v>2039 </c:v>
                </c:pt>
                <c:pt idx="20">
                  <c:v>2040 </c:v>
                </c:pt>
                <c:pt idx="21">
                  <c:v>2041 </c:v>
                </c:pt>
                <c:pt idx="22">
                  <c:v>2042 </c:v>
                </c:pt>
                <c:pt idx="23">
                  <c:v>2043 </c:v>
                </c:pt>
                <c:pt idx="24">
                  <c:v>2044 </c:v>
                </c:pt>
                <c:pt idx="25">
                  <c:v>2045 </c:v>
                </c:pt>
                <c:pt idx="26">
                  <c:v>2046 </c:v>
                </c:pt>
                <c:pt idx="27">
                  <c:v>2047 </c:v>
                </c:pt>
                <c:pt idx="28">
                  <c:v>2048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'Perfil nuevos'!$G$8:$G$37</c15:sqref>
                  </c15:fullRef>
                </c:ext>
              </c:extLst>
              <c:f>'Perfil nuevos'!$G$8:$G$36</c:f>
              <c:numCache>
                <c:formatCode>_ * #,##0_ ;_ * \-#,##0_ ;_ * "-"??_ ;_ @_ </c:formatCode>
                <c:ptCount val="29"/>
                <c:pt idx="0">
                  <c:v>0</c:v>
                </c:pt>
                <c:pt idx="1">
                  <c:v>103.69546564357114</c:v>
                </c:pt>
                <c:pt idx="2">
                  <c:v>676.15551772282515</c:v>
                </c:pt>
                <c:pt idx="3">
                  <c:v>1102.732939393959</c:v>
                </c:pt>
                <c:pt idx="4">
                  <c:v>1909.1891571945766</c:v>
                </c:pt>
                <c:pt idx="5">
                  <c:v>4645.3320100517194</c:v>
                </c:pt>
                <c:pt idx="6">
                  <c:v>4903.1363288695557</c:v>
                </c:pt>
                <c:pt idx="7">
                  <c:v>6031.5729067836855</c:v>
                </c:pt>
                <c:pt idx="8">
                  <c:v>7094.7837573906654</c:v>
                </c:pt>
                <c:pt idx="9">
                  <c:v>7188.8004574675242</c:v>
                </c:pt>
                <c:pt idx="10">
                  <c:v>6845.5069933283667</c:v>
                </c:pt>
                <c:pt idx="11">
                  <c:v>8211.3850253958208</c:v>
                </c:pt>
                <c:pt idx="12">
                  <c:v>7914.4031273324908</c:v>
                </c:pt>
                <c:pt idx="13">
                  <c:v>7617.4212292691618</c:v>
                </c:pt>
                <c:pt idx="14">
                  <c:v>7320.4393312058319</c:v>
                </c:pt>
                <c:pt idx="15">
                  <c:v>7023.4574331425019</c:v>
                </c:pt>
                <c:pt idx="16">
                  <c:v>2935.9342867657033</c:v>
                </c:pt>
                <c:pt idx="17">
                  <c:v>2825.9086007554433</c:v>
                </c:pt>
                <c:pt idx="18">
                  <c:v>2715.8829147451829</c:v>
                </c:pt>
                <c:pt idx="19">
                  <c:v>1522.1021598847053</c:v>
                </c:pt>
                <c:pt idx="20">
                  <c:v>1462.4659697876918</c:v>
                </c:pt>
                <c:pt idx="21">
                  <c:v>1402.8297796906782</c:v>
                </c:pt>
                <c:pt idx="22">
                  <c:v>508.2465959559047</c:v>
                </c:pt>
                <c:pt idx="23">
                  <c:v>487.97427115062226</c:v>
                </c:pt>
                <c:pt idx="24">
                  <c:v>467.70194634533982</c:v>
                </c:pt>
                <c:pt idx="25">
                  <c:v>447.42962154005738</c:v>
                </c:pt>
                <c:pt idx="26">
                  <c:v>427.15729673477495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E-4ACE-857A-370DB5EE8DFA}"/>
            </c:ext>
          </c:extLst>
        </c:ser>
        <c:ser>
          <c:idx val="8"/>
          <c:order val="8"/>
          <c:tx>
            <c:strRef>
              <c:f>'Perfil nuevos'!$J$7</c:f>
              <c:strCache>
                <c:ptCount val="1"/>
                <c:pt idx="0">
                  <c:v>AHBG/EBG (14-jun)</c:v>
                </c:pt>
              </c:strCache>
            </c:strRef>
          </c:tx>
          <c:spPr>
            <a:ln>
              <a:solidFill>
                <a:srgbClr val="307941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'Perfil nuevos'!$A$8:$A$37</c15:sqref>
                  </c15:fullRef>
                </c:ext>
              </c:extLst>
              <c:f>'Perfil nuevos'!$A$8:$A$36</c:f>
              <c:strCache>
                <c:ptCount val="29"/>
                <c:pt idx="0">
                  <c:v>2020 </c:v>
                </c:pt>
                <c:pt idx="1">
                  <c:v>2021 </c:v>
                </c:pt>
                <c:pt idx="2">
                  <c:v>2022 </c:v>
                </c:pt>
                <c:pt idx="3">
                  <c:v>2023 </c:v>
                </c:pt>
                <c:pt idx="4">
                  <c:v>2024 </c:v>
                </c:pt>
                <c:pt idx="5">
                  <c:v>2025 </c:v>
                </c:pt>
                <c:pt idx="6">
                  <c:v>2026 </c:v>
                </c:pt>
                <c:pt idx="7">
                  <c:v>2027 </c:v>
                </c:pt>
                <c:pt idx="8">
                  <c:v>2028 </c:v>
                </c:pt>
                <c:pt idx="9">
                  <c:v>2029 </c:v>
                </c:pt>
                <c:pt idx="10">
                  <c:v>2030 </c:v>
                </c:pt>
                <c:pt idx="11">
                  <c:v>2031 </c:v>
                </c:pt>
                <c:pt idx="12">
                  <c:v>2032 </c:v>
                </c:pt>
                <c:pt idx="13">
                  <c:v>2033 </c:v>
                </c:pt>
                <c:pt idx="14">
                  <c:v>2034 </c:v>
                </c:pt>
                <c:pt idx="15">
                  <c:v>2035 </c:v>
                </c:pt>
                <c:pt idx="16">
                  <c:v>2036 </c:v>
                </c:pt>
                <c:pt idx="17">
                  <c:v>2037 </c:v>
                </c:pt>
                <c:pt idx="18">
                  <c:v>2038 </c:v>
                </c:pt>
                <c:pt idx="19">
                  <c:v>2039 </c:v>
                </c:pt>
                <c:pt idx="20">
                  <c:v>2040 </c:v>
                </c:pt>
                <c:pt idx="21">
                  <c:v>2041 </c:v>
                </c:pt>
                <c:pt idx="22">
                  <c:v>2042 </c:v>
                </c:pt>
                <c:pt idx="23">
                  <c:v>2043 </c:v>
                </c:pt>
                <c:pt idx="24">
                  <c:v>2044 </c:v>
                </c:pt>
                <c:pt idx="25">
                  <c:v>2045 </c:v>
                </c:pt>
                <c:pt idx="26">
                  <c:v>2046 </c:v>
                </c:pt>
                <c:pt idx="27">
                  <c:v>2047 </c:v>
                </c:pt>
                <c:pt idx="28">
                  <c:v>2048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'Perfil nuevos'!$J$8:$J$37</c15:sqref>
                  </c15:fullRef>
                </c:ext>
              </c:extLst>
              <c:f>'Perfil nuevos'!$J$8:$J$36</c:f>
              <c:numCache>
                <c:formatCode>_ * #,##0_ ;_ * \-#,##0_ ;_ * "-"??_ ;_ @_ </c:formatCode>
                <c:ptCount val="29"/>
                <c:pt idx="0">
                  <c:v>1118.5863898502396</c:v>
                </c:pt>
                <c:pt idx="1">
                  <c:v>803.976479101324</c:v>
                </c:pt>
                <c:pt idx="2">
                  <c:v>1402.8932353239804</c:v>
                </c:pt>
                <c:pt idx="3">
                  <c:v>2008.496352051289</c:v>
                </c:pt>
                <c:pt idx="4">
                  <c:v>1891.8735329943879</c:v>
                </c:pt>
                <c:pt idx="5">
                  <c:v>3806.5079330462127</c:v>
                </c:pt>
                <c:pt idx="6">
                  <c:v>5768.702509519384</c:v>
                </c:pt>
                <c:pt idx="7">
                  <c:v>6068.2838934589827</c:v>
                </c:pt>
                <c:pt idx="8">
                  <c:v>7034.5640104426038</c:v>
                </c:pt>
                <c:pt idx="9">
                  <c:v>6851.8639628377787</c:v>
                </c:pt>
                <c:pt idx="10">
                  <c:v>6669.1639152329553</c:v>
                </c:pt>
                <c:pt idx="11">
                  <c:v>8017.2754953172098</c:v>
                </c:pt>
                <c:pt idx="12">
                  <c:v>7715.6811894109087</c:v>
                </c:pt>
                <c:pt idx="13">
                  <c:v>7414.0868835046085</c:v>
                </c:pt>
                <c:pt idx="14">
                  <c:v>7111.6681603882062</c:v>
                </c:pt>
                <c:pt idx="15">
                  <c:v>6806.7761856414882</c:v>
                </c:pt>
                <c:pt idx="16">
                  <c:v>6501.8842108947711</c:v>
                </c:pt>
                <c:pt idx="17">
                  <c:v>2945.649879877908</c:v>
                </c:pt>
                <c:pt idx="18">
                  <c:v>2826.0638417176533</c:v>
                </c:pt>
                <c:pt idx="19">
                  <c:v>1654.4486163627632</c:v>
                </c:pt>
                <c:pt idx="20">
                  <c:v>1589.018658910647</c:v>
                </c:pt>
                <c:pt idx="21">
                  <c:v>1523.5887014585307</c:v>
                </c:pt>
                <c:pt idx="22">
                  <c:v>1458.1587440064145</c:v>
                </c:pt>
                <c:pt idx="23">
                  <c:v>1392.7287865542983</c:v>
                </c:pt>
                <c:pt idx="24">
                  <c:v>1327.298829102182</c:v>
                </c:pt>
                <c:pt idx="25">
                  <c:v>1261.868871650066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5E-4ACE-857A-370DB5EE8DFA}"/>
            </c:ext>
          </c:extLst>
        </c:ser>
        <c:ser>
          <c:idx val="11"/>
          <c:order val="11"/>
          <c:tx>
            <c:strRef>
              <c:f>'Perfil nuevos'!$M$7</c:f>
              <c:strCache>
                <c:ptCount val="1"/>
                <c:pt idx="0">
                  <c:v>BG (17-jun)</c:v>
                </c:pt>
              </c:strCache>
            </c:strRef>
          </c:tx>
          <c:spPr>
            <a:ln>
              <a:solidFill>
                <a:srgbClr val="ECCD4C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'Perfil nuevos'!$A$8:$A$37</c15:sqref>
                  </c15:fullRef>
                </c:ext>
              </c:extLst>
              <c:f>'Perfil nuevos'!$A$8:$A$36</c:f>
              <c:strCache>
                <c:ptCount val="29"/>
                <c:pt idx="0">
                  <c:v>2020 </c:v>
                </c:pt>
                <c:pt idx="1">
                  <c:v>2021 </c:v>
                </c:pt>
                <c:pt idx="2">
                  <c:v>2022 </c:v>
                </c:pt>
                <c:pt idx="3">
                  <c:v>2023 </c:v>
                </c:pt>
                <c:pt idx="4">
                  <c:v>2024 </c:v>
                </c:pt>
                <c:pt idx="5">
                  <c:v>2025 </c:v>
                </c:pt>
                <c:pt idx="6">
                  <c:v>2026 </c:v>
                </c:pt>
                <c:pt idx="7">
                  <c:v>2027 </c:v>
                </c:pt>
                <c:pt idx="8">
                  <c:v>2028 </c:v>
                </c:pt>
                <c:pt idx="9">
                  <c:v>2029 </c:v>
                </c:pt>
                <c:pt idx="10">
                  <c:v>2030 </c:v>
                </c:pt>
                <c:pt idx="11">
                  <c:v>2031 </c:v>
                </c:pt>
                <c:pt idx="12">
                  <c:v>2032 </c:v>
                </c:pt>
                <c:pt idx="13">
                  <c:v>2033 </c:v>
                </c:pt>
                <c:pt idx="14">
                  <c:v>2034 </c:v>
                </c:pt>
                <c:pt idx="15">
                  <c:v>2035 </c:v>
                </c:pt>
                <c:pt idx="16">
                  <c:v>2036 </c:v>
                </c:pt>
                <c:pt idx="17">
                  <c:v>2037 </c:v>
                </c:pt>
                <c:pt idx="18">
                  <c:v>2038 </c:v>
                </c:pt>
                <c:pt idx="19">
                  <c:v>2039 </c:v>
                </c:pt>
                <c:pt idx="20">
                  <c:v>2040 </c:v>
                </c:pt>
                <c:pt idx="21">
                  <c:v>2041 </c:v>
                </c:pt>
                <c:pt idx="22">
                  <c:v>2042 </c:v>
                </c:pt>
                <c:pt idx="23">
                  <c:v>2043 </c:v>
                </c:pt>
                <c:pt idx="24">
                  <c:v>2044 </c:v>
                </c:pt>
                <c:pt idx="25">
                  <c:v>2045 </c:v>
                </c:pt>
                <c:pt idx="26">
                  <c:v>2046 </c:v>
                </c:pt>
                <c:pt idx="27">
                  <c:v>2047 </c:v>
                </c:pt>
                <c:pt idx="28">
                  <c:v>2048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'Perfil nuevos'!$M$8:$M$37</c15:sqref>
                  </c15:fullRef>
                </c:ext>
              </c:extLst>
              <c:f>'Perfil nuevos'!$M$8:$M$36</c:f>
              <c:numCache>
                <c:formatCode>_ * #,##0_ ;_ * \-#,##0_ ;_ * "-"??_ ;_ @_ </c:formatCode>
                <c:ptCount val="29"/>
                <c:pt idx="0">
                  <c:v>0</c:v>
                </c:pt>
                <c:pt idx="1">
                  <c:v>104.73482889116724</c:v>
                </c:pt>
                <c:pt idx="2">
                  <c:v>655.76857340010849</c:v>
                </c:pt>
                <c:pt idx="3">
                  <c:v>1068.5819835571797</c:v>
                </c:pt>
                <c:pt idx="4">
                  <c:v>1805.2685516749848</c:v>
                </c:pt>
                <c:pt idx="5">
                  <c:v>5298.6636550009453</c:v>
                </c:pt>
                <c:pt idx="6">
                  <c:v>5549.9816351677091</c:v>
                </c:pt>
                <c:pt idx="7">
                  <c:v>6672.6293021392703</c:v>
                </c:pt>
                <c:pt idx="8">
                  <c:v>7749.6709413287263</c:v>
                </c:pt>
                <c:pt idx="9">
                  <c:v>7808.1569243062422</c:v>
                </c:pt>
                <c:pt idx="10">
                  <c:v>7451.8647032950166</c:v>
                </c:pt>
                <c:pt idx="11">
                  <c:v>7229.775449254832</c:v>
                </c:pt>
                <c:pt idx="12">
                  <c:v>6972.1801612226518</c:v>
                </c:pt>
                <c:pt idx="13">
                  <c:v>6714.5848731904716</c:v>
                </c:pt>
                <c:pt idx="14">
                  <c:v>6456.9895851582914</c:v>
                </c:pt>
                <c:pt idx="15">
                  <c:v>6199.3942971261113</c:v>
                </c:pt>
                <c:pt idx="16">
                  <c:v>2948.9215144932823</c:v>
                </c:pt>
                <c:pt idx="17">
                  <c:v>2838.477842404563</c:v>
                </c:pt>
                <c:pt idx="18">
                  <c:v>2728.0341703158433</c:v>
                </c:pt>
                <c:pt idx="19">
                  <c:v>1533.8354293769066</c:v>
                </c:pt>
                <c:pt idx="20">
                  <c:v>1473.7812532014336</c:v>
                </c:pt>
                <c:pt idx="21">
                  <c:v>1413.7270770259606</c:v>
                </c:pt>
                <c:pt idx="22">
                  <c:v>518.72590721272763</c:v>
                </c:pt>
                <c:pt idx="23">
                  <c:v>498.03559632898589</c:v>
                </c:pt>
                <c:pt idx="24">
                  <c:v>477.34528544524403</c:v>
                </c:pt>
                <c:pt idx="25">
                  <c:v>456.65497456150217</c:v>
                </c:pt>
                <c:pt idx="26">
                  <c:v>435.96466367776031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5E-4ACE-857A-370DB5EE8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5562440"/>
        <c:axId val="595558832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'Perfil nuevos'!$B$7</c15:sqref>
                        </c15:formulaRef>
                      </c:ext>
                    </c:extLst>
                    <c:strCache>
                      <c:ptCount val="1"/>
                      <c:pt idx="0">
                        <c:v>Intereses</c:v>
                      </c:pt>
                    </c:strCache>
                  </c:strRef>
                </c:tx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'Perfil nuevos'!$A$8:$A$37</c15:sqref>
                        </c15:fullRef>
                        <c15:formulaRef>
                          <c15:sqref>'Perfil nuevos'!$A$8:$A$36</c15:sqref>
                        </c15:formulaRef>
                      </c:ext>
                    </c:extLst>
                    <c:strCache>
                      <c:ptCount val="29"/>
                      <c:pt idx="0">
                        <c:v>2020 </c:v>
                      </c:pt>
                      <c:pt idx="1">
                        <c:v>2021 </c:v>
                      </c:pt>
                      <c:pt idx="2">
                        <c:v>2022 </c:v>
                      </c:pt>
                      <c:pt idx="3">
                        <c:v>2023 </c:v>
                      </c:pt>
                      <c:pt idx="4">
                        <c:v>2024 </c:v>
                      </c:pt>
                      <c:pt idx="5">
                        <c:v>2025 </c:v>
                      </c:pt>
                      <c:pt idx="6">
                        <c:v>2026 </c:v>
                      </c:pt>
                      <c:pt idx="7">
                        <c:v>2027 </c:v>
                      </c:pt>
                      <c:pt idx="8">
                        <c:v>2028 </c:v>
                      </c:pt>
                      <c:pt idx="9">
                        <c:v>2029 </c:v>
                      </c:pt>
                      <c:pt idx="10">
                        <c:v>2030 </c:v>
                      </c:pt>
                      <c:pt idx="11">
                        <c:v>2031 </c:v>
                      </c:pt>
                      <c:pt idx="12">
                        <c:v>2032 </c:v>
                      </c:pt>
                      <c:pt idx="13">
                        <c:v>2033 </c:v>
                      </c:pt>
                      <c:pt idx="14">
                        <c:v>2034 </c:v>
                      </c:pt>
                      <c:pt idx="15">
                        <c:v>2035 </c:v>
                      </c:pt>
                      <c:pt idx="16">
                        <c:v>2036 </c:v>
                      </c:pt>
                      <c:pt idx="17">
                        <c:v>2037 </c:v>
                      </c:pt>
                      <c:pt idx="18">
                        <c:v>2038 </c:v>
                      </c:pt>
                      <c:pt idx="19">
                        <c:v>2039 </c:v>
                      </c:pt>
                      <c:pt idx="20">
                        <c:v>2040 </c:v>
                      </c:pt>
                      <c:pt idx="21">
                        <c:v>2041 </c:v>
                      </c:pt>
                      <c:pt idx="22">
                        <c:v>2042 </c:v>
                      </c:pt>
                      <c:pt idx="23">
                        <c:v>2043 </c:v>
                      </c:pt>
                      <c:pt idx="24">
                        <c:v>2044 </c:v>
                      </c:pt>
                      <c:pt idx="25">
                        <c:v>2045 </c:v>
                      </c:pt>
                      <c:pt idx="26">
                        <c:v>2046 </c:v>
                      </c:pt>
                      <c:pt idx="27">
                        <c:v>2047 </c:v>
                      </c:pt>
                      <c:pt idx="28">
                        <c:v>2048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'Perfil nuevos'!$B$8:$B$37</c15:sqref>
                        </c15:fullRef>
                        <c15:formulaRef>
                          <c15:sqref>'Perfil nuevos'!$B$8:$B$36</c15:sqref>
                        </c15:formulaRef>
                      </c:ext>
                    </c:extLst>
                    <c:numCache>
                      <c:formatCode>_ * #,##0_ ;_ * \-#,##0_ ;_ * "-"??_ ;_ @_ </c:formatCode>
                      <c:ptCount val="29"/>
                      <c:pt idx="0">
                        <c:v>3046.3321375726227</c:v>
                      </c:pt>
                      <c:pt idx="1">
                        <c:v>3908.2165797198572</c:v>
                      </c:pt>
                      <c:pt idx="2">
                        <c:v>3661.5154092903545</c:v>
                      </c:pt>
                      <c:pt idx="3">
                        <c:v>3475.1795367920408</c:v>
                      </c:pt>
                      <c:pt idx="4">
                        <c:v>3372.6911831674342</c:v>
                      </c:pt>
                      <c:pt idx="5">
                        <c:v>3276.0327654983312</c:v>
                      </c:pt>
                      <c:pt idx="6">
                        <c:v>2935.0602457941477</c:v>
                      </c:pt>
                      <c:pt idx="7">
                        <c:v>2465.5357244708953</c:v>
                      </c:pt>
                      <c:pt idx="8">
                        <c:v>2044.7897543169709</c:v>
                      </c:pt>
                      <c:pt idx="9">
                        <c:v>1787.5986914587136</c:v>
                      </c:pt>
                      <c:pt idx="10">
                        <c:v>1733.5629510806655</c:v>
                      </c:pt>
                      <c:pt idx="11">
                        <c:v>1573.8795053160627</c:v>
                      </c:pt>
                      <c:pt idx="12">
                        <c:v>1414.3404542894857</c:v>
                      </c:pt>
                      <c:pt idx="13">
                        <c:v>1254.5126138205883</c:v>
                      </c:pt>
                      <c:pt idx="14">
                        <c:v>1119.0462358811767</c:v>
                      </c:pt>
                      <c:pt idx="15">
                        <c:v>1056.2310614623138</c:v>
                      </c:pt>
                      <c:pt idx="16">
                        <c:v>993.56028173650213</c:v>
                      </c:pt>
                      <c:pt idx="17">
                        <c:v>805.91321262458723</c:v>
                      </c:pt>
                      <c:pt idx="18">
                        <c:v>750.94993500246017</c:v>
                      </c:pt>
                      <c:pt idx="19">
                        <c:v>664.57907015965816</c:v>
                      </c:pt>
                      <c:pt idx="20">
                        <c:v>664.72346487519678</c:v>
                      </c:pt>
                      <c:pt idx="21">
                        <c:v>664.57907015965816</c:v>
                      </c:pt>
                      <c:pt idx="22">
                        <c:v>664.57907015965816</c:v>
                      </c:pt>
                      <c:pt idx="23">
                        <c:v>664.57907015965816</c:v>
                      </c:pt>
                      <c:pt idx="24">
                        <c:v>664.72346487519678</c:v>
                      </c:pt>
                      <c:pt idx="25">
                        <c:v>664.57907015965816</c:v>
                      </c:pt>
                      <c:pt idx="26">
                        <c:v>559.73532015965816</c:v>
                      </c:pt>
                      <c:pt idx="27">
                        <c:v>454.89157015965822</c:v>
                      </c:pt>
                      <c:pt idx="28">
                        <c:v>299.0625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815E-4ACE-857A-370DB5EE8DFA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'Perfil nuevos'!$C$7</c15:sqref>
                        </c15:formulaRef>
                      </c:ext>
                    </c:extLst>
                    <c:strCache>
                      <c:ptCount val="1"/>
                      <c:pt idx="0">
                        <c:v>Amortizaciones</c:v>
                      </c:pt>
                    </c:strCache>
                  </c:strRef>
                </c:tx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'Perfil nuevos'!$A$8:$A$37</c15:sqref>
                        </c15:fullRef>
                        <c15:formulaRef>
                          <c15:sqref>'Perfil nuevos'!$A$8:$A$36</c15:sqref>
                        </c15:formulaRef>
                      </c:ext>
                    </c:extLst>
                    <c:strCache>
                      <c:ptCount val="29"/>
                      <c:pt idx="0">
                        <c:v>2020 </c:v>
                      </c:pt>
                      <c:pt idx="1">
                        <c:v>2021 </c:v>
                      </c:pt>
                      <c:pt idx="2">
                        <c:v>2022 </c:v>
                      </c:pt>
                      <c:pt idx="3">
                        <c:v>2023 </c:v>
                      </c:pt>
                      <c:pt idx="4">
                        <c:v>2024 </c:v>
                      </c:pt>
                      <c:pt idx="5">
                        <c:v>2025 </c:v>
                      </c:pt>
                      <c:pt idx="6">
                        <c:v>2026 </c:v>
                      </c:pt>
                      <c:pt idx="7">
                        <c:v>2027 </c:v>
                      </c:pt>
                      <c:pt idx="8">
                        <c:v>2028 </c:v>
                      </c:pt>
                      <c:pt idx="9">
                        <c:v>2029 </c:v>
                      </c:pt>
                      <c:pt idx="10">
                        <c:v>2030 </c:v>
                      </c:pt>
                      <c:pt idx="11">
                        <c:v>2031 </c:v>
                      </c:pt>
                      <c:pt idx="12">
                        <c:v>2032 </c:v>
                      </c:pt>
                      <c:pt idx="13">
                        <c:v>2033 </c:v>
                      </c:pt>
                      <c:pt idx="14">
                        <c:v>2034 </c:v>
                      </c:pt>
                      <c:pt idx="15">
                        <c:v>2035 </c:v>
                      </c:pt>
                      <c:pt idx="16">
                        <c:v>2036 </c:v>
                      </c:pt>
                      <c:pt idx="17">
                        <c:v>2037 </c:v>
                      </c:pt>
                      <c:pt idx="18">
                        <c:v>2038 </c:v>
                      </c:pt>
                      <c:pt idx="19">
                        <c:v>2039 </c:v>
                      </c:pt>
                      <c:pt idx="20">
                        <c:v>2040 </c:v>
                      </c:pt>
                      <c:pt idx="21">
                        <c:v>2041 </c:v>
                      </c:pt>
                      <c:pt idx="22">
                        <c:v>2042 </c:v>
                      </c:pt>
                      <c:pt idx="23">
                        <c:v>2043 </c:v>
                      </c:pt>
                      <c:pt idx="24">
                        <c:v>2044 </c:v>
                      </c:pt>
                      <c:pt idx="25">
                        <c:v>2045 </c:v>
                      </c:pt>
                      <c:pt idx="26">
                        <c:v>2046 </c:v>
                      </c:pt>
                      <c:pt idx="27">
                        <c:v>2047 </c:v>
                      </c:pt>
                      <c:pt idx="28">
                        <c:v>2048 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'Perfil nuevos'!$C$8:$C$37</c15:sqref>
                        </c15:fullRef>
                        <c15:formulaRef>
                          <c15:sqref>'Perfil nuevos'!$C$8:$C$36</c15:sqref>
                        </c15:formulaRef>
                      </c:ext>
                    </c:extLst>
                    <c:numCache>
                      <c:formatCode>_ * #,##0_ ;_ * \-#,##0_ ;_ * "-"??_ ;_ @_ </c:formatCode>
                      <c:ptCount val="29"/>
                      <c:pt idx="0">
                        <c:v>421.67404596247098</c:v>
                      </c:pt>
                      <c:pt idx="1">
                        <c:v>4500</c:v>
                      </c:pt>
                      <c:pt idx="2">
                        <c:v>4655.4418709242182</c:v>
                      </c:pt>
                      <c:pt idx="3">
                        <c:v>2874.3534967393748</c:v>
                      </c:pt>
                      <c:pt idx="4">
                        <c:v>1205.9876870922681</c:v>
                      </c:pt>
                      <c:pt idx="5">
                        <c:v>1205.9876870922681</c:v>
                      </c:pt>
                      <c:pt idx="6">
                        <c:v>7705.9876870922672</c:v>
                      </c:pt>
                      <c:pt idx="7">
                        <c:v>6361.4295580164853</c:v>
                      </c:pt>
                      <c:pt idx="8">
                        <c:v>7580.3411838316424</c:v>
                      </c:pt>
                      <c:pt idx="9">
                        <c:v>1839.5786570627877</c:v>
                      </c:pt>
                      <c:pt idx="10">
                        <c:v>2473.1696270333068</c:v>
                      </c:pt>
                      <c:pt idx="11">
                        <c:v>2473.1696270333068</c:v>
                      </c:pt>
                      <c:pt idx="12">
                        <c:v>2473.1696270333068</c:v>
                      </c:pt>
                      <c:pt idx="13">
                        <c:v>2473.1696270333068</c:v>
                      </c:pt>
                      <c:pt idx="14">
                        <c:v>1267.1819399410388</c:v>
                      </c:pt>
                      <c:pt idx="15">
                        <c:v>1267.1819399410388</c:v>
                      </c:pt>
                      <c:pt idx="16">
                        <c:v>3017.1819399410388</c:v>
                      </c:pt>
                      <c:pt idx="17">
                        <c:v>1267.1819399410388</c:v>
                      </c:pt>
                      <c:pt idx="18">
                        <c:v>1900.7729099115581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2750</c:v>
                      </c:pt>
                      <c:pt idx="27">
                        <c:v>843.26512255453122</c:v>
                      </c:pt>
                      <c:pt idx="28">
                        <c:v>3000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15E-4ACE-857A-370DB5EE8DFA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'Perfil nuevos'!$E$7</c15:sqref>
                        </c15:formulaRef>
                      </c:ext>
                    </c:extLst>
                    <c:strCache>
                      <c:ptCount val="1"/>
                      <c:pt idx="0">
                        <c:v>Intereses</c:v>
                      </c:pt>
                    </c:strCache>
                  </c:strRef>
                </c:tx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'Perfil nuevos'!$A$8:$A$37</c15:sqref>
                        </c15:fullRef>
                        <c15:formulaRef>
                          <c15:sqref>'Perfil nuevos'!$A$8:$A$36</c15:sqref>
                        </c15:formulaRef>
                      </c:ext>
                    </c:extLst>
                    <c:strCache>
                      <c:ptCount val="29"/>
                      <c:pt idx="0">
                        <c:v>2020 </c:v>
                      </c:pt>
                      <c:pt idx="1">
                        <c:v>2021 </c:v>
                      </c:pt>
                      <c:pt idx="2">
                        <c:v>2022 </c:v>
                      </c:pt>
                      <c:pt idx="3">
                        <c:v>2023 </c:v>
                      </c:pt>
                      <c:pt idx="4">
                        <c:v>2024 </c:v>
                      </c:pt>
                      <c:pt idx="5">
                        <c:v>2025 </c:v>
                      </c:pt>
                      <c:pt idx="6">
                        <c:v>2026 </c:v>
                      </c:pt>
                      <c:pt idx="7">
                        <c:v>2027 </c:v>
                      </c:pt>
                      <c:pt idx="8">
                        <c:v>2028 </c:v>
                      </c:pt>
                      <c:pt idx="9">
                        <c:v>2029 </c:v>
                      </c:pt>
                      <c:pt idx="10">
                        <c:v>2030 </c:v>
                      </c:pt>
                      <c:pt idx="11">
                        <c:v>2031 </c:v>
                      </c:pt>
                      <c:pt idx="12">
                        <c:v>2032 </c:v>
                      </c:pt>
                      <c:pt idx="13">
                        <c:v>2033 </c:v>
                      </c:pt>
                      <c:pt idx="14">
                        <c:v>2034 </c:v>
                      </c:pt>
                      <c:pt idx="15">
                        <c:v>2035 </c:v>
                      </c:pt>
                      <c:pt idx="16">
                        <c:v>2036 </c:v>
                      </c:pt>
                      <c:pt idx="17">
                        <c:v>2037 </c:v>
                      </c:pt>
                      <c:pt idx="18">
                        <c:v>2038 </c:v>
                      </c:pt>
                      <c:pt idx="19">
                        <c:v>2039 </c:v>
                      </c:pt>
                      <c:pt idx="20">
                        <c:v>2040 </c:v>
                      </c:pt>
                      <c:pt idx="21">
                        <c:v>2041 </c:v>
                      </c:pt>
                      <c:pt idx="22">
                        <c:v>2042 </c:v>
                      </c:pt>
                      <c:pt idx="23">
                        <c:v>2043 </c:v>
                      </c:pt>
                      <c:pt idx="24">
                        <c:v>2044 </c:v>
                      </c:pt>
                      <c:pt idx="25">
                        <c:v>2045 </c:v>
                      </c:pt>
                      <c:pt idx="26">
                        <c:v>2046 </c:v>
                      </c:pt>
                      <c:pt idx="27">
                        <c:v>2047 </c:v>
                      </c:pt>
                      <c:pt idx="28">
                        <c:v>2048 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'Perfil nuevos'!$E$8:$E$37</c15:sqref>
                        </c15:fullRef>
                        <c15:formulaRef>
                          <c15:sqref>'Perfil nuevos'!$E$8:$E$36</c15:sqref>
                        </c15:formulaRef>
                      </c:ext>
                    </c:extLst>
                    <c:numCache>
                      <c:formatCode>_ * #,##0_ ;_ * \-#,##0_ ;_ * "-"??_ ;_ @_ </c:formatCode>
                      <c:ptCount val="29"/>
                      <c:pt idx="0">
                        <c:v>0</c:v>
                      </c:pt>
                      <c:pt idx="1">
                        <c:v>103.69546564357114</c:v>
                      </c:pt>
                      <c:pt idx="2">
                        <c:v>676.15551772282515</c:v>
                      </c:pt>
                      <c:pt idx="3">
                        <c:v>1102.732939393959</c:v>
                      </c:pt>
                      <c:pt idx="4">
                        <c:v>1909.1891571945766</c:v>
                      </c:pt>
                      <c:pt idx="5">
                        <c:v>2220.3914017180259</c:v>
                      </c:pt>
                      <c:pt idx="6">
                        <c:v>2198.5491230733014</c:v>
                      </c:pt>
                      <c:pt idx="7">
                        <c:v>2202.5511435641802</c:v>
                      </c:pt>
                      <c:pt idx="8">
                        <c:v>2169.4095513426314</c:v>
                      </c:pt>
                      <c:pt idx="9">
                        <c:v>2263.4262514194897</c:v>
                      </c:pt>
                      <c:pt idx="10">
                        <c:v>2199.779384742892</c:v>
                      </c:pt>
                      <c:pt idx="11">
                        <c:v>2021.0112681490491</c:v>
                      </c:pt>
                      <c:pt idx="12">
                        <c:v>1724.0293700857196</c:v>
                      </c:pt>
                      <c:pt idx="13">
                        <c:v>1427.0474720223899</c:v>
                      </c:pt>
                      <c:pt idx="14">
                        <c:v>1130.0655739590602</c:v>
                      </c:pt>
                      <c:pt idx="15">
                        <c:v>833.08367589573049</c:v>
                      </c:pt>
                      <c:pt idx="16">
                        <c:v>582.84083084566828</c:v>
                      </c:pt>
                      <c:pt idx="17">
                        <c:v>472.81514483540809</c:v>
                      </c:pt>
                      <c:pt idx="18">
                        <c:v>362.7894588251479</c:v>
                      </c:pt>
                      <c:pt idx="19">
                        <c:v>265.3611467931994</c:v>
                      </c:pt>
                      <c:pt idx="20">
                        <c:v>205.72495669618581</c:v>
                      </c:pt>
                      <c:pt idx="21">
                        <c:v>146.08876659917226</c:v>
                      </c:pt>
                      <c:pt idx="22">
                        <c:v>96.29354282509135</c:v>
                      </c:pt>
                      <c:pt idx="23">
                        <c:v>76.021218019808913</c:v>
                      </c:pt>
                      <c:pt idx="24">
                        <c:v>55.748893214526461</c:v>
                      </c:pt>
                      <c:pt idx="25">
                        <c:v>35.47656840924401</c:v>
                      </c:pt>
                      <c:pt idx="26">
                        <c:v>15.204243603961562</c:v>
                      </c:pt>
                      <c:pt idx="27">
                        <c:v>0</c:v>
                      </c:pt>
                      <c:pt idx="28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15E-4ACE-857A-370DB5EE8DFA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'Perfil nuevos'!$F$7</c15:sqref>
                        </c15:formulaRef>
                      </c:ext>
                    </c:extLst>
                    <c:strCache>
                      <c:ptCount val="1"/>
                      <c:pt idx="0">
                        <c:v>Amortizaciones</c:v>
                      </c:pt>
                    </c:strCache>
                  </c:strRef>
                </c:tx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'Perfil nuevos'!$A$8:$A$37</c15:sqref>
                        </c15:fullRef>
                        <c15:formulaRef>
                          <c15:sqref>'Perfil nuevos'!$A$8:$A$36</c15:sqref>
                        </c15:formulaRef>
                      </c:ext>
                    </c:extLst>
                    <c:strCache>
                      <c:ptCount val="29"/>
                      <c:pt idx="0">
                        <c:v>2020 </c:v>
                      </c:pt>
                      <c:pt idx="1">
                        <c:v>2021 </c:v>
                      </c:pt>
                      <c:pt idx="2">
                        <c:v>2022 </c:v>
                      </c:pt>
                      <c:pt idx="3">
                        <c:v>2023 </c:v>
                      </c:pt>
                      <c:pt idx="4">
                        <c:v>2024 </c:v>
                      </c:pt>
                      <c:pt idx="5">
                        <c:v>2025 </c:v>
                      </c:pt>
                      <c:pt idx="6">
                        <c:v>2026 </c:v>
                      </c:pt>
                      <c:pt idx="7">
                        <c:v>2027 </c:v>
                      </c:pt>
                      <c:pt idx="8">
                        <c:v>2028 </c:v>
                      </c:pt>
                      <c:pt idx="9">
                        <c:v>2029 </c:v>
                      </c:pt>
                      <c:pt idx="10">
                        <c:v>2030 </c:v>
                      </c:pt>
                      <c:pt idx="11">
                        <c:v>2031 </c:v>
                      </c:pt>
                      <c:pt idx="12">
                        <c:v>2032 </c:v>
                      </c:pt>
                      <c:pt idx="13">
                        <c:v>2033 </c:v>
                      </c:pt>
                      <c:pt idx="14">
                        <c:v>2034 </c:v>
                      </c:pt>
                      <c:pt idx="15">
                        <c:v>2035 </c:v>
                      </c:pt>
                      <c:pt idx="16">
                        <c:v>2036 </c:v>
                      </c:pt>
                      <c:pt idx="17">
                        <c:v>2037 </c:v>
                      </c:pt>
                      <c:pt idx="18">
                        <c:v>2038 </c:v>
                      </c:pt>
                      <c:pt idx="19">
                        <c:v>2039 </c:v>
                      </c:pt>
                      <c:pt idx="20">
                        <c:v>2040 </c:v>
                      </c:pt>
                      <c:pt idx="21">
                        <c:v>2041 </c:v>
                      </c:pt>
                      <c:pt idx="22">
                        <c:v>2042 </c:v>
                      </c:pt>
                      <c:pt idx="23">
                        <c:v>2043 </c:v>
                      </c:pt>
                      <c:pt idx="24">
                        <c:v>2044 </c:v>
                      </c:pt>
                      <c:pt idx="25">
                        <c:v>2045 </c:v>
                      </c:pt>
                      <c:pt idx="26">
                        <c:v>2046 </c:v>
                      </c:pt>
                      <c:pt idx="27">
                        <c:v>2047 </c:v>
                      </c:pt>
                      <c:pt idx="28">
                        <c:v>2048 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'Perfil nuevos'!$F$8:$F$37</c15:sqref>
                        </c15:fullRef>
                        <c15:formulaRef>
                          <c15:sqref>'Perfil nuevos'!$F$8:$F$36</c15:sqref>
                        </c15:formulaRef>
                      </c:ext>
                    </c:extLst>
                    <c:numCache>
                      <c:formatCode>_ * #,##0_ ;_ * \-#,##0_ ;_ * "-"??_ ;_ @_ </c:formatCode>
                      <c:ptCount val="2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2424.9406083336935</c:v>
                      </c:pt>
                      <c:pt idx="6">
                        <c:v>2704.5872057962538</c:v>
                      </c:pt>
                      <c:pt idx="7">
                        <c:v>3829.0217632195058</c:v>
                      </c:pt>
                      <c:pt idx="8">
                        <c:v>4925.3742060480345</c:v>
                      </c:pt>
                      <c:pt idx="9">
                        <c:v>4925.3742060480345</c:v>
                      </c:pt>
                      <c:pt idx="10">
                        <c:v>4645.7276085854746</c:v>
                      </c:pt>
                      <c:pt idx="11">
                        <c:v>6190.3737572467717</c:v>
                      </c:pt>
                      <c:pt idx="12">
                        <c:v>6190.3737572467717</c:v>
                      </c:pt>
                      <c:pt idx="13">
                        <c:v>6190.3737572467717</c:v>
                      </c:pt>
                      <c:pt idx="14">
                        <c:v>6190.3737572467717</c:v>
                      </c:pt>
                      <c:pt idx="15">
                        <c:v>6190.3737572467717</c:v>
                      </c:pt>
                      <c:pt idx="16">
                        <c:v>2353.093455920035</c:v>
                      </c:pt>
                      <c:pt idx="17">
                        <c:v>2353.093455920035</c:v>
                      </c:pt>
                      <c:pt idx="18">
                        <c:v>2353.093455920035</c:v>
                      </c:pt>
                      <c:pt idx="19">
                        <c:v>1256.7410130915059</c:v>
                      </c:pt>
                      <c:pt idx="20">
                        <c:v>1256.7410130915059</c:v>
                      </c:pt>
                      <c:pt idx="21">
                        <c:v>1256.7410130915059</c:v>
                      </c:pt>
                      <c:pt idx="22">
                        <c:v>411.95305313081337</c:v>
                      </c:pt>
                      <c:pt idx="23">
                        <c:v>411.95305313081337</c:v>
                      </c:pt>
                      <c:pt idx="24">
                        <c:v>411.95305313081337</c:v>
                      </c:pt>
                      <c:pt idx="25">
                        <c:v>411.95305313081337</c:v>
                      </c:pt>
                      <c:pt idx="26">
                        <c:v>411.95305313081337</c:v>
                      </c:pt>
                      <c:pt idx="27">
                        <c:v>0</c:v>
                      </c:pt>
                      <c:pt idx="28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15E-4ACE-857A-370DB5EE8DFA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'Perfil nuevos'!$H$7</c15:sqref>
                        </c15:formulaRef>
                      </c:ext>
                    </c:extLst>
                    <c:strCache>
                      <c:ptCount val="1"/>
                      <c:pt idx="0">
                        <c:v>Intereses</c:v>
                      </c:pt>
                    </c:strCache>
                  </c:strRef>
                </c:tx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'Perfil nuevos'!$A$8:$A$37</c15:sqref>
                        </c15:fullRef>
                        <c15:formulaRef>
                          <c15:sqref>'Perfil nuevos'!$A$8:$A$36</c15:sqref>
                        </c15:formulaRef>
                      </c:ext>
                    </c:extLst>
                    <c:strCache>
                      <c:ptCount val="29"/>
                      <c:pt idx="0">
                        <c:v>2020 </c:v>
                      </c:pt>
                      <c:pt idx="1">
                        <c:v>2021 </c:v>
                      </c:pt>
                      <c:pt idx="2">
                        <c:v>2022 </c:v>
                      </c:pt>
                      <c:pt idx="3">
                        <c:v>2023 </c:v>
                      </c:pt>
                      <c:pt idx="4">
                        <c:v>2024 </c:v>
                      </c:pt>
                      <c:pt idx="5">
                        <c:v>2025 </c:v>
                      </c:pt>
                      <c:pt idx="6">
                        <c:v>2026 </c:v>
                      </c:pt>
                      <c:pt idx="7">
                        <c:v>2027 </c:v>
                      </c:pt>
                      <c:pt idx="8">
                        <c:v>2028 </c:v>
                      </c:pt>
                      <c:pt idx="9">
                        <c:v>2029 </c:v>
                      </c:pt>
                      <c:pt idx="10">
                        <c:v>2030 </c:v>
                      </c:pt>
                      <c:pt idx="11">
                        <c:v>2031 </c:v>
                      </c:pt>
                      <c:pt idx="12">
                        <c:v>2032 </c:v>
                      </c:pt>
                      <c:pt idx="13">
                        <c:v>2033 </c:v>
                      </c:pt>
                      <c:pt idx="14">
                        <c:v>2034 </c:v>
                      </c:pt>
                      <c:pt idx="15">
                        <c:v>2035 </c:v>
                      </c:pt>
                      <c:pt idx="16">
                        <c:v>2036 </c:v>
                      </c:pt>
                      <c:pt idx="17">
                        <c:v>2037 </c:v>
                      </c:pt>
                      <c:pt idx="18">
                        <c:v>2038 </c:v>
                      </c:pt>
                      <c:pt idx="19">
                        <c:v>2039 </c:v>
                      </c:pt>
                      <c:pt idx="20">
                        <c:v>2040 </c:v>
                      </c:pt>
                      <c:pt idx="21">
                        <c:v>2041 </c:v>
                      </c:pt>
                      <c:pt idx="22">
                        <c:v>2042 </c:v>
                      </c:pt>
                      <c:pt idx="23">
                        <c:v>2043 </c:v>
                      </c:pt>
                      <c:pt idx="24">
                        <c:v>2044 </c:v>
                      </c:pt>
                      <c:pt idx="25">
                        <c:v>2045 </c:v>
                      </c:pt>
                      <c:pt idx="26">
                        <c:v>2046 </c:v>
                      </c:pt>
                      <c:pt idx="27">
                        <c:v>2047 </c:v>
                      </c:pt>
                      <c:pt idx="28">
                        <c:v>2048 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'Perfil nuevos'!$H$8:$H$37</c15:sqref>
                        </c15:fullRef>
                        <c15:formulaRef>
                          <c15:sqref>'Perfil nuevos'!$H$8:$H$36</c15:sqref>
                        </c15:formulaRef>
                      </c:ext>
                    </c:extLst>
                    <c:numCache>
                      <c:formatCode>_ * #,##0_ ;_ * \-#,##0_ ;_ * "-"??_ ;_ @_ </c:formatCode>
                      <c:ptCount val="29"/>
                      <c:pt idx="0">
                        <c:v>1118.5863898502396</c:v>
                      </c:pt>
                      <c:pt idx="1">
                        <c:v>431.11434915124414</c:v>
                      </c:pt>
                      <c:pt idx="2">
                        <c:v>1030.0311053739006</c:v>
                      </c:pt>
                      <c:pt idx="3">
                        <c:v>1635.6342221012092</c:v>
                      </c:pt>
                      <c:pt idx="4">
                        <c:v>1891.8735329943879</c:v>
                      </c:pt>
                      <c:pt idx="5">
                        <c:v>2319.1501637635502</c:v>
                      </c:pt>
                      <c:pt idx="6">
                        <c:v>2793.986970954059</c:v>
                      </c:pt>
                      <c:pt idx="7">
                        <c:v>3093.5683548936577</c:v>
                      </c:pt>
                      <c:pt idx="8">
                        <c:v>3019.0657513576416</c:v>
                      </c:pt>
                      <c:pt idx="9">
                        <c:v>2836.3657037528174</c:v>
                      </c:pt>
                      <c:pt idx="10">
                        <c:v>2653.665656147994</c:v>
                      </c:pt>
                      <c:pt idx="11">
                        <c:v>2441.2420439678008</c:v>
                      </c:pt>
                      <c:pt idx="12">
                        <c:v>2139.6477380615001</c:v>
                      </c:pt>
                      <c:pt idx="13">
                        <c:v>1838.0534321551997</c:v>
                      </c:pt>
                      <c:pt idx="14">
                        <c:v>1535.6347090387949</c:v>
                      </c:pt>
                      <c:pt idx="15">
                        <c:v>1230.7427342920776</c:v>
                      </c:pt>
                      <c:pt idx="16">
                        <c:v>925.85075954536046</c:v>
                      </c:pt>
                      <c:pt idx="17">
                        <c:v>667.28526894525885</c:v>
                      </c:pt>
                      <c:pt idx="18">
                        <c:v>547.69923078500437</c:v>
                      </c:pt>
                      <c:pt idx="19">
                        <c:v>441.65221280178451</c:v>
                      </c:pt>
                      <c:pt idx="20">
                        <c:v>376.22225534966833</c:v>
                      </c:pt>
                      <c:pt idx="21">
                        <c:v>310.79229789755209</c:v>
                      </c:pt>
                      <c:pt idx="22">
                        <c:v>245.3623404454359</c:v>
                      </c:pt>
                      <c:pt idx="23">
                        <c:v>179.93238299331966</c:v>
                      </c:pt>
                      <c:pt idx="24">
                        <c:v>114.50242554120345</c:v>
                      </c:pt>
                      <c:pt idx="25">
                        <c:v>49.072468089087238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15E-4ACE-857A-370DB5EE8DFA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'Perfil nuevos'!$I$7</c15:sqref>
                        </c15:formulaRef>
                      </c:ext>
                    </c:extLst>
                    <c:strCache>
                      <c:ptCount val="1"/>
                      <c:pt idx="0">
                        <c:v>Amortizaciones</c:v>
                      </c:pt>
                    </c:strCache>
                  </c:strRef>
                </c:tx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'Perfil nuevos'!$A$8:$A$37</c15:sqref>
                        </c15:fullRef>
                        <c15:formulaRef>
                          <c15:sqref>'Perfil nuevos'!$A$8:$A$36</c15:sqref>
                        </c15:formulaRef>
                      </c:ext>
                    </c:extLst>
                    <c:strCache>
                      <c:ptCount val="29"/>
                      <c:pt idx="0">
                        <c:v>2020 </c:v>
                      </c:pt>
                      <c:pt idx="1">
                        <c:v>2021 </c:v>
                      </c:pt>
                      <c:pt idx="2">
                        <c:v>2022 </c:v>
                      </c:pt>
                      <c:pt idx="3">
                        <c:v>2023 </c:v>
                      </c:pt>
                      <c:pt idx="4">
                        <c:v>2024 </c:v>
                      </c:pt>
                      <c:pt idx="5">
                        <c:v>2025 </c:v>
                      </c:pt>
                      <c:pt idx="6">
                        <c:v>2026 </c:v>
                      </c:pt>
                      <c:pt idx="7">
                        <c:v>2027 </c:v>
                      </c:pt>
                      <c:pt idx="8">
                        <c:v>2028 </c:v>
                      </c:pt>
                      <c:pt idx="9">
                        <c:v>2029 </c:v>
                      </c:pt>
                      <c:pt idx="10">
                        <c:v>2030 </c:v>
                      </c:pt>
                      <c:pt idx="11">
                        <c:v>2031 </c:v>
                      </c:pt>
                      <c:pt idx="12">
                        <c:v>2032 </c:v>
                      </c:pt>
                      <c:pt idx="13">
                        <c:v>2033 </c:v>
                      </c:pt>
                      <c:pt idx="14">
                        <c:v>2034 </c:v>
                      </c:pt>
                      <c:pt idx="15">
                        <c:v>2035 </c:v>
                      </c:pt>
                      <c:pt idx="16">
                        <c:v>2036 </c:v>
                      </c:pt>
                      <c:pt idx="17">
                        <c:v>2037 </c:v>
                      </c:pt>
                      <c:pt idx="18">
                        <c:v>2038 </c:v>
                      </c:pt>
                      <c:pt idx="19">
                        <c:v>2039 </c:v>
                      </c:pt>
                      <c:pt idx="20">
                        <c:v>2040 </c:v>
                      </c:pt>
                      <c:pt idx="21">
                        <c:v>2041 </c:v>
                      </c:pt>
                      <c:pt idx="22">
                        <c:v>2042 </c:v>
                      </c:pt>
                      <c:pt idx="23">
                        <c:v>2043 </c:v>
                      </c:pt>
                      <c:pt idx="24">
                        <c:v>2044 </c:v>
                      </c:pt>
                      <c:pt idx="25">
                        <c:v>2045 </c:v>
                      </c:pt>
                      <c:pt idx="26">
                        <c:v>2046 </c:v>
                      </c:pt>
                      <c:pt idx="27">
                        <c:v>2047 </c:v>
                      </c:pt>
                      <c:pt idx="28">
                        <c:v>2048 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'Perfil nuevos'!$I$8:$I$37</c15:sqref>
                        </c15:fullRef>
                        <c15:formulaRef>
                          <c15:sqref>'Perfil nuevos'!$I$8:$I$36</c15:sqref>
                        </c15:formulaRef>
                      </c:ext>
                    </c:extLst>
                    <c:numCache>
                      <c:formatCode>_ * #,##0_ ;_ * \-#,##0_ ;_ * "-"??_ ;_ @_ </c:formatCode>
                      <c:ptCount val="29"/>
                      <c:pt idx="0">
                        <c:v>0</c:v>
                      </c:pt>
                      <c:pt idx="1">
                        <c:v>372.86212995007986</c:v>
                      </c:pt>
                      <c:pt idx="2">
                        <c:v>372.86212995007986</c:v>
                      </c:pt>
                      <c:pt idx="3">
                        <c:v>372.86212995007986</c:v>
                      </c:pt>
                      <c:pt idx="4">
                        <c:v>0</c:v>
                      </c:pt>
                      <c:pt idx="5">
                        <c:v>1487.3577692826625</c:v>
                      </c:pt>
                      <c:pt idx="6">
                        <c:v>2974.715538565325</c:v>
                      </c:pt>
                      <c:pt idx="7">
                        <c:v>2974.715538565325</c:v>
                      </c:pt>
                      <c:pt idx="8">
                        <c:v>4015.4982590849618</c:v>
                      </c:pt>
                      <c:pt idx="9">
                        <c:v>4015.4982590849618</c:v>
                      </c:pt>
                      <c:pt idx="10">
                        <c:v>4015.4982590849618</c:v>
                      </c:pt>
                      <c:pt idx="11">
                        <c:v>5576.033451349409</c:v>
                      </c:pt>
                      <c:pt idx="12">
                        <c:v>5576.033451349409</c:v>
                      </c:pt>
                      <c:pt idx="13">
                        <c:v>5576.033451349409</c:v>
                      </c:pt>
                      <c:pt idx="14">
                        <c:v>5576.0334513494108</c:v>
                      </c:pt>
                      <c:pt idx="15">
                        <c:v>5576.0334513494108</c:v>
                      </c:pt>
                      <c:pt idx="16">
                        <c:v>5576.0334513494108</c:v>
                      </c:pt>
                      <c:pt idx="17">
                        <c:v>2278.3646109326492</c:v>
                      </c:pt>
                      <c:pt idx="18">
                        <c:v>2278.3646109326492</c:v>
                      </c:pt>
                      <c:pt idx="19">
                        <c:v>1212.7964035609787</c:v>
                      </c:pt>
                      <c:pt idx="20">
                        <c:v>1212.7964035609787</c:v>
                      </c:pt>
                      <c:pt idx="21">
                        <c:v>1212.7964035609787</c:v>
                      </c:pt>
                      <c:pt idx="22">
                        <c:v>1212.7964035609787</c:v>
                      </c:pt>
                      <c:pt idx="23">
                        <c:v>1212.7964035609787</c:v>
                      </c:pt>
                      <c:pt idx="24">
                        <c:v>1212.7964035609787</c:v>
                      </c:pt>
                      <c:pt idx="25">
                        <c:v>1212.7964035609787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15E-4ACE-857A-370DB5EE8DFA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'Perfil nuevos'!$K$7</c15:sqref>
                        </c15:formulaRef>
                      </c:ext>
                    </c:extLst>
                    <c:strCache>
                      <c:ptCount val="1"/>
                      <c:pt idx="0">
                        <c:v>Intereses</c:v>
                      </c:pt>
                    </c:strCache>
                  </c:strRef>
                </c:tx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'Perfil nuevos'!$A$8:$A$37</c15:sqref>
                        </c15:fullRef>
                        <c15:formulaRef>
                          <c15:sqref>'Perfil nuevos'!$A$8:$A$36</c15:sqref>
                        </c15:formulaRef>
                      </c:ext>
                    </c:extLst>
                    <c:strCache>
                      <c:ptCount val="29"/>
                      <c:pt idx="0">
                        <c:v>2020 </c:v>
                      </c:pt>
                      <c:pt idx="1">
                        <c:v>2021 </c:v>
                      </c:pt>
                      <c:pt idx="2">
                        <c:v>2022 </c:v>
                      </c:pt>
                      <c:pt idx="3">
                        <c:v>2023 </c:v>
                      </c:pt>
                      <c:pt idx="4">
                        <c:v>2024 </c:v>
                      </c:pt>
                      <c:pt idx="5">
                        <c:v>2025 </c:v>
                      </c:pt>
                      <c:pt idx="6">
                        <c:v>2026 </c:v>
                      </c:pt>
                      <c:pt idx="7">
                        <c:v>2027 </c:v>
                      </c:pt>
                      <c:pt idx="8">
                        <c:v>2028 </c:v>
                      </c:pt>
                      <c:pt idx="9">
                        <c:v>2029 </c:v>
                      </c:pt>
                      <c:pt idx="10">
                        <c:v>2030 </c:v>
                      </c:pt>
                      <c:pt idx="11">
                        <c:v>2031 </c:v>
                      </c:pt>
                      <c:pt idx="12">
                        <c:v>2032 </c:v>
                      </c:pt>
                      <c:pt idx="13">
                        <c:v>2033 </c:v>
                      </c:pt>
                      <c:pt idx="14">
                        <c:v>2034 </c:v>
                      </c:pt>
                      <c:pt idx="15">
                        <c:v>2035 </c:v>
                      </c:pt>
                      <c:pt idx="16">
                        <c:v>2036 </c:v>
                      </c:pt>
                      <c:pt idx="17">
                        <c:v>2037 </c:v>
                      </c:pt>
                      <c:pt idx="18">
                        <c:v>2038 </c:v>
                      </c:pt>
                      <c:pt idx="19">
                        <c:v>2039 </c:v>
                      </c:pt>
                      <c:pt idx="20">
                        <c:v>2040 </c:v>
                      </c:pt>
                      <c:pt idx="21">
                        <c:v>2041 </c:v>
                      </c:pt>
                      <c:pt idx="22">
                        <c:v>2042 </c:v>
                      </c:pt>
                      <c:pt idx="23">
                        <c:v>2043 </c:v>
                      </c:pt>
                      <c:pt idx="24">
                        <c:v>2044 </c:v>
                      </c:pt>
                      <c:pt idx="25">
                        <c:v>2045 </c:v>
                      </c:pt>
                      <c:pt idx="26">
                        <c:v>2046 </c:v>
                      </c:pt>
                      <c:pt idx="27">
                        <c:v>2047 </c:v>
                      </c:pt>
                      <c:pt idx="28">
                        <c:v>2048 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'Perfil nuevos'!$K$8:$K$37</c15:sqref>
                        </c15:fullRef>
                        <c15:formulaRef>
                          <c15:sqref>'Perfil nuevos'!$K$8:$K$36</c15:sqref>
                        </c15:formulaRef>
                      </c:ext>
                    </c:extLst>
                    <c:numCache>
                      <c:formatCode>_ * #,##0_ ;_ * \-#,##0_ ;_ * "-"??_ ;_ @_ </c:formatCode>
                      <c:ptCount val="29"/>
                      <c:pt idx="0">
                        <c:v>0</c:v>
                      </c:pt>
                      <c:pt idx="1">
                        <c:v>104.73482889116724</c:v>
                      </c:pt>
                      <c:pt idx="2">
                        <c:v>655.76857340010849</c:v>
                      </c:pt>
                      <c:pt idx="3">
                        <c:v>1068.5819835571797</c:v>
                      </c:pt>
                      <c:pt idx="4">
                        <c:v>1805.2685516749848</c:v>
                      </c:pt>
                      <c:pt idx="5">
                        <c:v>2084.7792010619601</c:v>
                      </c:pt>
                      <c:pt idx="6">
                        <c:v>2056.4505837661641</c:v>
                      </c:pt>
                      <c:pt idx="7">
                        <c:v>2054.6636933144732</c:v>
                      </c:pt>
                      <c:pt idx="8">
                        <c:v>2035.352889675401</c:v>
                      </c:pt>
                      <c:pt idx="9">
                        <c:v>2093.838872652917</c:v>
                      </c:pt>
                      <c:pt idx="10">
                        <c:v>2017.1932491042505</c:v>
                      </c:pt>
                      <c:pt idx="11">
                        <c:v>1838.5227173641429</c:v>
                      </c:pt>
                      <c:pt idx="12">
                        <c:v>1580.9274293319627</c:v>
                      </c:pt>
                      <c:pt idx="13">
                        <c:v>1323.3321412997825</c:v>
                      </c:pt>
                      <c:pt idx="14">
                        <c:v>1065.7368532676023</c:v>
                      </c:pt>
                      <c:pt idx="15">
                        <c:v>808.14156523542215</c:v>
                      </c:pt>
                      <c:pt idx="16">
                        <c:v>587.33418118910708</c:v>
                      </c:pt>
                      <c:pt idx="17">
                        <c:v>476.89050910038753</c:v>
                      </c:pt>
                      <c:pt idx="18">
                        <c:v>366.44683701166792</c:v>
                      </c:pt>
                      <c:pt idx="19">
                        <c:v>268.60053890125994</c:v>
                      </c:pt>
                      <c:pt idx="20">
                        <c:v>208.54636272578705</c:v>
                      </c:pt>
                      <c:pt idx="21">
                        <c:v>148.4921865503141</c:v>
                      </c:pt>
                      <c:pt idx="22">
                        <c:v>98.278976697773771</c:v>
                      </c:pt>
                      <c:pt idx="23">
                        <c:v>77.588665814031941</c:v>
                      </c:pt>
                      <c:pt idx="24">
                        <c:v>56.898354930290083</c:v>
                      </c:pt>
                      <c:pt idx="25">
                        <c:v>36.208044046548238</c:v>
                      </c:pt>
                      <c:pt idx="26">
                        <c:v>15.517733162806387</c:v>
                      </c:pt>
                      <c:pt idx="27">
                        <c:v>0</c:v>
                      </c:pt>
                      <c:pt idx="28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15E-4ACE-857A-370DB5EE8DFA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'Perfil nuevos'!$L$7</c15:sqref>
                        </c15:formulaRef>
                      </c:ext>
                    </c:extLst>
                    <c:strCache>
                      <c:ptCount val="1"/>
                      <c:pt idx="0">
                        <c:v>Amortizaciones</c:v>
                      </c:pt>
                    </c:strCache>
                  </c:strRef>
                </c:tx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'Perfil nuevos'!$A$8:$A$37</c15:sqref>
                        </c15:fullRef>
                        <c15:formulaRef>
                          <c15:sqref>'Perfil nuevos'!$A$8:$A$36</c15:sqref>
                        </c15:formulaRef>
                      </c:ext>
                    </c:extLst>
                    <c:strCache>
                      <c:ptCount val="29"/>
                      <c:pt idx="0">
                        <c:v>2020 </c:v>
                      </c:pt>
                      <c:pt idx="1">
                        <c:v>2021 </c:v>
                      </c:pt>
                      <c:pt idx="2">
                        <c:v>2022 </c:v>
                      </c:pt>
                      <c:pt idx="3">
                        <c:v>2023 </c:v>
                      </c:pt>
                      <c:pt idx="4">
                        <c:v>2024 </c:v>
                      </c:pt>
                      <c:pt idx="5">
                        <c:v>2025 </c:v>
                      </c:pt>
                      <c:pt idx="6">
                        <c:v>2026 </c:v>
                      </c:pt>
                      <c:pt idx="7">
                        <c:v>2027 </c:v>
                      </c:pt>
                      <c:pt idx="8">
                        <c:v>2028 </c:v>
                      </c:pt>
                      <c:pt idx="9">
                        <c:v>2029 </c:v>
                      </c:pt>
                      <c:pt idx="10">
                        <c:v>2030 </c:v>
                      </c:pt>
                      <c:pt idx="11">
                        <c:v>2031 </c:v>
                      </c:pt>
                      <c:pt idx="12">
                        <c:v>2032 </c:v>
                      </c:pt>
                      <c:pt idx="13">
                        <c:v>2033 </c:v>
                      </c:pt>
                      <c:pt idx="14">
                        <c:v>2034 </c:v>
                      </c:pt>
                      <c:pt idx="15">
                        <c:v>2035 </c:v>
                      </c:pt>
                      <c:pt idx="16">
                        <c:v>2036 </c:v>
                      </c:pt>
                      <c:pt idx="17">
                        <c:v>2037 </c:v>
                      </c:pt>
                      <c:pt idx="18">
                        <c:v>2038 </c:v>
                      </c:pt>
                      <c:pt idx="19">
                        <c:v>2039 </c:v>
                      </c:pt>
                      <c:pt idx="20">
                        <c:v>2040 </c:v>
                      </c:pt>
                      <c:pt idx="21">
                        <c:v>2041 </c:v>
                      </c:pt>
                      <c:pt idx="22">
                        <c:v>2042 </c:v>
                      </c:pt>
                      <c:pt idx="23">
                        <c:v>2043 </c:v>
                      </c:pt>
                      <c:pt idx="24">
                        <c:v>2044 </c:v>
                      </c:pt>
                      <c:pt idx="25">
                        <c:v>2045 </c:v>
                      </c:pt>
                      <c:pt idx="26">
                        <c:v>2046 </c:v>
                      </c:pt>
                      <c:pt idx="27">
                        <c:v>2047 </c:v>
                      </c:pt>
                      <c:pt idx="28">
                        <c:v>2048 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'Perfil nuevos'!$L$8:$L$37</c15:sqref>
                        </c15:fullRef>
                        <c15:formulaRef>
                          <c15:sqref>'Perfil nuevos'!$L$8:$L$36</c15:sqref>
                        </c15:formulaRef>
                      </c:ext>
                    </c:extLst>
                    <c:numCache>
                      <c:formatCode>_ * #,##0_ ;_ * \-#,##0_ ;_ * "-"??_ ;_ @_ </c:formatCode>
                      <c:ptCount val="2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3213.8844539389852</c:v>
                      </c:pt>
                      <c:pt idx="6">
                        <c:v>3493.531051401545</c:v>
                      </c:pt>
                      <c:pt idx="7">
                        <c:v>4617.9656088247975</c:v>
                      </c:pt>
                      <c:pt idx="8">
                        <c:v>5714.3180516533257</c:v>
                      </c:pt>
                      <c:pt idx="9">
                        <c:v>5714.3180516533257</c:v>
                      </c:pt>
                      <c:pt idx="10">
                        <c:v>5434.6714541907659</c:v>
                      </c:pt>
                      <c:pt idx="11">
                        <c:v>5391.2527318906896</c:v>
                      </c:pt>
                      <c:pt idx="12">
                        <c:v>5391.2527318906896</c:v>
                      </c:pt>
                      <c:pt idx="13">
                        <c:v>5391.2527318906896</c:v>
                      </c:pt>
                      <c:pt idx="14">
                        <c:v>5391.2527318906896</c:v>
                      </c:pt>
                      <c:pt idx="15">
                        <c:v>5391.2527318906896</c:v>
                      </c:pt>
                      <c:pt idx="16">
                        <c:v>2361.5873333041754</c:v>
                      </c:pt>
                      <c:pt idx="17">
                        <c:v>2361.5873333041754</c:v>
                      </c:pt>
                      <c:pt idx="18">
                        <c:v>2361.5873333041754</c:v>
                      </c:pt>
                      <c:pt idx="19">
                        <c:v>1265.2348904756466</c:v>
                      </c:pt>
                      <c:pt idx="20">
                        <c:v>1265.2348904756466</c:v>
                      </c:pt>
                      <c:pt idx="21">
                        <c:v>1265.2348904756466</c:v>
                      </c:pt>
                      <c:pt idx="22">
                        <c:v>420.44693051495392</c:v>
                      </c:pt>
                      <c:pt idx="23">
                        <c:v>420.44693051495392</c:v>
                      </c:pt>
                      <c:pt idx="24">
                        <c:v>420.44693051495392</c:v>
                      </c:pt>
                      <c:pt idx="25">
                        <c:v>420.44693051495392</c:v>
                      </c:pt>
                      <c:pt idx="26">
                        <c:v>420.44693051495392</c:v>
                      </c:pt>
                      <c:pt idx="27">
                        <c:v>0</c:v>
                      </c:pt>
                      <c:pt idx="28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15E-4ACE-857A-370DB5EE8DFA}"/>
                  </c:ext>
                </c:extLst>
              </c15:ser>
            </c15:filteredLineSeries>
          </c:ext>
        </c:extLst>
      </c:lineChart>
      <c:catAx>
        <c:axId val="595562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3E3E3E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es-AR"/>
          </a:p>
        </c:txPr>
        <c:crossAx val="595558832"/>
        <c:crosses val="autoZero"/>
        <c:auto val="1"/>
        <c:lblAlgn val="ctr"/>
        <c:lblOffset val="100"/>
        <c:noMultiLvlLbl val="0"/>
      </c:catAx>
      <c:valAx>
        <c:axId val="5955588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3E3E3E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s-AR"/>
          </a:p>
        </c:txPr>
        <c:crossAx val="595562440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54773609974508264"/>
          <c:y val="2.4179418332260224E-2"/>
          <c:w val="0.43264159794242407"/>
          <c:h val="0.2317688762216439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AR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GothamBook" pitchFamily="50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41</xdr:row>
      <xdr:rowOff>128121</xdr:rowOff>
    </xdr:from>
    <xdr:to>
      <xdr:col>5</xdr:col>
      <xdr:colOff>752475</xdr:colOff>
      <xdr:row>62</xdr:row>
      <xdr:rowOff>47626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80AD4E-52E3-4CED-ADD3-4A3DA83BC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NCFP\Recursos\Proyrena\Anual\2002\Alt4_Proy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33.8\secretar&#237;a%20finanzas\0INFORMA\Programas%20Financieros\Pmg%202009\Consolidado2009%20ver%2014-07-1%20Teso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</sheetNames>
    <sheetDataSet>
      <sheetData sheetId="0" refreshError="1"/>
      <sheetData sheetId="1" refreshError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. Fin."/>
      <sheetName val="pesos"/>
      <sheetName val="dolares"/>
      <sheetName val="RESUMEN "/>
      <sheetName val="dolares cosentino"/>
    </sheetNames>
    <sheetDataSet>
      <sheetData sheetId="0" refreshError="1">
        <row r="1">
          <cell r="E1" t="str">
            <v xml:space="preserve">I TRIM. </v>
          </cell>
          <cell r="I1" t="str">
            <v>II TRIM</v>
          </cell>
          <cell r="J1" t="str">
            <v xml:space="preserve">I SEM </v>
          </cell>
          <cell r="N1" t="str">
            <v xml:space="preserve">III TRIM </v>
          </cell>
          <cell r="R1" t="str">
            <v>IV TRIM</v>
          </cell>
          <cell r="S1" t="str">
            <v>II SEM</v>
          </cell>
        </row>
        <row r="3">
          <cell r="E3">
            <v>11136.157385710585</v>
          </cell>
          <cell r="I3">
            <v>-6015.7447552821868</v>
          </cell>
          <cell r="J3">
            <v>11136.157385710585</v>
          </cell>
          <cell r="N3">
            <v>2609.2660964269198</v>
          </cell>
          <cell r="R3">
            <v>-10688.165500810494</v>
          </cell>
          <cell r="S3">
            <v>2609.2660964269198</v>
          </cell>
        </row>
        <row r="5">
          <cell r="E5">
            <v>26350.808121834471</v>
          </cell>
          <cell r="I5">
            <v>44439.368716526878</v>
          </cell>
          <cell r="J5">
            <v>70790.176838361353</v>
          </cell>
          <cell r="N5">
            <v>14563.912527213753</v>
          </cell>
          <cell r="R5">
            <v>28463.269178655319</v>
          </cell>
          <cell r="S5">
            <v>43027.181705869072</v>
          </cell>
        </row>
        <row r="7">
          <cell r="E7">
            <v>1040.5000000000027</v>
          </cell>
          <cell r="I7">
            <v>3894.1999999999935</v>
          </cell>
          <cell r="J7">
            <v>4934.6999999999962</v>
          </cell>
          <cell r="N7">
            <v>-2083.3340585442038</v>
          </cell>
          <cell r="R7">
            <v>-1438.0519999999979</v>
          </cell>
          <cell r="S7">
            <v>-3521.3860585442017</v>
          </cell>
        </row>
        <row r="8">
          <cell r="E8">
            <v>24734.100000000002</v>
          </cell>
          <cell r="I8">
            <v>32006.099999999991</v>
          </cell>
          <cell r="J8">
            <v>56740.2</v>
          </cell>
          <cell r="N8">
            <v>28066.534327933492</v>
          </cell>
          <cell r="R8">
            <v>30268.175000000003</v>
          </cell>
          <cell r="S8">
            <v>58334.709327933495</v>
          </cell>
        </row>
        <row r="9">
          <cell r="A9" t="str">
            <v xml:space="preserve">        Tributarios</v>
          </cell>
          <cell r="B9">
            <v>8189.1</v>
          </cell>
          <cell r="C9">
            <v>8110.3</v>
          </cell>
          <cell r="D9">
            <v>7848.1</v>
          </cell>
          <cell r="E9">
            <v>24147.5</v>
          </cell>
          <cell r="F9">
            <v>8592.2999999999993</v>
          </cell>
          <cell r="G9">
            <v>9596.6</v>
          </cell>
          <cell r="H9">
            <v>10141.299999999999</v>
          </cell>
          <cell r="I9">
            <v>28330.2</v>
          </cell>
          <cell r="J9">
            <v>52477.7</v>
          </cell>
          <cell r="K9">
            <v>9055.8259946001526</v>
          </cell>
          <cell r="L9">
            <v>9326.4000000000015</v>
          </cell>
          <cell r="M9">
            <v>9079.9</v>
          </cell>
          <cell r="N9">
            <v>27462.125994600152</v>
          </cell>
          <cell r="O9">
            <v>9520</v>
          </cell>
          <cell r="P9">
            <v>9410.3000000000011</v>
          </cell>
          <cell r="Q9">
            <v>9333.4</v>
          </cell>
          <cell r="R9">
            <v>28263.700000000004</v>
          </cell>
          <cell r="S9">
            <v>55725.825994600156</v>
          </cell>
          <cell r="T9">
            <v>108203.52599460015</v>
          </cell>
          <cell r="U9">
            <v>74001.100000000006</v>
          </cell>
          <cell r="V9">
            <v>-34202.42599460014</v>
          </cell>
        </row>
        <row r="10">
          <cell r="A10" t="str">
            <v xml:space="preserve">        No Tributarios</v>
          </cell>
          <cell r="B10">
            <v>9.3000000000000007</v>
          </cell>
          <cell r="C10">
            <v>8.5</v>
          </cell>
          <cell r="D10">
            <v>68.7</v>
          </cell>
          <cell r="E10">
            <v>86.5</v>
          </cell>
          <cell r="F10">
            <v>24.8</v>
          </cell>
          <cell r="G10">
            <v>8.3000000000000007</v>
          </cell>
          <cell r="H10">
            <v>73.599999999999994</v>
          </cell>
          <cell r="I10">
            <v>106.69999999999999</v>
          </cell>
          <cell r="J10">
            <v>193.2</v>
          </cell>
          <cell r="K10">
            <v>20.6</v>
          </cell>
          <cell r="L10">
            <v>20.6</v>
          </cell>
          <cell r="M10">
            <v>20.641666666666666</v>
          </cell>
          <cell r="N10">
            <v>61.841666666666669</v>
          </cell>
          <cell r="O10">
            <v>20.641666666666666</v>
          </cell>
          <cell r="P10">
            <v>20.641666666666666</v>
          </cell>
          <cell r="Q10">
            <v>20.641666666666666</v>
          </cell>
          <cell r="R10">
            <v>61.924999999999997</v>
          </cell>
          <cell r="S10">
            <v>123.76666666666667</v>
          </cell>
          <cell r="T10">
            <v>316.96666666666664</v>
          </cell>
          <cell r="U10">
            <v>174.4</v>
          </cell>
          <cell r="V10">
            <v>-142.56666666666663</v>
          </cell>
        </row>
        <row r="11">
          <cell r="A11" t="str">
            <v xml:space="preserve">        Venta de bienes y servicios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V11">
            <v>0</v>
          </cell>
        </row>
        <row r="12">
          <cell r="A12" t="str">
            <v xml:space="preserve">        Rentas de la Propiedad</v>
          </cell>
          <cell r="B12">
            <v>51.7</v>
          </cell>
          <cell r="C12">
            <v>75.099999999999994</v>
          </cell>
          <cell r="D12">
            <v>71.5</v>
          </cell>
          <cell r="E12">
            <v>198.3</v>
          </cell>
          <cell r="F12">
            <v>83</v>
          </cell>
          <cell r="G12">
            <v>68.3</v>
          </cell>
          <cell r="H12">
            <v>3147.4</v>
          </cell>
          <cell r="I12">
            <v>3298.7000000000003</v>
          </cell>
          <cell r="J12">
            <v>3497.0000000000005</v>
          </cell>
          <cell r="K12">
            <v>56.7</v>
          </cell>
          <cell r="L12">
            <v>56.7</v>
          </cell>
          <cell r="M12">
            <v>56.691666666666663</v>
          </cell>
          <cell r="N12">
            <v>170.09166666666667</v>
          </cell>
          <cell r="O12">
            <v>56.691666666666663</v>
          </cell>
          <cell r="P12">
            <v>56.691666666666663</v>
          </cell>
          <cell r="Q12">
            <v>1456.6916666666666</v>
          </cell>
          <cell r="R12">
            <v>1570.0749999999998</v>
          </cell>
          <cell r="S12">
            <v>1740.1666666666665</v>
          </cell>
          <cell r="T12">
            <v>5237.166666666667</v>
          </cell>
          <cell r="U12">
            <v>1243.8</v>
          </cell>
          <cell r="V12">
            <v>-3993.3666666666668</v>
          </cell>
        </row>
        <row r="13">
          <cell r="A13" t="str">
            <v xml:space="preserve">        Transferencias</v>
          </cell>
          <cell r="B13">
            <v>18</v>
          </cell>
          <cell r="C13">
            <v>32.700000000000003</v>
          </cell>
          <cell r="D13">
            <v>28.5</v>
          </cell>
          <cell r="E13">
            <v>79.2</v>
          </cell>
          <cell r="F13">
            <v>42.8</v>
          </cell>
          <cell r="G13">
            <v>20.3</v>
          </cell>
          <cell r="H13">
            <v>29.6</v>
          </cell>
          <cell r="I13">
            <v>92.699999999999989</v>
          </cell>
          <cell r="J13">
            <v>171.89999999999998</v>
          </cell>
          <cell r="K13">
            <v>40</v>
          </cell>
          <cell r="L13">
            <v>40</v>
          </cell>
          <cell r="M13">
            <v>40</v>
          </cell>
          <cell r="N13">
            <v>120</v>
          </cell>
          <cell r="O13">
            <v>40</v>
          </cell>
          <cell r="P13">
            <v>40</v>
          </cell>
          <cell r="Q13">
            <v>40</v>
          </cell>
          <cell r="R13">
            <v>120</v>
          </cell>
          <cell r="S13">
            <v>240</v>
          </cell>
          <cell r="T13">
            <v>411.9</v>
          </cell>
          <cell r="U13">
            <v>208.6</v>
          </cell>
          <cell r="V13">
            <v>-203.29999999999998</v>
          </cell>
        </row>
        <row r="14">
          <cell r="A14" t="str">
            <v xml:space="preserve">        Contribuciones Figurativas</v>
          </cell>
          <cell r="B14">
            <v>58.2</v>
          </cell>
          <cell r="C14">
            <v>30</v>
          </cell>
          <cell r="D14">
            <v>134</v>
          </cell>
          <cell r="E14">
            <v>222.2</v>
          </cell>
          <cell r="F14">
            <v>31.5</v>
          </cell>
          <cell r="G14">
            <v>101.8</v>
          </cell>
          <cell r="H14">
            <v>43.3</v>
          </cell>
          <cell r="I14">
            <v>176.60000000000002</v>
          </cell>
          <cell r="J14">
            <v>398.8</v>
          </cell>
          <cell r="K14">
            <v>0</v>
          </cell>
          <cell r="L14">
            <v>0</v>
          </cell>
          <cell r="M14">
            <v>214.97499999999999</v>
          </cell>
          <cell r="N14">
            <v>214.97499999999999</v>
          </cell>
          <cell r="O14">
            <v>0</v>
          </cell>
          <cell r="P14">
            <v>0</v>
          </cell>
          <cell r="Q14">
            <v>214.97499999999999</v>
          </cell>
          <cell r="R14">
            <v>214.97499999999999</v>
          </cell>
          <cell r="S14">
            <v>429.95</v>
          </cell>
          <cell r="T14">
            <v>828.75</v>
          </cell>
          <cell r="U14">
            <v>960.4</v>
          </cell>
          <cell r="V14">
            <v>131.64999999999998</v>
          </cell>
        </row>
        <row r="15">
          <cell r="E15">
            <v>0.4</v>
          </cell>
          <cell r="I15">
            <v>1.2</v>
          </cell>
          <cell r="J15">
            <v>1.6</v>
          </cell>
          <cell r="N15">
            <v>37.5</v>
          </cell>
          <cell r="R15">
            <v>37.5</v>
          </cell>
          <cell r="S15">
            <v>75</v>
          </cell>
        </row>
        <row r="16">
          <cell r="E16">
            <v>23693.599999999999</v>
          </cell>
          <cell r="I16">
            <v>28111.9</v>
          </cell>
          <cell r="J16">
            <v>51805.5</v>
          </cell>
          <cell r="N16">
            <v>30149.868386477698</v>
          </cell>
          <cell r="R16">
            <v>31706.226999999999</v>
          </cell>
          <cell r="S16">
            <v>61856.095386477697</v>
          </cell>
        </row>
        <row r="17">
          <cell r="A17" t="str">
            <v xml:space="preserve">      - Remuneraciones</v>
          </cell>
          <cell r="B17">
            <v>1277.4000000000001</v>
          </cell>
          <cell r="C17">
            <v>1245.5</v>
          </cell>
          <cell r="D17">
            <v>1228.0999999999999</v>
          </cell>
          <cell r="E17">
            <v>3751</v>
          </cell>
          <cell r="F17">
            <v>1224.5</v>
          </cell>
          <cell r="G17">
            <v>1203</v>
          </cell>
          <cell r="H17">
            <v>1234.5999999999999</v>
          </cell>
          <cell r="I17">
            <v>3662.1</v>
          </cell>
          <cell r="J17">
            <v>7413.1</v>
          </cell>
          <cell r="K17">
            <v>1795.16</v>
          </cell>
          <cell r="L17">
            <v>1345.8000000000002</v>
          </cell>
          <cell r="M17">
            <v>1405.66</v>
          </cell>
          <cell r="N17">
            <v>4546.62</v>
          </cell>
          <cell r="O17">
            <v>1405.66</v>
          </cell>
          <cell r="P17">
            <v>1405.66</v>
          </cell>
          <cell r="Q17">
            <v>1886.8</v>
          </cell>
          <cell r="R17">
            <v>4698.12</v>
          </cell>
          <cell r="S17">
            <v>9244.74</v>
          </cell>
          <cell r="T17">
            <v>16657.84</v>
          </cell>
          <cell r="U17">
            <v>10334</v>
          </cell>
          <cell r="V17">
            <v>-6323.84</v>
          </cell>
        </row>
        <row r="18">
          <cell r="A18" t="str">
            <v xml:space="preserve">      - Bienes y Servicios</v>
          </cell>
          <cell r="B18">
            <v>574.70000000000005</v>
          </cell>
          <cell r="C18">
            <v>329.1</v>
          </cell>
          <cell r="D18">
            <v>337.3</v>
          </cell>
          <cell r="E18">
            <v>1241.1000000000001</v>
          </cell>
          <cell r="F18">
            <v>448.7</v>
          </cell>
          <cell r="G18">
            <v>406.4</v>
          </cell>
          <cell r="H18">
            <v>553.6</v>
          </cell>
          <cell r="I18">
            <v>1408.6999999999998</v>
          </cell>
          <cell r="J18">
            <v>2649.8</v>
          </cell>
          <cell r="K18">
            <v>551.81999999999994</v>
          </cell>
          <cell r="L18">
            <v>470.67999999999995</v>
          </cell>
          <cell r="M18">
            <v>470.68999999999994</v>
          </cell>
          <cell r="N18">
            <v>1493.1899999999998</v>
          </cell>
          <cell r="O18">
            <v>470.68999999999994</v>
          </cell>
          <cell r="P18">
            <v>470.68999999999994</v>
          </cell>
          <cell r="Q18">
            <v>472.28999999999996</v>
          </cell>
          <cell r="R18">
            <v>1413.6699999999998</v>
          </cell>
          <cell r="S18">
            <v>2906.8599999999997</v>
          </cell>
          <cell r="T18">
            <v>5556.66</v>
          </cell>
          <cell r="U18">
            <v>3584.4</v>
          </cell>
          <cell r="V18">
            <v>-1972.2599999999998</v>
          </cell>
        </row>
        <row r="19">
          <cell r="A19" t="str">
            <v xml:space="preserve">      - Transferencias</v>
          </cell>
          <cell r="B19">
            <v>3951.8999999999996</v>
          </cell>
          <cell r="C19">
            <v>3284.7</v>
          </cell>
          <cell r="D19">
            <v>3313.4000000000005</v>
          </cell>
          <cell r="E19">
            <v>10550</v>
          </cell>
          <cell r="F19">
            <v>4367.8</v>
          </cell>
          <cell r="G19">
            <v>4988.1000000000004</v>
          </cell>
          <cell r="H19">
            <v>5959.2999999999993</v>
          </cell>
          <cell r="I19">
            <v>15315.2</v>
          </cell>
          <cell r="J19">
            <v>25865.200000000001</v>
          </cell>
          <cell r="K19">
            <v>5323.7100000000009</v>
          </cell>
          <cell r="L19">
            <v>4991.9000000000005</v>
          </cell>
          <cell r="M19">
            <v>5013.4599999999991</v>
          </cell>
          <cell r="N19">
            <v>15329.07</v>
          </cell>
          <cell r="O19">
            <v>5299.76</v>
          </cell>
          <cell r="P19">
            <v>5277.4599999999991</v>
          </cell>
          <cell r="Q19">
            <v>5539.56</v>
          </cell>
          <cell r="R19">
            <v>16116.779999999999</v>
          </cell>
          <cell r="S19">
            <v>31445.85</v>
          </cell>
          <cell r="T19">
            <v>57311.05</v>
          </cell>
          <cell r="U19">
            <v>27338.49</v>
          </cell>
          <cell r="V19">
            <v>-29972.560000000001</v>
          </cell>
        </row>
        <row r="20">
          <cell r="A20" t="str">
            <v xml:space="preserve">          Corrientes</v>
          </cell>
          <cell r="B20">
            <v>2299.7999999999997</v>
          </cell>
          <cell r="C20">
            <v>2508.1</v>
          </cell>
          <cell r="D20">
            <v>2640.1000000000004</v>
          </cell>
          <cell r="E20">
            <v>7448</v>
          </cell>
          <cell r="F20">
            <v>2929.3</v>
          </cell>
          <cell r="G20">
            <v>3592.5</v>
          </cell>
          <cell r="H20">
            <v>4210.8999999999996</v>
          </cell>
          <cell r="I20">
            <v>10732.7</v>
          </cell>
          <cell r="J20">
            <v>18180.7</v>
          </cell>
          <cell r="K20">
            <v>3782.9100000000003</v>
          </cell>
          <cell r="L20">
            <v>3423.7000000000003</v>
          </cell>
          <cell r="M20">
            <v>3471.1199999999994</v>
          </cell>
          <cell r="N20">
            <v>10677.73</v>
          </cell>
          <cell r="O20">
            <v>3691.02</v>
          </cell>
          <cell r="P20">
            <v>3701.8199999999993</v>
          </cell>
          <cell r="Q20">
            <v>4011.82</v>
          </cell>
          <cell r="R20">
            <v>11404.66</v>
          </cell>
          <cell r="S20">
            <v>22082.39</v>
          </cell>
          <cell r="T20">
            <v>40263.089999999997</v>
          </cell>
          <cell r="U20">
            <v>20576.061999999998</v>
          </cell>
          <cell r="V20">
            <v>-19687.027999999998</v>
          </cell>
        </row>
        <row r="21">
          <cell r="A21" t="str">
            <v xml:space="preserve">          Capital</v>
          </cell>
          <cell r="B21">
            <v>1652.1</v>
          </cell>
          <cell r="C21">
            <v>776.6</v>
          </cell>
          <cell r="D21">
            <v>673.3</v>
          </cell>
          <cell r="E21">
            <v>3102</v>
          </cell>
          <cell r="F21">
            <v>1438.5</v>
          </cell>
          <cell r="G21">
            <v>1395.6000000000001</v>
          </cell>
          <cell r="H21">
            <v>1748.4</v>
          </cell>
          <cell r="I21">
            <v>4582.5</v>
          </cell>
          <cell r="J21">
            <v>7684.5</v>
          </cell>
          <cell r="K21">
            <v>1540.8000000000002</v>
          </cell>
          <cell r="L21">
            <v>1568.2</v>
          </cell>
          <cell r="M21">
            <v>1542.3400000000001</v>
          </cell>
          <cell r="N21">
            <v>4651.34</v>
          </cell>
          <cell r="O21">
            <v>1608.74</v>
          </cell>
          <cell r="P21">
            <v>1575.6399999999999</v>
          </cell>
          <cell r="Q21">
            <v>1527.74</v>
          </cell>
          <cell r="R21">
            <v>4712.12</v>
          </cell>
          <cell r="S21">
            <v>9363.4599999999991</v>
          </cell>
          <cell r="T21">
            <v>17047.96</v>
          </cell>
          <cell r="U21">
            <v>6762.4279999999999</v>
          </cell>
          <cell r="V21">
            <v>-10285.531999999999</v>
          </cell>
        </row>
        <row r="22">
          <cell r="A22" t="str">
            <v xml:space="preserve">      - Inversión Financiera</v>
          </cell>
          <cell r="B22">
            <v>32.9</v>
          </cell>
          <cell r="C22">
            <v>0</v>
          </cell>
          <cell r="D22">
            <v>0</v>
          </cell>
          <cell r="E22">
            <v>32.9</v>
          </cell>
          <cell r="F22">
            <v>2</v>
          </cell>
          <cell r="G22">
            <v>51.2</v>
          </cell>
          <cell r="H22">
            <v>53.4</v>
          </cell>
          <cell r="I22">
            <v>106.6</v>
          </cell>
          <cell r="J22">
            <v>139.5</v>
          </cell>
          <cell r="K22">
            <v>9.9</v>
          </cell>
          <cell r="L22">
            <v>19.3</v>
          </cell>
          <cell r="M22">
            <v>19.259</v>
          </cell>
          <cell r="N22">
            <v>48.459000000000003</v>
          </cell>
          <cell r="O22">
            <v>19.259</v>
          </cell>
          <cell r="P22">
            <v>19.259</v>
          </cell>
          <cell r="Q22">
            <v>879.53899999999987</v>
          </cell>
          <cell r="R22">
            <v>918.0569999999999</v>
          </cell>
          <cell r="S22">
            <v>966.51599999999985</v>
          </cell>
          <cell r="T22">
            <v>1106.0159999999998</v>
          </cell>
          <cell r="U22">
            <v>1537.1</v>
          </cell>
          <cell r="V22">
            <v>431.08400000000006</v>
          </cell>
        </row>
        <row r="23">
          <cell r="A23" t="str">
            <v xml:space="preserve">      - Gastos Figurativos (OD)</v>
          </cell>
          <cell r="B23">
            <v>1089.3</v>
          </cell>
          <cell r="C23">
            <v>1321.3</v>
          </cell>
          <cell r="D23">
            <v>1048.3999999999999</v>
          </cell>
          <cell r="E23">
            <v>3459</v>
          </cell>
          <cell r="F23">
            <v>1006.4000000000001</v>
          </cell>
          <cell r="G23">
            <v>1143.0999999999999</v>
          </cell>
          <cell r="H23">
            <v>938.6</v>
          </cell>
          <cell r="I23">
            <v>3088.1</v>
          </cell>
          <cell r="J23">
            <v>6547.1</v>
          </cell>
          <cell r="K23">
            <v>1341</v>
          </cell>
          <cell r="L23">
            <v>1141.9000000000001</v>
          </cell>
          <cell r="M23">
            <v>1158.3</v>
          </cell>
          <cell r="N23">
            <v>3641.2</v>
          </cell>
          <cell r="O23">
            <v>1166.0999999999999</v>
          </cell>
          <cell r="P23">
            <v>1166.0999999999999</v>
          </cell>
          <cell r="Q23">
            <v>1311.4</v>
          </cell>
          <cell r="R23">
            <v>3643.6</v>
          </cell>
          <cell r="S23">
            <v>7284.7999999999993</v>
          </cell>
          <cell r="T23">
            <v>13831.9</v>
          </cell>
          <cell r="U23">
            <v>7107.9</v>
          </cell>
          <cell r="V23">
            <v>-6724</v>
          </cell>
        </row>
        <row r="24">
          <cell r="A24" t="str">
            <v xml:space="preserve">      - Inversión Real Directa</v>
          </cell>
          <cell r="B24">
            <v>283.89999999999998</v>
          </cell>
          <cell r="C24">
            <v>69.7</v>
          </cell>
          <cell r="D24">
            <v>75.599999999999994</v>
          </cell>
          <cell r="E24">
            <v>429.19999999999993</v>
          </cell>
          <cell r="F24">
            <v>68.7</v>
          </cell>
          <cell r="G24">
            <v>79.599999999999994</v>
          </cell>
          <cell r="H24">
            <v>104.8</v>
          </cell>
          <cell r="I24">
            <v>253.10000000000002</v>
          </cell>
          <cell r="J24">
            <v>682.3</v>
          </cell>
          <cell r="K24">
            <v>124.5</v>
          </cell>
          <cell r="L24">
            <v>150</v>
          </cell>
          <cell r="M24">
            <v>150</v>
          </cell>
          <cell r="N24">
            <v>424.5</v>
          </cell>
          <cell r="O24">
            <v>150</v>
          </cell>
          <cell r="P24">
            <v>150</v>
          </cell>
          <cell r="Q24">
            <v>150</v>
          </cell>
          <cell r="R24">
            <v>450</v>
          </cell>
          <cell r="S24">
            <v>874.5</v>
          </cell>
          <cell r="T24">
            <v>1556.8</v>
          </cell>
          <cell r="U24">
            <v>1174.0999999999999</v>
          </cell>
          <cell r="V24">
            <v>-382.70000000000005</v>
          </cell>
        </row>
        <row r="25">
          <cell r="A25" t="str">
            <v xml:space="preserve">      - Instit. De Seg. Social</v>
          </cell>
          <cell r="B25">
            <v>1473.3</v>
          </cell>
          <cell r="C25">
            <v>1371.6</v>
          </cell>
          <cell r="D25">
            <v>1377.8</v>
          </cell>
          <cell r="E25">
            <v>4222.7</v>
          </cell>
          <cell r="F25">
            <v>1334</v>
          </cell>
          <cell r="G25">
            <v>1337.5</v>
          </cell>
          <cell r="H25">
            <v>1604.6</v>
          </cell>
          <cell r="I25">
            <v>4276.1000000000004</v>
          </cell>
          <cell r="J25">
            <v>8498.7999999999993</v>
          </cell>
          <cell r="K25">
            <v>1689.65171644</v>
          </cell>
          <cell r="L25">
            <v>1456.1376700376929</v>
          </cell>
          <cell r="M25">
            <v>1519.2</v>
          </cell>
          <cell r="N25">
            <v>4664.9893864776932</v>
          </cell>
          <cell r="O25">
            <v>1474.1</v>
          </cell>
          <cell r="P25">
            <v>1504.9</v>
          </cell>
          <cell r="Q25">
            <v>1485.2000000000003</v>
          </cell>
          <cell r="R25">
            <v>4464.2000000000007</v>
          </cell>
          <cell r="S25">
            <v>9129.1893864776939</v>
          </cell>
          <cell r="T25">
            <v>17627.989386477693</v>
          </cell>
          <cell r="U25">
            <v>12159.400000000001</v>
          </cell>
          <cell r="V25">
            <v>-5468.5893864776917</v>
          </cell>
        </row>
        <row r="26">
          <cell r="A26" t="str">
            <v xml:space="preserve">      - Otros gastos primarios </v>
          </cell>
          <cell r="B26">
            <v>3</v>
          </cell>
          <cell r="C26">
            <v>2.8</v>
          </cell>
          <cell r="D26">
            <v>1.9</v>
          </cell>
          <cell r="E26">
            <v>7.6999999999999993</v>
          </cell>
          <cell r="F26">
            <v>1.1000000000000001</v>
          </cell>
          <cell r="G26">
            <v>0.8</v>
          </cell>
          <cell r="H26">
            <v>0.1</v>
          </cell>
          <cell r="I26">
            <v>2</v>
          </cell>
          <cell r="J26">
            <v>9.6999999999999993</v>
          </cell>
          <cell r="K26">
            <v>0.64</v>
          </cell>
          <cell r="L26">
            <v>0.60000000000000009</v>
          </cell>
          <cell r="M26">
            <v>0.6</v>
          </cell>
          <cell r="N26">
            <v>1.8400000000000003</v>
          </cell>
          <cell r="O26">
            <v>0.6</v>
          </cell>
          <cell r="P26">
            <v>0.6</v>
          </cell>
          <cell r="Q26">
            <v>0.6</v>
          </cell>
          <cell r="R26">
            <v>1.7999999999999998</v>
          </cell>
          <cell r="S26">
            <v>3.64</v>
          </cell>
          <cell r="T26">
            <v>13.34</v>
          </cell>
          <cell r="U26">
            <v>41.7</v>
          </cell>
          <cell r="V26">
            <v>28.360000000000003</v>
          </cell>
        </row>
        <row r="28">
          <cell r="E28">
            <v>16129.331902150399</v>
          </cell>
          <cell r="I28">
            <v>24194.747320925999</v>
          </cell>
          <cell r="J28">
            <v>40324.079223076398</v>
          </cell>
          <cell r="N28">
            <v>14126.44095366</v>
          </cell>
          <cell r="R28">
            <v>20400.5</v>
          </cell>
          <cell r="S28">
            <v>34526.94095366</v>
          </cell>
        </row>
        <row r="29">
          <cell r="E29">
            <v>489.09957215040004</v>
          </cell>
          <cell r="I29">
            <v>1563.4261097459998</v>
          </cell>
          <cell r="J29">
            <v>2052.5256818963999</v>
          </cell>
          <cell r="N29">
            <v>991.40251965999994</v>
          </cell>
          <cell r="R29">
            <v>1262.3</v>
          </cell>
          <cell r="S29">
            <v>2253.7025196599998</v>
          </cell>
        </row>
        <row r="30">
          <cell r="E30">
            <v>290.34057215040002</v>
          </cell>
          <cell r="I30">
            <v>547.74</v>
          </cell>
          <cell r="J30">
            <v>838.08057215040003</v>
          </cell>
          <cell r="N30">
            <v>315.90251966</v>
          </cell>
          <cell r="R30">
            <v>401.99999999999994</v>
          </cell>
          <cell r="S30">
            <v>717.90251965999994</v>
          </cell>
        </row>
        <row r="31">
          <cell r="A31" t="str">
            <v xml:space="preserve">      LETRAS</v>
          </cell>
          <cell r="B31">
            <v>0</v>
          </cell>
          <cell r="C31">
            <v>163.87960000000001</v>
          </cell>
          <cell r="D31">
            <v>126.46097215040001</v>
          </cell>
          <cell r="E31">
            <v>290.34057215040002</v>
          </cell>
          <cell r="F31">
            <v>0</v>
          </cell>
          <cell r="G31">
            <v>547.74</v>
          </cell>
          <cell r="H31">
            <v>0</v>
          </cell>
          <cell r="I31">
            <v>547.74</v>
          </cell>
          <cell r="J31">
            <v>838.08057215040003</v>
          </cell>
          <cell r="K31">
            <v>0</v>
          </cell>
          <cell r="L31">
            <v>181.42</v>
          </cell>
          <cell r="M31">
            <v>134.48251966000001</v>
          </cell>
          <cell r="N31">
            <v>315.90251966</v>
          </cell>
          <cell r="O31">
            <v>0</v>
          </cell>
          <cell r="P31">
            <v>401.99999999999994</v>
          </cell>
          <cell r="Q31">
            <v>0</v>
          </cell>
          <cell r="R31">
            <v>401.99999999999994</v>
          </cell>
          <cell r="S31">
            <v>717.90251965999994</v>
          </cell>
          <cell r="T31">
            <v>1555.9830918104001</v>
          </cell>
          <cell r="U31">
            <v>17237.597438615401</v>
          </cell>
        </row>
        <row r="32">
          <cell r="A32" t="str">
            <v xml:space="preserve">      BONOS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A33" t="str">
            <v xml:space="preserve">      OTROS</v>
          </cell>
          <cell r="B33">
            <v>0</v>
          </cell>
          <cell r="C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198.75899999999999</v>
          </cell>
          <cell r="I34">
            <v>1015.6861097459999</v>
          </cell>
          <cell r="J34">
            <v>1214.4451097459998</v>
          </cell>
          <cell r="N34">
            <v>675.5</v>
          </cell>
          <cell r="R34">
            <v>860.3</v>
          </cell>
          <cell r="S34">
            <v>1535.8</v>
          </cell>
        </row>
        <row r="35">
          <cell r="E35">
            <v>0</v>
          </cell>
          <cell r="I35">
            <v>0</v>
          </cell>
          <cell r="J35">
            <v>0</v>
          </cell>
          <cell r="N35">
            <v>0</v>
          </cell>
          <cell r="R35">
            <v>0</v>
          </cell>
          <cell r="S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  <cell r="N36">
            <v>0</v>
          </cell>
          <cell r="R36">
            <v>0</v>
          </cell>
          <cell r="S36">
            <v>0</v>
          </cell>
        </row>
        <row r="37">
          <cell r="E37">
            <v>0</v>
          </cell>
          <cell r="I37">
            <v>1015.6861097459999</v>
          </cell>
          <cell r="J37">
            <v>1015.6861097459999</v>
          </cell>
          <cell r="N37">
            <v>675.5</v>
          </cell>
          <cell r="R37">
            <v>0</v>
          </cell>
          <cell r="S37">
            <v>675.5</v>
          </cell>
        </row>
        <row r="38">
          <cell r="E38">
            <v>198.75899999999999</v>
          </cell>
          <cell r="I38">
            <v>0</v>
          </cell>
          <cell r="J38">
            <v>198.75899999999999</v>
          </cell>
          <cell r="N38">
            <v>0</v>
          </cell>
          <cell r="R38">
            <v>860.3</v>
          </cell>
          <cell r="S38">
            <v>860.3</v>
          </cell>
        </row>
        <row r="39">
          <cell r="E39">
            <v>0</v>
          </cell>
          <cell r="I39">
            <v>0</v>
          </cell>
          <cell r="J39">
            <v>0</v>
          </cell>
          <cell r="N39">
            <v>0</v>
          </cell>
          <cell r="R39">
            <v>0</v>
          </cell>
          <cell r="S39">
            <v>0</v>
          </cell>
        </row>
        <row r="40">
          <cell r="A40" t="str">
            <v xml:space="preserve">       Bilaterales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A41" t="str">
            <v xml:space="preserve">       Invers.Instit. Locales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15640.232329999999</v>
          </cell>
          <cell r="I42">
            <v>22631.321211179998</v>
          </cell>
          <cell r="J42">
            <v>38271.553541179994</v>
          </cell>
          <cell r="N42">
            <v>13135.038434</v>
          </cell>
          <cell r="R42">
            <v>19138.2</v>
          </cell>
          <cell r="S42">
            <v>32273.238433999999</v>
          </cell>
        </row>
        <row r="43">
          <cell r="E43">
            <v>6240.2323299999998</v>
          </cell>
          <cell r="I43">
            <v>11731.32121118</v>
          </cell>
          <cell r="J43">
            <v>17971.553541180001</v>
          </cell>
          <cell r="N43">
            <v>4855.0384340000001</v>
          </cell>
          <cell r="R43">
            <v>3038.2</v>
          </cell>
          <cell r="S43">
            <v>7893.2384339999999</v>
          </cell>
        </row>
        <row r="44">
          <cell r="A44" t="str">
            <v xml:space="preserve">      LETRAS</v>
          </cell>
          <cell r="B44">
            <v>150</v>
          </cell>
          <cell r="C44">
            <v>585.71241299999997</v>
          </cell>
          <cell r="D44">
            <v>2904.5199170000001</v>
          </cell>
          <cell r="E44">
            <v>3640.2323299999998</v>
          </cell>
          <cell r="F44">
            <v>2700</v>
          </cell>
          <cell r="G44">
            <v>0</v>
          </cell>
          <cell r="H44">
            <v>717</v>
          </cell>
          <cell r="I44">
            <v>3417</v>
          </cell>
          <cell r="J44">
            <v>7057.2323299999998</v>
          </cell>
          <cell r="K44">
            <v>150</v>
          </cell>
          <cell r="L44">
            <v>1034.9384340000001</v>
          </cell>
          <cell r="M44">
            <v>2270.1</v>
          </cell>
          <cell r="N44">
            <v>3455.0384340000001</v>
          </cell>
          <cell r="O44">
            <v>89.600000000000023</v>
          </cell>
          <cell r="P44">
            <v>1291.5999999999999</v>
          </cell>
          <cell r="Q44">
            <v>1257</v>
          </cell>
          <cell r="R44">
            <v>2638.2</v>
          </cell>
          <cell r="S44">
            <v>6093.2384339999999</v>
          </cell>
          <cell r="T44">
            <v>13150.470764000002</v>
          </cell>
          <cell r="U44">
            <v>-8436.1727796599971</v>
          </cell>
          <cell r="V44">
            <v>3920</v>
          </cell>
        </row>
        <row r="45">
          <cell r="A45" t="str">
            <v xml:space="preserve">      BONOS</v>
          </cell>
          <cell r="B45">
            <v>0</v>
          </cell>
          <cell r="D45">
            <v>2600</v>
          </cell>
          <cell r="E45">
            <v>2600</v>
          </cell>
          <cell r="F45">
            <v>2713.0967350000001</v>
          </cell>
          <cell r="G45">
            <v>0</v>
          </cell>
          <cell r="H45">
            <v>5601.2244761800002</v>
          </cell>
          <cell r="I45">
            <v>8314.3212111800003</v>
          </cell>
          <cell r="J45">
            <v>10914.32121118</v>
          </cell>
          <cell r="K45">
            <v>0</v>
          </cell>
          <cell r="L45">
            <v>0</v>
          </cell>
          <cell r="M45">
            <v>1400</v>
          </cell>
          <cell r="N45">
            <v>1400</v>
          </cell>
          <cell r="O45">
            <v>400</v>
          </cell>
          <cell r="P45">
            <v>0</v>
          </cell>
          <cell r="Q45">
            <v>0</v>
          </cell>
          <cell r="R45">
            <v>400</v>
          </cell>
          <cell r="S45">
            <v>1800</v>
          </cell>
          <cell r="T45">
            <v>12714.32121118</v>
          </cell>
          <cell r="U45">
            <v>12714.32121118</v>
          </cell>
          <cell r="V45">
            <v>5834.1315233304013</v>
          </cell>
        </row>
        <row r="46">
          <cell r="A46" t="str">
            <v xml:space="preserve">      OTROS</v>
          </cell>
          <cell r="B46">
            <v>0</v>
          </cell>
          <cell r="C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7252</v>
          </cell>
          <cell r="V46">
            <v>4432.1315233304013</v>
          </cell>
        </row>
        <row r="47">
          <cell r="E47">
            <v>1400</v>
          </cell>
          <cell r="I47">
            <v>2700</v>
          </cell>
          <cell r="J47">
            <v>4100</v>
          </cell>
          <cell r="N47">
            <v>5800</v>
          </cell>
          <cell r="R47">
            <v>800</v>
          </cell>
          <cell r="S47">
            <v>6600</v>
          </cell>
        </row>
        <row r="48">
          <cell r="E48">
            <v>8000</v>
          </cell>
          <cell r="I48">
            <v>8200</v>
          </cell>
          <cell r="J48">
            <v>16200</v>
          </cell>
          <cell r="N48">
            <v>2480</v>
          </cell>
          <cell r="R48">
            <v>15300</v>
          </cell>
          <cell r="S48">
            <v>17780</v>
          </cell>
        </row>
        <row r="50">
          <cell r="E50">
            <v>291.93050019406542</v>
          </cell>
          <cell r="I50">
            <v>-29.112186450433668</v>
          </cell>
          <cell r="J50">
            <v>262.81831374363173</v>
          </cell>
          <cell r="N50">
            <v>594.21921643999963</v>
          </cell>
          <cell r="R50">
            <v>991.10000000000014</v>
          </cell>
          <cell r="S50">
            <v>1585.3192164399998</v>
          </cell>
        </row>
        <row r="52">
          <cell r="E52">
            <v>0</v>
          </cell>
          <cell r="I52">
            <v>0</v>
          </cell>
          <cell r="J52">
            <v>0</v>
          </cell>
          <cell r="N52">
            <v>0</v>
          </cell>
          <cell r="R52">
            <v>0</v>
          </cell>
          <cell r="S52">
            <v>0</v>
          </cell>
        </row>
        <row r="53">
          <cell r="E53">
            <v>139.31161528999985</v>
          </cell>
          <cell r="I53">
            <v>-355.94274492999989</v>
          </cell>
          <cell r="J53">
            <v>-216.63112964000004</v>
          </cell>
          <cell r="N53">
            <v>215.55171644000006</v>
          </cell>
          <cell r="R53">
            <v>-31.899999999999864</v>
          </cell>
          <cell r="S53">
            <v>183.6517164400002</v>
          </cell>
        </row>
        <row r="54">
          <cell r="E54">
            <v>134.01613785184185</v>
          </cell>
          <cell r="I54">
            <v>154.65065064999999</v>
          </cell>
          <cell r="J54">
            <v>288.66678850184184</v>
          </cell>
          <cell r="N54">
            <v>150.02149999999961</v>
          </cell>
          <cell r="R54">
            <v>0</v>
          </cell>
          <cell r="S54">
            <v>150.02149999999961</v>
          </cell>
        </row>
        <row r="55">
          <cell r="E55">
            <v>-195</v>
          </cell>
          <cell r="I55">
            <v>-20</v>
          </cell>
          <cell r="J55">
            <v>-215</v>
          </cell>
          <cell r="N55">
            <v>0</v>
          </cell>
          <cell r="R55">
            <v>195</v>
          </cell>
          <cell r="S55">
            <v>195</v>
          </cell>
        </row>
        <row r="56">
          <cell r="E56">
            <v>244.49599999999998</v>
          </cell>
          <cell r="I56">
            <v>247.72900000000001</v>
          </cell>
          <cell r="J56">
            <v>492.22500000000002</v>
          </cell>
          <cell r="N56">
            <v>228.64600000000002</v>
          </cell>
          <cell r="R56">
            <v>828</v>
          </cell>
          <cell r="S56">
            <v>1056.646</v>
          </cell>
        </row>
        <row r="57">
          <cell r="E57">
            <v>10.408185849285818</v>
          </cell>
          <cell r="I57">
            <v>254.80712400020388</v>
          </cell>
          <cell r="J57">
            <v>265.2153098494897</v>
          </cell>
          <cell r="N57">
            <v>0</v>
          </cell>
          <cell r="R57">
            <v>0</v>
          </cell>
          <cell r="S57">
            <v>0</v>
          </cell>
        </row>
        <row r="58">
          <cell r="E58">
            <v>-41.301438797062126</v>
          </cell>
          <cell r="I58">
            <v>-310.35621617063771</v>
          </cell>
          <cell r="J58">
            <v>-351.65765496769984</v>
          </cell>
          <cell r="N58">
            <v>0</v>
          </cell>
          <cell r="R58">
            <v>0</v>
          </cell>
          <cell r="S58">
            <v>0</v>
          </cell>
        </row>
        <row r="60">
          <cell r="E60">
            <v>1078.6080000000002</v>
          </cell>
          <cell r="I60">
            <v>1467.4019453363223</v>
          </cell>
          <cell r="J60">
            <v>2546.0099453363227</v>
          </cell>
          <cell r="N60">
            <v>1153.2511626747273</v>
          </cell>
          <cell r="R60">
            <v>1223.5564491674495</v>
          </cell>
          <cell r="S60">
            <v>2376.8076118421768</v>
          </cell>
        </row>
        <row r="61">
          <cell r="E61">
            <v>172.79099999999997</v>
          </cell>
          <cell r="I61">
            <v>232.72886</v>
          </cell>
          <cell r="J61">
            <v>405.51985999999999</v>
          </cell>
          <cell r="N61">
            <v>91.100609674727323</v>
          </cell>
          <cell r="R61">
            <v>204.76844916744946</v>
          </cell>
          <cell r="S61">
            <v>295.8690588421768</v>
          </cell>
        </row>
        <row r="62">
          <cell r="E62">
            <v>43.592000000000006</v>
          </cell>
          <cell r="I62">
            <v>144.23836</v>
          </cell>
          <cell r="J62">
            <v>187.83036000000001</v>
          </cell>
          <cell r="N62">
            <v>86.800609674727326</v>
          </cell>
          <cell r="R62">
            <v>89.758534666089474</v>
          </cell>
          <cell r="S62">
            <v>176.5591443408168</v>
          </cell>
        </row>
        <row r="63">
          <cell r="E63">
            <v>119.03899999999999</v>
          </cell>
          <cell r="I63">
            <v>80.301500000000004</v>
          </cell>
          <cell r="J63">
            <v>199.34049999999999</v>
          </cell>
          <cell r="N63">
            <v>4.3</v>
          </cell>
          <cell r="R63">
            <v>104.28441854495999</v>
          </cell>
          <cell r="S63">
            <v>108.58441854495999</v>
          </cell>
        </row>
        <row r="64">
          <cell r="E64">
            <v>10.16</v>
          </cell>
          <cell r="I64">
            <v>8.1890000000000001</v>
          </cell>
          <cell r="J64">
            <v>18.349</v>
          </cell>
          <cell r="N64">
            <v>0</v>
          </cell>
          <cell r="R64">
            <v>10.725495956399998</v>
          </cell>
          <cell r="S64">
            <v>10.725495956399998</v>
          </cell>
        </row>
        <row r="65">
          <cell r="E65">
            <v>264.45299999999997</v>
          </cell>
          <cell r="I65">
            <v>478.50878599999999</v>
          </cell>
          <cell r="J65">
            <v>742.96178599999996</v>
          </cell>
          <cell r="N65">
            <v>219.423553</v>
          </cell>
          <cell r="R65">
            <v>429.88800000000009</v>
          </cell>
          <cell r="S65">
            <v>649.31155300000012</v>
          </cell>
        </row>
        <row r="66">
          <cell r="E66">
            <v>114.738</v>
          </cell>
          <cell r="I66">
            <v>238.84248600000001</v>
          </cell>
          <cell r="J66">
            <v>353.58048600000001</v>
          </cell>
          <cell r="N66">
            <v>108.60255299999999</v>
          </cell>
          <cell r="R66">
            <v>221.59100000000001</v>
          </cell>
          <cell r="S66">
            <v>330.19355300000001</v>
          </cell>
        </row>
        <row r="67">
          <cell r="E67">
            <v>119.65900000000001</v>
          </cell>
          <cell r="I67">
            <v>220.61829999999998</v>
          </cell>
          <cell r="J67">
            <v>340.27729999999997</v>
          </cell>
          <cell r="N67">
            <v>103.102</v>
          </cell>
          <cell r="R67">
            <v>185.31900000000005</v>
          </cell>
          <cell r="S67">
            <v>288.42100000000005</v>
          </cell>
        </row>
        <row r="68">
          <cell r="E68">
            <v>30.056000000000004</v>
          </cell>
          <cell r="I68">
            <v>19.048000000000002</v>
          </cell>
          <cell r="J68">
            <v>49.104000000000006</v>
          </cell>
          <cell r="N68">
            <v>7.7189999999999994</v>
          </cell>
          <cell r="R68">
            <v>22.978000000000002</v>
          </cell>
          <cell r="S68">
            <v>30.697000000000003</v>
          </cell>
        </row>
        <row r="69">
          <cell r="E69">
            <v>5</v>
          </cell>
          <cell r="I69">
            <v>0</v>
          </cell>
          <cell r="J69">
            <v>5</v>
          </cell>
          <cell r="N69">
            <v>3.8269999999999995</v>
          </cell>
          <cell r="R69">
            <v>0</v>
          </cell>
          <cell r="S69">
            <v>3.8269999999999995</v>
          </cell>
        </row>
        <row r="70">
          <cell r="E70">
            <v>0</v>
          </cell>
          <cell r="I70">
            <v>0</v>
          </cell>
          <cell r="J70">
            <v>0</v>
          </cell>
          <cell r="N70">
            <v>0.45300000000000001</v>
          </cell>
          <cell r="R70">
            <v>0</v>
          </cell>
          <cell r="S70">
            <v>0.45300000000000001</v>
          </cell>
        </row>
        <row r="71">
          <cell r="E71">
            <v>5</v>
          </cell>
          <cell r="I71">
            <v>0</v>
          </cell>
          <cell r="J71">
            <v>5</v>
          </cell>
          <cell r="N71">
            <v>3.3739999999999997</v>
          </cell>
          <cell r="R71">
            <v>0</v>
          </cell>
          <cell r="S71">
            <v>3.3739999999999997</v>
          </cell>
        </row>
        <row r="72">
          <cell r="E72">
            <v>326.65500000000003</v>
          </cell>
          <cell r="I72">
            <v>216.11949999999999</v>
          </cell>
          <cell r="J72">
            <v>542.77449999999999</v>
          </cell>
          <cell r="N72">
            <v>324</v>
          </cell>
          <cell r="R72">
            <v>324</v>
          </cell>
          <cell r="S72">
            <v>648</v>
          </cell>
        </row>
        <row r="73">
          <cell r="E73">
            <v>0</v>
          </cell>
          <cell r="I73">
            <v>0</v>
          </cell>
          <cell r="J73">
            <v>0</v>
          </cell>
          <cell r="N73">
            <v>0</v>
          </cell>
          <cell r="R73">
            <v>0</v>
          </cell>
          <cell r="S73">
            <v>0</v>
          </cell>
        </row>
        <row r="74">
          <cell r="E74">
            <v>211.09899999999999</v>
          </cell>
          <cell r="I74">
            <v>217.42375600000003</v>
          </cell>
          <cell r="J74">
            <v>428.52275600000002</v>
          </cell>
          <cell r="N74">
            <v>234.89999999999998</v>
          </cell>
          <cell r="R74">
            <v>234.89999999999998</v>
          </cell>
          <cell r="S74">
            <v>469.79999999999995</v>
          </cell>
        </row>
        <row r="75">
          <cell r="E75">
            <v>74.697000000000003</v>
          </cell>
          <cell r="I75">
            <v>299.65794533632226</v>
          </cell>
          <cell r="J75">
            <v>374.35494533632226</v>
          </cell>
          <cell r="N75">
            <v>250</v>
          </cell>
          <cell r="R75">
            <v>0</v>
          </cell>
          <cell r="S75">
            <v>250</v>
          </cell>
        </row>
        <row r="76">
          <cell r="E76">
            <v>23.912999999999954</v>
          </cell>
          <cell r="I76">
            <v>22.963098000000024</v>
          </cell>
          <cell r="J76">
            <v>46.876097999999978</v>
          </cell>
          <cell r="N76">
            <v>30</v>
          </cell>
          <cell r="R76">
            <v>30</v>
          </cell>
          <cell r="S76">
            <v>60</v>
          </cell>
        </row>
        <row r="78">
          <cell r="E78">
            <v>359.53</v>
          </cell>
          <cell r="I78">
            <v>274.65899999999999</v>
          </cell>
          <cell r="J78">
            <v>634.18899999999996</v>
          </cell>
          <cell r="N78">
            <v>241.54262232343174</v>
          </cell>
          <cell r="R78">
            <v>241.16472948786736</v>
          </cell>
          <cell r="S78">
            <v>482.70735181129908</v>
          </cell>
        </row>
        <row r="80">
          <cell r="E80">
            <v>0</v>
          </cell>
          <cell r="I80">
            <v>0</v>
          </cell>
          <cell r="N80">
            <v>0</v>
          </cell>
          <cell r="R80">
            <v>7000</v>
          </cell>
          <cell r="S80">
            <v>7000</v>
          </cell>
        </row>
        <row r="81">
          <cell r="U81">
            <v>-787.2645193401986</v>
          </cell>
          <cell r="V81">
            <v>31.855999999999966</v>
          </cell>
        </row>
        <row r="82">
          <cell r="A82" t="str">
            <v xml:space="preserve"> .Vta. de Activos Financ.</v>
          </cell>
          <cell r="B82">
            <v>2363.3144961900002</v>
          </cell>
          <cell r="C82">
            <v>3298.1360999999997</v>
          </cell>
          <cell r="D82">
            <v>1789.4571232999999</v>
          </cell>
          <cell r="E82">
            <v>7450.9077194899992</v>
          </cell>
          <cell r="F82">
            <v>4592.2141732999999</v>
          </cell>
          <cell r="G82">
            <v>2928.5926272000002</v>
          </cell>
          <cell r="H82">
            <v>7116.6658362149992</v>
          </cell>
          <cell r="I82">
            <v>14637.472636715</v>
          </cell>
          <cell r="J82">
            <v>22088.380356204998</v>
          </cell>
          <cell r="K82">
            <v>15</v>
          </cell>
          <cell r="L82">
            <v>501.79263065980001</v>
          </cell>
          <cell r="M82">
            <v>15</v>
          </cell>
          <cell r="N82">
            <v>531.79263065980001</v>
          </cell>
          <cell r="O82">
            <v>15</v>
          </cell>
          <cell r="P82">
            <v>15</v>
          </cell>
          <cell r="Q82">
            <v>15</v>
          </cell>
          <cell r="R82">
            <v>45</v>
          </cell>
          <cell r="S82">
            <v>576.79263065980001</v>
          </cell>
          <cell r="T82">
            <v>22665.172986864796</v>
          </cell>
          <cell r="U82">
            <v>56.443582805000005</v>
          </cell>
          <cell r="V82">
            <v>819.35599999999999</v>
          </cell>
        </row>
        <row r="83">
          <cell r="A83" t="str">
            <v xml:space="preserve">    Títulos y Valores</v>
          </cell>
          <cell r="B83">
            <v>680.82890078999992</v>
          </cell>
          <cell r="C83">
            <v>204.07599999999999</v>
          </cell>
          <cell r="D83">
            <v>0</v>
          </cell>
          <cell r="E83">
            <v>884.90490078999994</v>
          </cell>
          <cell r="F83">
            <v>0</v>
          </cell>
          <cell r="G83">
            <v>0</v>
          </cell>
          <cell r="H83">
            <v>1442.162682015</v>
          </cell>
          <cell r="I83">
            <v>1442.162682015</v>
          </cell>
          <cell r="J83">
            <v>2327.0675828049998</v>
          </cell>
          <cell r="K83">
            <v>0</v>
          </cell>
          <cell r="L83">
            <v>204.07599999999999</v>
          </cell>
          <cell r="M83">
            <v>0</v>
          </cell>
          <cell r="N83">
            <v>204.07599999999999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204.07599999999999</v>
          </cell>
          <cell r="T83">
            <v>2531.1435828049998</v>
          </cell>
          <cell r="U83">
            <v>-848.76251853000031</v>
          </cell>
          <cell r="V83">
            <v>-848.76251853000031</v>
          </cell>
        </row>
        <row r="84">
          <cell r="E84">
            <v>6508.3811000000005</v>
          </cell>
          <cell r="I84">
            <v>13134.674999999999</v>
          </cell>
          <cell r="J84">
            <v>19643.056100000002</v>
          </cell>
          <cell r="N84">
            <v>36.979380659800015</v>
          </cell>
          <cell r="R84">
            <v>0</v>
          </cell>
          <cell r="S84">
            <v>36.979380659800015</v>
          </cell>
        </row>
        <row r="85">
          <cell r="E85">
            <v>0</v>
          </cell>
          <cell r="I85">
            <v>0</v>
          </cell>
          <cell r="J85">
            <v>0</v>
          </cell>
          <cell r="N85">
            <v>0</v>
          </cell>
          <cell r="R85">
            <v>0</v>
          </cell>
          <cell r="S85">
            <v>0</v>
          </cell>
        </row>
        <row r="86">
          <cell r="E86">
            <v>57.621718700000002</v>
          </cell>
          <cell r="I86">
            <v>60.634954700000002</v>
          </cell>
          <cell r="J86">
            <v>118.25667340000001</v>
          </cell>
          <cell r="N86">
            <v>290.73725000000002</v>
          </cell>
          <cell r="R86">
            <v>45</v>
          </cell>
          <cell r="S86">
            <v>335.73725000000002</v>
          </cell>
        </row>
        <row r="88">
          <cell r="E88">
            <v>43502.710262827241</v>
          </cell>
          <cell r="I88">
            <v>35814.357864817779</v>
          </cell>
          <cell r="J88">
            <v>79317.06812764502</v>
          </cell>
          <cell r="N88">
            <v>27861.344124451167</v>
          </cell>
          <cell r="R88">
            <v>53898.651095955633</v>
          </cell>
          <cell r="S88">
            <v>81759.995220406796</v>
          </cell>
        </row>
        <row r="90">
          <cell r="E90">
            <v>32544.768481827163</v>
          </cell>
          <cell r="I90">
            <v>18378.058459702217</v>
          </cell>
          <cell r="J90">
            <v>50922.826941529376</v>
          </cell>
          <cell r="N90">
            <v>24734.761416838981</v>
          </cell>
          <cell r="R90">
            <v>41450.232783621119</v>
          </cell>
          <cell r="S90">
            <v>66184.994200460103</v>
          </cell>
        </row>
        <row r="92">
          <cell r="E92">
            <v>20867.775860640002</v>
          </cell>
          <cell r="I92">
            <v>12334.570023010001</v>
          </cell>
          <cell r="J92">
            <v>33202.345883650007</v>
          </cell>
          <cell r="N92">
            <v>11654.060540875009</v>
          </cell>
          <cell r="R92">
            <v>29450.325911921729</v>
          </cell>
          <cell r="S92">
            <v>41104.386452796738</v>
          </cell>
        </row>
        <row r="94">
          <cell r="E94">
            <v>1179.1656831799999</v>
          </cell>
          <cell r="I94">
            <v>2499.9800776700004</v>
          </cell>
          <cell r="J94">
            <v>3679.1457608500004</v>
          </cell>
          <cell r="N94">
            <v>2400.0047691592813</v>
          </cell>
          <cell r="R94">
            <v>4605.5965506788561</v>
          </cell>
          <cell r="S94">
            <v>7005.601319838137</v>
          </cell>
        </row>
        <row r="96">
          <cell r="E96">
            <v>55.74222846</v>
          </cell>
          <cell r="I96">
            <v>53.161811569999998</v>
          </cell>
          <cell r="J96">
            <v>108.90404003</v>
          </cell>
          <cell r="N96">
            <v>52.205833007915487</v>
          </cell>
          <cell r="R96">
            <v>47.939558823909294</v>
          </cell>
          <cell r="S96">
            <v>100.14539183182478</v>
          </cell>
        </row>
        <row r="97">
          <cell r="E97">
            <v>125.38759683999955</v>
          </cell>
          <cell r="I97">
            <v>16.20040706</v>
          </cell>
          <cell r="J97">
            <v>141.58800389999953</v>
          </cell>
          <cell r="N97">
            <v>125.73726879625836</v>
          </cell>
          <cell r="R97">
            <v>12.762146064051541</v>
          </cell>
          <cell r="S97">
            <v>138.49941486030991</v>
          </cell>
        </row>
        <row r="98">
          <cell r="E98">
            <v>15.609873670000002</v>
          </cell>
          <cell r="I98">
            <v>14.39527256</v>
          </cell>
          <cell r="J98">
            <v>30.005146230000001</v>
          </cell>
          <cell r="N98">
            <v>12.805490496453029</v>
          </cell>
          <cell r="R98">
            <v>11.128598504051542</v>
          </cell>
          <cell r="S98">
            <v>23.934089000504571</v>
          </cell>
        </row>
        <row r="99">
          <cell r="E99">
            <v>0</v>
          </cell>
          <cell r="I99">
            <v>1.8051345000000001</v>
          </cell>
          <cell r="J99">
            <v>1.8051345000000001</v>
          </cell>
          <cell r="N99">
            <v>0</v>
          </cell>
          <cell r="R99">
            <v>1.63354756</v>
          </cell>
          <cell r="S99">
            <v>1.63354756</v>
          </cell>
        </row>
        <row r="100">
          <cell r="E100">
            <v>109.77772316999955</v>
          </cell>
          <cell r="I100">
            <v>0</v>
          </cell>
          <cell r="J100">
            <v>109.77772316999955</v>
          </cell>
          <cell r="N100">
            <v>112.93177829980533</v>
          </cell>
          <cell r="R100">
            <v>0</v>
          </cell>
          <cell r="S100">
            <v>112.93177829980533</v>
          </cell>
        </row>
        <row r="101">
          <cell r="E101">
            <v>161.53507690000001</v>
          </cell>
          <cell r="I101">
            <v>777.81370083000002</v>
          </cell>
          <cell r="J101">
            <v>939.34877773000005</v>
          </cell>
          <cell r="N101">
            <v>954.95220145000008</v>
          </cell>
          <cell r="R101">
            <v>312.08764631999998</v>
          </cell>
          <cell r="S101">
            <v>1267.0398477700001</v>
          </cell>
        </row>
        <row r="102">
          <cell r="E102">
            <v>0</v>
          </cell>
          <cell r="I102">
            <v>0</v>
          </cell>
          <cell r="J102">
            <v>0</v>
          </cell>
          <cell r="N102">
            <v>0</v>
          </cell>
          <cell r="R102">
            <v>78.75</v>
          </cell>
          <cell r="S102">
            <v>78.75</v>
          </cell>
        </row>
        <row r="103">
          <cell r="E103">
            <v>161.53507690000001</v>
          </cell>
          <cell r="I103">
            <v>777.81370083000002</v>
          </cell>
          <cell r="J103">
            <v>939.34877773000005</v>
          </cell>
          <cell r="N103">
            <v>954.95220145000008</v>
          </cell>
          <cell r="R103">
            <v>233.33764632</v>
          </cell>
          <cell r="S103">
            <v>1188.2898477700001</v>
          </cell>
        </row>
        <row r="104">
          <cell r="E104">
            <v>373.45377626000004</v>
          </cell>
          <cell r="I104">
            <v>372.45106154999996</v>
          </cell>
          <cell r="J104">
            <v>745.90483781</v>
          </cell>
          <cell r="N104">
            <v>411.02652678999993</v>
          </cell>
          <cell r="R104">
            <v>211.17951099999999</v>
          </cell>
          <cell r="S104">
            <v>622.20603778999998</v>
          </cell>
        </row>
        <row r="105">
          <cell r="E105">
            <v>359.53</v>
          </cell>
          <cell r="I105">
            <v>274.65899999999999</v>
          </cell>
          <cell r="J105">
            <v>634.18899999999996</v>
          </cell>
          <cell r="N105">
            <v>241.54262232343174</v>
          </cell>
          <cell r="R105">
            <v>241.16472948786736</v>
          </cell>
          <cell r="S105">
            <v>482.70735181129908</v>
          </cell>
        </row>
        <row r="106">
          <cell r="E106">
            <v>25.431588810000001</v>
          </cell>
          <cell r="I106">
            <v>451.44332347</v>
          </cell>
          <cell r="J106">
            <v>476.87491227999999</v>
          </cell>
          <cell r="N106">
            <v>49.022169595435365</v>
          </cell>
          <cell r="R106">
            <v>1926.6441220908061</v>
          </cell>
          <cell r="S106">
            <v>1975.6662916862415</v>
          </cell>
        </row>
        <row r="107">
          <cell r="E107">
            <v>7.2523095500000005</v>
          </cell>
          <cell r="I107">
            <v>487.04644149000012</v>
          </cell>
          <cell r="J107">
            <v>494.29875104000013</v>
          </cell>
          <cell r="N107">
            <v>553.09775346596643</v>
          </cell>
          <cell r="R107">
            <v>1853.5874060422223</v>
          </cell>
          <cell r="S107">
            <v>2406.6851595081889</v>
          </cell>
        </row>
        <row r="108">
          <cell r="E108">
            <v>70.83310636000023</v>
          </cell>
          <cell r="I108">
            <v>67.204331699999997</v>
          </cell>
          <cell r="J108">
            <v>138.03743806000023</v>
          </cell>
          <cell r="N108">
            <v>12.420393730273998</v>
          </cell>
          <cell r="R108">
            <v>0.23143084999999999</v>
          </cell>
          <cell r="S108">
            <v>12.651824580273999</v>
          </cell>
        </row>
        <row r="110">
          <cell r="E110">
            <v>19688.610177459999</v>
          </cell>
          <cell r="I110">
            <v>9834.5899453399998</v>
          </cell>
          <cell r="J110">
            <v>29523.200122800001</v>
          </cell>
          <cell r="N110">
            <v>9254.055771715728</v>
          </cell>
          <cell r="R110">
            <v>24844.729361242877</v>
          </cell>
          <cell r="S110">
            <v>34098.785132958605</v>
          </cell>
        </row>
        <row r="112">
          <cell r="E112">
            <v>882.82484410000006</v>
          </cell>
          <cell r="I112">
            <v>909.37484428000005</v>
          </cell>
          <cell r="J112">
            <v>1792.1996883800002</v>
          </cell>
          <cell r="N112">
            <v>946.35383734095205</v>
          </cell>
          <cell r="R112">
            <v>959.55520200441333</v>
          </cell>
          <cell r="S112">
            <v>1905.9090393453653</v>
          </cell>
        </row>
        <row r="113">
          <cell r="E113">
            <v>354.34863057000001</v>
          </cell>
          <cell r="I113">
            <v>365.14727646</v>
          </cell>
          <cell r="J113">
            <v>719.49590703000001</v>
          </cell>
          <cell r="N113">
            <v>365.06153186260747</v>
          </cell>
          <cell r="R113">
            <v>376.01043338019895</v>
          </cell>
          <cell r="S113">
            <v>741.07196524280641</v>
          </cell>
        </row>
        <row r="114">
          <cell r="E114">
            <v>354.34863057000001</v>
          </cell>
          <cell r="I114">
            <v>359.46409376999998</v>
          </cell>
          <cell r="J114">
            <v>713.81272433999993</v>
          </cell>
          <cell r="N114">
            <v>365.06153186260747</v>
          </cell>
          <cell r="R114">
            <v>370.32725069019898</v>
          </cell>
          <cell r="S114">
            <v>735.38878255280645</v>
          </cell>
        </row>
        <row r="115">
          <cell r="E115">
            <v>0</v>
          </cell>
          <cell r="I115">
            <v>5.6831826899999998</v>
          </cell>
          <cell r="J115">
            <v>5.6831826899999998</v>
          </cell>
          <cell r="N115">
            <v>0</v>
          </cell>
          <cell r="R115">
            <v>5.6831826900000006</v>
          </cell>
          <cell r="S115">
            <v>5.6831826900000006</v>
          </cell>
        </row>
        <row r="116">
          <cell r="E116">
            <v>7417.2938960000001</v>
          </cell>
          <cell r="I116">
            <v>4490</v>
          </cell>
          <cell r="J116">
            <v>11907.293895999999</v>
          </cell>
          <cell r="N116">
            <v>5105.0384340000001</v>
          </cell>
          <cell r="R116">
            <v>3338.2</v>
          </cell>
          <cell r="S116">
            <v>8443.238433999999</v>
          </cell>
        </row>
        <row r="117">
          <cell r="E117">
            <v>127.8684510699988</v>
          </cell>
          <cell r="I117">
            <v>4064.8546125799999</v>
          </cell>
          <cell r="J117">
            <v>4192.7230636499989</v>
          </cell>
          <cell r="N117">
            <v>321.97064449216879</v>
          </cell>
          <cell r="R117">
            <v>788.26882353645192</v>
          </cell>
          <cell r="S117">
            <v>1110.2394680286206</v>
          </cell>
        </row>
        <row r="118">
          <cell r="E118">
            <v>0</v>
          </cell>
          <cell r="I118">
            <v>0</v>
          </cell>
          <cell r="J118">
            <v>0</v>
          </cell>
          <cell r="N118">
            <v>0</v>
          </cell>
          <cell r="R118">
            <v>2929.5</v>
          </cell>
          <cell r="S118">
            <v>2929.5</v>
          </cell>
        </row>
        <row r="119">
          <cell r="E119">
            <v>10900</v>
          </cell>
          <cell r="I119">
            <v>0</v>
          </cell>
          <cell r="J119">
            <v>10900</v>
          </cell>
          <cell r="N119">
            <v>2480</v>
          </cell>
          <cell r="R119">
            <v>13200</v>
          </cell>
          <cell r="S119">
            <v>15680</v>
          </cell>
        </row>
        <row r="120">
          <cell r="E120">
            <v>6.2743557199999991</v>
          </cell>
          <cell r="I120">
            <v>5.2132120200000003</v>
          </cell>
          <cell r="J120">
            <v>11.487567739999999</v>
          </cell>
          <cell r="N120">
            <v>35.631324020000001</v>
          </cell>
          <cell r="R120">
            <v>3253.1949023218094</v>
          </cell>
          <cell r="S120">
            <v>3288.8262263418096</v>
          </cell>
        </row>
        <row r="122">
          <cell r="E122">
            <v>3917.4578211871631</v>
          </cell>
          <cell r="I122">
            <v>5484.9119612227296</v>
          </cell>
          <cell r="J122">
            <v>9402.3697824098927</v>
          </cell>
          <cell r="N122">
            <v>12328.077825923971</v>
          </cell>
          <cell r="R122">
            <v>11435.906871699393</v>
          </cell>
          <cell r="S122">
            <v>23763.984697623364</v>
          </cell>
        </row>
        <row r="124">
          <cell r="E124">
            <v>2130.0173506103406</v>
          </cell>
          <cell r="I124">
            <v>2637.9290612816585</v>
          </cell>
          <cell r="J124">
            <v>4767.9464118919987</v>
          </cell>
          <cell r="N124">
            <v>1976.7054696893852</v>
          </cell>
          <cell r="R124">
            <v>6644.8296118372409</v>
          </cell>
          <cell r="S124">
            <v>8621.5350815266265</v>
          </cell>
        </row>
        <row r="126">
          <cell r="E126">
            <v>449.59075000000001</v>
          </cell>
          <cell r="I126">
            <v>266.83080452000002</v>
          </cell>
          <cell r="J126">
            <v>716.42155451999997</v>
          </cell>
          <cell r="N126">
            <v>472.85</v>
          </cell>
          <cell r="R126">
            <v>291.80082540000001</v>
          </cell>
          <cell r="S126">
            <v>764.65082540000003</v>
          </cell>
        </row>
        <row r="127">
          <cell r="E127">
            <v>194.79075</v>
          </cell>
          <cell r="I127">
            <v>0</v>
          </cell>
          <cell r="J127">
            <v>194.79075</v>
          </cell>
          <cell r="N127">
            <v>202.65</v>
          </cell>
          <cell r="R127">
            <v>0</v>
          </cell>
          <cell r="S127">
            <v>202.65</v>
          </cell>
        </row>
        <row r="128">
          <cell r="E128">
            <v>254.8</v>
          </cell>
          <cell r="I128">
            <v>0</v>
          </cell>
          <cell r="J128">
            <v>254.8</v>
          </cell>
          <cell r="N128">
            <v>270.2</v>
          </cell>
          <cell r="R128">
            <v>0</v>
          </cell>
          <cell r="S128">
            <v>270.2</v>
          </cell>
        </row>
        <row r="129">
          <cell r="E129">
            <v>0</v>
          </cell>
          <cell r="I129">
            <v>266.83080452000002</v>
          </cell>
          <cell r="J129">
            <v>266.83080452000002</v>
          </cell>
          <cell r="N129">
            <v>0</v>
          </cell>
          <cell r="R129">
            <v>291.80082540000001</v>
          </cell>
          <cell r="S129">
            <v>291.80082540000001</v>
          </cell>
        </row>
        <row r="130">
          <cell r="E130">
            <v>473.76244545302404</v>
          </cell>
          <cell r="I130">
            <v>874.72668203163107</v>
          </cell>
          <cell r="J130">
            <v>1348.489127484655</v>
          </cell>
          <cell r="N130">
            <v>278.69200000000001</v>
          </cell>
          <cell r="R130">
            <v>851.56048323959988</v>
          </cell>
          <cell r="S130">
            <v>1130.2524832395998</v>
          </cell>
        </row>
        <row r="131">
          <cell r="E131">
            <v>473.76244545302404</v>
          </cell>
          <cell r="I131">
            <v>50.380141471879007</v>
          </cell>
          <cell r="J131">
            <v>524.14258692490307</v>
          </cell>
          <cell r="N131">
            <v>278.69200000000001</v>
          </cell>
          <cell r="R131">
            <v>0</v>
          </cell>
          <cell r="S131">
            <v>278.69200000000001</v>
          </cell>
        </row>
        <row r="132">
          <cell r="E132">
            <v>0</v>
          </cell>
          <cell r="I132">
            <v>67.192935569592009</v>
          </cell>
          <cell r="J132">
            <v>67.192935569592009</v>
          </cell>
          <cell r="N132">
            <v>0</v>
          </cell>
          <cell r="R132">
            <v>33.016045412399997</v>
          </cell>
          <cell r="S132">
            <v>33.016045412399997</v>
          </cell>
        </row>
        <row r="133">
          <cell r="E133">
            <v>0</v>
          </cell>
          <cell r="I133">
            <v>757.15360499016003</v>
          </cell>
          <cell r="J133">
            <v>757.15360499016003</v>
          </cell>
          <cell r="N133">
            <v>0</v>
          </cell>
          <cell r="R133">
            <v>818.54443782719989</v>
          </cell>
          <cell r="S133">
            <v>818.54443782719989</v>
          </cell>
        </row>
        <row r="134">
          <cell r="E134">
            <v>311.62274944596419</v>
          </cell>
          <cell r="I134">
            <v>972.9175197720142</v>
          </cell>
          <cell r="J134">
            <v>1284.5402692179784</v>
          </cell>
          <cell r="N134">
            <v>612.23192291965643</v>
          </cell>
          <cell r="R134">
            <v>5041.7570765346891</v>
          </cell>
          <cell r="S134">
            <v>5653.9889994543455</v>
          </cell>
        </row>
        <row r="135">
          <cell r="E135">
            <v>419.98249746440104</v>
          </cell>
          <cell r="I135">
            <v>0.32333425320000003</v>
          </cell>
          <cell r="J135">
            <v>420.30583171760105</v>
          </cell>
          <cell r="N135">
            <v>203.39039432000001</v>
          </cell>
          <cell r="R135">
            <v>7.0148999999999999</v>
          </cell>
          <cell r="S135">
            <v>210.40529432000002</v>
          </cell>
        </row>
        <row r="136">
          <cell r="E136">
            <v>265.63411239025498</v>
          </cell>
          <cell r="I136">
            <v>307.55647675197179</v>
          </cell>
          <cell r="J136">
            <v>573.19058914222683</v>
          </cell>
          <cell r="N136">
            <v>234.31190968511305</v>
          </cell>
          <cell r="R136">
            <v>282.16136777877392</v>
          </cell>
          <cell r="S136">
            <v>516.47327746388692</v>
          </cell>
        </row>
        <row r="137">
          <cell r="E137">
            <v>157.99432490165225</v>
          </cell>
          <cell r="I137">
            <v>153.81370127769</v>
          </cell>
          <cell r="J137">
            <v>311.80802617934228</v>
          </cell>
          <cell r="N137">
            <v>115.76454532099999</v>
          </cell>
          <cell r="R137">
            <v>101.45515513559998</v>
          </cell>
          <cell r="S137">
            <v>217.21970045659998</v>
          </cell>
        </row>
        <row r="138">
          <cell r="E138">
            <v>0</v>
          </cell>
          <cell r="I138">
            <v>0</v>
          </cell>
          <cell r="J138">
            <v>0</v>
          </cell>
          <cell r="N138">
            <v>0</v>
          </cell>
          <cell r="R138">
            <v>0</v>
          </cell>
          <cell r="S138">
            <v>0</v>
          </cell>
        </row>
        <row r="139">
          <cell r="E139">
            <v>30.439067994995</v>
          </cell>
          <cell r="I139">
            <v>37.711250626838996</v>
          </cell>
          <cell r="J139">
            <v>68.150318621834003</v>
          </cell>
          <cell r="N139">
            <v>23.0755793296</v>
          </cell>
          <cell r="R139">
            <v>35.642008669219045</v>
          </cell>
          <cell r="S139">
            <v>58.717587998819042</v>
          </cell>
        </row>
        <row r="140">
          <cell r="E140">
            <v>20.991402960049061</v>
          </cell>
          <cell r="I140">
            <v>24.049292048312672</v>
          </cell>
          <cell r="J140">
            <v>45.040695008361737</v>
          </cell>
          <cell r="N140">
            <v>36.389118114015581</v>
          </cell>
          <cell r="R140">
            <v>33.437795079358544</v>
          </cell>
          <cell r="S140">
            <v>69.826913193374125</v>
          </cell>
        </row>
        <row r="142">
          <cell r="E142">
            <v>1787.4404705768225</v>
          </cell>
          <cell r="I142">
            <v>2846.9828999410711</v>
          </cell>
          <cell r="J142">
            <v>4634.423370517894</v>
          </cell>
          <cell r="N142">
            <v>10351.372356234588</v>
          </cell>
          <cell r="R142">
            <v>4791.0772598621515</v>
          </cell>
          <cell r="S142">
            <v>15142.449616096739</v>
          </cell>
        </row>
        <row r="145">
          <cell r="E145">
            <v>0</v>
          </cell>
          <cell r="I145">
            <v>1142.006954655069</v>
          </cell>
          <cell r="J145">
            <v>1142.006954655069</v>
          </cell>
          <cell r="N145">
            <v>8289.735999999999</v>
          </cell>
          <cell r="R145">
            <v>0</v>
          </cell>
          <cell r="S145">
            <v>8289.735999999999</v>
          </cell>
        </row>
        <row r="146">
          <cell r="E146">
            <v>0</v>
          </cell>
          <cell r="I146">
            <v>238.87610022506902</v>
          </cell>
          <cell r="J146">
            <v>238.87610022506902</v>
          </cell>
          <cell r="N146">
            <v>8289.735999999999</v>
          </cell>
          <cell r="R146">
            <v>0</v>
          </cell>
          <cell r="S146">
            <v>8289.735999999999</v>
          </cell>
        </row>
        <row r="147">
          <cell r="E147">
            <v>0</v>
          </cell>
          <cell r="I147">
            <v>903.13085443</v>
          </cell>
          <cell r="J147">
            <v>903.13085443</v>
          </cell>
          <cell r="N147">
            <v>0</v>
          </cell>
          <cell r="R147">
            <v>0</v>
          </cell>
          <cell r="S147">
            <v>0</v>
          </cell>
        </row>
        <row r="148">
          <cell r="E148">
            <v>0</v>
          </cell>
          <cell r="I148">
            <v>0</v>
          </cell>
          <cell r="J148">
            <v>0</v>
          </cell>
          <cell r="N148">
            <v>0</v>
          </cell>
          <cell r="R148">
            <v>2929.5</v>
          </cell>
          <cell r="S148">
            <v>2929.5</v>
          </cell>
        </row>
        <row r="149">
          <cell r="E149">
            <v>343.368694</v>
          </cell>
          <cell r="I149">
            <v>174.84</v>
          </cell>
          <cell r="J149">
            <v>518.20869400000004</v>
          </cell>
          <cell r="N149">
            <v>315.90251966</v>
          </cell>
          <cell r="R149">
            <v>401.99999999999994</v>
          </cell>
          <cell r="S149">
            <v>717.90251965999994</v>
          </cell>
        </row>
        <row r="150">
          <cell r="E150">
            <v>431.44188530900578</v>
          </cell>
          <cell r="I150">
            <v>752.38597541268405</v>
          </cell>
          <cell r="J150">
            <v>1183.8278607216898</v>
          </cell>
          <cell r="N150">
            <v>528.79186560491814</v>
          </cell>
          <cell r="R150">
            <v>789.38341968664224</v>
          </cell>
          <cell r="S150">
            <v>1318.1752852915604</v>
          </cell>
        </row>
        <row r="151">
          <cell r="E151">
            <v>790.12497285030804</v>
          </cell>
          <cell r="I151">
            <v>534.79583377122117</v>
          </cell>
          <cell r="J151">
            <v>1324.9208066215292</v>
          </cell>
          <cell r="N151">
            <v>854.96078439339988</v>
          </cell>
          <cell r="R151">
            <v>597.04374814217999</v>
          </cell>
          <cell r="S151">
            <v>1452.00453253558</v>
          </cell>
        </row>
        <row r="152">
          <cell r="E152">
            <v>147.82693552590376</v>
          </cell>
          <cell r="I152">
            <v>98.040386668393396</v>
          </cell>
          <cell r="J152">
            <v>245.86732219429717</v>
          </cell>
          <cell r="N152">
            <v>348.65630851946958</v>
          </cell>
          <cell r="R152">
            <v>0</v>
          </cell>
          <cell r="S152">
            <v>348.65630851946958</v>
          </cell>
        </row>
        <row r="153">
          <cell r="E153">
            <v>9.9789181882899989</v>
          </cell>
          <cell r="I153">
            <v>49.917640924624003</v>
          </cell>
          <cell r="J153">
            <v>59.896559112914005</v>
          </cell>
          <cell r="N153">
            <v>13.185687509199997</v>
          </cell>
          <cell r="R153">
            <v>50.744867249253822</v>
          </cell>
          <cell r="S153">
            <v>63.930554758453823</v>
          </cell>
        </row>
        <row r="154">
          <cell r="E154">
            <v>64.699064703315116</v>
          </cell>
          <cell r="I154">
            <v>94.996108509079477</v>
          </cell>
          <cell r="J154">
            <v>159.69517321239459</v>
          </cell>
          <cell r="N154">
            <v>0.13919054759997587</v>
          </cell>
          <cell r="R154">
            <v>22.405224784076108</v>
          </cell>
          <cell r="S154">
            <v>22.544415331676085</v>
          </cell>
        </row>
        <row r="156">
          <cell r="E156">
            <v>7759.5347999999994</v>
          </cell>
          <cell r="I156">
            <v>558.57647546948806</v>
          </cell>
          <cell r="J156">
            <v>8318.1112754694877</v>
          </cell>
          <cell r="N156">
            <v>752.62305003999995</v>
          </cell>
          <cell r="R156">
            <v>564</v>
          </cell>
          <cell r="S156">
            <v>1316.62305004</v>
          </cell>
        </row>
        <row r="158">
          <cell r="A158" t="str">
            <v xml:space="preserve"> II .Compra de Act. Financ.</v>
          </cell>
          <cell r="B158">
            <v>3591.7033193199995</v>
          </cell>
          <cell r="C158">
            <v>3038.8773000000001</v>
          </cell>
          <cell r="D158">
            <v>1763.88</v>
          </cell>
          <cell r="E158">
            <v>8394.4606193199998</v>
          </cell>
          <cell r="F158">
            <v>4820.6109999999999</v>
          </cell>
          <cell r="G158">
            <v>3058.9380000000001</v>
          </cell>
          <cell r="H158">
            <v>6520.4467820149994</v>
          </cell>
          <cell r="I158">
            <v>14399.995782014999</v>
          </cell>
          <cell r="J158">
            <v>22794.456401334999</v>
          </cell>
          <cell r="K158">
            <v>0</v>
          </cell>
          <cell r="L158">
            <v>204.07599999999999</v>
          </cell>
          <cell r="M158">
            <v>0</v>
          </cell>
          <cell r="N158">
            <v>204.07599999999999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204.07599999999999</v>
          </cell>
          <cell r="T158">
            <v>22998.532401335</v>
          </cell>
        </row>
        <row r="159">
          <cell r="A159" t="str">
            <v xml:space="preserve">    Títulos y Valores</v>
          </cell>
          <cell r="B159">
            <v>1441.7553193199999</v>
          </cell>
          <cell r="C159">
            <v>450</v>
          </cell>
          <cell r="D159">
            <v>0</v>
          </cell>
          <cell r="E159">
            <v>1891.7553193199999</v>
          </cell>
          <cell r="F159">
            <v>0</v>
          </cell>
          <cell r="G159">
            <v>0</v>
          </cell>
          <cell r="H159">
            <v>1284.074782015</v>
          </cell>
          <cell r="I159">
            <v>1284.074782015</v>
          </cell>
          <cell r="J159">
            <v>3175.8301013350001</v>
          </cell>
          <cell r="K159">
            <v>0</v>
          </cell>
          <cell r="L159">
            <v>204.07599999999999</v>
          </cell>
          <cell r="M159">
            <v>0</v>
          </cell>
          <cell r="N159">
            <v>204.07599999999999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204.07599999999999</v>
          </cell>
          <cell r="T159">
            <v>3379.9061013350001</v>
          </cell>
          <cell r="U159">
            <v>24966.549644995001</v>
          </cell>
        </row>
        <row r="160">
          <cell r="E160">
            <v>6502.7053000000005</v>
          </cell>
          <cell r="I160">
            <v>13115.920999999998</v>
          </cell>
          <cell r="J160">
            <v>19618.6263</v>
          </cell>
          <cell r="N160">
            <v>0</v>
          </cell>
          <cell r="R160">
            <v>0</v>
          </cell>
          <cell r="S160">
            <v>0</v>
          </cell>
        </row>
        <row r="161">
          <cell r="E161">
            <v>0</v>
          </cell>
          <cell r="I161">
            <v>0</v>
          </cell>
          <cell r="J161">
            <v>0</v>
          </cell>
          <cell r="N161">
            <v>0</v>
          </cell>
          <cell r="R161">
            <v>0</v>
          </cell>
          <cell r="S161">
            <v>0</v>
          </cell>
        </row>
        <row r="162">
          <cell r="E162">
            <v>0</v>
          </cell>
          <cell r="I162">
            <v>0</v>
          </cell>
          <cell r="J162">
            <v>0</v>
          </cell>
          <cell r="N162">
            <v>0</v>
          </cell>
          <cell r="R162">
            <v>0</v>
          </cell>
          <cell r="S162">
            <v>0</v>
          </cell>
        </row>
        <row r="164">
          <cell r="E164">
            <v>2563.4811616800766</v>
          </cell>
          <cell r="I164">
            <v>3036.3036231005572</v>
          </cell>
          <cell r="J164">
            <v>5599.7847847806333</v>
          </cell>
          <cell r="N164">
            <v>2922.5067076121863</v>
          </cell>
          <cell r="R164">
            <v>12448.41831233451</v>
          </cell>
          <cell r="S164">
            <v>15370.925019946697</v>
          </cell>
        </row>
        <row r="165">
          <cell r="E165">
            <v>32.59332960389272</v>
          </cell>
          <cell r="I165">
            <v>35.584381651239006</v>
          </cell>
          <cell r="J165">
            <v>68.177711255131726</v>
          </cell>
          <cell r="N165">
            <v>42.073999999999991</v>
          </cell>
          <cell r="R165">
            <v>41.677183471623529</v>
          </cell>
          <cell r="S165">
            <v>83.75118347162352</v>
          </cell>
        </row>
        <row r="166">
          <cell r="E166">
            <v>32.59332960389272</v>
          </cell>
          <cell r="I166">
            <v>35.584381651239006</v>
          </cell>
          <cell r="J166">
            <v>68.177711255131726</v>
          </cell>
          <cell r="N166">
            <v>42.073999999999991</v>
          </cell>
          <cell r="R166">
            <v>41.677183471623529</v>
          </cell>
          <cell r="S166">
            <v>83.75118347162352</v>
          </cell>
        </row>
        <row r="167">
          <cell r="E167">
            <v>0</v>
          </cell>
          <cell r="I167">
            <v>0</v>
          </cell>
          <cell r="J167">
            <v>0</v>
          </cell>
          <cell r="N167">
            <v>0</v>
          </cell>
          <cell r="R167">
            <v>0</v>
          </cell>
          <cell r="S167">
            <v>0</v>
          </cell>
        </row>
        <row r="168">
          <cell r="E168">
            <v>0</v>
          </cell>
          <cell r="I168">
            <v>0</v>
          </cell>
          <cell r="J168">
            <v>0</v>
          </cell>
          <cell r="N168">
            <v>0</v>
          </cell>
          <cell r="R168">
            <v>0</v>
          </cell>
          <cell r="S168">
            <v>0</v>
          </cell>
        </row>
        <row r="169">
          <cell r="E169">
            <v>95.734023066134</v>
          </cell>
          <cell r="I169">
            <v>210.87047210477903</v>
          </cell>
          <cell r="J169">
            <v>306.60449517091303</v>
          </cell>
          <cell r="N169">
            <v>93.219880200727331</v>
          </cell>
          <cell r="R169">
            <v>204.76844916744946</v>
          </cell>
          <cell r="S169">
            <v>297.98832936817678</v>
          </cell>
        </row>
        <row r="170">
          <cell r="E170">
            <v>91.132105973143993</v>
          </cell>
          <cell r="I170">
            <v>90.233490856688007</v>
          </cell>
          <cell r="J170">
            <v>181.36559682983199</v>
          </cell>
          <cell r="N170">
            <v>88.549280200727324</v>
          </cell>
          <cell r="R170">
            <v>89.758534666089474</v>
          </cell>
          <cell r="S170">
            <v>178.30781486681678</v>
          </cell>
        </row>
        <row r="171">
          <cell r="E171">
            <v>4.6019170929900008</v>
          </cell>
          <cell r="I171">
            <v>110.58129285248501</v>
          </cell>
          <cell r="J171">
            <v>115.18320994547501</v>
          </cell>
          <cell r="N171">
            <v>4.6706000000000003</v>
          </cell>
          <cell r="R171">
            <v>104.28441854495999</v>
          </cell>
          <cell r="S171">
            <v>108.95501854495998</v>
          </cell>
        </row>
        <row r="172">
          <cell r="E172">
            <v>0</v>
          </cell>
          <cell r="I172">
            <v>10.055688395605999</v>
          </cell>
          <cell r="J172">
            <v>10.055688395605999</v>
          </cell>
          <cell r="N172">
            <v>0</v>
          </cell>
          <cell r="R172">
            <v>10.725495956399998</v>
          </cell>
          <cell r="S172">
            <v>10.725495956399998</v>
          </cell>
        </row>
        <row r="173">
          <cell r="E173">
            <v>58.563445428620994</v>
          </cell>
          <cell r="I173">
            <v>58.931624269638995</v>
          </cell>
          <cell r="J173">
            <v>117.49506969825998</v>
          </cell>
          <cell r="N173">
            <v>54.422091460458972</v>
          </cell>
          <cell r="R173">
            <v>51.39675401585999</v>
          </cell>
          <cell r="S173">
            <v>105.81884547631896</v>
          </cell>
        </row>
        <row r="174">
          <cell r="E174">
            <v>49.140087589887003</v>
          </cell>
          <cell r="I174">
            <v>56.974977154656997</v>
          </cell>
          <cell r="J174">
            <v>106.115064744544</v>
          </cell>
          <cell r="N174">
            <v>44.790055263599996</v>
          </cell>
          <cell r="R174">
            <v>49.91707390325999</v>
          </cell>
          <cell r="S174">
            <v>94.707129166859986</v>
          </cell>
        </row>
        <row r="175">
          <cell r="E175">
            <v>1.2497724428399999</v>
          </cell>
          <cell r="I175">
            <v>1.9566471149820002</v>
          </cell>
          <cell r="J175">
            <v>3.2064195578220001</v>
          </cell>
          <cell r="N175">
            <v>1.1555840645589797</v>
          </cell>
          <cell r="R175">
            <v>1.4796801125999999</v>
          </cell>
          <cell r="S175">
            <v>2.6352641771589793</v>
          </cell>
        </row>
        <row r="176">
          <cell r="E176">
            <v>8.1735853958939995</v>
          </cell>
          <cell r="I176">
            <v>0</v>
          </cell>
          <cell r="J176">
            <v>8.1735853958939995</v>
          </cell>
          <cell r="N176">
            <v>8.4764521323000004</v>
          </cell>
          <cell r="R176">
            <v>0</v>
          </cell>
          <cell r="S176">
            <v>8.4764521323000004</v>
          </cell>
        </row>
        <row r="177">
          <cell r="E177">
            <v>18.961777992216</v>
          </cell>
          <cell r="I177">
            <v>2.0234450749000001</v>
          </cell>
          <cell r="J177">
            <v>20.985223067115999</v>
          </cell>
          <cell r="N177">
            <v>18.808665425000001</v>
          </cell>
          <cell r="R177">
            <v>0</v>
          </cell>
          <cell r="S177">
            <v>18.808665425000001</v>
          </cell>
        </row>
        <row r="178">
          <cell r="E178">
            <v>447</v>
          </cell>
          <cell r="I178">
            <v>59</v>
          </cell>
          <cell r="J178">
            <v>506</v>
          </cell>
          <cell r="N178">
            <v>64</v>
          </cell>
          <cell r="R178">
            <v>252</v>
          </cell>
          <cell r="S178">
            <v>316</v>
          </cell>
        </row>
        <row r="179">
          <cell r="E179">
            <v>138.41400000000002</v>
          </cell>
          <cell r="I179">
            <v>198.25150000000002</v>
          </cell>
          <cell r="J179">
            <v>336.66550000000007</v>
          </cell>
          <cell r="N179">
            <v>95.182070526000004</v>
          </cell>
          <cell r="R179">
            <v>181.31592567957478</v>
          </cell>
          <cell r="S179">
            <v>276.49799620557479</v>
          </cell>
        </row>
        <row r="180">
          <cell r="E180">
            <v>1301.6399999999999</v>
          </cell>
          <cell r="I180">
            <v>2318.65</v>
          </cell>
          <cell r="J180">
            <v>3620.29</v>
          </cell>
          <cell r="N180">
            <v>2253</v>
          </cell>
          <cell r="R180">
            <v>2018.52</v>
          </cell>
          <cell r="S180">
            <v>4271.5200000000004</v>
          </cell>
        </row>
        <row r="181">
          <cell r="E181">
            <v>0</v>
          </cell>
          <cell r="I181">
            <v>0</v>
          </cell>
          <cell r="J181">
            <v>0</v>
          </cell>
          <cell r="N181">
            <v>0</v>
          </cell>
          <cell r="R181">
            <v>0</v>
          </cell>
          <cell r="S181">
            <v>0</v>
          </cell>
        </row>
        <row r="182">
          <cell r="E182">
            <v>470.5745855892128</v>
          </cell>
          <cell r="I182">
            <v>152.9922</v>
          </cell>
          <cell r="J182">
            <v>623.56678558921283</v>
          </cell>
          <cell r="N182">
            <v>301.79999999999995</v>
          </cell>
          <cell r="R182">
            <v>9698.7400000000016</v>
          </cell>
          <cell r="S182">
            <v>10000.540000000001</v>
          </cell>
        </row>
        <row r="184">
          <cell r="E184">
            <v>-17151.90214099277</v>
          </cell>
          <cell r="I184">
            <v>8625.0108517090994</v>
          </cell>
          <cell r="J184">
            <v>-8526.891289283667</v>
          </cell>
          <cell r="N184">
            <v>-13297.431597237413</v>
          </cell>
          <cell r="R184">
            <v>-25435.381917300314</v>
          </cell>
          <cell r="S184">
            <v>-38732.813514537724</v>
          </cell>
        </row>
        <row r="186">
          <cell r="E186">
            <v>-6015.7447552821832</v>
          </cell>
          <cell r="I186">
            <v>2609.2660964269162</v>
          </cell>
          <cell r="J186">
            <v>2609.2660964269162</v>
          </cell>
          <cell r="N186">
            <v>-10688.165500810494</v>
          </cell>
          <cell r="R186">
            <v>-36123.547418110807</v>
          </cell>
          <cell r="S186">
            <v>-36123.5474181108</v>
          </cell>
        </row>
        <row r="194">
          <cell r="E194">
            <v>6015.7447552821832</v>
          </cell>
          <cell r="I194">
            <v>-2609.2660964269162</v>
          </cell>
          <cell r="J194">
            <v>-2609.2660964269162</v>
          </cell>
          <cell r="N194">
            <v>10688.165500810494</v>
          </cell>
          <cell r="R194">
            <v>36123.547418110807</v>
          </cell>
          <cell r="S194">
            <v>36123.5474181108</v>
          </cell>
        </row>
        <row r="197">
          <cell r="E197">
            <v>8420.7014238708471</v>
          </cell>
          <cell r="I197">
            <v>6063.9863512436477</v>
          </cell>
          <cell r="J197">
            <v>6063.9869077537151</v>
          </cell>
          <cell r="N197">
            <v>7949.444036734285</v>
          </cell>
          <cell r="R197">
            <v>22562.674562454318</v>
          </cell>
          <cell r="S197">
            <v>22562.674562454311</v>
          </cell>
        </row>
        <row r="198">
          <cell r="E198">
            <v>-2.4730001314310357E-5</v>
          </cell>
          <cell r="I198">
            <v>-2075.5352732679985</v>
          </cell>
          <cell r="J198">
            <v>-2075.5352732679985</v>
          </cell>
        </row>
        <row r="199">
          <cell r="E199">
            <v>8420.7019293899993</v>
          </cell>
          <cell r="I199">
            <v>8252.2635178700002</v>
          </cell>
          <cell r="J199">
            <v>8252.2635178700002</v>
          </cell>
        </row>
        <row r="202">
          <cell r="E202">
            <v>-2404.956668588663</v>
          </cell>
          <cell r="I202">
            <v>-8673.2524476705639</v>
          </cell>
          <cell r="J202">
            <v>-8673.2530041806313</v>
          </cell>
          <cell r="N202">
            <v>2738.721464076209</v>
          </cell>
          <cell r="R202">
            <v>13560.872855656491</v>
          </cell>
          <cell r="S202">
            <v>13560.872855656491</v>
          </cell>
        </row>
        <row r="206">
          <cell r="E206">
            <v>3100.7151836100011</v>
          </cell>
          <cell r="I206">
            <v>3753.0839271300001</v>
          </cell>
          <cell r="J206">
            <v>3753.0839271300001</v>
          </cell>
        </row>
        <row r="209">
          <cell r="I209">
            <v>-2609.2660964269162</v>
          </cell>
          <cell r="J209">
            <v>-2609.2660964269162</v>
          </cell>
        </row>
        <row r="210">
          <cell r="I210">
            <v>0</v>
          </cell>
          <cell r="J210">
            <v>0</v>
          </cell>
        </row>
        <row r="214">
          <cell r="R214">
            <v>-4.0199999999999996</v>
          </cell>
          <cell r="S214">
            <v>-4.0200000000000005</v>
          </cell>
        </row>
        <row r="226">
          <cell r="R226">
            <v>36123.547418110807</v>
          </cell>
        </row>
        <row r="248">
          <cell r="N248" t="e">
            <v>#DIV/0!</v>
          </cell>
          <cell r="R248">
            <v>2918.8430990931165</v>
          </cell>
          <cell r="S248">
            <v>6037.4009257125581</v>
          </cell>
        </row>
        <row r="250">
          <cell r="N250" t="e">
            <v>#DIV/0!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E4A2B-E92D-482B-8891-0E8744DD91F0}">
  <dimension ref="B1:G11"/>
  <sheetViews>
    <sheetView showGridLines="0" tabSelected="1" workbookViewId="0"/>
  </sheetViews>
  <sheetFormatPr baseColWidth="10" defaultColWidth="11.42578125" defaultRowHeight="12" x14ac:dyDescent="0.15"/>
  <cols>
    <col min="1" max="1" width="1.7109375" style="427" customWidth="1"/>
    <col min="2" max="16384" width="11.42578125" style="427"/>
  </cols>
  <sheetData>
    <row r="1" spans="2:7" ht="12.75" thickBot="1" x14ac:dyDescent="0.2"/>
    <row r="2" spans="2:7" ht="12" customHeight="1" x14ac:dyDescent="0.15">
      <c r="B2" s="428" t="s">
        <v>214</v>
      </c>
      <c r="C2" s="429"/>
      <c r="D2" s="429"/>
      <c r="E2" s="429"/>
      <c r="F2" s="429"/>
      <c r="G2" s="430"/>
    </row>
    <row r="3" spans="2:7" x14ac:dyDescent="0.15">
      <c r="B3" s="431"/>
      <c r="C3" s="432"/>
      <c r="D3" s="432"/>
      <c r="E3" s="432"/>
      <c r="F3" s="432"/>
      <c r="G3" s="433"/>
    </row>
    <row r="4" spans="2:7" x14ac:dyDescent="0.15">
      <c r="B4" s="431"/>
      <c r="C4" s="432"/>
      <c r="D4" s="432"/>
      <c r="E4" s="432"/>
      <c r="F4" s="432"/>
      <c r="G4" s="433"/>
    </row>
    <row r="5" spans="2:7" x14ac:dyDescent="0.15">
      <c r="B5" s="431"/>
      <c r="C5" s="432"/>
      <c r="D5" s="432"/>
      <c r="E5" s="432"/>
      <c r="F5" s="432"/>
      <c r="G5" s="433"/>
    </row>
    <row r="6" spans="2:7" x14ac:dyDescent="0.15">
      <c r="B6" s="431"/>
      <c r="C6" s="432"/>
      <c r="D6" s="432"/>
      <c r="E6" s="432"/>
      <c r="F6" s="432"/>
      <c r="G6" s="433"/>
    </row>
    <row r="7" spans="2:7" x14ac:dyDescent="0.15">
      <c r="B7" s="431"/>
      <c r="C7" s="432"/>
      <c r="D7" s="432"/>
      <c r="E7" s="432"/>
      <c r="F7" s="432"/>
      <c r="G7" s="433"/>
    </row>
    <row r="8" spans="2:7" x14ac:dyDescent="0.15">
      <c r="B8" s="431"/>
      <c r="C8" s="432"/>
      <c r="D8" s="432"/>
      <c r="E8" s="432"/>
      <c r="F8" s="432"/>
      <c r="G8" s="433"/>
    </row>
    <row r="9" spans="2:7" x14ac:dyDescent="0.15">
      <c r="B9" s="431"/>
      <c r="C9" s="432"/>
      <c r="D9" s="432"/>
      <c r="E9" s="432"/>
      <c r="F9" s="432"/>
      <c r="G9" s="433"/>
    </row>
    <row r="10" spans="2:7" x14ac:dyDescent="0.15">
      <c r="B10" s="431"/>
      <c r="C10" s="432"/>
      <c r="D10" s="432"/>
      <c r="E10" s="432"/>
      <c r="F10" s="432"/>
      <c r="G10" s="433"/>
    </row>
    <row r="11" spans="2:7" ht="12.75" thickBot="1" x14ac:dyDescent="0.2">
      <c r="B11" s="434"/>
      <c r="C11" s="435"/>
      <c r="D11" s="435"/>
      <c r="E11" s="435"/>
      <c r="F11" s="435"/>
      <c r="G11" s="436"/>
    </row>
  </sheetData>
  <mergeCells count="1">
    <mergeCell ref="B2:G11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5B80B-12D8-42F6-904E-EB68C67BD48B}">
  <sheetPr codeName="Hoja14">
    <tabColor theme="9" tint="-0.499984740745262"/>
  </sheetPr>
  <dimension ref="A1:CT82"/>
  <sheetViews>
    <sheetView showGridLines="0" zoomScaleNormal="100" workbookViewId="0"/>
  </sheetViews>
  <sheetFormatPr baseColWidth="10" defaultColWidth="11.42578125" defaultRowHeight="11.25" x14ac:dyDescent="0.25"/>
  <cols>
    <col min="1" max="1" width="25.7109375" style="2" customWidth="1"/>
    <col min="2" max="2" width="11.85546875" style="2" bestFit="1" customWidth="1"/>
    <col min="3" max="6" width="11.85546875" style="2" customWidth="1"/>
    <col min="7" max="8" width="11.85546875" style="2" bestFit="1" customWidth="1"/>
    <col min="9" max="12" width="11.85546875" style="2" customWidth="1"/>
    <col min="13" max="13" width="11.85546875" style="2" bestFit="1" customWidth="1"/>
    <col min="14" max="15" width="12.140625" style="2" bestFit="1" customWidth="1"/>
    <col min="16" max="16" width="11.85546875" style="2" customWidth="1"/>
    <col min="17" max="17" width="6.42578125" style="2" bestFit="1" customWidth="1"/>
    <col min="18" max="18" width="12.42578125" style="2" bestFit="1" customWidth="1"/>
    <col min="19" max="19" width="10.85546875" style="2" bestFit="1" customWidth="1"/>
    <col min="20" max="20" width="9.140625" style="2" bestFit="1" customWidth="1"/>
    <col min="21" max="21" width="15.5703125" style="4" bestFit="1" customWidth="1"/>
    <col min="22" max="25" width="10" style="4" customWidth="1"/>
    <col min="26" max="26" width="12.28515625" style="4" bestFit="1" customWidth="1"/>
    <col min="27" max="80" width="10" style="4" customWidth="1"/>
    <col min="81" max="95" width="11.42578125" style="2"/>
    <col min="96" max="96" width="10.85546875" style="2" bestFit="1" customWidth="1"/>
    <col min="97" max="16384" width="11.42578125" style="2"/>
  </cols>
  <sheetData>
    <row r="1" spans="1:98" s="68" customFormat="1" ht="15" x14ac:dyDescent="0.25">
      <c r="A1" s="85" t="s">
        <v>186</v>
      </c>
      <c r="M1" s="330" t="s">
        <v>12</v>
      </c>
      <c r="N1" s="331">
        <v>12</v>
      </c>
      <c r="O1" s="332">
        <v>1</v>
      </c>
      <c r="T1" s="339" t="s">
        <v>215</v>
      </c>
      <c r="U1" s="340">
        <v>43999</v>
      </c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3"/>
      <c r="AL1" s="313"/>
      <c r="AM1" s="313"/>
      <c r="AN1" s="313"/>
      <c r="AO1" s="313"/>
      <c r="AP1" s="313"/>
      <c r="AQ1" s="313"/>
      <c r="AR1" s="313"/>
      <c r="AS1" s="313"/>
      <c r="AT1" s="313"/>
      <c r="AU1" s="313"/>
      <c r="AV1" s="313"/>
      <c r="AW1" s="313"/>
      <c r="AX1" s="313"/>
      <c r="AY1" s="313"/>
      <c r="AZ1" s="313"/>
      <c r="BA1" s="313"/>
      <c r="BB1" s="313"/>
      <c r="BC1" s="313"/>
      <c r="BD1" s="313"/>
      <c r="BE1" s="313"/>
      <c r="BF1" s="313"/>
      <c r="BG1" s="313"/>
      <c r="BH1" s="313"/>
      <c r="BI1" s="313"/>
      <c r="BJ1" s="313"/>
      <c r="BK1" s="313"/>
      <c r="BL1" s="313"/>
      <c r="BM1" s="313"/>
      <c r="BN1" s="313"/>
      <c r="BO1" s="313"/>
      <c r="BP1" s="313"/>
      <c r="BQ1" s="313"/>
      <c r="BR1" s="313"/>
      <c r="BS1" s="313"/>
      <c r="BT1" s="313"/>
      <c r="BU1" s="313"/>
      <c r="BV1" s="313"/>
      <c r="BW1" s="313"/>
      <c r="BX1" s="313"/>
      <c r="BY1" s="313"/>
      <c r="BZ1" s="313"/>
      <c r="CA1" s="313"/>
      <c r="CB1" s="313"/>
    </row>
    <row r="2" spans="1:98" x14ac:dyDescent="0.25">
      <c r="A2" s="2" t="s">
        <v>195</v>
      </c>
      <c r="M2" s="333" t="s">
        <v>14</v>
      </c>
      <c r="N2" s="334">
        <v>4</v>
      </c>
      <c r="O2" s="335">
        <v>3</v>
      </c>
      <c r="T2" s="330" t="s">
        <v>15</v>
      </c>
      <c r="U2" s="341">
        <v>0.88939999999999997</v>
      </c>
    </row>
    <row r="3" spans="1:98" x14ac:dyDescent="0.25">
      <c r="A3" s="2" t="s">
        <v>16</v>
      </c>
      <c r="M3" s="333" t="s">
        <v>1</v>
      </c>
      <c r="N3" s="334">
        <v>2</v>
      </c>
      <c r="O3" s="335">
        <v>6</v>
      </c>
      <c r="T3" s="336" t="s">
        <v>17</v>
      </c>
      <c r="U3" s="342">
        <v>0.9486</v>
      </c>
    </row>
    <row r="4" spans="1:98" x14ac:dyDescent="0.25">
      <c r="M4" s="336" t="s">
        <v>18</v>
      </c>
      <c r="N4" s="337">
        <v>1</v>
      </c>
      <c r="O4" s="338">
        <v>12</v>
      </c>
    </row>
    <row r="5" spans="1:98" x14ac:dyDescent="0.25">
      <c r="A5" s="6" t="s">
        <v>19</v>
      </c>
      <c r="B5" s="399">
        <v>0.1</v>
      </c>
      <c r="CT5" s="9"/>
    </row>
    <row r="6" spans="1:98" s="14" customFormat="1" ht="28.5" customHeight="1" x14ac:dyDescent="0.25">
      <c r="A6" s="10" t="s">
        <v>20</v>
      </c>
      <c r="B6" s="12" t="s">
        <v>136</v>
      </c>
      <c r="C6" s="12" t="s">
        <v>137</v>
      </c>
      <c r="D6" s="12" t="s">
        <v>2</v>
      </c>
      <c r="E6" s="12" t="s">
        <v>7</v>
      </c>
      <c r="F6" s="12" t="s">
        <v>138</v>
      </c>
      <c r="G6" s="12" t="s">
        <v>139</v>
      </c>
      <c r="H6" s="12" t="s">
        <v>140</v>
      </c>
      <c r="I6" s="12" t="s">
        <v>141</v>
      </c>
      <c r="J6" s="12" t="s">
        <v>4</v>
      </c>
      <c r="K6" s="12" t="s">
        <v>9</v>
      </c>
      <c r="L6" s="12" t="s">
        <v>5</v>
      </c>
      <c r="M6" s="12" t="s">
        <v>10</v>
      </c>
      <c r="N6" s="12" t="s">
        <v>142</v>
      </c>
      <c r="O6" s="12" t="s">
        <v>143</v>
      </c>
      <c r="P6" s="11" t="s">
        <v>181</v>
      </c>
      <c r="R6" s="2"/>
      <c r="S6" s="2"/>
      <c r="T6" s="2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2"/>
      <c r="CD6" s="2"/>
      <c r="CE6" s="2"/>
      <c r="CF6" s="2"/>
      <c r="CG6" s="2"/>
      <c r="CH6" s="2"/>
    </row>
    <row r="7" spans="1:98" x14ac:dyDescent="0.25">
      <c r="A7" s="15" t="s">
        <v>21</v>
      </c>
      <c r="B7" s="291">
        <v>44027</v>
      </c>
      <c r="C7" s="291">
        <f>+B7</f>
        <v>44027</v>
      </c>
      <c r="D7" s="291">
        <f>+C7</f>
        <v>44027</v>
      </c>
      <c r="E7" s="291">
        <f t="shared" ref="E7:O7" si="0">+D7</f>
        <v>44027</v>
      </c>
      <c r="F7" s="291">
        <f t="shared" si="0"/>
        <v>44027</v>
      </c>
      <c r="G7" s="291">
        <f t="shared" si="0"/>
        <v>44027</v>
      </c>
      <c r="H7" s="291">
        <f t="shared" si="0"/>
        <v>44027</v>
      </c>
      <c r="I7" s="291">
        <f t="shared" si="0"/>
        <v>44027</v>
      </c>
      <c r="J7" s="291">
        <f t="shared" si="0"/>
        <v>44027</v>
      </c>
      <c r="K7" s="291">
        <f t="shared" si="0"/>
        <v>44027</v>
      </c>
      <c r="L7" s="291">
        <f t="shared" si="0"/>
        <v>44027</v>
      </c>
      <c r="M7" s="291">
        <f t="shared" si="0"/>
        <v>44027</v>
      </c>
      <c r="N7" s="291">
        <f t="shared" si="0"/>
        <v>44027</v>
      </c>
      <c r="O7" s="291">
        <f t="shared" si="0"/>
        <v>44027</v>
      </c>
      <c r="P7" s="291">
        <v>44027</v>
      </c>
      <c r="Q7" s="14"/>
    </row>
    <row r="8" spans="1:98" x14ac:dyDescent="0.25">
      <c r="A8" s="15" t="s">
        <v>22</v>
      </c>
      <c r="B8" s="292">
        <v>46583</v>
      </c>
      <c r="C8" s="292">
        <v>46583</v>
      </c>
      <c r="D8" s="292">
        <v>47679</v>
      </c>
      <c r="E8" s="292">
        <v>47679</v>
      </c>
      <c r="F8" s="292">
        <v>48775</v>
      </c>
      <c r="G8" s="292">
        <v>48775</v>
      </c>
      <c r="H8" s="292">
        <v>49871</v>
      </c>
      <c r="I8" s="292">
        <v>49871</v>
      </c>
      <c r="J8" s="292">
        <v>50601</v>
      </c>
      <c r="K8" s="292">
        <v>50601</v>
      </c>
      <c r="L8" s="292">
        <v>51697</v>
      </c>
      <c r="M8" s="292">
        <v>51697</v>
      </c>
      <c r="N8" s="292">
        <v>53158</v>
      </c>
      <c r="O8" s="292">
        <v>53158</v>
      </c>
      <c r="P8" s="292">
        <v>45122</v>
      </c>
      <c r="Q8" s="14"/>
      <c r="CI8" s="4"/>
      <c r="CJ8" s="4"/>
      <c r="CK8" s="4"/>
      <c r="CL8" s="4"/>
      <c r="CM8" s="4"/>
      <c r="CN8" s="4"/>
      <c r="CO8" s="4"/>
    </row>
    <row r="9" spans="1:98" x14ac:dyDescent="0.25">
      <c r="A9" s="15" t="s">
        <v>23</v>
      </c>
      <c r="B9" s="292" t="s">
        <v>24</v>
      </c>
      <c r="C9" s="292" t="s">
        <v>15</v>
      </c>
      <c r="D9" s="292" t="s">
        <v>24</v>
      </c>
      <c r="E9" s="292" t="s">
        <v>15</v>
      </c>
      <c r="F9" s="292" t="s">
        <v>24</v>
      </c>
      <c r="G9" s="292" t="s">
        <v>15</v>
      </c>
      <c r="H9" s="292" t="s">
        <v>24</v>
      </c>
      <c r="I9" s="292" t="s">
        <v>15</v>
      </c>
      <c r="J9" s="292" t="s">
        <v>24</v>
      </c>
      <c r="K9" s="292" t="s">
        <v>15</v>
      </c>
      <c r="L9" s="292" t="s">
        <v>24</v>
      </c>
      <c r="M9" s="292" t="s">
        <v>15</v>
      </c>
      <c r="N9" s="292" t="s">
        <v>24</v>
      </c>
      <c r="O9" s="292" t="s">
        <v>15</v>
      </c>
      <c r="P9" s="292" t="s">
        <v>24</v>
      </c>
      <c r="Q9" s="14"/>
    </row>
    <row r="10" spans="1:98" x14ac:dyDescent="0.25">
      <c r="A10" s="15" t="s">
        <v>25</v>
      </c>
      <c r="B10" s="293">
        <f>+YEARFRAC(B7,B8)</f>
        <v>7</v>
      </c>
      <c r="C10" s="293">
        <f t="shared" ref="C10" si="1">+YEARFRAC(C7,C8)</f>
        <v>7</v>
      </c>
      <c r="D10" s="293">
        <f>+YEARFRAC(D7,D8)</f>
        <v>10</v>
      </c>
      <c r="E10" s="293">
        <f t="shared" ref="E10:P10" si="2">+YEARFRAC(E7,E8)</f>
        <v>10</v>
      </c>
      <c r="F10" s="293">
        <f t="shared" si="2"/>
        <v>13</v>
      </c>
      <c r="G10" s="293">
        <f t="shared" si="2"/>
        <v>13</v>
      </c>
      <c r="H10" s="293">
        <f t="shared" si="2"/>
        <v>16</v>
      </c>
      <c r="I10" s="293">
        <f t="shared" si="2"/>
        <v>16</v>
      </c>
      <c r="J10" s="293">
        <f t="shared" si="2"/>
        <v>18</v>
      </c>
      <c r="K10" s="293">
        <f t="shared" si="2"/>
        <v>18</v>
      </c>
      <c r="L10" s="293">
        <f t="shared" si="2"/>
        <v>21</v>
      </c>
      <c r="M10" s="293">
        <f t="shared" si="2"/>
        <v>21</v>
      </c>
      <c r="N10" s="293">
        <f t="shared" si="2"/>
        <v>25</v>
      </c>
      <c r="O10" s="293">
        <f t="shared" si="2"/>
        <v>25</v>
      </c>
      <c r="P10" s="293">
        <f t="shared" si="2"/>
        <v>3</v>
      </c>
      <c r="Q10" s="14"/>
    </row>
    <row r="11" spans="1:98" s="4" customFormat="1" x14ac:dyDescent="0.25">
      <c r="A11" s="15" t="s">
        <v>26</v>
      </c>
      <c r="B11" s="293">
        <f>+YEARFRAC(B7,B12)</f>
        <v>0</v>
      </c>
      <c r="C11" s="293">
        <f t="shared" ref="C11" si="3">+YEARFRAC(C7,C12)</f>
        <v>0</v>
      </c>
      <c r="D11" s="293">
        <f>+YEARFRAC(D7,D12)</f>
        <v>0</v>
      </c>
      <c r="E11" s="293">
        <f t="shared" ref="E11:P11" si="4">+YEARFRAC(E7,E12)</f>
        <v>0</v>
      </c>
      <c r="F11" s="293">
        <f t="shared" si="4"/>
        <v>0</v>
      </c>
      <c r="G11" s="293">
        <f t="shared" si="4"/>
        <v>0</v>
      </c>
      <c r="H11" s="293">
        <f t="shared" si="4"/>
        <v>0</v>
      </c>
      <c r="I11" s="293">
        <f t="shared" si="4"/>
        <v>0</v>
      </c>
      <c r="J11" s="293">
        <f t="shared" si="4"/>
        <v>0</v>
      </c>
      <c r="K11" s="293">
        <f t="shared" si="4"/>
        <v>0</v>
      </c>
      <c r="L11" s="293">
        <f t="shared" si="4"/>
        <v>0</v>
      </c>
      <c r="M11" s="293">
        <f t="shared" si="4"/>
        <v>0</v>
      </c>
      <c r="N11" s="293">
        <f t="shared" si="4"/>
        <v>0</v>
      </c>
      <c r="O11" s="293">
        <f t="shared" si="4"/>
        <v>0</v>
      </c>
      <c r="P11" s="293">
        <f t="shared" si="4"/>
        <v>0</v>
      </c>
      <c r="Q11" s="14"/>
      <c r="R11" s="2"/>
      <c r="S11" s="2"/>
      <c r="T11" s="2"/>
      <c r="CC11" s="2"/>
      <c r="CD11" s="2"/>
      <c r="CE11" s="2"/>
      <c r="CF11" s="2"/>
      <c r="CG11" s="2"/>
      <c r="CH11" s="2"/>
      <c r="CT11" s="2"/>
    </row>
    <row r="12" spans="1:98" x14ac:dyDescent="0.25">
      <c r="A12" s="15" t="s">
        <v>27</v>
      </c>
      <c r="B12" s="292">
        <v>44027</v>
      </c>
      <c r="C12" s="292">
        <f>+B12</f>
        <v>44027</v>
      </c>
      <c r="D12" s="292">
        <f t="shared" ref="D12:P12" si="5">+C12</f>
        <v>44027</v>
      </c>
      <c r="E12" s="292">
        <f t="shared" si="5"/>
        <v>44027</v>
      </c>
      <c r="F12" s="292">
        <f t="shared" si="5"/>
        <v>44027</v>
      </c>
      <c r="G12" s="292">
        <f t="shared" si="5"/>
        <v>44027</v>
      </c>
      <c r="H12" s="292">
        <f t="shared" si="5"/>
        <v>44027</v>
      </c>
      <c r="I12" s="292">
        <f t="shared" si="5"/>
        <v>44027</v>
      </c>
      <c r="J12" s="292">
        <f t="shared" si="5"/>
        <v>44027</v>
      </c>
      <c r="K12" s="292">
        <f t="shared" si="5"/>
        <v>44027</v>
      </c>
      <c r="L12" s="292">
        <f>+I12</f>
        <v>44027</v>
      </c>
      <c r="M12" s="292">
        <f t="shared" si="5"/>
        <v>44027</v>
      </c>
      <c r="N12" s="292">
        <f t="shared" si="5"/>
        <v>44027</v>
      </c>
      <c r="O12" s="292">
        <f t="shared" si="5"/>
        <v>44027</v>
      </c>
      <c r="P12" s="292">
        <f t="shared" si="5"/>
        <v>44027</v>
      </c>
      <c r="Q12" s="14"/>
    </row>
    <row r="13" spans="1:98" x14ac:dyDescent="0.25">
      <c r="A13" s="15" t="s">
        <v>28</v>
      </c>
      <c r="B13" s="292">
        <f t="shared" ref="B13:P13" si="6">DATE(YEAR(B$12),MONTH(B$12)+VLOOKUP(B$15,$M$1:$O$4,3,0),DAY(B$12))</f>
        <v>44211</v>
      </c>
      <c r="C13" s="292">
        <f t="shared" si="6"/>
        <v>44211</v>
      </c>
      <c r="D13" s="292">
        <f t="shared" si="6"/>
        <v>44211</v>
      </c>
      <c r="E13" s="292">
        <f t="shared" si="6"/>
        <v>44211</v>
      </c>
      <c r="F13" s="292">
        <f t="shared" si="6"/>
        <v>44211</v>
      </c>
      <c r="G13" s="292">
        <f t="shared" si="6"/>
        <v>44211</v>
      </c>
      <c r="H13" s="292">
        <f t="shared" si="6"/>
        <v>44211</v>
      </c>
      <c r="I13" s="292">
        <f t="shared" si="6"/>
        <v>44211</v>
      </c>
      <c r="J13" s="292">
        <f t="shared" si="6"/>
        <v>44211</v>
      </c>
      <c r="K13" s="292">
        <f t="shared" si="6"/>
        <v>44211</v>
      </c>
      <c r="L13" s="292">
        <f t="shared" si="6"/>
        <v>44211</v>
      </c>
      <c r="M13" s="292">
        <f t="shared" si="6"/>
        <v>44211</v>
      </c>
      <c r="N13" s="292">
        <f t="shared" si="6"/>
        <v>44211</v>
      </c>
      <c r="O13" s="292">
        <f t="shared" si="6"/>
        <v>44211</v>
      </c>
      <c r="P13" s="292">
        <f t="shared" si="6"/>
        <v>44211</v>
      </c>
      <c r="Q13" s="14"/>
    </row>
    <row r="14" spans="1:98" x14ac:dyDescent="0.25">
      <c r="A14" s="15" t="s">
        <v>144</v>
      </c>
      <c r="B14" s="294" t="s">
        <v>30</v>
      </c>
      <c r="C14" s="294" t="s">
        <v>30</v>
      </c>
      <c r="D14" s="294" t="s">
        <v>30</v>
      </c>
      <c r="E14" s="294" t="s">
        <v>30</v>
      </c>
      <c r="F14" s="294" t="s">
        <v>30</v>
      </c>
      <c r="G14" s="294" t="s">
        <v>30</v>
      </c>
      <c r="H14" s="294" t="s">
        <v>30</v>
      </c>
      <c r="I14" s="294" t="s">
        <v>30</v>
      </c>
      <c r="J14" s="294" t="s">
        <v>30</v>
      </c>
      <c r="K14" s="294" t="s">
        <v>30</v>
      </c>
      <c r="L14" s="294" t="s">
        <v>30</v>
      </c>
      <c r="M14" s="294" t="s">
        <v>30</v>
      </c>
      <c r="N14" s="294" t="s">
        <v>30</v>
      </c>
      <c r="O14" s="294" t="s">
        <v>30</v>
      </c>
      <c r="P14" s="294" t="s">
        <v>30</v>
      </c>
      <c r="Q14" s="14"/>
    </row>
    <row r="15" spans="1:98" x14ac:dyDescent="0.25">
      <c r="A15" s="15" t="s">
        <v>31</v>
      </c>
      <c r="B15" s="292" t="s">
        <v>1</v>
      </c>
      <c r="C15" s="292" t="s">
        <v>1</v>
      </c>
      <c r="D15" s="292" t="s">
        <v>1</v>
      </c>
      <c r="E15" s="292" t="s">
        <v>1</v>
      </c>
      <c r="F15" s="292" t="s">
        <v>1</v>
      </c>
      <c r="G15" s="292" t="s">
        <v>1</v>
      </c>
      <c r="H15" s="292" t="s">
        <v>1</v>
      </c>
      <c r="I15" s="292" t="s">
        <v>1</v>
      </c>
      <c r="J15" s="292" t="s">
        <v>1</v>
      </c>
      <c r="K15" s="292" t="s">
        <v>1</v>
      </c>
      <c r="L15" s="292" t="s">
        <v>1</v>
      </c>
      <c r="M15" s="292" t="s">
        <v>1</v>
      </c>
      <c r="N15" s="292" t="s">
        <v>1</v>
      </c>
      <c r="O15" s="292" t="s">
        <v>1</v>
      </c>
      <c r="P15" s="292" t="s">
        <v>1</v>
      </c>
      <c r="Q15" s="14"/>
      <c r="R15" s="250"/>
      <c r="T15" s="252"/>
    </row>
    <row r="16" spans="1:98" x14ac:dyDescent="0.25">
      <c r="A16" s="15" t="s">
        <v>32</v>
      </c>
      <c r="B16" s="295">
        <v>5</v>
      </c>
      <c r="C16" s="295">
        <v>5</v>
      </c>
      <c r="D16" s="295">
        <v>6</v>
      </c>
      <c r="E16" s="295">
        <v>6</v>
      </c>
      <c r="F16" s="295">
        <v>6</v>
      </c>
      <c r="G16" s="295">
        <v>6</v>
      </c>
      <c r="H16" s="295">
        <v>6</v>
      </c>
      <c r="I16" s="295">
        <v>6</v>
      </c>
      <c r="J16" s="295">
        <v>22</v>
      </c>
      <c r="K16" s="295">
        <v>22</v>
      </c>
      <c r="L16" s="295">
        <v>30</v>
      </c>
      <c r="M16" s="295">
        <v>30</v>
      </c>
      <c r="N16" s="295">
        <v>36</v>
      </c>
      <c r="O16" s="295">
        <v>36</v>
      </c>
      <c r="P16" s="295">
        <v>6</v>
      </c>
      <c r="Q16" s="14"/>
      <c r="R16" s="250"/>
      <c r="T16" s="252"/>
    </row>
    <row r="17" spans="1:98" x14ac:dyDescent="0.25">
      <c r="A17" s="15" t="s">
        <v>33</v>
      </c>
      <c r="B17" s="292">
        <v>45853</v>
      </c>
      <c r="C17" s="292">
        <v>45853</v>
      </c>
      <c r="D17" s="292">
        <v>46767</v>
      </c>
      <c r="E17" s="292">
        <v>46767</v>
      </c>
      <c r="F17" s="292">
        <v>47863</v>
      </c>
      <c r="G17" s="292">
        <v>47863</v>
      </c>
      <c r="H17" s="292">
        <v>48959</v>
      </c>
      <c r="I17" s="292">
        <v>48959</v>
      </c>
      <c r="J17" s="292">
        <v>46767</v>
      </c>
      <c r="K17" s="292">
        <v>46767</v>
      </c>
      <c r="L17" s="292">
        <v>46402</v>
      </c>
      <c r="M17" s="292">
        <v>46402</v>
      </c>
      <c r="N17" s="292">
        <v>46767</v>
      </c>
      <c r="O17" s="292">
        <v>46767</v>
      </c>
      <c r="P17" s="292">
        <v>44211</v>
      </c>
      <c r="Q17" s="14"/>
      <c r="R17" s="250"/>
      <c r="T17" s="252"/>
    </row>
    <row r="18" spans="1:98" x14ac:dyDescent="0.25">
      <c r="A18" s="15" t="s">
        <v>145</v>
      </c>
      <c r="B18" s="343">
        <f>+'AHBG-EBG Canje optimo'!$E$27</f>
        <v>6200</v>
      </c>
      <c r="C18" s="343">
        <f>+'AHBG-EBG Canje optimo'!$L$27</f>
        <v>1100</v>
      </c>
      <c r="D18" s="343">
        <f>+'AHBG-EBG Canje optimo'!$F$27</f>
        <v>3300</v>
      </c>
      <c r="E18" s="343">
        <f>+'AHBG-EBG Canje optimo'!$M$27</f>
        <v>1700.0000000000002</v>
      </c>
      <c r="F18" s="343">
        <f>+'AHBG-EBG Canje optimo'!$G$27</f>
        <v>8600</v>
      </c>
      <c r="G18" s="343">
        <f>+'AHBG-EBG Canje optimo'!$N$27</f>
        <v>1150</v>
      </c>
      <c r="H18" s="343">
        <f>+'AHBG-EBG Canje optimo'!$H$27</f>
        <v>8600.0000000000018</v>
      </c>
      <c r="I18" s="343">
        <f>+'AHBG-EBG Canje optimo'!$O$27</f>
        <v>1150</v>
      </c>
      <c r="J18" s="343">
        <f>+'AHBG-EBG Canje optimo'!$I$27</f>
        <v>5200</v>
      </c>
      <c r="K18" s="343">
        <f>+'AHBG-EBG Canje optimo'!$P$27</f>
        <v>5800</v>
      </c>
      <c r="L18" s="343">
        <f>+'AHBG-EBG Canje optimo'!$J$27</f>
        <v>0</v>
      </c>
      <c r="M18" s="343">
        <f>+'AHBG-EBG Canje optimo'!$Q$27</f>
        <v>0</v>
      </c>
      <c r="N18" s="343">
        <f>+'AHBG-EBG Canje optimo'!$K$27</f>
        <v>14079.830909345501</v>
      </c>
      <c r="O18" s="343">
        <f>+'AHBG-EBG Canje optimo'!$R$27</f>
        <v>6893.2985731165309</v>
      </c>
      <c r="P18" s="343">
        <f>+'Intereses corridos'!I26/2</f>
        <v>1118.5863898502396</v>
      </c>
      <c r="Q18" s="14"/>
      <c r="R18" s="250"/>
      <c r="T18" s="252"/>
    </row>
    <row r="19" spans="1:98" x14ac:dyDescent="0.25">
      <c r="A19" s="15" t="s">
        <v>146</v>
      </c>
      <c r="B19" s="297">
        <f>+S28</f>
        <v>6200</v>
      </c>
      <c r="C19" s="297">
        <f>+X28</f>
        <v>1100</v>
      </c>
      <c r="D19" s="297">
        <f>+AC28</f>
        <v>3300</v>
      </c>
      <c r="E19" s="297">
        <f>+AH28</f>
        <v>1700.0000000000002</v>
      </c>
      <c r="F19" s="297">
        <f>+AM28</f>
        <v>8600</v>
      </c>
      <c r="G19" s="297">
        <f>+AR28</f>
        <v>1150</v>
      </c>
      <c r="H19" s="297">
        <f>+AW28</f>
        <v>8600.0000000000018</v>
      </c>
      <c r="I19" s="297">
        <f>+BB28</f>
        <v>1150</v>
      </c>
      <c r="J19" s="297">
        <f>+BG28</f>
        <v>5200</v>
      </c>
      <c r="K19" s="297">
        <f>+BL28</f>
        <v>5800</v>
      </c>
      <c r="L19" s="297">
        <f>+BQ28</f>
        <v>0</v>
      </c>
      <c r="M19" s="297">
        <f>+BV28</f>
        <v>0</v>
      </c>
      <c r="N19" s="297">
        <f>+CA28</f>
        <v>14079.830909345501</v>
      </c>
      <c r="O19" s="297">
        <f>+CF28</f>
        <v>6893.2985731165309</v>
      </c>
      <c r="P19" s="297">
        <f>+CK28</f>
        <v>1118.5863898502396</v>
      </c>
      <c r="Q19" s="14"/>
      <c r="R19" s="250"/>
      <c r="T19" s="252"/>
    </row>
    <row r="20" spans="1:98" s="4" customFormat="1" ht="21" customHeight="1" x14ac:dyDescent="0.25">
      <c r="A20" s="12" t="s">
        <v>36</v>
      </c>
      <c r="B20" s="415">
        <f>$W$82</f>
        <v>3804.0171339209619</v>
      </c>
      <c r="C20" s="415">
        <f>$AB$82</f>
        <v>630.10053585358071</v>
      </c>
      <c r="D20" s="415">
        <f>$AG$82</f>
        <v>1946.5247446984611</v>
      </c>
      <c r="E20" s="415">
        <f>$AL$82</f>
        <v>911.33430231066586</v>
      </c>
      <c r="F20" s="415">
        <f>$AQ$82</f>
        <v>4907.4427324130684</v>
      </c>
      <c r="G20" s="415">
        <f>$AV$82</f>
        <v>581.09048136077752</v>
      </c>
      <c r="H20" s="415">
        <f>$BA$82</f>
        <v>4796.6681971058706</v>
      </c>
      <c r="I20" s="415">
        <f>$BF$82</f>
        <v>557.28330019681641</v>
      </c>
      <c r="J20" s="415">
        <f>$BK$82</f>
        <v>3158.542326713201</v>
      </c>
      <c r="K20" s="415">
        <f>$BP$82</f>
        <v>3163.1178125042179</v>
      </c>
      <c r="L20" s="415">
        <f>$BU$82</f>
        <v>0</v>
      </c>
      <c r="M20" s="415">
        <f>$BZ$82</f>
        <v>0</v>
      </c>
      <c r="N20" s="415">
        <f>$CE$82</f>
        <v>7835.803157557415</v>
      </c>
      <c r="O20" s="415">
        <f>$CJ$82</f>
        <v>3338.076518001898</v>
      </c>
      <c r="P20" s="415">
        <f>$CO$82</f>
        <v>1019.0106116747322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T20" s="9"/>
    </row>
    <row r="21" spans="1:98" s="4" customFormat="1" ht="21" customHeight="1" x14ac:dyDescent="0.25">
      <c r="A21" s="12" t="s">
        <v>37</v>
      </c>
      <c r="B21" s="415">
        <f t="shared" ref="B21:P21" si="7">+B20/IF(B$9="USD",1,$U$2)</f>
        <v>3804.0171339209619</v>
      </c>
      <c r="C21" s="415">
        <f t="shared" si="7"/>
        <v>708.4557407843273</v>
      </c>
      <c r="D21" s="415">
        <f t="shared" si="7"/>
        <v>1946.5247446984611</v>
      </c>
      <c r="E21" s="415">
        <f t="shared" si="7"/>
        <v>1024.6619095015358</v>
      </c>
      <c r="F21" s="415">
        <f t="shared" si="7"/>
        <v>4907.4427324130684</v>
      </c>
      <c r="G21" s="415">
        <f t="shared" si="7"/>
        <v>653.35111463995679</v>
      </c>
      <c r="H21" s="415">
        <f t="shared" si="7"/>
        <v>4796.6681971058706</v>
      </c>
      <c r="I21" s="415">
        <f t="shared" si="7"/>
        <v>626.58342725074931</v>
      </c>
      <c r="J21" s="415">
        <f t="shared" si="7"/>
        <v>3158.542326713201</v>
      </c>
      <c r="K21" s="415">
        <f t="shared" si="7"/>
        <v>3556.4625730877196</v>
      </c>
      <c r="L21" s="415">
        <f t="shared" si="7"/>
        <v>0</v>
      </c>
      <c r="M21" s="415">
        <f t="shared" si="7"/>
        <v>0</v>
      </c>
      <c r="N21" s="415">
        <f t="shared" si="7"/>
        <v>7835.803157557415</v>
      </c>
      <c r="O21" s="415">
        <f t="shared" si="7"/>
        <v>3753.178005399031</v>
      </c>
      <c r="P21" s="415">
        <f t="shared" si="7"/>
        <v>1019.0106116747322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T21" s="9"/>
    </row>
    <row r="22" spans="1:98" x14ac:dyDescent="0.25">
      <c r="A22" s="4"/>
      <c r="R22" s="250"/>
      <c r="T22" s="252"/>
      <c r="CQ22" s="253"/>
    </row>
    <row r="23" spans="1:98" ht="11.25" customHeight="1" x14ac:dyDescent="0.25">
      <c r="A23" s="21"/>
      <c r="B23" s="21"/>
      <c r="C23" s="22"/>
      <c r="D23" s="21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54"/>
      <c r="R23" s="250"/>
      <c r="S23" s="481" t="s">
        <v>148</v>
      </c>
      <c r="T23" s="481"/>
      <c r="U23" s="481"/>
      <c r="V23" s="481"/>
      <c r="W23" s="482"/>
      <c r="X23" s="483" t="s">
        <v>149</v>
      </c>
      <c r="Y23" s="481"/>
      <c r="Z23" s="481"/>
      <c r="AA23" s="481"/>
      <c r="AB23" s="482"/>
      <c r="AC23" s="471" t="s">
        <v>150</v>
      </c>
      <c r="AD23" s="466"/>
      <c r="AE23" s="466"/>
      <c r="AF23" s="466"/>
      <c r="AG23" s="467"/>
      <c r="AH23" s="471" t="s">
        <v>151</v>
      </c>
      <c r="AI23" s="466"/>
      <c r="AJ23" s="466"/>
      <c r="AK23" s="466"/>
      <c r="AL23" s="467"/>
      <c r="AM23" s="484" t="s">
        <v>152</v>
      </c>
      <c r="AN23" s="485"/>
      <c r="AO23" s="485"/>
      <c r="AP23" s="485"/>
      <c r="AQ23" s="486"/>
      <c r="AR23" s="471" t="s">
        <v>153</v>
      </c>
      <c r="AS23" s="466"/>
      <c r="AT23" s="466"/>
      <c r="AU23" s="466"/>
      <c r="AV23" s="467"/>
      <c r="AW23" s="471" t="s">
        <v>154</v>
      </c>
      <c r="AX23" s="466"/>
      <c r="AY23" s="466"/>
      <c r="AZ23" s="466"/>
      <c r="BA23" s="467"/>
      <c r="BB23" s="471" t="s">
        <v>155</v>
      </c>
      <c r="BC23" s="466"/>
      <c r="BD23" s="466"/>
      <c r="BE23" s="466"/>
      <c r="BF23" s="467"/>
      <c r="BG23" s="471" t="s">
        <v>156</v>
      </c>
      <c r="BH23" s="466"/>
      <c r="BI23" s="466"/>
      <c r="BJ23" s="466"/>
      <c r="BK23" s="467"/>
      <c r="BL23" s="471" t="s">
        <v>157</v>
      </c>
      <c r="BM23" s="466"/>
      <c r="BN23" s="466"/>
      <c r="BO23" s="466"/>
      <c r="BP23" s="467"/>
      <c r="BQ23" s="471" t="s">
        <v>158</v>
      </c>
      <c r="BR23" s="466"/>
      <c r="BS23" s="466"/>
      <c r="BT23" s="466"/>
      <c r="BU23" s="467"/>
      <c r="BV23" s="471" t="s">
        <v>159</v>
      </c>
      <c r="BW23" s="466"/>
      <c r="BX23" s="466"/>
      <c r="BY23" s="466"/>
      <c r="BZ23" s="467"/>
      <c r="CA23" s="471" t="s">
        <v>160</v>
      </c>
      <c r="CB23" s="466"/>
      <c r="CC23" s="466"/>
      <c r="CD23" s="466"/>
      <c r="CE23" s="467"/>
      <c r="CF23" s="471" t="s">
        <v>161</v>
      </c>
      <c r="CG23" s="466"/>
      <c r="CH23" s="466"/>
      <c r="CI23" s="466"/>
      <c r="CJ23" s="467"/>
      <c r="CK23" s="471" t="s">
        <v>212</v>
      </c>
      <c r="CL23" s="466"/>
      <c r="CM23" s="466"/>
      <c r="CN23" s="466"/>
      <c r="CO23" s="467"/>
      <c r="CP23" s="4"/>
      <c r="CQ23" s="253" t="s">
        <v>147</v>
      </c>
    </row>
    <row r="24" spans="1:98" ht="22.5" x14ac:dyDescent="0.25">
      <c r="A24" s="23" t="s">
        <v>38</v>
      </c>
      <c r="B24" s="468" t="s">
        <v>39</v>
      </c>
      <c r="C24" s="469"/>
      <c r="D24" s="469"/>
      <c r="E24" s="469"/>
      <c r="F24" s="469"/>
      <c r="G24" s="469"/>
      <c r="H24" s="469"/>
      <c r="I24" s="469"/>
      <c r="J24" s="469"/>
      <c r="K24" s="469"/>
      <c r="L24" s="469"/>
      <c r="M24" s="469"/>
      <c r="N24" s="469"/>
      <c r="O24" s="469"/>
      <c r="P24" s="470"/>
      <c r="Q24" s="24" t="s">
        <v>132</v>
      </c>
      <c r="R24" s="24" t="s">
        <v>40</v>
      </c>
      <c r="S24" s="24" t="s">
        <v>162</v>
      </c>
      <c r="T24" s="25" t="s">
        <v>41</v>
      </c>
      <c r="U24" s="25" t="s">
        <v>42</v>
      </c>
      <c r="V24" s="25" t="s">
        <v>43</v>
      </c>
      <c r="W24" s="26" t="s">
        <v>44</v>
      </c>
      <c r="X24" s="24" t="s">
        <v>162</v>
      </c>
      <c r="Y24" s="25" t="s">
        <v>41</v>
      </c>
      <c r="Z24" s="25" t="s">
        <v>42</v>
      </c>
      <c r="AA24" s="25" t="s">
        <v>43</v>
      </c>
      <c r="AB24" s="26" t="s">
        <v>44</v>
      </c>
      <c r="AC24" s="24" t="s">
        <v>162</v>
      </c>
      <c r="AD24" s="25" t="s">
        <v>41</v>
      </c>
      <c r="AE24" s="25" t="s">
        <v>42</v>
      </c>
      <c r="AF24" s="25" t="s">
        <v>43</v>
      </c>
      <c r="AG24" s="26" t="s">
        <v>44</v>
      </c>
      <c r="AH24" s="24" t="s">
        <v>162</v>
      </c>
      <c r="AI24" s="25" t="s">
        <v>41</v>
      </c>
      <c r="AJ24" s="25" t="s">
        <v>42</v>
      </c>
      <c r="AK24" s="25" t="s">
        <v>43</v>
      </c>
      <c r="AL24" s="26" t="s">
        <v>44</v>
      </c>
      <c r="AM24" s="24" t="s">
        <v>162</v>
      </c>
      <c r="AN24" s="25" t="s">
        <v>41</v>
      </c>
      <c r="AO24" s="25" t="s">
        <v>42</v>
      </c>
      <c r="AP24" s="25" t="s">
        <v>43</v>
      </c>
      <c r="AQ24" s="26" t="s">
        <v>44</v>
      </c>
      <c r="AR24" s="24" t="s">
        <v>162</v>
      </c>
      <c r="AS24" s="25" t="s">
        <v>41</v>
      </c>
      <c r="AT24" s="25" t="s">
        <v>42</v>
      </c>
      <c r="AU24" s="25" t="s">
        <v>43</v>
      </c>
      <c r="AV24" s="26" t="s">
        <v>44</v>
      </c>
      <c r="AW24" s="24" t="s">
        <v>162</v>
      </c>
      <c r="AX24" s="25" t="s">
        <v>41</v>
      </c>
      <c r="AY24" s="25" t="s">
        <v>42</v>
      </c>
      <c r="AZ24" s="25" t="s">
        <v>43</v>
      </c>
      <c r="BA24" s="26" t="s">
        <v>44</v>
      </c>
      <c r="BB24" s="24" t="s">
        <v>162</v>
      </c>
      <c r="BC24" s="25" t="s">
        <v>41</v>
      </c>
      <c r="BD24" s="25" t="s">
        <v>42</v>
      </c>
      <c r="BE24" s="25" t="s">
        <v>43</v>
      </c>
      <c r="BF24" s="26" t="s">
        <v>44</v>
      </c>
      <c r="BG24" s="24" t="s">
        <v>162</v>
      </c>
      <c r="BH24" s="25" t="s">
        <v>41</v>
      </c>
      <c r="BI24" s="25" t="s">
        <v>42</v>
      </c>
      <c r="BJ24" s="25" t="s">
        <v>43</v>
      </c>
      <c r="BK24" s="26" t="s">
        <v>44</v>
      </c>
      <c r="BL24" s="24" t="s">
        <v>162</v>
      </c>
      <c r="BM24" s="25" t="s">
        <v>41</v>
      </c>
      <c r="BN24" s="25" t="s">
        <v>42</v>
      </c>
      <c r="BO24" s="25" t="s">
        <v>43</v>
      </c>
      <c r="BP24" s="26" t="s">
        <v>44</v>
      </c>
      <c r="BQ24" s="24" t="s">
        <v>162</v>
      </c>
      <c r="BR24" s="25" t="s">
        <v>41</v>
      </c>
      <c r="BS24" s="25" t="s">
        <v>42</v>
      </c>
      <c r="BT24" s="25" t="s">
        <v>43</v>
      </c>
      <c r="BU24" s="26" t="s">
        <v>44</v>
      </c>
      <c r="BV24" s="24" t="s">
        <v>162</v>
      </c>
      <c r="BW24" s="25" t="s">
        <v>41</v>
      </c>
      <c r="BX24" s="25" t="s">
        <v>42</v>
      </c>
      <c r="BY24" s="25" t="s">
        <v>43</v>
      </c>
      <c r="BZ24" s="26" t="s">
        <v>44</v>
      </c>
      <c r="CA24" s="24" t="s">
        <v>162</v>
      </c>
      <c r="CB24" s="25" t="s">
        <v>41</v>
      </c>
      <c r="CC24" s="25" t="s">
        <v>42</v>
      </c>
      <c r="CD24" s="25" t="s">
        <v>43</v>
      </c>
      <c r="CE24" s="26" t="s">
        <v>44</v>
      </c>
      <c r="CF24" s="24" t="s">
        <v>162</v>
      </c>
      <c r="CG24" s="25" t="s">
        <v>41</v>
      </c>
      <c r="CH24" s="25" t="s">
        <v>42</v>
      </c>
      <c r="CI24" s="25" t="s">
        <v>43</v>
      </c>
      <c r="CJ24" s="26" t="s">
        <v>44</v>
      </c>
      <c r="CK24" s="24" t="s">
        <v>162</v>
      </c>
      <c r="CL24" s="25" t="s">
        <v>41</v>
      </c>
      <c r="CM24" s="25" t="s">
        <v>42</v>
      </c>
      <c r="CN24" s="25" t="s">
        <v>43</v>
      </c>
      <c r="CO24" s="26" t="s">
        <v>44</v>
      </c>
      <c r="CP24" s="4"/>
      <c r="CQ24" s="24" t="s">
        <v>46</v>
      </c>
      <c r="CR24" s="25" t="s">
        <v>0</v>
      </c>
      <c r="CS24" s="26" t="s">
        <v>48</v>
      </c>
      <c r="CT24"/>
    </row>
    <row r="25" spans="1:98" s="4" customFormat="1" ht="15" x14ac:dyDescent="0.25">
      <c r="A25" s="27">
        <f>+D7</f>
        <v>44027</v>
      </c>
      <c r="B25" s="255">
        <v>0</v>
      </c>
      <c r="C25" s="256">
        <v>0</v>
      </c>
      <c r="D25" s="256">
        <v>0</v>
      </c>
      <c r="E25" s="256">
        <v>0</v>
      </c>
      <c r="F25" s="256">
        <v>0</v>
      </c>
      <c r="G25" s="256">
        <v>0</v>
      </c>
      <c r="H25" s="256">
        <v>0</v>
      </c>
      <c r="I25" s="256">
        <v>0</v>
      </c>
      <c r="J25" s="256">
        <v>0</v>
      </c>
      <c r="K25" s="256">
        <v>0</v>
      </c>
      <c r="L25" s="256">
        <v>0</v>
      </c>
      <c r="M25" s="256">
        <v>0</v>
      </c>
      <c r="N25" s="256">
        <v>0</v>
      </c>
      <c r="O25" s="30">
        <v>0</v>
      </c>
      <c r="P25" s="31">
        <v>0</v>
      </c>
      <c r="Q25" s="2">
        <f>+YEAR(R25)</f>
        <v>2020</v>
      </c>
      <c r="R25" s="249">
        <f>+D7</f>
        <v>44027</v>
      </c>
      <c r="S25" s="404">
        <f>+B18</f>
        <v>6200</v>
      </c>
      <c r="T25" s="404">
        <f>+IF($R25&gt;B$8,"FIN",(S25-SUM($U24:U$25))*VLOOKUP($R25,$A:$Q,2,0)/VLOOKUP(B$15,$M$1:$O$4,2,0))</f>
        <v>0</v>
      </c>
      <c r="U25" s="404">
        <f t="shared" ref="U25:U39" si="8">+IF($R25&gt;B$8,"FIN",IF($R25&lt;=B$8,IFERROR(IF($R25&lt;B$17,0,$B$19/B$16),0),0))</f>
        <v>0</v>
      </c>
      <c r="V25" s="404">
        <f>+SUM(T25:U25)</f>
        <v>0</v>
      </c>
      <c r="W25" s="405">
        <f t="shared" ref="W25:W39" si="9">V25/(1+$B$5)^(YEARFRAC($R$25,$R25))</f>
        <v>0</v>
      </c>
      <c r="X25" s="404">
        <f>+C18</f>
        <v>1100</v>
      </c>
      <c r="Y25" s="404">
        <f>+IF($R25&gt;C$8,"FIN",(X25-SUM($Z24:Z$25))*VLOOKUP($R25,$A:$Q,3,0)/VLOOKUP(C$15,$M$1:$O$4,2,0))</f>
        <v>0</v>
      </c>
      <c r="Z25" s="404">
        <f>+IF($R25&gt;C$8,"FIN",IF($R25&lt;=C$8,IFERROR(IF($R25&lt;C$17,0,C$19/C$16),0),0))</f>
        <v>0</v>
      </c>
      <c r="AA25" s="404">
        <f t="shared" ref="AA25:AA39" si="10">+SUM(Y25:Z25)</f>
        <v>0</v>
      </c>
      <c r="AB25" s="405">
        <f t="shared" ref="AB25:AB39" si="11">AA25/(1+$B$5)^(YEARFRAC($R$25,$R25))</f>
        <v>0</v>
      </c>
      <c r="AC25" s="404">
        <f>+D18</f>
        <v>3300</v>
      </c>
      <c r="AD25" s="404">
        <f>+IF($R25&gt;D$8,"FIN",(AC25-SUM($AE24:AE$25))*VLOOKUP($R25,$A:$Q,4,0)/VLOOKUP(D$15,$M$1:$O$4,2,0))</f>
        <v>0</v>
      </c>
      <c r="AE25" s="404">
        <f t="shared" ref="AE25:AE45" si="12">+IF($R25&gt;D$8,"FIN",IF($R25&lt;=D$8,IFERROR(IF($R25&lt;D$17,0,D$19/D$16),0),0))</f>
        <v>0</v>
      </c>
      <c r="AF25" s="404">
        <f t="shared" ref="AF25:AF26" si="13">+SUM(AD25:AE25)</f>
        <v>0</v>
      </c>
      <c r="AG25" s="405">
        <f t="shared" ref="AG25:AG45" si="14">AF25/(1+$B$5)^(YEARFRAC($R$25,$R25))</f>
        <v>0</v>
      </c>
      <c r="AH25" s="404">
        <f>+E18</f>
        <v>1700.0000000000002</v>
      </c>
      <c r="AI25" s="404">
        <f>+IF($R25&gt;E$8,"FIN",(AH25-SUM($AJ24:AJ$25))*VLOOKUP($R25,$A:$Q,5,0)/VLOOKUP(E$15,$M$1:$O$4,2,0))</f>
        <v>0</v>
      </c>
      <c r="AJ25" s="404">
        <f t="shared" ref="AJ25:AJ45" si="15">+IF($R25&gt;E$8,"FIN",IF($R25&lt;=E$8,IFERROR(IF($R25&lt;E$17,0,E$19/E$16),0),0))</f>
        <v>0</v>
      </c>
      <c r="AK25" s="404">
        <f t="shared" ref="AK25:AK45" si="16">+SUM(AI25:AJ25)</f>
        <v>0</v>
      </c>
      <c r="AL25" s="405">
        <f t="shared" ref="AL25:AL45" si="17">AK25/(1+$B$5)^(YEARFRAC($R$25,$R25))</f>
        <v>0</v>
      </c>
      <c r="AM25" s="404">
        <f>+F18</f>
        <v>8600</v>
      </c>
      <c r="AN25" s="404">
        <f>+IF($R25&gt;F$8,"FIN",(AM25-SUM($AO24:AO$25))*VLOOKUP($R25,$A:$Q,6,0)/VLOOKUP(F$15,$M$1:$O$4,2,0))</f>
        <v>0</v>
      </c>
      <c r="AO25" s="404">
        <f t="shared" ref="AO25:AO51" si="18">+IF($R25&gt;F$8,"FIN",IF($R25&lt;=F$8,IFERROR(IF($R25&lt;F$17,0,F$19/F$16),0),0))</f>
        <v>0</v>
      </c>
      <c r="AP25" s="404">
        <f t="shared" ref="AP25:AP51" si="19">+SUM(AN25:AO25)</f>
        <v>0</v>
      </c>
      <c r="AQ25" s="405">
        <f t="shared" ref="AQ25:AQ51" si="20">AP25/(1+$B$5)^(YEARFRAC($R$25,$R25))</f>
        <v>0</v>
      </c>
      <c r="AR25" s="404">
        <f>+G18</f>
        <v>1150</v>
      </c>
      <c r="AS25" s="404">
        <f>+IF($R25&gt;G$8,"FIN",(AR25-SUM(AT24:AT$25))*VLOOKUP($R25,$A:$Q,7,0)/VLOOKUP(G$15,$M$1:$O$4,2,0))</f>
        <v>0</v>
      </c>
      <c r="AT25" s="404">
        <f t="shared" ref="AT25:AT51" si="21">+IF($R25&gt;G$8,"FIN",IF($R25&lt;=G$8,IFERROR(IF($R25&lt;G$17,0,G$19/G$16),0),0))</f>
        <v>0</v>
      </c>
      <c r="AU25" s="404">
        <f>+SUM(AS25:AT25)</f>
        <v>0</v>
      </c>
      <c r="AV25" s="405">
        <f t="shared" ref="AV25:AV51" si="22">AU25/(1+$B$5)^(YEARFRAC($R$25,$R25))</f>
        <v>0</v>
      </c>
      <c r="AW25" s="404">
        <f>+H18</f>
        <v>8600.0000000000018</v>
      </c>
      <c r="AX25" s="404">
        <f>+IF($R25&gt;H$8,"FIN",(AW25-SUM(AY24:AY$25))*VLOOKUP($R25,$A:$Q,8,0)/VLOOKUP(H$15,$M$1:$O$4,2,0))</f>
        <v>0</v>
      </c>
      <c r="AY25" s="404">
        <f t="shared" ref="AY25:AY57" si="23">+IF($R25&gt;H$8,"FIN",IF($R25&lt;=H$8,IFERROR(IF($R25&lt;H$17,0,H$19/H$16),0),0))</f>
        <v>0</v>
      </c>
      <c r="AZ25" s="404">
        <f t="shared" ref="AZ25:AZ57" si="24">+SUM(AX25:AY25)</f>
        <v>0</v>
      </c>
      <c r="BA25" s="405">
        <f t="shared" ref="BA25:BA57" si="25">AZ25/(1+$B$5)^(YEARFRAC($R$25,$R25))</f>
        <v>0</v>
      </c>
      <c r="BB25" s="404">
        <f>+I18</f>
        <v>1150</v>
      </c>
      <c r="BC25" s="404">
        <f>+IF($R25&gt;I$8,"FIN",(BB25-SUM(BD24:BD$25))*VLOOKUP($R25,$A:$Q,9,0)/VLOOKUP(I$15,$M$1:$O$4,2,0))</f>
        <v>0</v>
      </c>
      <c r="BD25" s="404">
        <f t="shared" ref="BD25:BD57" si="26">+IF($R25&gt;I$8,"FIN",IF($R25&lt;=I$8,IFERROR(IF($R25&lt;I$17,0,I$19/I$16),0),0))</f>
        <v>0</v>
      </c>
      <c r="BE25" s="404">
        <f>+SUM(BC25:BD25)</f>
        <v>0</v>
      </c>
      <c r="BF25" s="405">
        <f t="shared" ref="BF25:BF57" si="27">BE25/(1+$B$5)^(YEARFRAC($R$25,$R25))</f>
        <v>0</v>
      </c>
      <c r="BG25" s="404">
        <f>+J18</f>
        <v>5200</v>
      </c>
      <c r="BH25" s="404">
        <f>+IF($R25&gt;J$8,"FIN",(BG25-SUM(BI24:BI$25))*VLOOKUP($R25,$A:$Q,10,0)/VLOOKUP(J$15,$M$1:$O$4,2,0))</f>
        <v>0</v>
      </c>
      <c r="BI25" s="404">
        <f>+IF($R25&gt;J$8,"FIN",IF($R25&lt;=J$8,IFERROR(IF($R25&lt;J$17,0,J$18/J$16),0),0))</f>
        <v>0</v>
      </c>
      <c r="BJ25" s="404">
        <f t="shared" ref="BJ25:BJ61" si="28">+SUM(BH25:BI25)</f>
        <v>0</v>
      </c>
      <c r="BK25" s="405">
        <f t="shared" ref="BK25:BK61" si="29">BJ25/(1+$B$5)^(YEARFRAC($R$25,$R25))</f>
        <v>0</v>
      </c>
      <c r="BL25" s="404">
        <f>+K18</f>
        <v>5800</v>
      </c>
      <c r="BM25" s="404">
        <f>+IF($R25&gt;K$8,"FIN",(BL25-SUM(BN24:BN$25))*VLOOKUP($R25,$A:$Q,11,0)/VLOOKUP(K$15,$M$1:$O$4,2,0))</f>
        <v>0</v>
      </c>
      <c r="BN25" s="404">
        <f>+IF($R25&gt;K$8,"FIN",IF($R25&lt;=K$8,IFERROR(IF($R25&lt;K$17,0,K$18/K$16),0),0))</f>
        <v>0</v>
      </c>
      <c r="BO25" s="404">
        <f>+SUM(BM25:BN25)</f>
        <v>0</v>
      </c>
      <c r="BP25" s="405">
        <f t="shared" ref="BP25:BP61" si="30">BO25/(1+$B$5)^(YEARFRAC($R$25,$R25))</f>
        <v>0</v>
      </c>
      <c r="BQ25" s="404">
        <f>+L18</f>
        <v>0</v>
      </c>
      <c r="BR25" s="404">
        <f>+IF($R25&gt;L$8,"FIN",(BQ25-SUM(BS24:BS$25))*VLOOKUP($R25,$A:$Q,12,0)/VLOOKUP(L$15,$M$1:$O$4,2,0))</f>
        <v>0</v>
      </c>
      <c r="BS25" s="404">
        <f t="shared" ref="BS25:BS67" si="31">+IF($R25&gt;L$8,"FIN",IF($R25&lt;=L$8,IFERROR(IF($R25&lt;L$17,0,L$19/L$16),0),0))</f>
        <v>0</v>
      </c>
      <c r="BT25" s="404">
        <f t="shared" ref="BT25:BT67" si="32">+SUM(BR25:BS25)</f>
        <v>0</v>
      </c>
      <c r="BU25" s="405">
        <f t="shared" ref="BU25:BU67" si="33">BT25/(1+$B$5)^(YEARFRAC($R$25,$R25))</f>
        <v>0</v>
      </c>
      <c r="BV25" s="404">
        <f>+M18</f>
        <v>0</v>
      </c>
      <c r="BW25" s="404">
        <f>+IF($R25&gt;M$8,"FIN",(BV25-SUM(BX24:BX$25))*VLOOKUP($R25,$A:$Q,13,0)/VLOOKUP(M$15,$M$1:$O$4,2,0))</f>
        <v>0</v>
      </c>
      <c r="BX25" s="404">
        <f t="shared" ref="BX25:BX67" si="34">+IF($R25&gt;M$8,"FIN",IF($R25&lt;=M$8,IFERROR(IF($R25&lt;M$17,0,M$19/M$16),0),0))</f>
        <v>0</v>
      </c>
      <c r="BY25" s="404">
        <f>+SUM(BW25:BX25)</f>
        <v>0</v>
      </c>
      <c r="BZ25" s="405">
        <f t="shared" ref="BZ25:BZ67" si="35">BY25/(1+$B$5)^(YEARFRAC($R$25,$R25))</f>
        <v>0</v>
      </c>
      <c r="CA25" s="404">
        <f>+N18</f>
        <v>14079.830909345501</v>
      </c>
      <c r="CB25" s="404">
        <f>+IF($R25&gt;N$8,"FIN",(CA25-SUM(CC24:CC$25))*VLOOKUP($R25,$A:$Q,14,0)/VLOOKUP(N$15,$M$1:$O$4,2,0))</f>
        <v>0</v>
      </c>
      <c r="CC25" s="404">
        <f t="shared" ref="CC25:CC75" si="36">+IF($R25&gt;N$8,"FIN",IF($R25&lt;=N$8,IFERROR(IF($R25&lt;N$17,0,N$19/N$16),0),0))</f>
        <v>0</v>
      </c>
      <c r="CD25" s="404">
        <f t="shared" ref="CD25" si="37">+SUM(CB25:CC25)</f>
        <v>0</v>
      </c>
      <c r="CE25" s="405">
        <f t="shared" ref="CE25:CE56" si="38">CD25/(1+$B$5)^(YEARFRAC($R$25,$R25))</f>
        <v>0</v>
      </c>
      <c r="CF25" s="404">
        <f>+O18</f>
        <v>6893.2985731165309</v>
      </c>
      <c r="CG25" s="404">
        <f>+IF($R25&gt;O$8,"FIN",(CF25-SUM(CH24:CH$25))*VLOOKUP($R25,$A:$Q,15,0)/VLOOKUP(O$15,$M$1:$O$4,2,0))</f>
        <v>0</v>
      </c>
      <c r="CH25" s="404">
        <f t="shared" ref="CH25:CH75" si="39">+IF($R25&gt;O$8,"FIN",IF($R25&lt;=O$8,IFERROR(IF($R25&lt;O$17,0,O$19/O$16),0),0))</f>
        <v>0</v>
      </c>
      <c r="CI25" s="404">
        <f>+SUM(CG25:CH25)</f>
        <v>0</v>
      </c>
      <c r="CJ25" s="405">
        <f t="shared" ref="CJ25:CJ56" si="40">CI25/(1+$B$5)^(YEARFRAC($R$25,$R25))</f>
        <v>0</v>
      </c>
      <c r="CK25" s="404">
        <f>+P18</f>
        <v>1118.5863898502396</v>
      </c>
      <c r="CL25" s="404">
        <f>+IF($R25&gt;P$8,"FIN",(CK25-SUM(CM24:CM$25))*VLOOKUP($R25,$A:$Q,16,0)/VLOOKUP(P$15,$M$1:$O$4,2,0))</f>
        <v>0</v>
      </c>
      <c r="CM25" s="404">
        <f>+IF($R25&gt;P$8,"FIN",IF($R25&lt;=P$8,IFERROR(IF($R25&lt;P$17,0,P$19/P$16),0),0))</f>
        <v>0</v>
      </c>
      <c r="CN25" s="404">
        <f t="shared" ref="CN25:CN31" si="41">+SUM(CL25:CM25)</f>
        <v>0</v>
      </c>
      <c r="CO25" s="405">
        <f t="shared" ref="CO25:CO31" si="42">CN25/(1+$B$5)^(YEARFRAC($R$25,$R25))</f>
        <v>0</v>
      </c>
      <c r="CP25" s="397"/>
      <c r="CQ25" s="406">
        <f>+T25+Y25/$U$2+AD25+AI25/$U$2+AN25+AS25/$U$2+AX25+BC25/$U$2+BH25+BM25/$U$2+BR25+BW25/$U$2+CB25+CG25/$U$2+CL25</f>
        <v>0</v>
      </c>
      <c r="CR25" s="407">
        <f>+U25+Z25/$U$2+AE25+AJ25/$U$2+AO25+AT25/$U$2+AY25+BD25/$U$2+BI25+BN25/$U$2+BS25+BX25/$U$2+CC25+CH25/$U$2+CM25</f>
        <v>0</v>
      </c>
      <c r="CS25" s="408">
        <f>+SUM(CQ25:CR25)</f>
        <v>0</v>
      </c>
      <c r="CT25"/>
    </row>
    <row r="26" spans="1:98" s="4" customFormat="1" ht="15" x14ac:dyDescent="0.25">
      <c r="A26" s="27">
        <f t="shared" ref="A26:A80" si="43">DATE(YEAR(A25),MONTH(A25)+VLOOKUP($D$15,$M$1:$O$4,3,0),DAY(A25))</f>
        <v>44211</v>
      </c>
      <c r="B26" s="255">
        <v>7.4999999999999997E-3</v>
      </c>
      <c r="C26" s="256">
        <v>1.25E-3</v>
      </c>
      <c r="D26" s="256">
        <v>7.4999999999999997E-3</v>
      </c>
      <c r="E26" s="256">
        <v>2.5000000000000001E-3</v>
      </c>
      <c r="F26" s="256">
        <v>7.4999999999999997E-3</v>
      </c>
      <c r="G26" s="256">
        <v>2.5000000000000001E-3</v>
      </c>
      <c r="H26" s="256">
        <v>7.4999999999999997E-3</v>
      </c>
      <c r="I26" s="256">
        <v>2.5000000000000001E-3</v>
      </c>
      <c r="J26" s="256">
        <v>5.0000000000000001E-3</v>
      </c>
      <c r="K26" s="256">
        <v>4.0000000000000001E-3</v>
      </c>
      <c r="L26" s="256">
        <v>1.25E-3</v>
      </c>
      <c r="M26" s="256">
        <v>1.25E-3</v>
      </c>
      <c r="N26" s="256">
        <v>7.4999999999999997E-3</v>
      </c>
      <c r="O26" s="286">
        <v>2.5000000000000001E-3</v>
      </c>
      <c r="P26" s="259">
        <v>0.04</v>
      </c>
      <c r="Q26" s="2">
        <f t="shared" ref="Q26:Q80" si="44">+YEAR(R26)</f>
        <v>2021</v>
      </c>
      <c r="R26" s="27">
        <f t="shared" ref="R26:R80" si="45">+DATE(YEAR(R25),MONTH(R25)+VLOOKUP(D$15,$M$1:$O$4,3,0),DAY(R25))</f>
        <v>44211</v>
      </c>
      <c r="S26" s="404">
        <f>+S25</f>
        <v>6200</v>
      </c>
      <c r="T26" s="404">
        <f>+IF($R26&gt;B$8,"FIN",(S26-SUM($U$25:U25))*VLOOKUP($R26,$A:$Q,2,0)/VLOOKUP(B$15,$M$1:$O$4,2,0))</f>
        <v>23.25</v>
      </c>
      <c r="U26" s="404">
        <f t="shared" si="8"/>
        <v>0</v>
      </c>
      <c r="V26" s="404">
        <f t="shared" ref="V26:V39" si="46">+SUM(T26:U26)</f>
        <v>23.25</v>
      </c>
      <c r="W26" s="405">
        <f t="shared" si="9"/>
        <v>22.168005199960021</v>
      </c>
      <c r="X26" s="404">
        <f>+X25</f>
        <v>1100</v>
      </c>
      <c r="Y26" s="404">
        <f>+IF($R26&gt;C$8,"FIN",(X26-SUM($Z$25:Z25))*VLOOKUP($R26,$A:$Q,3,0)/VLOOKUP(C$15,$M$1:$O$4,2,0))</f>
        <v>0.6875</v>
      </c>
      <c r="Z26" s="404">
        <f t="shared" ref="Z26:Z39" si="47">+IF($R26&gt;C$8,"FIN",IF($R26&lt;=C$8,IFERROR(IF($R26&lt;C$17,0,C$19/C$16),0),0))</f>
        <v>0</v>
      </c>
      <c r="AA26" s="404">
        <f t="shared" si="10"/>
        <v>0.6875</v>
      </c>
      <c r="AB26" s="405">
        <f t="shared" si="11"/>
        <v>0.65550553010634471</v>
      </c>
      <c r="AC26" s="404">
        <f>+AC25</f>
        <v>3300</v>
      </c>
      <c r="AD26" s="404">
        <f>+IF($R26&gt;D$8,"FIN",(AC26-SUM($AE$25:AE25))*VLOOKUP($R26,$A:$Q,4,0)/VLOOKUP(D$15,$M$1:$O$4,2,0))</f>
        <v>12.375</v>
      </c>
      <c r="AE26" s="404">
        <f t="shared" si="12"/>
        <v>0</v>
      </c>
      <c r="AF26" s="404">
        <f t="shared" si="13"/>
        <v>12.375</v>
      </c>
      <c r="AG26" s="405">
        <f t="shared" si="14"/>
        <v>11.799099541914204</v>
      </c>
      <c r="AH26" s="404">
        <f>+AH25</f>
        <v>1700.0000000000002</v>
      </c>
      <c r="AI26" s="404">
        <f>+IF($R26&gt;E$8,"FIN",(AH26-SUM($AJ$25:AJ25))*VLOOKUP($R26,$A:$Q,5,0)/VLOOKUP(E$15,$M$1:$O$4,2,0))</f>
        <v>2.1250000000000004</v>
      </c>
      <c r="AJ26" s="404">
        <f t="shared" si="15"/>
        <v>0</v>
      </c>
      <c r="AK26" s="404">
        <f t="shared" si="16"/>
        <v>2.1250000000000004</v>
      </c>
      <c r="AL26" s="405">
        <f t="shared" si="17"/>
        <v>2.0261080021468838</v>
      </c>
      <c r="AM26" s="404">
        <f>+AM25</f>
        <v>8600</v>
      </c>
      <c r="AN26" s="404">
        <f>+IF($R26&gt;F$8,"FIN",(AM26-SUM($AO$25:AO25))*VLOOKUP($R26,$A:$Q,6,0)/VLOOKUP(F$15,$M$1:$O$4,2,0))</f>
        <v>32.25</v>
      </c>
      <c r="AO26" s="404">
        <f t="shared" si="18"/>
        <v>0</v>
      </c>
      <c r="AP26" s="404">
        <f t="shared" si="19"/>
        <v>32.25</v>
      </c>
      <c r="AQ26" s="405">
        <f t="shared" si="20"/>
        <v>30.749168503170349</v>
      </c>
      <c r="AR26" s="404">
        <f>+AR25</f>
        <v>1150</v>
      </c>
      <c r="AS26" s="404">
        <f>+IF($R26&gt;G$8,"FIN",(AR26-SUM(AT$25:AT25))*VLOOKUP($R26,$A:$Q,7,0)/VLOOKUP(G$15,$M$1:$O$4,2,0))</f>
        <v>1.4375</v>
      </c>
      <c r="AT26" s="404">
        <f t="shared" si="21"/>
        <v>0</v>
      </c>
      <c r="AU26" s="404">
        <f t="shared" ref="AU26:AU51" si="48">+SUM(AS26:AT26)</f>
        <v>1.4375</v>
      </c>
      <c r="AV26" s="405">
        <f t="shared" si="22"/>
        <v>1.3706024720405388</v>
      </c>
      <c r="AW26" s="404">
        <f>+AW25</f>
        <v>8600.0000000000018</v>
      </c>
      <c r="AX26" s="404">
        <f>+IF($R26&gt;H$8,"FIN",(AW26-SUM(AY$25:AY25))*VLOOKUP($R26,$A:$Q,8,0)/VLOOKUP(H$15,$M$1:$O$4,2,0))</f>
        <v>32.250000000000007</v>
      </c>
      <c r="AY26" s="404">
        <f t="shared" si="23"/>
        <v>0</v>
      </c>
      <c r="AZ26" s="404">
        <f t="shared" si="24"/>
        <v>32.250000000000007</v>
      </c>
      <c r="BA26" s="405">
        <f t="shared" si="25"/>
        <v>30.749168503170356</v>
      </c>
      <c r="BB26" s="404">
        <f>+BB25</f>
        <v>1150</v>
      </c>
      <c r="BC26" s="404">
        <f>+IF($R26&gt;I$8,"FIN",(BB26-SUM(BD$25:BD25))*VLOOKUP($R26,$A:$Q,9,0)/VLOOKUP(I$15,$M$1:$O$4,2,0))</f>
        <v>1.4375</v>
      </c>
      <c r="BD26" s="404">
        <f t="shared" si="26"/>
        <v>0</v>
      </c>
      <c r="BE26" s="404">
        <f t="shared" ref="BE26:BE57" si="49">+SUM(BC26:BD26)</f>
        <v>1.4375</v>
      </c>
      <c r="BF26" s="405">
        <f t="shared" si="27"/>
        <v>1.3706024720405388</v>
      </c>
      <c r="BG26" s="404">
        <f>+BG25</f>
        <v>5200</v>
      </c>
      <c r="BH26" s="404">
        <f>+IF($R26&gt;J$8,"FIN",(BG26-SUM(BI$25:BI25))*VLOOKUP($R26,$A:$Q,10,0)/VLOOKUP(J$15,$M$1:$O$4,2,0))</f>
        <v>13</v>
      </c>
      <c r="BI26" s="404">
        <f t="shared" ref="BI26:BI61" si="50">+IF($R26&gt;J$8,"FIN",IF($R26&lt;=J$8,IFERROR(IF($R26&lt;J$17,0,J$18/J$16),0),0))</f>
        <v>0</v>
      </c>
      <c r="BJ26" s="404">
        <f t="shared" si="28"/>
        <v>13</v>
      </c>
      <c r="BK26" s="405">
        <f t="shared" si="29"/>
        <v>12.395013660192699</v>
      </c>
      <c r="BL26" s="404">
        <f>+BL25</f>
        <v>5800</v>
      </c>
      <c r="BM26" s="404">
        <f>+IF($R26&gt;K$8,"FIN",(BL26-SUM(BN$25:BN25))*VLOOKUP($R26,$A:$Q,11,0)/VLOOKUP(K$15,$M$1:$O$4,2,0))</f>
        <v>11.6</v>
      </c>
      <c r="BN26" s="404">
        <f t="shared" ref="BN26:BN61" si="51">+IF($R26&gt;K$8,"FIN",IF($R26&lt;=K$8,IFERROR(IF($R26&lt;K$17,0,K$18/K$16),0),0))</f>
        <v>0</v>
      </c>
      <c r="BO26" s="404">
        <f t="shared" ref="BO26:BO61" si="52">+SUM(BM26:BN26)</f>
        <v>11.6</v>
      </c>
      <c r="BP26" s="405">
        <f t="shared" si="30"/>
        <v>11.060166035248869</v>
      </c>
      <c r="BQ26" s="404">
        <f>+BQ25</f>
        <v>0</v>
      </c>
      <c r="BR26" s="404">
        <f>+IF($R26&gt;L$8,"FIN",(BQ26-SUM(BS$25:BS25))*VLOOKUP($R26,$A:$Q,12,0)/VLOOKUP(L$15,$M$1:$O$4,2,0))</f>
        <v>0</v>
      </c>
      <c r="BS26" s="404">
        <f t="shared" si="31"/>
        <v>0</v>
      </c>
      <c r="BT26" s="404">
        <f t="shared" si="32"/>
        <v>0</v>
      </c>
      <c r="BU26" s="405">
        <f t="shared" si="33"/>
        <v>0</v>
      </c>
      <c r="BV26" s="404">
        <f>+BV25</f>
        <v>0</v>
      </c>
      <c r="BW26" s="404">
        <f>+IF($R26&gt;M$8,"FIN",(BV26-SUM(BX$25:BX25))*VLOOKUP($R26,$A:$Q,13,0)/VLOOKUP(M$15,$M$1:$O$4,2,0))</f>
        <v>0</v>
      </c>
      <c r="BX26" s="404">
        <f t="shared" si="34"/>
        <v>0</v>
      </c>
      <c r="BY26" s="404">
        <f t="shared" ref="BY26:BY67" si="53">+SUM(BW26:BX26)</f>
        <v>0</v>
      </c>
      <c r="BZ26" s="405">
        <f t="shared" si="35"/>
        <v>0</v>
      </c>
      <c r="CA26" s="404">
        <f>+CA25</f>
        <v>14079.830909345501</v>
      </c>
      <c r="CB26" s="404">
        <f>+IF($R26&gt;N$8,"FIN",(CA26-SUM(CC$25:CC25))*VLOOKUP($R26,$A:$Q,14,0)/VLOOKUP(N$15,$M$1:$O$4,2,0))</f>
        <v>52.79936591004563</v>
      </c>
      <c r="CC26" s="404">
        <f t="shared" si="36"/>
        <v>0</v>
      </c>
      <c r="CD26" s="404">
        <f t="shared" ref="CD26:CD75" si="54">+SUM(CB26:CC26)</f>
        <v>52.79936591004563</v>
      </c>
      <c r="CE26" s="405">
        <f t="shared" si="38"/>
        <v>50.342220131117564</v>
      </c>
      <c r="CF26" s="404">
        <f>+CF25</f>
        <v>6893.2985731165309</v>
      </c>
      <c r="CG26" s="404">
        <f>+IF($R26&gt;O$8,"FIN",(CF26-SUM(CH$25:CH25))*VLOOKUP($R26,$A:$Q,15,0)/VLOOKUP(O$15,$M$1:$O$4,2,0))</f>
        <v>8.6166232163956646</v>
      </c>
      <c r="CH26" s="404">
        <f>+IF($R26&gt;O$8,"FIN",IF($R26&lt;=O$8,IFERROR(IF($R26&lt;O$17,0,O$19/O$16),0),0))</f>
        <v>0</v>
      </c>
      <c r="CI26" s="404">
        <f t="shared" ref="CI26:CI75" si="55">+SUM(CG26:CH26)</f>
        <v>8.6166232163956646</v>
      </c>
      <c r="CJ26" s="405">
        <f t="shared" si="40"/>
        <v>8.2156278824582927</v>
      </c>
      <c r="CK26" s="404">
        <f>+CK25</f>
        <v>1118.5863898502396</v>
      </c>
      <c r="CL26" s="404">
        <f>+IF($R26&gt;P$8,"FIN",(CK26-SUM(CM$25:CM25))*VLOOKUP($R26,$A:$Q,16,0)/VLOOKUP(P$15,$M$1:$O$4,2,0))</f>
        <v>22.371727797004791</v>
      </c>
      <c r="CM26" s="404">
        <f>+IF($R26&gt;P$8,"FIN",IF($R26&lt;=P$8,IFERROR(IF($R26&lt;P$17,0,P$19/P$16),0),0))</f>
        <v>186.43106497503993</v>
      </c>
      <c r="CN26" s="404">
        <f t="shared" si="41"/>
        <v>208.80279277204471</v>
      </c>
      <c r="CO26" s="405">
        <f t="shared" si="42"/>
        <v>199.08565143814459</v>
      </c>
      <c r="CP26" s="397"/>
      <c r="CQ26" s="348">
        <f t="shared" ref="CQ26:CR81" si="56">+T26+Y26/$U$2+AD26+AI26/$U$2+AN26+AS26/$U$2+AX26+BC26/$U$2+BH26+BM26/$U$2+BR26+BW26/$U$2+CB26+CG26/$U$2+CL26</f>
        <v>217.42148522537246</v>
      </c>
      <c r="CR26" s="409">
        <f t="shared" si="56"/>
        <v>186.43106497503993</v>
      </c>
      <c r="CS26" s="410">
        <f t="shared" ref="CS26:CS81" si="57">+SUM(CQ26:CR26)</f>
        <v>403.8525502004124</v>
      </c>
      <c r="CT26"/>
    </row>
    <row r="27" spans="1:98" s="4" customFormat="1" ht="15" x14ac:dyDescent="0.25">
      <c r="A27" s="27">
        <f t="shared" si="43"/>
        <v>44392</v>
      </c>
      <c r="B27" s="255">
        <v>7.4999999999999997E-3</v>
      </c>
      <c r="C27" s="256">
        <v>1.25E-3</v>
      </c>
      <c r="D27" s="256">
        <v>7.4999999999999997E-3</v>
      </c>
      <c r="E27" s="256">
        <v>2.5000000000000001E-3</v>
      </c>
      <c r="F27" s="256">
        <v>7.4999999999999997E-3</v>
      </c>
      <c r="G27" s="256">
        <v>2.5000000000000001E-3</v>
      </c>
      <c r="H27" s="256">
        <v>7.4999999999999997E-3</v>
      </c>
      <c r="I27" s="256">
        <v>2.5000000000000001E-3</v>
      </c>
      <c r="J27" s="256">
        <v>5.0000000000000001E-3</v>
      </c>
      <c r="K27" s="256">
        <v>4.0000000000000001E-3</v>
      </c>
      <c r="L27" s="256">
        <v>1.25E-3</v>
      </c>
      <c r="M27" s="256">
        <v>1.25E-3</v>
      </c>
      <c r="N27" s="256">
        <v>7.4999999999999997E-3</v>
      </c>
      <c r="O27" s="286">
        <v>2.5000000000000001E-3</v>
      </c>
      <c r="P27" s="259">
        <v>0.04</v>
      </c>
      <c r="Q27" s="2">
        <f t="shared" si="44"/>
        <v>2021</v>
      </c>
      <c r="R27" s="27">
        <f t="shared" si="45"/>
        <v>44392</v>
      </c>
      <c r="S27" s="404">
        <f t="shared" ref="S27:S39" si="58">+S26</f>
        <v>6200</v>
      </c>
      <c r="T27" s="404">
        <f>+IF($R27&gt;B$8,"FIN",(S27-SUM($U$25:U26))*VLOOKUP($R27,$A:$Q,2,0)/VLOOKUP(B$15,$M$1:$O$4,2,0))</f>
        <v>23.25</v>
      </c>
      <c r="U27" s="404">
        <f t="shared" si="8"/>
        <v>0</v>
      </c>
      <c r="V27" s="404">
        <f t="shared" si="46"/>
        <v>23.25</v>
      </c>
      <c r="W27" s="405">
        <f t="shared" si="9"/>
        <v>21.136363636363633</v>
      </c>
      <c r="X27" s="404">
        <f t="shared" ref="X27:X39" si="59">+X26</f>
        <v>1100</v>
      </c>
      <c r="Y27" s="404">
        <f>+IF($R27&gt;C$8,"FIN",(X27-SUM($Z$25:Z26))*VLOOKUP($R27,$A:$Q,3,0)/VLOOKUP(C$15,$M$1:$O$4,2,0))</f>
        <v>0.6875</v>
      </c>
      <c r="Z27" s="404">
        <f t="shared" si="47"/>
        <v>0</v>
      </c>
      <c r="AA27" s="404">
        <f t="shared" si="10"/>
        <v>0.6875</v>
      </c>
      <c r="AB27" s="405">
        <f t="shared" si="11"/>
        <v>0.625</v>
      </c>
      <c r="AC27" s="404">
        <f t="shared" ref="AC27:AC45" si="60">+AC26</f>
        <v>3300</v>
      </c>
      <c r="AD27" s="404">
        <f>+IF($R27&gt;D$8,"FIN",(AC27-SUM($AE$25:AE26))*VLOOKUP($R27,$A:$Q,4,0)/VLOOKUP(D$15,$M$1:$O$4,2,0))</f>
        <v>12.375</v>
      </c>
      <c r="AE27" s="404">
        <f t="shared" si="12"/>
        <v>0</v>
      </c>
      <c r="AF27" s="404">
        <f>+SUM(AD27:AE27)</f>
        <v>12.375</v>
      </c>
      <c r="AG27" s="405">
        <f t="shared" si="14"/>
        <v>11.249999999999998</v>
      </c>
      <c r="AH27" s="404">
        <f t="shared" ref="AH27:AH45" si="61">+AH26</f>
        <v>1700.0000000000002</v>
      </c>
      <c r="AI27" s="404">
        <f>+IF($R27&gt;E$8,"FIN",(AH27-SUM($AJ$25:AJ26))*VLOOKUP($R27,$A:$Q,5,0)/VLOOKUP(E$15,$M$1:$O$4,2,0))</f>
        <v>2.1250000000000004</v>
      </c>
      <c r="AJ27" s="404">
        <f t="shared" si="15"/>
        <v>0</v>
      </c>
      <c r="AK27" s="404">
        <f t="shared" si="16"/>
        <v>2.1250000000000004</v>
      </c>
      <c r="AL27" s="405">
        <f t="shared" si="17"/>
        <v>1.9318181818181821</v>
      </c>
      <c r="AM27" s="404">
        <f t="shared" ref="AM27:AM51" si="62">+AM26</f>
        <v>8600</v>
      </c>
      <c r="AN27" s="404">
        <f>+IF($R27&gt;F$8,"FIN",(AM27-SUM($AO$25:AO26))*VLOOKUP($R27,$A:$Q,6,0)/VLOOKUP(F$15,$M$1:$O$4,2,0))</f>
        <v>32.25</v>
      </c>
      <c r="AO27" s="404">
        <f t="shared" si="18"/>
        <v>0</v>
      </c>
      <c r="AP27" s="404">
        <f t="shared" si="19"/>
        <v>32.25</v>
      </c>
      <c r="AQ27" s="405">
        <f t="shared" si="20"/>
        <v>29.318181818181817</v>
      </c>
      <c r="AR27" s="404">
        <f t="shared" ref="AR27:AR51" si="63">+AR26</f>
        <v>1150</v>
      </c>
      <c r="AS27" s="404">
        <f>+IF($R27&gt;G$8,"FIN",(AR27-SUM(AT$25:AT26))*VLOOKUP($R27,$A:$Q,7,0)/VLOOKUP(G$15,$M$1:$O$4,2,0))</f>
        <v>1.4375</v>
      </c>
      <c r="AT27" s="404">
        <f t="shared" si="21"/>
        <v>0</v>
      </c>
      <c r="AU27" s="404">
        <f t="shared" si="48"/>
        <v>1.4375</v>
      </c>
      <c r="AV27" s="405">
        <f t="shared" si="22"/>
        <v>1.3068181818181817</v>
      </c>
      <c r="AW27" s="404">
        <f t="shared" ref="AW27:AW57" si="64">+AW26</f>
        <v>8600.0000000000018</v>
      </c>
      <c r="AX27" s="404">
        <f>+IF($R27&gt;H$8,"FIN",(AW27-SUM(AY$25:AY26))*VLOOKUP($R27,$A:$Q,8,0)/VLOOKUP(H$15,$M$1:$O$4,2,0))</f>
        <v>32.250000000000007</v>
      </c>
      <c r="AY27" s="404">
        <f t="shared" si="23"/>
        <v>0</v>
      </c>
      <c r="AZ27" s="404">
        <f t="shared" si="24"/>
        <v>32.250000000000007</v>
      </c>
      <c r="BA27" s="405">
        <f t="shared" si="25"/>
        <v>29.318181818181824</v>
      </c>
      <c r="BB27" s="404">
        <f t="shared" ref="BB27:BB57" si="65">+BB26</f>
        <v>1150</v>
      </c>
      <c r="BC27" s="404">
        <f>+IF($R27&gt;I$8,"FIN",(BB27-SUM(BD$25:BD26))*VLOOKUP($R27,$A:$Q,9,0)/VLOOKUP(I$15,$M$1:$O$4,2,0))</f>
        <v>1.4375</v>
      </c>
      <c r="BD27" s="404">
        <f t="shared" si="26"/>
        <v>0</v>
      </c>
      <c r="BE27" s="404">
        <f t="shared" si="49"/>
        <v>1.4375</v>
      </c>
      <c r="BF27" s="405">
        <f t="shared" si="27"/>
        <v>1.3068181818181817</v>
      </c>
      <c r="BG27" s="404">
        <f t="shared" ref="BG27:BG61" si="66">+BG26</f>
        <v>5200</v>
      </c>
      <c r="BH27" s="404">
        <f>+IF($R27&gt;J$8,"FIN",(BG27-SUM(BI$25:BI26))*VLOOKUP($R27,$A:$Q,10,0)/VLOOKUP(J$15,$M$1:$O$4,2,0))</f>
        <v>13</v>
      </c>
      <c r="BI27" s="404">
        <f t="shared" si="50"/>
        <v>0</v>
      </c>
      <c r="BJ27" s="404">
        <f t="shared" si="28"/>
        <v>13</v>
      </c>
      <c r="BK27" s="405">
        <f t="shared" si="29"/>
        <v>11.818181818181817</v>
      </c>
      <c r="BL27" s="404">
        <f t="shared" ref="BL27:BL61" si="67">+BL26</f>
        <v>5800</v>
      </c>
      <c r="BM27" s="404">
        <f>+IF($R27&gt;K$8,"FIN",(BL27-SUM(BN$25:BN26))*VLOOKUP($R27,$A:$Q,11,0)/VLOOKUP(K$15,$M$1:$O$4,2,0))</f>
        <v>11.6</v>
      </c>
      <c r="BN27" s="404">
        <f t="shared" si="51"/>
        <v>0</v>
      </c>
      <c r="BO27" s="404">
        <f t="shared" si="52"/>
        <v>11.6</v>
      </c>
      <c r="BP27" s="405">
        <f t="shared" si="30"/>
        <v>10.545454545454545</v>
      </c>
      <c r="BQ27" s="404">
        <f t="shared" ref="BQ27:BQ67" si="68">+BQ26</f>
        <v>0</v>
      </c>
      <c r="BR27" s="404">
        <f>+IF($R27&gt;L$8,"FIN",(BQ27-SUM(BS$25:BS26))*VLOOKUP($R27,$A:$Q,12,0)/VLOOKUP(L$15,$M$1:$O$4,2,0))</f>
        <v>0</v>
      </c>
      <c r="BS27" s="404">
        <f t="shared" si="31"/>
        <v>0</v>
      </c>
      <c r="BT27" s="404">
        <f t="shared" si="32"/>
        <v>0</v>
      </c>
      <c r="BU27" s="405">
        <f t="shared" si="33"/>
        <v>0</v>
      </c>
      <c r="BV27" s="404">
        <f t="shared" ref="BV27:BV67" si="69">+BV26</f>
        <v>0</v>
      </c>
      <c r="BW27" s="404">
        <f>+IF($R27&gt;M$8,"FIN",(BV27-SUM(BX$25:BX26))*VLOOKUP($R27,$A:$Q,13,0)/VLOOKUP(M$15,$M$1:$O$4,2,0))</f>
        <v>0</v>
      </c>
      <c r="BX27" s="404">
        <f t="shared" si="34"/>
        <v>0</v>
      </c>
      <c r="BY27" s="404">
        <f t="shared" si="53"/>
        <v>0</v>
      </c>
      <c r="BZ27" s="405">
        <f t="shared" si="35"/>
        <v>0</v>
      </c>
      <c r="CA27" s="404">
        <f t="shared" ref="CA27:CA75" si="70">+CA26</f>
        <v>14079.830909345501</v>
      </c>
      <c r="CB27" s="404">
        <f>+IF($R27&gt;N$8,"FIN",(CA27-SUM(CC$25:CC26))*VLOOKUP($R27,$A:$Q,14,0)/VLOOKUP(N$15,$M$1:$O$4,2,0))</f>
        <v>52.79936591004563</v>
      </c>
      <c r="CC27" s="404">
        <f t="shared" si="36"/>
        <v>0</v>
      </c>
      <c r="CD27" s="404">
        <f t="shared" si="54"/>
        <v>52.79936591004563</v>
      </c>
      <c r="CE27" s="405">
        <f t="shared" si="38"/>
        <v>47.999423554586933</v>
      </c>
      <c r="CF27" s="404">
        <f t="shared" ref="CF27:CF75" si="71">+CF26</f>
        <v>6893.2985731165309</v>
      </c>
      <c r="CG27" s="404">
        <f>+IF($R27&gt;O$8,"FIN",(CF27-SUM(CH$25:CH26))*VLOOKUP($R27,$A:$Q,15,0)/VLOOKUP(O$15,$M$1:$O$4,2,0))</f>
        <v>8.6166232163956646</v>
      </c>
      <c r="CH27" s="404">
        <f t="shared" si="39"/>
        <v>0</v>
      </c>
      <c r="CI27" s="404">
        <f t="shared" si="55"/>
        <v>8.6166232163956646</v>
      </c>
      <c r="CJ27" s="405">
        <f t="shared" si="40"/>
        <v>7.8332938330869668</v>
      </c>
      <c r="CK27" s="404">
        <f t="shared" ref="CK27:CK31" si="72">+CK26</f>
        <v>1118.5863898502396</v>
      </c>
      <c r="CL27" s="404">
        <f>+IF($R27&gt;P$8,"FIN",(CK27-SUM(CM$25:CM26))*VLOOKUP($R27,$A:$Q,16,0)/VLOOKUP(P$15,$M$1:$O$4,2,0))</f>
        <v>18.643106497503993</v>
      </c>
      <c r="CM27" s="404">
        <f t="shared" ref="CM27:CM31" si="73">+IF($R27&gt;P$8,"FIN",IF($R27&lt;=P$8,IFERROR(IF($R27&lt;P$17,0,P$19/P$16),0),0))</f>
        <v>186.43106497503993</v>
      </c>
      <c r="CN27" s="404">
        <f t="shared" si="41"/>
        <v>205.07417147254392</v>
      </c>
      <c r="CO27" s="405">
        <f t="shared" si="42"/>
        <v>186.4310649750399</v>
      </c>
      <c r="CP27" s="397"/>
      <c r="CQ27" s="348">
        <f t="shared" si="56"/>
        <v>213.69286392587168</v>
      </c>
      <c r="CR27" s="409">
        <f t="shared" si="56"/>
        <v>186.43106497503993</v>
      </c>
      <c r="CS27" s="410">
        <f t="shared" si="57"/>
        <v>400.12392890091161</v>
      </c>
      <c r="CT27"/>
    </row>
    <row r="28" spans="1:98" s="4" customFormat="1" ht="15" x14ac:dyDescent="0.25">
      <c r="A28" s="27">
        <f t="shared" si="43"/>
        <v>44576</v>
      </c>
      <c r="B28" s="255">
        <v>7.4999999999999997E-3</v>
      </c>
      <c r="C28" s="256">
        <v>1.25E-3</v>
      </c>
      <c r="D28" s="256">
        <v>1.7500000000000002E-2</v>
      </c>
      <c r="E28" s="256">
        <v>9.4999999999999998E-3</v>
      </c>
      <c r="F28" s="256">
        <v>1.7500000000000002E-2</v>
      </c>
      <c r="G28" s="256">
        <v>9.4999999999999998E-3</v>
      </c>
      <c r="H28" s="256">
        <v>1.7500000000000002E-2</v>
      </c>
      <c r="I28" s="256">
        <v>9.4999999999999998E-3</v>
      </c>
      <c r="J28" s="256">
        <v>2.2499999999999999E-2</v>
      </c>
      <c r="K28" s="256">
        <v>1.7999999999999999E-2</v>
      </c>
      <c r="L28" s="256">
        <v>1.6250000000000001E-2</v>
      </c>
      <c r="M28" s="256">
        <v>1.125E-2</v>
      </c>
      <c r="N28" s="256">
        <v>1.7500000000000002E-2</v>
      </c>
      <c r="O28" s="286">
        <v>9.4999999999999998E-3</v>
      </c>
      <c r="P28" s="259">
        <v>0.04</v>
      </c>
      <c r="Q28" s="2">
        <f t="shared" si="44"/>
        <v>2022</v>
      </c>
      <c r="R28" s="27">
        <f t="shared" si="45"/>
        <v>44576</v>
      </c>
      <c r="S28" s="404">
        <f t="shared" si="58"/>
        <v>6200</v>
      </c>
      <c r="T28" s="404">
        <f>+IF($R28&gt;B$8,"FIN",(S28-SUM($U$25:U27))*VLOOKUP($R28,$A:$Q,2,0)/VLOOKUP(B$15,$M$1:$O$4,2,0))</f>
        <v>23.25</v>
      </c>
      <c r="U28" s="404">
        <f t="shared" si="8"/>
        <v>0</v>
      </c>
      <c r="V28" s="404">
        <f t="shared" si="46"/>
        <v>23.25</v>
      </c>
      <c r="W28" s="405">
        <f t="shared" si="9"/>
        <v>20.152731999963652</v>
      </c>
      <c r="X28" s="404">
        <f t="shared" si="59"/>
        <v>1100</v>
      </c>
      <c r="Y28" s="404">
        <f>+IF($R28&gt;C$8,"FIN",(X28-SUM($Z$25:Z27))*VLOOKUP($R28,$A:$Q,3,0)/VLOOKUP(C$15,$M$1:$O$4,2,0))</f>
        <v>0.6875</v>
      </c>
      <c r="Z28" s="404">
        <f t="shared" si="47"/>
        <v>0</v>
      </c>
      <c r="AA28" s="404">
        <f t="shared" si="10"/>
        <v>0.6875</v>
      </c>
      <c r="AB28" s="405">
        <f t="shared" si="11"/>
        <v>0.59591411827849505</v>
      </c>
      <c r="AC28" s="404">
        <f t="shared" si="60"/>
        <v>3300</v>
      </c>
      <c r="AD28" s="404">
        <f>+IF($R28&gt;D$8,"FIN",(AC28-SUM($AE$25:AE27))*VLOOKUP($R28,$A:$Q,4,0)/VLOOKUP(D$15,$M$1:$O$4,2,0))</f>
        <v>28.875000000000004</v>
      </c>
      <c r="AE28" s="404">
        <f t="shared" si="12"/>
        <v>0</v>
      </c>
      <c r="AF28" s="404">
        <f t="shared" ref="AF28:AF45" si="74">+SUM(AD28:AE28)</f>
        <v>28.875000000000004</v>
      </c>
      <c r="AG28" s="405">
        <f t="shared" si="14"/>
        <v>25.028392967696796</v>
      </c>
      <c r="AH28" s="404">
        <f t="shared" si="61"/>
        <v>1700.0000000000002</v>
      </c>
      <c r="AI28" s="404">
        <f>+IF($R28&gt;E$8,"FIN",(AH28-SUM($AJ$25:AJ27))*VLOOKUP($R28,$A:$Q,5,0)/VLOOKUP(E$15,$M$1:$O$4,2,0))</f>
        <v>8.0750000000000011</v>
      </c>
      <c r="AJ28" s="404">
        <f t="shared" si="15"/>
        <v>0</v>
      </c>
      <c r="AK28" s="404">
        <f t="shared" si="16"/>
        <v>8.0750000000000011</v>
      </c>
      <c r="AL28" s="405">
        <f t="shared" si="17"/>
        <v>6.9992821892346884</v>
      </c>
      <c r="AM28" s="404">
        <f t="shared" si="62"/>
        <v>8600</v>
      </c>
      <c r="AN28" s="404">
        <f>+IF($R28&gt;F$8,"FIN",(AM28-SUM($AO$25:AO27))*VLOOKUP($R28,$A:$Q,6,0)/VLOOKUP(F$15,$M$1:$O$4,2,0))</f>
        <v>75.250000000000014</v>
      </c>
      <c r="AO28" s="404">
        <f t="shared" si="18"/>
        <v>0</v>
      </c>
      <c r="AP28" s="404">
        <f t="shared" si="19"/>
        <v>75.250000000000014</v>
      </c>
      <c r="AQ28" s="405">
        <f t="shared" si="20"/>
        <v>65.225508946118921</v>
      </c>
      <c r="AR28" s="404">
        <f t="shared" si="63"/>
        <v>1150</v>
      </c>
      <c r="AS28" s="404">
        <f>+IF($R28&gt;G$8,"FIN",(AR28-SUM(AT$25:AT27))*VLOOKUP($R28,$A:$Q,7,0)/VLOOKUP(G$15,$M$1:$O$4,2,0))</f>
        <v>5.4624999999999995</v>
      </c>
      <c r="AT28" s="404">
        <f t="shared" si="21"/>
        <v>0</v>
      </c>
      <c r="AU28" s="404">
        <f t="shared" si="48"/>
        <v>5.4624999999999995</v>
      </c>
      <c r="AV28" s="405">
        <f t="shared" si="22"/>
        <v>4.7348085397764059</v>
      </c>
      <c r="AW28" s="404">
        <f t="shared" si="64"/>
        <v>8600.0000000000018</v>
      </c>
      <c r="AX28" s="404">
        <f>+IF($R28&gt;H$8,"FIN",(AW28-SUM(AY$25:AY27))*VLOOKUP($R28,$A:$Q,8,0)/VLOOKUP(H$15,$M$1:$O$4,2,0))</f>
        <v>75.250000000000028</v>
      </c>
      <c r="AY28" s="404">
        <f t="shared" si="23"/>
        <v>0</v>
      </c>
      <c r="AZ28" s="404">
        <f t="shared" si="24"/>
        <v>75.250000000000028</v>
      </c>
      <c r="BA28" s="405">
        <f t="shared" si="25"/>
        <v>65.225508946118936</v>
      </c>
      <c r="BB28" s="404">
        <f t="shared" si="65"/>
        <v>1150</v>
      </c>
      <c r="BC28" s="404">
        <f>+IF($R28&gt;I$8,"FIN",(BB28-SUM(BD$25:BD27))*VLOOKUP($R28,$A:$Q,9,0)/VLOOKUP(I$15,$M$1:$O$4,2,0))</f>
        <v>5.4624999999999995</v>
      </c>
      <c r="BD28" s="404">
        <f t="shared" si="26"/>
        <v>0</v>
      </c>
      <c r="BE28" s="404">
        <f t="shared" si="49"/>
        <v>5.4624999999999995</v>
      </c>
      <c r="BF28" s="405">
        <f t="shared" si="27"/>
        <v>4.7348085397764059</v>
      </c>
      <c r="BG28" s="404">
        <f t="shared" si="66"/>
        <v>5200</v>
      </c>
      <c r="BH28" s="404">
        <f>+IF($R28&gt;J$8,"FIN",(BG28-SUM(BI$25:BI27))*VLOOKUP($R28,$A:$Q,10,0)/VLOOKUP(J$15,$M$1:$O$4,2,0))</f>
        <v>58.5</v>
      </c>
      <c r="BI28" s="404">
        <f t="shared" si="50"/>
        <v>0</v>
      </c>
      <c r="BJ28" s="404">
        <f t="shared" si="28"/>
        <v>58.5</v>
      </c>
      <c r="BK28" s="405">
        <f t="shared" si="29"/>
        <v>50.706874064424674</v>
      </c>
      <c r="BL28" s="404">
        <f t="shared" si="67"/>
        <v>5800</v>
      </c>
      <c r="BM28" s="404">
        <f>+IF($R28&gt;K$8,"FIN",(BL28-SUM(BN$25:BN27))*VLOOKUP($R28,$A:$Q,11,0)/VLOOKUP(K$15,$M$1:$O$4,2,0))</f>
        <v>52.199999999999996</v>
      </c>
      <c r="BN28" s="404">
        <f t="shared" si="51"/>
        <v>0</v>
      </c>
      <c r="BO28" s="404">
        <f t="shared" si="52"/>
        <v>52.199999999999996</v>
      </c>
      <c r="BP28" s="405">
        <f t="shared" si="30"/>
        <v>45.246133780563547</v>
      </c>
      <c r="BQ28" s="404">
        <f t="shared" si="68"/>
        <v>0</v>
      </c>
      <c r="BR28" s="404">
        <f>+IF($R28&gt;L$8,"FIN",(BQ28-SUM(BS$25:BS27))*VLOOKUP($R28,$A:$Q,12,0)/VLOOKUP(L$15,$M$1:$O$4,2,0))</f>
        <v>0</v>
      </c>
      <c r="BS28" s="404">
        <f t="shared" si="31"/>
        <v>0</v>
      </c>
      <c r="BT28" s="404">
        <f t="shared" si="32"/>
        <v>0</v>
      </c>
      <c r="BU28" s="405">
        <f t="shared" si="33"/>
        <v>0</v>
      </c>
      <c r="BV28" s="404">
        <f t="shared" si="69"/>
        <v>0</v>
      </c>
      <c r="BW28" s="404">
        <f>+IF($R28&gt;M$8,"FIN",(BV28-SUM(BX$25:BX27))*VLOOKUP($R28,$A:$Q,13,0)/VLOOKUP(M$15,$M$1:$O$4,2,0))</f>
        <v>0</v>
      </c>
      <c r="BX28" s="404">
        <f t="shared" si="34"/>
        <v>0</v>
      </c>
      <c r="BY28" s="404">
        <f t="shared" si="53"/>
        <v>0</v>
      </c>
      <c r="BZ28" s="405">
        <f t="shared" si="35"/>
        <v>0</v>
      </c>
      <c r="CA28" s="404">
        <f t="shared" si="70"/>
        <v>14079.830909345501</v>
      </c>
      <c r="CB28" s="404">
        <f>+IF($R28&gt;N$8,"FIN",(CA28-SUM(CC$25:CC27))*VLOOKUP($R28,$A:$Q,14,0)/VLOOKUP(N$15,$M$1:$O$4,2,0))</f>
        <v>123.19852045677314</v>
      </c>
      <c r="CC28" s="404">
        <f t="shared" si="36"/>
        <v>0</v>
      </c>
      <c r="CD28" s="404">
        <f t="shared" si="54"/>
        <v>123.19852045677314</v>
      </c>
      <c r="CE28" s="405">
        <f t="shared" si="38"/>
        <v>106.78652755085542</v>
      </c>
      <c r="CF28" s="404">
        <f t="shared" si="71"/>
        <v>6893.2985731165309</v>
      </c>
      <c r="CG28" s="404">
        <f>+IF($R28&gt;O$8,"FIN",(CF28-SUM(CH$25:CH27))*VLOOKUP($R28,$A:$Q,15,0)/VLOOKUP(O$15,$M$1:$O$4,2,0))</f>
        <v>32.743168222303524</v>
      </c>
      <c r="CH28" s="404">
        <f t="shared" si="39"/>
        <v>0</v>
      </c>
      <c r="CI28" s="404">
        <f t="shared" si="55"/>
        <v>32.743168222303524</v>
      </c>
      <c r="CJ28" s="405">
        <f t="shared" si="40"/>
        <v>28.38125995758319</v>
      </c>
      <c r="CK28" s="404">
        <f t="shared" si="72"/>
        <v>1118.5863898502396</v>
      </c>
      <c r="CL28" s="404">
        <f>+IF($R28&gt;P$8,"FIN",(CK28-SUM(CM$25:CM27))*VLOOKUP($R28,$A:$Q,16,0)/VLOOKUP(P$15,$M$1:$O$4,2,0))</f>
        <v>14.914485198003195</v>
      </c>
      <c r="CM28" s="404">
        <f t="shared" si="73"/>
        <v>186.43106497503993</v>
      </c>
      <c r="CN28" s="404">
        <f t="shared" si="41"/>
        <v>201.34555017304314</v>
      </c>
      <c r="CO28" s="405">
        <f t="shared" si="42"/>
        <v>174.52313600097091</v>
      </c>
      <c r="CP28" s="397"/>
      <c r="CQ28" s="348">
        <f t="shared" si="56"/>
        <v>516.87986333670062</v>
      </c>
      <c r="CR28" s="409">
        <f t="shared" si="56"/>
        <v>186.43106497503993</v>
      </c>
      <c r="CS28" s="410">
        <f t="shared" si="57"/>
        <v>703.31092831174055</v>
      </c>
      <c r="CT28"/>
    </row>
    <row r="29" spans="1:98" s="4" customFormat="1" ht="15" x14ac:dyDescent="0.25">
      <c r="A29" s="27">
        <f t="shared" si="43"/>
        <v>44757</v>
      </c>
      <c r="B29" s="256">
        <v>7.4999999999999997E-3</v>
      </c>
      <c r="C29" s="256">
        <v>1.25E-3</v>
      </c>
      <c r="D29" s="256">
        <v>1.7500000000000002E-2</v>
      </c>
      <c r="E29" s="256">
        <v>9.4999999999999998E-3</v>
      </c>
      <c r="F29" s="256">
        <v>1.7500000000000002E-2</v>
      </c>
      <c r="G29" s="256">
        <v>9.4999999999999998E-3</v>
      </c>
      <c r="H29" s="256">
        <v>1.7500000000000002E-2</v>
      </c>
      <c r="I29" s="256">
        <v>9.4999999999999998E-3</v>
      </c>
      <c r="J29" s="256">
        <v>2.2499999999999999E-2</v>
      </c>
      <c r="K29" s="256">
        <v>1.7999999999999999E-2</v>
      </c>
      <c r="L29" s="256">
        <v>1.6250000000000001E-2</v>
      </c>
      <c r="M29" s="256">
        <v>1.125E-2</v>
      </c>
      <c r="N29" s="256">
        <v>1.7500000000000002E-2</v>
      </c>
      <c r="O29" s="286">
        <v>9.4999999999999998E-3</v>
      </c>
      <c r="P29" s="259">
        <v>0.04</v>
      </c>
      <c r="Q29" s="2">
        <f t="shared" si="44"/>
        <v>2022</v>
      </c>
      <c r="R29" s="27">
        <f t="shared" si="45"/>
        <v>44757</v>
      </c>
      <c r="S29" s="404">
        <f t="shared" si="58"/>
        <v>6200</v>
      </c>
      <c r="T29" s="404">
        <f>+IF($R29&gt;B$8,"FIN",(S29-SUM($U$25:U28))*VLOOKUP($R29,$A:$Q,2,0)/VLOOKUP(B$15,$M$1:$O$4,2,0))</f>
        <v>23.25</v>
      </c>
      <c r="U29" s="404">
        <f t="shared" si="8"/>
        <v>0</v>
      </c>
      <c r="V29" s="404">
        <f t="shared" si="46"/>
        <v>23.25</v>
      </c>
      <c r="W29" s="405">
        <f t="shared" si="9"/>
        <v>19.214876033057848</v>
      </c>
      <c r="X29" s="404">
        <f t="shared" si="59"/>
        <v>1100</v>
      </c>
      <c r="Y29" s="404">
        <f>+IF($R29&gt;C$8,"FIN",(X29-SUM($Z$25:Z28))*VLOOKUP($R29,$A:$Q,3,0)/VLOOKUP(C$15,$M$1:$O$4,2,0))</f>
        <v>0.6875</v>
      </c>
      <c r="Z29" s="404">
        <f t="shared" si="47"/>
        <v>0</v>
      </c>
      <c r="AA29" s="404">
        <f t="shared" si="10"/>
        <v>0.6875</v>
      </c>
      <c r="AB29" s="405">
        <f t="shared" si="11"/>
        <v>0.56818181818181812</v>
      </c>
      <c r="AC29" s="404">
        <f t="shared" si="60"/>
        <v>3300</v>
      </c>
      <c r="AD29" s="404">
        <f>+IF($R29&gt;D$8,"FIN",(AC29-SUM($AE$25:AE28))*VLOOKUP($R29,$A:$Q,4,0)/VLOOKUP(D$15,$M$1:$O$4,2,0))</f>
        <v>28.875000000000004</v>
      </c>
      <c r="AE29" s="404">
        <f t="shared" si="12"/>
        <v>0</v>
      </c>
      <c r="AF29" s="404">
        <f t="shared" si="74"/>
        <v>28.875000000000004</v>
      </c>
      <c r="AG29" s="405">
        <f t="shared" si="14"/>
        <v>23.863636363636363</v>
      </c>
      <c r="AH29" s="404">
        <f t="shared" si="61"/>
        <v>1700.0000000000002</v>
      </c>
      <c r="AI29" s="404">
        <f>+IF($R29&gt;E$8,"FIN",(AH29-SUM($AJ$25:AJ28))*VLOOKUP($R29,$A:$Q,5,0)/VLOOKUP(E$15,$M$1:$O$4,2,0))</f>
        <v>8.0750000000000011</v>
      </c>
      <c r="AJ29" s="404">
        <f t="shared" si="15"/>
        <v>0</v>
      </c>
      <c r="AK29" s="404">
        <f t="shared" si="16"/>
        <v>8.0750000000000011</v>
      </c>
      <c r="AL29" s="405">
        <f t="shared" si="17"/>
        <v>6.6735537190082646</v>
      </c>
      <c r="AM29" s="404">
        <f t="shared" si="62"/>
        <v>8600</v>
      </c>
      <c r="AN29" s="404">
        <f>+IF($R29&gt;F$8,"FIN",(AM29-SUM($AO$25:AO28))*VLOOKUP($R29,$A:$Q,6,0)/VLOOKUP(F$15,$M$1:$O$4,2,0))</f>
        <v>75.250000000000014</v>
      </c>
      <c r="AO29" s="404">
        <f t="shared" si="18"/>
        <v>0</v>
      </c>
      <c r="AP29" s="404">
        <f t="shared" si="19"/>
        <v>75.250000000000014</v>
      </c>
      <c r="AQ29" s="405">
        <f t="shared" si="20"/>
        <v>62.190082644628099</v>
      </c>
      <c r="AR29" s="404">
        <f t="shared" si="63"/>
        <v>1150</v>
      </c>
      <c r="AS29" s="404">
        <f>+IF($R29&gt;G$8,"FIN",(AR29-SUM(AT$25:AT28))*VLOOKUP($R29,$A:$Q,7,0)/VLOOKUP(G$15,$M$1:$O$4,2,0))</f>
        <v>5.4624999999999995</v>
      </c>
      <c r="AT29" s="404">
        <f t="shared" si="21"/>
        <v>0</v>
      </c>
      <c r="AU29" s="404">
        <f t="shared" si="48"/>
        <v>5.4624999999999995</v>
      </c>
      <c r="AV29" s="405">
        <f t="shared" si="22"/>
        <v>4.5144628099173545</v>
      </c>
      <c r="AW29" s="404">
        <f t="shared" si="64"/>
        <v>8600.0000000000018</v>
      </c>
      <c r="AX29" s="404">
        <f>+IF($R29&gt;H$8,"FIN",(AW29-SUM(AY$25:AY28))*VLOOKUP($R29,$A:$Q,8,0)/VLOOKUP(H$15,$M$1:$O$4,2,0))</f>
        <v>75.250000000000028</v>
      </c>
      <c r="AY29" s="404">
        <f t="shared" si="23"/>
        <v>0</v>
      </c>
      <c r="AZ29" s="404">
        <f t="shared" si="24"/>
        <v>75.250000000000028</v>
      </c>
      <c r="BA29" s="405">
        <f t="shared" si="25"/>
        <v>62.190082644628113</v>
      </c>
      <c r="BB29" s="404">
        <f t="shared" si="65"/>
        <v>1150</v>
      </c>
      <c r="BC29" s="404">
        <f>+IF($R29&gt;I$8,"FIN",(BB29-SUM(BD$25:BD28))*VLOOKUP($R29,$A:$Q,9,0)/VLOOKUP(I$15,$M$1:$O$4,2,0))</f>
        <v>5.4624999999999995</v>
      </c>
      <c r="BD29" s="404">
        <f t="shared" si="26"/>
        <v>0</v>
      </c>
      <c r="BE29" s="404">
        <f t="shared" si="49"/>
        <v>5.4624999999999995</v>
      </c>
      <c r="BF29" s="405">
        <f t="shared" si="27"/>
        <v>4.5144628099173545</v>
      </c>
      <c r="BG29" s="404">
        <f t="shared" si="66"/>
        <v>5200</v>
      </c>
      <c r="BH29" s="404">
        <f>+IF($R29&gt;J$8,"FIN",(BG29-SUM(BI$25:BI28))*VLOOKUP($R29,$A:$Q,10,0)/VLOOKUP(J$15,$M$1:$O$4,2,0))</f>
        <v>58.5</v>
      </c>
      <c r="BI29" s="404">
        <f t="shared" si="50"/>
        <v>0</v>
      </c>
      <c r="BJ29" s="404">
        <f t="shared" si="28"/>
        <v>58.5</v>
      </c>
      <c r="BK29" s="405">
        <f t="shared" si="29"/>
        <v>48.347107438016522</v>
      </c>
      <c r="BL29" s="404">
        <f t="shared" si="67"/>
        <v>5800</v>
      </c>
      <c r="BM29" s="404">
        <f>+IF($R29&gt;K$8,"FIN",(BL29-SUM(BN$25:BN28))*VLOOKUP($R29,$A:$Q,11,0)/VLOOKUP(K$15,$M$1:$O$4,2,0))</f>
        <v>52.199999999999996</v>
      </c>
      <c r="BN29" s="404">
        <f t="shared" si="51"/>
        <v>0</v>
      </c>
      <c r="BO29" s="404">
        <f t="shared" si="52"/>
        <v>52.199999999999996</v>
      </c>
      <c r="BP29" s="405">
        <f t="shared" si="30"/>
        <v>43.140495867768585</v>
      </c>
      <c r="BQ29" s="404">
        <f t="shared" si="68"/>
        <v>0</v>
      </c>
      <c r="BR29" s="404">
        <f>+IF($R29&gt;L$8,"FIN",(BQ29-SUM(BS$25:BS28))*VLOOKUP($R29,$A:$Q,12,0)/VLOOKUP(L$15,$M$1:$O$4,2,0))</f>
        <v>0</v>
      </c>
      <c r="BS29" s="404">
        <f t="shared" si="31"/>
        <v>0</v>
      </c>
      <c r="BT29" s="404">
        <f t="shared" si="32"/>
        <v>0</v>
      </c>
      <c r="BU29" s="405">
        <f t="shared" si="33"/>
        <v>0</v>
      </c>
      <c r="BV29" s="404">
        <f t="shared" si="69"/>
        <v>0</v>
      </c>
      <c r="BW29" s="404">
        <f>+IF($R29&gt;M$8,"FIN",(BV29-SUM(BX$25:BX28))*VLOOKUP($R29,$A:$Q,13,0)/VLOOKUP(M$15,$M$1:$O$4,2,0))</f>
        <v>0</v>
      </c>
      <c r="BX29" s="404">
        <f t="shared" si="34"/>
        <v>0</v>
      </c>
      <c r="BY29" s="404">
        <f t="shared" si="53"/>
        <v>0</v>
      </c>
      <c r="BZ29" s="405">
        <f t="shared" si="35"/>
        <v>0</v>
      </c>
      <c r="CA29" s="404">
        <f t="shared" si="70"/>
        <v>14079.830909345501</v>
      </c>
      <c r="CB29" s="404">
        <f>+IF($R29&gt;N$8,"FIN",(CA29-SUM(CC$25:CC28))*VLOOKUP($R29,$A:$Q,14,0)/VLOOKUP(N$15,$M$1:$O$4,2,0))</f>
        <v>123.19852045677314</v>
      </c>
      <c r="CC29" s="404">
        <f t="shared" si="36"/>
        <v>0</v>
      </c>
      <c r="CD29" s="404">
        <f t="shared" si="54"/>
        <v>123.19852045677314</v>
      </c>
      <c r="CE29" s="405">
        <f t="shared" si="38"/>
        <v>101.8169590551844</v>
      </c>
      <c r="CF29" s="404">
        <f t="shared" si="71"/>
        <v>6893.2985731165309</v>
      </c>
      <c r="CG29" s="404">
        <f>+IF($R29&gt;O$8,"FIN",(CF29-SUM(CH$25:CH28))*VLOOKUP($R29,$A:$Q,15,0)/VLOOKUP(O$15,$M$1:$O$4,2,0))</f>
        <v>32.743168222303524</v>
      </c>
      <c r="CH29" s="404">
        <f t="shared" si="39"/>
        <v>0</v>
      </c>
      <c r="CI29" s="404">
        <f t="shared" si="55"/>
        <v>32.743168222303524</v>
      </c>
      <c r="CJ29" s="405">
        <f t="shared" si="40"/>
        <v>27.060469605209519</v>
      </c>
      <c r="CK29" s="404">
        <f t="shared" si="72"/>
        <v>1118.5863898502396</v>
      </c>
      <c r="CL29" s="404">
        <f>+IF($R29&gt;P$8,"FIN",(CK29-SUM(CM$25:CM28))*VLOOKUP($R29,$A:$Q,16,0)/VLOOKUP(P$15,$M$1:$O$4,2,0))</f>
        <v>11.185863898502395</v>
      </c>
      <c r="CM29" s="404">
        <f t="shared" si="73"/>
        <v>186.43106497503993</v>
      </c>
      <c r="CN29" s="404">
        <f t="shared" si="41"/>
        <v>197.61692887354232</v>
      </c>
      <c r="CO29" s="405">
        <f t="shared" si="42"/>
        <v>163.31977592854736</v>
      </c>
      <c r="CP29" s="397"/>
      <c r="CQ29" s="348">
        <f t="shared" si="56"/>
        <v>513.15124203719984</v>
      </c>
      <c r="CR29" s="409">
        <f t="shared" si="56"/>
        <v>186.43106497503993</v>
      </c>
      <c r="CS29" s="410">
        <f t="shared" si="57"/>
        <v>699.58230701223977</v>
      </c>
      <c r="CT29"/>
    </row>
    <row r="30" spans="1:98" s="4" customFormat="1" ht="15" x14ac:dyDescent="0.25">
      <c r="A30" s="27">
        <f t="shared" si="43"/>
        <v>44941</v>
      </c>
      <c r="B30" s="256">
        <v>0.01</v>
      </c>
      <c r="C30" s="256">
        <v>1.25E-3</v>
      </c>
      <c r="D30" s="256">
        <v>2.2499999999999999E-2</v>
      </c>
      <c r="E30" s="256">
        <v>1.4999999999999999E-2</v>
      </c>
      <c r="F30" s="256">
        <v>2.4E-2</v>
      </c>
      <c r="G30" s="256">
        <v>1.35E-2</v>
      </c>
      <c r="H30" s="256">
        <v>2.8500000000000001E-2</v>
      </c>
      <c r="I30" s="256">
        <v>1.8749999999999999E-2</v>
      </c>
      <c r="J30" s="256">
        <v>3.7499999999999999E-2</v>
      </c>
      <c r="K30" s="256">
        <v>2.9499999999999998E-2</v>
      </c>
      <c r="L30" s="256">
        <v>0.03</v>
      </c>
      <c r="M30" s="256">
        <v>0.02</v>
      </c>
      <c r="N30" s="256">
        <v>0.03</v>
      </c>
      <c r="O30" s="286">
        <v>0.02</v>
      </c>
      <c r="P30" s="259">
        <v>0.04</v>
      </c>
      <c r="Q30" s="2">
        <f t="shared" si="44"/>
        <v>2023</v>
      </c>
      <c r="R30" s="27">
        <f t="shared" si="45"/>
        <v>44941</v>
      </c>
      <c r="S30" s="404">
        <f t="shared" si="58"/>
        <v>6200</v>
      </c>
      <c r="T30" s="404">
        <f>+IF($R30&gt;B$8,"FIN",(S30-SUM($U$25:U29))*VLOOKUP($R30,$A:$Q,2,0)/VLOOKUP(B$15,$M$1:$O$4,2,0))</f>
        <v>31</v>
      </c>
      <c r="U30" s="404">
        <f t="shared" si="8"/>
        <v>0</v>
      </c>
      <c r="V30" s="404">
        <f t="shared" si="46"/>
        <v>31</v>
      </c>
      <c r="W30" s="405">
        <f t="shared" si="9"/>
        <v>24.427553939349881</v>
      </c>
      <c r="X30" s="404">
        <f t="shared" si="59"/>
        <v>1100</v>
      </c>
      <c r="Y30" s="404">
        <f>+IF($R30&gt;C$8,"FIN",(X30-SUM($Z$25:Z29))*VLOOKUP($R30,$A:$Q,3,0)/VLOOKUP(C$15,$M$1:$O$4,2,0))</f>
        <v>0.6875</v>
      </c>
      <c r="Z30" s="404">
        <f t="shared" si="47"/>
        <v>0</v>
      </c>
      <c r="AA30" s="404">
        <f t="shared" si="10"/>
        <v>0.6875</v>
      </c>
      <c r="AB30" s="405">
        <f t="shared" si="11"/>
        <v>0.54174010752590462</v>
      </c>
      <c r="AC30" s="404">
        <f t="shared" si="60"/>
        <v>3300</v>
      </c>
      <c r="AD30" s="404">
        <f>+IF($R30&gt;D$8,"FIN",(AC30-SUM($AE$25:AE29))*VLOOKUP($R30,$A:$Q,4,0)/VLOOKUP(D$15,$M$1:$O$4,2,0))</f>
        <v>37.125</v>
      </c>
      <c r="AE30" s="404">
        <f t="shared" si="12"/>
        <v>0</v>
      </c>
      <c r="AF30" s="404">
        <f t="shared" si="74"/>
        <v>37.125</v>
      </c>
      <c r="AG30" s="405">
        <f t="shared" si="14"/>
        <v>29.253965806398849</v>
      </c>
      <c r="AH30" s="404">
        <f t="shared" si="61"/>
        <v>1700.0000000000002</v>
      </c>
      <c r="AI30" s="404">
        <f>+IF($R30&gt;E$8,"FIN",(AH30-SUM($AJ$25:AJ29))*VLOOKUP($R30,$A:$Q,5,0)/VLOOKUP(E$15,$M$1:$O$4,2,0))</f>
        <v>12.750000000000002</v>
      </c>
      <c r="AJ30" s="404">
        <f t="shared" si="15"/>
        <v>0</v>
      </c>
      <c r="AK30" s="404">
        <f t="shared" si="16"/>
        <v>12.750000000000002</v>
      </c>
      <c r="AL30" s="405">
        <f t="shared" si="17"/>
        <v>10.046816539571324</v>
      </c>
      <c r="AM30" s="404">
        <f t="shared" si="62"/>
        <v>8600</v>
      </c>
      <c r="AN30" s="404">
        <f>+IF($R30&gt;F$8,"FIN",(AM30-SUM($AO$25:AO29))*VLOOKUP($R30,$A:$Q,6,0)/VLOOKUP(F$15,$M$1:$O$4,2,0))</f>
        <v>103.2</v>
      </c>
      <c r="AO30" s="404">
        <f t="shared" si="18"/>
        <v>0</v>
      </c>
      <c r="AP30" s="404">
        <f t="shared" si="19"/>
        <v>103.2</v>
      </c>
      <c r="AQ30" s="405">
        <f t="shared" si="20"/>
        <v>81.3201150497067</v>
      </c>
      <c r="AR30" s="404">
        <f t="shared" si="63"/>
        <v>1150</v>
      </c>
      <c r="AS30" s="404">
        <f>+IF($R30&gt;G$8,"FIN",(AR30-SUM(AT$25:AT29))*VLOOKUP($R30,$A:$Q,7,0)/VLOOKUP(G$15,$M$1:$O$4,2,0))</f>
        <v>7.7625000000000002</v>
      </c>
      <c r="AT30" s="404">
        <f t="shared" si="21"/>
        <v>0</v>
      </c>
      <c r="AU30" s="404">
        <f t="shared" si="48"/>
        <v>7.7625000000000002</v>
      </c>
      <c r="AV30" s="405">
        <f t="shared" si="22"/>
        <v>6.1167383049743052</v>
      </c>
      <c r="AW30" s="404">
        <f t="shared" si="64"/>
        <v>8600.0000000000018</v>
      </c>
      <c r="AX30" s="404">
        <f>+IF($R30&gt;H$8,"FIN",(AW30-SUM(AY$25:AY29))*VLOOKUP($R30,$A:$Q,8,0)/VLOOKUP(H$15,$M$1:$O$4,2,0))</f>
        <v>122.55000000000003</v>
      </c>
      <c r="AY30" s="404">
        <f t="shared" si="23"/>
        <v>0</v>
      </c>
      <c r="AZ30" s="404">
        <f t="shared" si="24"/>
        <v>122.55000000000003</v>
      </c>
      <c r="BA30" s="405">
        <f t="shared" si="25"/>
        <v>96.567636621526731</v>
      </c>
      <c r="BB30" s="404">
        <f t="shared" si="65"/>
        <v>1150</v>
      </c>
      <c r="BC30" s="404">
        <f>+IF($R30&gt;I$8,"FIN",(BB30-SUM(BD$25:BD29))*VLOOKUP($R30,$A:$Q,9,0)/VLOOKUP(I$15,$M$1:$O$4,2,0))</f>
        <v>10.78125</v>
      </c>
      <c r="BD30" s="404">
        <f t="shared" si="26"/>
        <v>0</v>
      </c>
      <c r="BE30" s="404">
        <f t="shared" si="49"/>
        <v>10.78125</v>
      </c>
      <c r="BF30" s="405">
        <f t="shared" si="27"/>
        <v>8.4954698680198675</v>
      </c>
      <c r="BG30" s="404">
        <f t="shared" si="66"/>
        <v>5200</v>
      </c>
      <c r="BH30" s="404">
        <f>+IF($R30&gt;J$8,"FIN",(BG30-SUM(BI$25:BI29))*VLOOKUP($R30,$A:$Q,10,0)/VLOOKUP(J$15,$M$1:$O$4,2,0))</f>
        <v>97.5</v>
      </c>
      <c r="BI30" s="404">
        <f t="shared" si="50"/>
        <v>0</v>
      </c>
      <c r="BJ30" s="404">
        <f t="shared" si="28"/>
        <v>97.5</v>
      </c>
      <c r="BK30" s="405">
        <f t="shared" si="29"/>
        <v>76.828597067310113</v>
      </c>
      <c r="BL30" s="404">
        <f t="shared" si="67"/>
        <v>5800</v>
      </c>
      <c r="BM30" s="404">
        <f>+IF($R30&gt;K$8,"FIN",(BL30-SUM(BN$25:BN29))*VLOOKUP($R30,$A:$Q,11,0)/VLOOKUP(K$15,$M$1:$O$4,2,0))</f>
        <v>85.55</v>
      </c>
      <c r="BN30" s="404">
        <f t="shared" si="51"/>
        <v>0</v>
      </c>
      <c r="BO30" s="404">
        <f t="shared" si="52"/>
        <v>85.55</v>
      </c>
      <c r="BP30" s="405">
        <f t="shared" si="30"/>
        <v>67.412169016496208</v>
      </c>
      <c r="BQ30" s="404">
        <f t="shared" si="68"/>
        <v>0</v>
      </c>
      <c r="BR30" s="404">
        <f>+IF($R30&gt;L$8,"FIN",(BQ30-SUM(BS$25:BS29))*VLOOKUP($R30,$A:$Q,12,0)/VLOOKUP(L$15,$M$1:$O$4,2,0))</f>
        <v>0</v>
      </c>
      <c r="BS30" s="404">
        <f t="shared" si="31"/>
        <v>0</v>
      </c>
      <c r="BT30" s="404">
        <f t="shared" si="32"/>
        <v>0</v>
      </c>
      <c r="BU30" s="405">
        <f t="shared" si="33"/>
        <v>0</v>
      </c>
      <c r="BV30" s="404">
        <f t="shared" si="69"/>
        <v>0</v>
      </c>
      <c r="BW30" s="404">
        <f>+IF($R30&gt;M$8,"FIN",(BV30-SUM(BX$25:BX29))*VLOOKUP($R30,$A:$Q,13,0)/VLOOKUP(M$15,$M$1:$O$4,2,0))</f>
        <v>0</v>
      </c>
      <c r="BX30" s="404">
        <f t="shared" si="34"/>
        <v>0</v>
      </c>
      <c r="BY30" s="404">
        <f t="shared" si="53"/>
        <v>0</v>
      </c>
      <c r="BZ30" s="405">
        <f t="shared" si="35"/>
        <v>0</v>
      </c>
      <c r="CA30" s="404">
        <f t="shared" si="70"/>
        <v>14079.830909345501</v>
      </c>
      <c r="CB30" s="404">
        <f>+IF($R30&gt;N$8,"FIN",(CA30-SUM(CC$25:CC29))*VLOOKUP($R30,$A:$Q,14,0)/VLOOKUP(N$15,$M$1:$O$4,2,0))</f>
        <v>211.19746364018252</v>
      </c>
      <c r="CC30" s="404">
        <f t="shared" si="36"/>
        <v>0</v>
      </c>
      <c r="CD30" s="404">
        <f t="shared" si="54"/>
        <v>211.19746364018252</v>
      </c>
      <c r="CE30" s="405">
        <f t="shared" si="38"/>
        <v>166.42056241691753</v>
      </c>
      <c r="CF30" s="404">
        <f t="shared" si="71"/>
        <v>6893.2985731165309</v>
      </c>
      <c r="CG30" s="404">
        <f>+IF($R30&gt;O$8,"FIN",(CF30-SUM(CH$25:CH29))*VLOOKUP($R30,$A:$Q,15,0)/VLOOKUP(O$15,$M$1:$O$4,2,0))</f>
        <v>68.932985731165317</v>
      </c>
      <c r="CH30" s="404">
        <f t="shared" si="39"/>
        <v>0</v>
      </c>
      <c r="CI30" s="404">
        <f t="shared" si="55"/>
        <v>68.932985731165317</v>
      </c>
      <c r="CJ30" s="405">
        <f t="shared" si="40"/>
        <v>54.318200875757306</v>
      </c>
      <c r="CK30" s="404">
        <f t="shared" si="72"/>
        <v>1118.5863898502396</v>
      </c>
      <c r="CL30" s="404">
        <f>+IF($R30&gt;P$8,"FIN",(CK30-SUM(CM$25:CM29))*VLOOKUP($R30,$A:$Q,16,0)/VLOOKUP(P$15,$M$1:$O$4,2,0))</f>
        <v>7.4572425990015976</v>
      </c>
      <c r="CM30" s="404">
        <f t="shared" si="73"/>
        <v>186.43106497503993</v>
      </c>
      <c r="CN30" s="404">
        <f t="shared" si="41"/>
        <v>193.88830757404153</v>
      </c>
      <c r="CO30" s="405">
        <f t="shared" si="42"/>
        <v>152.78119649916644</v>
      </c>
      <c r="CP30" s="397"/>
      <c r="CQ30" s="348">
        <f t="shared" si="56"/>
        <v>819.68142170035492</v>
      </c>
      <c r="CR30" s="409">
        <f t="shared" si="56"/>
        <v>186.43106497503993</v>
      </c>
      <c r="CS30" s="410">
        <f t="shared" si="57"/>
        <v>1006.1124866753948</v>
      </c>
      <c r="CT30"/>
    </row>
    <row r="31" spans="1:98" ht="15" x14ac:dyDescent="0.25">
      <c r="A31" s="27">
        <f t="shared" si="43"/>
        <v>45122</v>
      </c>
      <c r="B31" s="256">
        <v>0.01</v>
      </c>
      <c r="C31" s="256">
        <v>1.25E-3</v>
      </c>
      <c r="D31" s="256">
        <v>2.2499999999999999E-2</v>
      </c>
      <c r="E31" s="256">
        <v>1.4999999999999999E-2</v>
      </c>
      <c r="F31" s="256">
        <v>2.4E-2</v>
      </c>
      <c r="G31" s="256">
        <v>1.35E-2</v>
      </c>
      <c r="H31" s="256">
        <v>2.8500000000000001E-2</v>
      </c>
      <c r="I31" s="256">
        <v>1.8749999999999999E-2</v>
      </c>
      <c r="J31" s="256">
        <v>3.7499999999999999E-2</v>
      </c>
      <c r="K31" s="256">
        <v>2.9499999999999998E-2</v>
      </c>
      <c r="L31" s="256">
        <v>0.03</v>
      </c>
      <c r="M31" s="256">
        <v>0.02</v>
      </c>
      <c r="N31" s="256">
        <v>0.03</v>
      </c>
      <c r="O31" s="286">
        <v>0.02</v>
      </c>
      <c r="P31" s="259">
        <v>0.04</v>
      </c>
      <c r="Q31" s="2">
        <f t="shared" si="44"/>
        <v>2023</v>
      </c>
      <c r="R31" s="27">
        <f t="shared" si="45"/>
        <v>45122</v>
      </c>
      <c r="S31" s="404">
        <f t="shared" si="58"/>
        <v>6200</v>
      </c>
      <c r="T31" s="404">
        <f>+IF($R31&gt;B$8,"FIN",(S31-SUM($U$25:U30))*VLOOKUP($R31,$A:$Q,2,0)/VLOOKUP(B$15,$M$1:$O$4,2,0))</f>
        <v>31</v>
      </c>
      <c r="U31" s="404">
        <f t="shared" si="8"/>
        <v>0</v>
      </c>
      <c r="V31" s="404">
        <f t="shared" si="46"/>
        <v>31</v>
      </c>
      <c r="W31" s="405">
        <f t="shared" si="9"/>
        <v>23.290758827948903</v>
      </c>
      <c r="X31" s="404">
        <f t="shared" si="59"/>
        <v>1100</v>
      </c>
      <c r="Y31" s="404">
        <f>+IF($R31&gt;C$8,"FIN",(X31-SUM($Z$25:Z30))*VLOOKUP($R31,$A:$Q,3,0)/VLOOKUP(C$15,$M$1:$O$4,2,0))</f>
        <v>0.6875</v>
      </c>
      <c r="Z31" s="404">
        <f t="shared" si="47"/>
        <v>0</v>
      </c>
      <c r="AA31" s="404">
        <f t="shared" si="10"/>
        <v>0.6875</v>
      </c>
      <c r="AB31" s="405">
        <f t="shared" si="11"/>
        <v>0.51652892561983454</v>
      </c>
      <c r="AC31" s="404">
        <f t="shared" si="60"/>
        <v>3300</v>
      </c>
      <c r="AD31" s="404">
        <f>+IF($R31&gt;D$8,"FIN",(AC31-SUM($AE$25:AE30))*VLOOKUP($R31,$A:$Q,4,0)/VLOOKUP(D$15,$M$1:$O$4,2,0))</f>
        <v>37.125</v>
      </c>
      <c r="AE31" s="404">
        <f t="shared" si="12"/>
        <v>0</v>
      </c>
      <c r="AF31" s="404">
        <f t="shared" si="74"/>
        <v>37.125</v>
      </c>
      <c r="AG31" s="405">
        <f t="shared" si="14"/>
        <v>27.892561983471065</v>
      </c>
      <c r="AH31" s="404">
        <f t="shared" si="61"/>
        <v>1700.0000000000002</v>
      </c>
      <c r="AI31" s="404">
        <f>+IF($R31&gt;E$8,"FIN",(AH31-SUM($AJ$25:AJ30))*VLOOKUP($R31,$A:$Q,5,0)/VLOOKUP(E$15,$M$1:$O$4,2,0))</f>
        <v>12.750000000000002</v>
      </c>
      <c r="AJ31" s="404">
        <f t="shared" si="15"/>
        <v>0</v>
      </c>
      <c r="AK31" s="404">
        <f t="shared" si="16"/>
        <v>12.750000000000002</v>
      </c>
      <c r="AL31" s="405">
        <f t="shared" si="17"/>
        <v>9.5792637114951145</v>
      </c>
      <c r="AM31" s="404">
        <f t="shared" si="62"/>
        <v>8600</v>
      </c>
      <c r="AN31" s="404">
        <f>+IF($R31&gt;F$8,"FIN",(AM31-SUM($AO$25:AO30))*VLOOKUP($R31,$A:$Q,6,0)/VLOOKUP(F$15,$M$1:$O$4,2,0))</f>
        <v>103.2</v>
      </c>
      <c r="AO31" s="404">
        <f t="shared" si="18"/>
        <v>0</v>
      </c>
      <c r="AP31" s="404">
        <f t="shared" si="19"/>
        <v>103.2</v>
      </c>
      <c r="AQ31" s="405">
        <f t="shared" si="20"/>
        <v>77.535687453042797</v>
      </c>
      <c r="AR31" s="404">
        <f t="shared" si="63"/>
        <v>1150</v>
      </c>
      <c r="AS31" s="404">
        <f>+IF($R31&gt;G$8,"FIN",(AR31-SUM(AT$25:AT30))*VLOOKUP($R31,$A:$Q,7,0)/VLOOKUP(G$15,$M$1:$O$4,2,0))</f>
        <v>7.7625000000000002</v>
      </c>
      <c r="AT31" s="404">
        <f t="shared" si="21"/>
        <v>0</v>
      </c>
      <c r="AU31" s="404">
        <f t="shared" si="48"/>
        <v>7.7625000000000002</v>
      </c>
      <c r="AV31" s="405">
        <f t="shared" si="22"/>
        <v>5.8320811419984961</v>
      </c>
      <c r="AW31" s="404">
        <f t="shared" si="64"/>
        <v>8600.0000000000018</v>
      </c>
      <c r="AX31" s="404">
        <f>+IF($R31&gt;H$8,"FIN",(AW31-SUM(AY$25:AY30))*VLOOKUP($R31,$A:$Q,8,0)/VLOOKUP(H$15,$M$1:$O$4,2,0))</f>
        <v>122.55000000000003</v>
      </c>
      <c r="AY31" s="404">
        <f t="shared" si="23"/>
        <v>0</v>
      </c>
      <c r="AZ31" s="404">
        <f t="shared" si="24"/>
        <v>122.55000000000003</v>
      </c>
      <c r="BA31" s="405">
        <f t="shared" si="25"/>
        <v>92.073628850488348</v>
      </c>
      <c r="BB31" s="404">
        <f t="shared" si="65"/>
        <v>1150</v>
      </c>
      <c r="BC31" s="404">
        <f>+IF($R31&gt;I$8,"FIN",(BB31-SUM(BD$25:BD30))*VLOOKUP($R31,$A:$Q,9,0)/VLOOKUP(I$15,$M$1:$O$4,2,0))</f>
        <v>10.78125</v>
      </c>
      <c r="BD31" s="404">
        <f t="shared" si="26"/>
        <v>0</v>
      </c>
      <c r="BE31" s="404">
        <f t="shared" si="49"/>
        <v>10.78125</v>
      </c>
      <c r="BF31" s="405">
        <f t="shared" si="27"/>
        <v>8.1001126972201334</v>
      </c>
      <c r="BG31" s="404">
        <f t="shared" si="66"/>
        <v>5200</v>
      </c>
      <c r="BH31" s="404">
        <f>+IF($R31&gt;J$8,"FIN",(BG31-SUM(BI$25:BI30))*VLOOKUP($R31,$A:$Q,10,0)/VLOOKUP(J$15,$M$1:$O$4,2,0))</f>
        <v>97.5</v>
      </c>
      <c r="BI31" s="404">
        <f t="shared" si="50"/>
        <v>0</v>
      </c>
      <c r="BJ31" s="404">
        <f t="shared" si="28"/>
        <v>97.5</v>
      </c>
      <c r="BK31" s="405">
        <f t="shared" si="29"/>
        <v>73.25319308790381</v>
      </c>
      <c r="BL31" s="404">
        <f t="shared" si="67"/>
        <v>5800</v>
      </c>
      <c r="BM31" s="404">
        <f>+IF($R31&gt;K$8,"FIN",(BL31-SUM(BN$25:BN30))*VLOOKUP($R31,$A:$Q,11,0)/VLOOKUP(K$15,$M$1:$O$4,2,0))</f>
        <v>85.55</v>
      </c>
      <c r="BN31" s="404">
        <f t="shared" si="51"/>
        <v>0</v>
      </c>
      <c r="BO31" s="404">
        <f t="shared" si="52"/>
        <v>85.55</v>
      </c>
      <c r="BP31" s="405">
        <f t="shared" si="30"/>
        <v>64.274981217129962</v>
      </c>
      <c r="BQ31" s="404">
        <f t="shared" si="68"/>
        <v>0</v>
      </c>
      <c r="BR31" s="404">
        <f>+IF($R31&gt;L$8,"FIN",(BQ31-SUM(BS$25:BS30))*VLOOKUP($R31,$A:$Q,12,0)/VLOOKUP(L$15,$M$1:$O$4,2,0))</f>
        <v>0</v>
      </c>
      <c r="BS31" s="404">
        <f t="shared" si="31"/>
        <v>0</v>
      </c>
      <c r="BT31" s="404">
        <f t="shared" si="32"/>
        <v>0</v>
      </c>
      <c r="BU31" s="405">
        <f t="shared" si="33"/>
        <v>0</v>
      </c>
      <c r="BV31" s="404">
        <f t="shared" si="69"/>
        <v>0</v>
      </c>
      <c r="BW31" s="404">
        <f>+IF($R31&gt;M$8,"FIN",(BV31-SUM(BX$25:BX30))*VLOOKUP($R31,$A:$Q,13,0)/VLOOKUP(M$15,$M$1:$O$4,2,0))</f>
        <v>0</v>
      </c>
      <c r="BX31" s="404">
        <f t="shared" si="34"/>
        <v>0</v>
      </c>
      <c r="BY31" s="404">
        <f t="shared" si="53"/>
        <v>0</v>
      </c>
      <c r="BZ31" s="405">
        <f t="shared" si="35"/>
        <v>0</v>
      </c>
      <c r="CA31" s="404">
        <f t="shared" si="70"/>
        <v>14079.830909345501</v>
      </c>
      <c r="CB31" s="404">
        <f>+IF($R31&gt;N$8,"FIN",(CA31-SUM(CC$25:CC30))*VLOOKUP($R31,$A:$Q,14,0)/VLOOKUP(N$15,$M$1:$O$4,2,0))</f>
        <v>211.19746364018252</v>
      </c>
      <c r="CC31" s="404">
        <f t="shared" si="36"/>
        <v>0</v>
      </c>
      <c r="CD31" s="404">
        <f t="shared" si="54"/>
        <v>211.19746364018252</v>
      </c>
      <c r="CE31" s="405">
        <f t="shared" si="38"/>
        <v>158.67578034574188</v>
      </c>
      <c r="CF31" s="404">
        <f t="shared" si="71"/>
        <v>6893.2985731165309</v>
      </c>
      <c r="CG31" s="404">
        <f>+IF($R31&gt;O$8,"FIN",(CF31-SUM(CH$25:CH30))*VLOOKUP($R31,$A:$Q,15,0)/VLOOKUP(O$15,$M$1:$O$4,2,0))</f>
        <v>68.932985731165317</v>
      </c>
      <c r="CH31" s="404">
        <f t="shared" si="39"/>
        <v>0</v>
      </c>
      <c r="CI31" s="404">
        <f t="shared" si="55"/>
        <v>68.932985731165317</v>
      </c>
      <c r="CJ31" s="405">
        <f t="shared" si="40"/>
        <v>51.790372450161755</v>
      </c>
      <c r="CK31" s="404">
        <f t="shared" si="72"/>
        <v>1118.5863898502396</v>
      </c>
      <c r="CL31" s="404">
        <f>+IF($R31&gt;P$8,"FIN",(CK31-SUM(CM$25:CM30))*VLOOKUP($R31,$A:$Q,16,0)/VLOOKUP(P$15,$M$1:$O$4,2,0))</f>
        <v>3.7286212995007988</v>
      </c>
      <c r="CM31" s="404">
        <f t="shared" si="73"/>
        <v>186.43106497503993</v>
      </c>
      <c r="CN31" s="404">
        <f t="shared" si="41"/>
        <v>190.15968627454072</v>
      </c>
      <c r="CO31" s="405">
        <f t="shared" si="42"/>
        <v>142.86978683286301</v>
      </c>
      <c r="CP31" s="397"/>
      <c r="CQ31" s="348">
        <f t="shared" si="56"/>
        <v>815.95280040085413</v>
      </c>
      <c r="CR31" s="409">
        <f t="shared" si="56"/>
        <v>186.43106497503993</v>
      </c>
      <c r="CS31" s="410">
        <f t="shared" si="57"/>
        <v>1002.3838653758941</v>
      </c>
      <c r="CT31"/>
    </row>
    <row r="32" spans="1:98" ht="15" x14ac:dyDescent="0.25">
      <c r="A32" s="27">
        <f t="shared" si="43"/>
        <v>45306</v>
      </c>
      <c r="B32" s="256">
        <v>1.2500000000000001E-2</v>
      </c>
      <c r="C32" s="256">
        <v>1.25E-3</v>
      </c>
      <c r="D32" s="256">
        <v>2.75E-2</v>
      </c>
      <c r="E32" s="256">
        <v>1.7500000000000002E-2</v>
      </c>
      <c r="F32" s="256">
        <v>0.03</v>
      </c>
      <c r="G32" s="256">
        <v>0.02</v>
      </c>
      <c r="H32" s="256">
        <v>3.5000000000000003E-2</v>
      </c>
      <c r="I32" s="256">
        <v>2.5000000000000001E-2</v>
      </c>
      <c r="J32" s="256">
        <v>4.2500000000000003E-2</v>
      </c>
      <c r="K32" s="256">
        <v>3.3500000000000002E-2</v>
      </c>
      <c r="L32" s="256">
        <v>3.5000000000000003E-2</v>
      </c>
      <c r="M32" s="256">
        <v>2.6249999999999999E-2</v>
      </c>
      <c r="N32" s="256">
        <v>3.2500000000000001E-2</v>
      </c>
      <c r="O32" s="286">
        <v>2.2499999999999999E-2</v>
      </c>
      <c r="P32" s="259"/>
      <c r="Q32" s="2">
        <f t="shared" si="44"/>
        <v>2024</v>
      </c>
      <c r="R32" s="27">
        <f t="shared" si="45"/>
        <v>45306</v>
      </c>
      <c r="S32" s="404">
        <f t="shared" si="58"/>
        <v>6200</v>
      </c>
      <c r="T32" s="404">
        <f>+IF($R32&gt;B$8,"FIN",(S32-SUM($U$25:U31))*VLOOKUP($R32,$A:$Q,2,0)/VLOOKUP(B$15,$M$1:$O$4,2,0))</f>
        <v>38.75</v>
      </c>
      <c r="U32" s="404">
        <f t="shared" si="8"/>
        <v>0</v>
      </c>
      <c r="V32" s="404">
        <f t="shared" si="46"/>
        <v>38.75</v>
      </c>
      <c r="W32" s="405">
        <f t="shared" si="9"/>
        <v>27.758584021988501</v>
      </c>
      <c r="X32" s="404">
        <f t="shared" si="59"/>
        <v>1100</v>
      </c>
      <c r="Y32" s="404">
        <f>+IF($R32&gt;C$8,"FIN",(X32-SUM($Z$25:Z31))*VLOOKUP($R32,$A:$Q,3,0)/VLOOKUP(C$15,$M$1:$O$4,2,0))</f>
        <v>0.6875</v>
      </c>
      <c r="Z32" s="404">
        <f t="shared" si="47"/>
        <v>0</v>
      </c>
      <c r="AA32" s="404">
        <f t="shared" si="10"/>
        <v>0.6875</v>
      </c>
      <c r="AB32" s="405">
        <f t="shared" si="11"/>
        <v>0.49249100684173147</v>
      </c>
      <c r="AC32" s="404">
        <f t="shared" si="60"/>
        <v>3300</v>
      </c>
      <c r="AD32" s="404">
        <f>+IF($R32&gt;D$8,"FIN",(AC32-SUM($AE$25:AE31))*VLOOKUP($R32,$A:$Q,4,0)/VLOOKUP(D$15,$M$1:$O$4,2,0))</f>
        <v>45.375</v>
      </c>
      <c r="AE32" s="404">
        <f t="shared" si="12"/>
        <v>0</v>
      </c>
      <c r="AF32" s="404">
        <f t="shared" si="74"/>
        <v>45.375</v>
      </c>
      <c r="AG32" s="405">
        <f t="shared" si="14"/>
        <v>32.504406451554274</v>
      </c>
      <c r="AH32" s="404">
        <f t="shared" si="61"/>
        <v>1700.0000000000002</v>
      </c>
      <c r="AI32" s="404">
        <f>+IF($R32&gt;E$8,"FIN",(AH32-SUM($AJ$25:AJ31))*VLOOKUP($R32,$A:$Q,5,0)/VLOOKUP(E$15,$M$1:$O$4,2,0))</f>
        <v>14.875000000000004</v>
      </c>
      <c r="AJ32" s="404">
        <f t="shared" si="15"/>
        <v>0</v>
      </c>
      <c r="AK32" s="404">
        <f t="shared" si="16"/>
        <v>14.875000000000004</v>
      </c>
      <c r="AL32" s="405">
        <f t="shared" si="17"/>
        <v>10.655714511666556</v>
      </c>
      <c r="AM32" s="404">
        <f t="shared" si="62"/>
        <v>8600</v>
      </c>
      <c r="AN32" s="404">
        <f>+IF($R32&gt;F$8,"FIN",(AM32-SUM($AO$25:AO31))*VLOOKUP($R32,$A:$Q,6,0)/VLOOKUP(F$15,$M$1:$O$4,2,0))</f>
        <v>129</v>
      </c>
      <c r="AO32" s="404">
        <f t="shared" si="18"/>
        <v>0</v>
      </c>
      <c r="AP32" s="404">
        <f t="shared" si="19"/>
        <v>129</v>
      </c>
      <c r="AQ32" s="405">
        <f t="shared" si="20"/>
        <v>92.409221647393977</v>
      </c>
      <c r="AR32" s="404">
        <f t="shared" si="63"/>
        <v>1150</v>
      </c>
      <c r="AS32" s="404">
        <f>+IF($R32&gt;G$8,"FIN",(AR32-SUM(AT$25:AT31))*VLOOKUP($R32,$A:$Q,7,0)/VLOOKUP(G$15,$M$1:$O$4,2,0))</f>
        <v>11.5</v>
      </c>
      <c r="AT32" s="404">
        <f t="shared" si="21"/>
        <v>0</v>
      </c>
      <c r="AU32" s="404">
        <f t="shared" si="48"/>
        <v>11.5</v>
      </c>
      <c r="AV32" s="405">
        <f t="shared" si="22"/>
        <v>8.238031387170782</v>
      </c>
      <c r="AW32" s="404">
        <f t="shared" si="64"/>
        <v>8600.0000000000018</v>
      </c>
      <c r="AX32" s="404">
        <f>+IF($R32&gt;H$8,"FIN",(AW32-SUM(AY$25:AY31))*VLOOKUP($R32,$A:$Q,8,0)/VLOOKUP(H$15,$M$1:$O$4,2,0))</f>
        <v>150.50000000000006</v>
      </c>
      <c r="AY32" s="404">
        <f t="shared" si="23"/>
        <v>0</v>
      </c>
      <c r="AZ32" s="404">
        <f t="shared" si="24"/>
        <v>150.50000000000006</v>
      </c>
      <c r="BA32" s="405">
        <f t="shared" si="25"/>
        <v>107.81075858862636</v>
      </c>
      <c r="BB32" s="404">
        <f t="shared" si="65"/>
        <v>1150</v>
      </c>
      <c r="BC32" s="404">
        <f>+IF($R32&gt;I$8,"FIN",(BB32-SUM(BD$25:BD31))*VLOOKUP($R32,$A:$Q,9,0)/VLOOKUP(I$15,$M$1:$O$4,2,0))</f>
        <v>14.375</v>
      </c>
      <c r="BD32" s="404">
        <f t="shared" si="26"/>
        <v>0</v>
      </c>
      <c r="BE32" s="404">
        <f t="shared" si="49"/>
        <v>14.375</v>
      </c>
      <c r="BF32" s="405">
        <f t="shared" si="27"/>
        <v>10.297539233963477</v>
      </c>
      <c r="BG32" s="404">
        <f t="shared" si="66"/>
        <v>5200</v>
      </c>
      <c r="BH32" s="404">
        <f>+IF($R32&gt;J$8,"FIN",(BG32-SUM(BI$25:BI31))*VLOOKUP($R32,$A:$Q,10,0)/VLOOKUP(J$15,$M$1:$O$4,2,0))</f>
        <v>110.50000000000001</v>
      </c>
      <c r="BI32" s="404">
        <f t="shared" si="50"/>
        <v>0</v>
      </c>
      <c r="BJ32" s="404">
        <f t="shared" si="28"/>
        <v>110.50000000000001</v>
      </c>
      <c r="BK32" s="405">
        <f t="shared" si="29"/>
        <v>79.156736372380124</v>
      </c>
      <c r="BL32" s="404">
        <f t="shared" si="67"/>
        <v>5800</v>
      </c>
      <c r="BM32" s="404">
        <f>+IF($R32&gt;K$8,"FIN",(BL32-SUM(BN$25:BN31))*VLOOKUP($R32,$A:$Q,11,0)/VLOOKUP(K$15,$M$1:$O$4,2,0))</f>
        <v>97.15</v>
      </c>
      <c r="BN32" s="404">
        <f t="shared" si="51"/>
        <v>0</v>
      </c>
      <c r="BO32" s="404">
        <f t="shared" si="52"/>
        <v>97.15</v>
      </c>
      <c r="BP32" s="405">
        <f t="shared" si="30"/>
        <v>69.593456457707944</v>
      </c>
      <c r="BQ32" s="404">
        <f t="shared" si="68"/>
        <v>0</v>
      </c>
      <c r="BR32" s="404">
        <f>+IF($R32&gt;L$8,"FIN",(BQ32-SUM(BS$25:BS31))*VLOOKUP($R32,$A:$Q,12,0)/VLOOKUP(L$15,$M$1:$O$4,2,0))</f>
        <v>0</v>
      </c>
      <c r="BS32" s="404">
        <f t="shared" si="31"/>
        <v>0</v>
      </c>
      <c r="BT32" s="404">
        <f t="shared" si="32"/>
        <v>0</v>
      </c>
      <c r="BU32" s="405">
        <f t="shared" si="33"/>
        <v>0</v>
      </c>
      <c r="BV32" s="404">
        <f t="shared" si="69"/>
        <v>0</v>
      </c>
      <c r="BW32" s="404">
        <f>+IF($R32&gt;M$8,"FIN",(BV32-SUM(BX$25:BX31))*VLOOKUP($R32,$A:$Q,13,0)/VLOOKUP(M$15,$M$1:$O$4,2,0))</f>
        <v>0</v>
      </c>
      <c r="BX32" s="404">
        <f t="shared" si="34"/>
        <v>0</v>
      </c>
      <c r="BY32" s="404">
        <f t="shared" si="53"/>
        <v>0</v>
      </c>
      <c r="BZ32" s="405">
        <f t="shared" si="35"/>
        <v>0</v>
      </c>
      <c r="CA32" s="404">
        <f t="shared" si="70"/>
        <v>14079.830909345501</v>
      </c>
      <c r="CB32" s="404">
        <f>+IF($R32&gt;N$8,"FIN",(CA32-SUM(CC$25:CC31))*VLOOKUP($R32,$A:$Q,14,0)/VLOOKUP(N$15,$M$1:$O$4,2,0))</f>
        <v>228.79725227686438</v>
      </c>
      <c r="CC32" s="404">
        <f t="shared" si="36"/>
        <v>0</v>
      </c>
      <c r="CD32" s="404">
        <f t="shared" si="54"/>
        <v>228.79725227686438</v>
      </c>
      <c r="CE32" s="405">
        <f t="shared" si="38"/>
        <v>163.89903874393394</v>
      </c>
      <c r="CF32" s="404">
        <f t="shared" si="71"/>
        <v>6893.2985731165309</v>
      </c>
      <c r="CG32" s="404">
        <f>+IF($R32&gt;O$8,"FIN",(CF32-SUM(CH$25:CH31))*VLOOKUP($R32,$A:$Q,15,0)/VLOOKUP(O$15,$M$1:$O$4,2,0))</f>
        <v>77.549608947560969</v>
      </c>
      <c r="CH32" s="404">
        <f t="shared" si="39"/>
        <v>0</v>
      </c>
      <c r="CI32" s="404">
        <f t="shared" si="55"/>
        <v>77.549608947560969</v>
      </c>
      <c r="CJ32" s="405">
        <f t="shared" si="40"/>
        <v>55.552705441115421</v>
      </c>
      <c r="CK32" s="404"/>
      <c r="CL32" s="404"/>
      <c r="CM32" s="404"/>
      <c r="CN32" s="404"/>
      <c r="CO32" s="405"/>
      <c r="CP32" s="397"/>
      <c r="CQ32" s="348">
        <f t="shared" si="56"/>
        <v>945.93676649719396</v>
      </c>
      <c r="CR32" s="409">
        <f t="shared" si="56"/>
        <v>0</v>
      </c>
      <c r="CS32" s="410">
        <f t="shared" si="57"/>
        <v>945.93676649719396</v>
      </c>
      <c r="CT32"/>
    </row>
    <row r="33" spans="1:98" ht="15" x14ac:dyDescent="0.25">
      <c r="A33" s="27">
        <f t="shared" si="43"/>
        <v>45488</v>
      </c>
      <c r="B33" s="256">
        <v>1.2500000000000001E-2</v>
      </c>
      <c r="C33" s="256">
        <v>1.25E-3</v>
      </c>
      <c r="D33" s="256">
        <v>2.75E-2</v>
      </c>
      <c r="E33" s="256">
        <v>1.7500000000000002E-2</v>
      </c>
      <c r="F33" s="256">
        <v>0.03</v>
      </c>
      <c r="G33" s="256">
        <v>0.02</v>
      </c>
      <c r="H33" s="256">
        <v>3.5000000000000003E-2</v>
      </c>
      <c r="I33" s="256">
        <v>2.5000000000000001E-2</v>
      </c>
      <c r="J33" s="256">
        <v>4.2500000000000003E-2</v>
      </c>
      <c r="K33" s="256">
        <v>3.3500000000000002E-2</v>
      </c>
      <c r="L33" s="256">
        <v>3.5000000000000003E-2</v>
      </c>
      <c r="M33" s="256">
        <v>2.6249999999999999E-2</v>
      </c>
      <c r="N33" s="256">
        <v>3.2500000000000001E-2</v>
      </c>
      <c r="O33" s="286">
        <v>2.2499999999999999E-2</v>
      </c>
      <c r="P33" s="259"/>
      <c r="Q33" s="2">
        <f t="shared" si="44"/>
        <v>2024</v>
      </c>
      <c r="R33" s="27">
        <f t="shared" si="45"/>
        <v>45488</v>
      </c>
      <c r="S33" s="404">
        <f t="shared" si="58"/>
        <v>6200</v>
      </c>
      <c r="T33" s="404">
        <f>+IF($R33&gt;B$8,"FIN",(S33-SUM($U$25:U32))*VLOOKUP($R33,$A:$Q,2,0)/VLOOKUP(B$15,$M$1:$O$4,2,0))</f>
        <v>38.75</v>
      </c>
      <c r="U33" s="404">
        <f t="shared" si="8"/>
        <v>0</v>
      </c>
      <c r="V33" s="404">
        <f t="shared" si="46"/>
        <v>38.75</v>
      </c>
      <c r="W33" s="405">
        <f t="shared" si="9"/>
        <v>26.466771395396481</v>
      </c>
      <c r="X33" s="404">
        <f t="shared" si="59"/>
        <v>1100</v>
      </c>
      <c r="Y33" s="404">
        <f>+IF($R33&gt;C$8,"FIN",(X33-SUM($Z$25:Z32))*VLOOKUP($R33,$A:$Q,3,0)/VLOOKUP(C$15,$M$1:$O$4,2,0))</f>
        <v>0.6875</v>
      </c>
      <c r="Z33" s="404">
        <f t="shared" si="47"/>
        <v>0</v>
      </c>
      <c r="AA33" s="404">
        <f t="shared" si="10"/>
        <v>0.6875</v>
      </c>
      <c r="AB33" s="405">
        <f t="shared" si="11"/>
        <v>0.46957175056348599</v>
      </c>
      <c r="AC33" s="404">
        <f t="shared" si="60"/>
        <v>3300</v>
      </c>
      <c r="AD33" s="404">
        <f>+IF($R33&gt;D$8,"FIN",(AC33-SUM($AE$25:AE32))*VLOOKUP($R33,$A:$Q,4,0)/VLOOKUP(D$15,$M$1:$O$4,2,0))</f>
        <v>45.375</v>
      </c>
      <c r="AE33" s="404">
        <f t="shared" si="12"/>
        <v>0</v>
      </c>
      <c r="AF33" s="404">
        <f t="shared" si="74"/>
        <v>45.375</v>
      </c>
      <c r="AG33" s="405">
        <f t="shared" si="14"/>
        <v>30.991735537190074</v>
      </c>
      <c r="AH33" s="404">
        <f t="shared" si="61"/>
        <v>1700.0000000000002</v>
      </c>
      <c r="AI33" s="404">
        <f>+IF($R33&gt;E$8,"FIN",(AH33-SUM($AJ$25:AJ32))*VLOOKUP($R33,$A:$Q,5,0)/VLOOKUP(E$15,$M$1:$O$4,2,0))</f>
        <v>14.875000000000004</v>
      </c>
      <c r="AJ33" s="404">
        <f t="shared" si="15"/>
        <v>0</v>
      </c>
      <c r="AK33" s="404">
        <f t="shared" si="16"/>
        <v>14.875000000000004</v>
      </c>
      <c r="AL33" s="405">
        <f t="shared" si="17"/>
        <v>10.159825148555425</v>
      </c>
      <c r="AM33" s="404">
        <f t="shared" si="62"/>
        <v>8600</v>
      </c>
      <c r="AN33" s="404">
        <f>+IF($R33&gt;F$8,"FIN",(AM33-SUM($AO$25:AO32))*VLOOKUP($R33,$A:$Q,6,0)/VLOOKUP(F$15,$M$1:$O$4,2,0))</f>
        <v>129</v>
      </c>
      <c r="AO33" s="404">
        <f t="shared" si="18"/>
        <v>0</v>
      </c>
      <c r="AP33" s="404">
        <f t="shared" si="19"/>
        <v>129</v>
      </c>
      <c r="AQ33" s="405">
        <f t="shared" si="20"/>
        <v>88.108735742094098</v>
      </c>
      <c r="AR33" s="404">
        <f t="shared" si="63"/>
        <v>1150</v>
      </c>
      <c r="AS33" s="404">
        <f>+IF($R33&gt;G$8,"FIN",(AR33-SUM(AT$25:AT32))*VLOOKUP($R33,$A:$Q,7,0)/VLOOKUP(G$15,$M$1:$O$4,2,0))</f>
        <v>11.5</v>
      </c>
      <c r="AT33" s="404">
        <f t="shared" si="21"/>
        <v>0</v>
      </c>
      <c r="AU33" s="404">
        <f t="shared" si="48"/>
        <v>11.5</v>
      </c>
      <c r="AV33" s="405">
        <f t="shared" si="22"/>
        <v>7.8546547366983104</v>
      </c>
      <c r="AW33" s="404">
        <f t="shared" si="64"/>
        <v>8600.0000000000018</v>
      </c>
      <c r="AX33" s="404">
        <f>+IF($R33&gt;H$8,"FIN",(AW33-SUM(AY$25:AY32))*VLOOKUP($R33,$A:$Q,8,0)/VLOOKUP(H$15,$M$1:$O$4,2,0))</f>
        <v>150.50000000000006</v>
      </c>
      <c r="AY33" s="404">
        <f t="shared" si="23"/>
        <v>0</v>
      </c>
      <c r="AZ33" s="404">
        <f t="shared" si="24"/>
        <v>150.50000000000006</v>
      </c>
      <c r="BA33" s="405">
        <f t="shared" si="25"/>
        <v>102.79352503244316</v>
      </c>
      <c r="BB33" s="404">
        <f t="shared" si="65"/>
        <v>1150</v>
      </c>
      <c r="BC33" s="404">
        <f>+IF($R33&gt;I$8,"FIN",(BB33-SUM(BD$25:BD32))*VLOOKUP($R33,$A:$Q,9,0)/VLOOKUP(I$15,$M$1:$O$4,2,0))</f>
        <v>14.375</v>
      </c>
      <c r="BD33" s="404">
        <f t="shared" si="26"/>
        <v>0</v>
      </c>
      <c r="BE33" s="404">
        <f t="shared" si="49"/>
        <v>14.375</v>
      </c>
      <c r="BF33" s="405">
        <f t="shared" si="27"/>
        <v>9.8183184208728882</v>
      </c>
      <c r="BG33" s="404">
        <f t="shared" si="66"/>
        <v>5200</v>
      </c>
      <c r="BH33" s="404">
        <f>+IF($R33&gt;J$8,"FIN",(BG33-SUM(BI$25:BI32))*VLOOKUP($R33,$A:$Q,10,0)/VLOOKUP(J$15,$M$1:$O$4,2,0))</f>
        <v>110.50000000000001</v>
      </c>
      <c r="BI33" s="404">
        <f t="shared" si="50"/>
        <v>0</v>
      </c>
      <c r="BJ33" s="404">
        <f t="shared" si="28"/>
        <v>110.50000000000001</v>
      </c>
      <c r="BK33" s="405">
        <f t="shared" si="29"/>
        <v>75.472986817840294</v>
      </c>
      <c r="BL33" s="404">
        <f t="shared" si="67"/>
        <v>5800</v>
      </c>
      <c r="BM33" s="404">
        <f>+IF($R33&gt;K$8,"FIN",(BL33-SUM(BN$25:BN32))*VLOOKUP($R33,$A:$Q,11,0)/VLOOKUP(K$15,$M$1:$O$4,2,0))</f>
        <v>97.15</v>
      </c>
      <c r="BN33" s="404">
        <f t="shared" si="51"/>
        <v>0</v>
      </c>
      <c r="BO33" s="404">
        <f t="shared" si="52"/>
        <v>97.15</v>
      </c>
      <c r="BP33" s="405">
        <f t="shared" si="30"/>
        <v>66.354757188716604</v>
      </c>
      <c r="BQ33" s="404">
        <f t="shared" si="68"/>
        <v>0</v>
      </c>
      <c r="BR33" s="404">
        <f>+IF($R33&gt;L$8,"FIN",(BQ33-SUM(BS$25:BS32))*VLOOKUP($R33,$A:$Q,12,0)/VLOOKUP(L$15,$M$1:$O$4,2,0))</f>
        <v>0</v>
      </c>
      <c r="BS33" s="404">
        <f t="shared" si="31"/>
        <v>0</v>
      </c>
      <c r="BT33" s="404">
        <f t="shared" si="32"/>
        <v>0</v>
      </c>
      <c r="BU33" s="405">
        <f t="shared" si="33"/>
        <v>0</v>
      </c>
      <c r="BV33" s="404">
        <f t="shared" si="69"/>
        <v>0</v>
      </c>
      <c r="BW33" s="404">
        <f>+IF($R33&gt;M$8,"FIN",(BV33-SUM(BX$25:BX32))*VLOOKUP($R33,$A:$Q,13,0)/VLOOKUP(M$15,$M$1:$O$4,2,0))</f>
        <v>0</v>
      </c>
      <c r="BX33" s="404">
        <f t="shared" si="34"/>
        <v>0</v>
      </c>
      <c r="BY33" s="404">
        <f t="shared" si="53"/>
        <v>0</v>
      </c>
      <c r="BZ33" s="405">
        <f t="shared" si="35"/>
        <v>0</v>
      </c>
      <c r="CA33" s="404">
        <f t="shared" si="70"/>
        <v>14079.830909345501</v>
      </c>
      <c r="CB33" s="404">
        <f>+IF($R33&gt;N$8,"FIN",(CA33-SUM(CC$25:CC32))*VLOOKUP($R33,$A:$Q,14,0)/VLOOKUP(N$15,$M$1:$O$4,2,0))</f>
        <v>228.79725227686438</v>
      </c>
      <c r="CC33" s="404">
        <f t="shared" si="36"/>
        <v>0</v>
      </c>
      <c r="CD33" s="404">
        <f t="shared" si="54"/>
        <v>228.79725227686438</v>
      </c>
      <c r="CE33" s="405">
        <f t="shared" si="38"/>
        <v>156.27160185565489</v>
      </c>
      <c r="CF33" s="404">
        <f t="shared" si="71"/>
        <v>6893.2985731165309</v>
      </c>
      <c r="CG33" s="404">
        <f>+IF($R33&gt;O$8,"FIN",(CF33-SUM(CH$25:CH32))*VLOOKUP($R33,$A:$Q,15,0)/VLOOKUP(O$15,$M$1:$O$4,2,0))</f>
        <v>77.549608947560969</v>
      </c>
      <c r="CH33" s="404">
        <f t="shared" si="39"/>
        <v>0</v>
      </c>
      <c r="CI33" s="404">
        <f t="shared" si="55"/>
        <v>77.549608947560969</v>
      </c>
      <c r="CJ33" s="405">
        <f t="shared" si="40"/>
        <v>52.967426369483604</v>
      </c>
      <c r="CK33" s="404"/>
      <c r="CL33" s="404"/>
      <c r="CM33" s="404"/>
      <c r="CN33" s="404"/>
      <c r="CO33" s="405"/>
      <c r="CP33" s="397"/>
      <c r="CQ33" s="348">
        <f t="shared" si="56"/>
        <v>945.93676649719396</v>
      </c>
      <c r="CR33" s="409">
        <f t="shared" si="56"/>
        <v>0</v>
      </c>
      <c r="CS33" s="410">
        <f t="shared" si="57"/>
        <v>945.93676649719396</v>
      </c>
      <c r="CT33"/>
    </row>
    <row r="34" spans="1:98" ht="15" x14ac:dyDescent="0.25">
      <c r="A34" s="27">
        <f t="shared" si="43"/>
        <v>45672</v>
      </c>
      <c r="B34" s="256">
        <v>1.4999999999999999E-2</v>
      </c>
      <c r="C34" s="256">
        <v>2.5000000000000001E-3</v>
      </c>
      <c r="D34" s="256">
        <v>3.3500000000000002E-2</v>
      </c>
      <c r="E34" s="256">
        <v>0.02</v>
      </c>
      <c r="F34" s="256">
        <v>3.4000000000000002E-2</v>
      </c>
      <c r="G34" s="256">
        <v>2.2499999999999999E-2</v>
      </c>
      <c r="H34" s="256">
        <v>4.2500000000000003E-2</v>
      </c>
      <c r="I34" s="256">
        <v>0.03</v>
      </c>
      <c r="J34" s="256">
        <v>0.05</v>
      </c>
      <c r="K34" s="256">
        <v>3.95E-2</v>
      </c>
      <c r="L34" s="256">
        <v>3.5000000000000003E-2</v>
      </c>
      <c r="M34" s="256">
        <v>2.6249999999999999E-2</v>
      </c>
      <c r="N34" s="256">
        <v>4.2500000000000003E-2</v>
      </c>
      <c r="O34" s="286">
        <v>0.03</v>
      </c>
      <c r="P34" s="259"/>
      <c r="Q34" s="2">
        <f t="shared" si="44"/>
        <v>2025</v>
      </c>
      <c r="R34" s="27">
        <f t="shared" si="45"/>
        <v>45672</v>
      </c>
      <c r="S34" s="404">
        <f t="shared" si="58"/>
        <v>6200</v>
      </c>
      <c r="T34" s="404">
        <f>+IF($R34&gt;B$8,"FIN",(S34-SUM($U$25:U33))*VLOOKUP($R34,$A:$Q,2,0)/VLOOKUP(B$15,$M$1:$O$4,2,0))</f>
        <v>46.5</v>
      </c>
      <c r="U34" s="404">
        <f t="shared" si="8"/>
        <v>0</v>
      </c>
      <c r="V34" s="404">
        <f t="shared" si="46"/>
        <v>46.5</v>
      </c>
      <c r="W34" s="405">
        <f t="shared" si="9"/>
        <v>30.282091660351089</v>
      </c>
      <c r="X34" s="404">
        <f t="shared" si="59"/>
        <v>1100</v>
      </c>
      <c r="Y34" s="404">
        <f>+IF($R34&gt;C$8,"FIN",(X34-SUM($Z$25:Z33))*VLOOKUP($R34,$A:$Q,3,0)/VLOOKUP(C$15,$M$1:$O$4,2,0))</f>
        <v>1.375</v>
      </c>
      <c r="Z34" s="404">
        <f t="shared" si="47"/>
        <v>0</v>
      </c>
      <c r="AA34" s="404">
        <f t="shared" si="10"/>
        <v>1.375</v>
      </c>
      <c r="AB34" s="405">
        <f t="shared" si="11"/>
        <v>0.89543819425769344</v>
      </c>
      <c r="AC34" s="404">
        <f t="shared" si="60"/>
        <v>3300</v>
      </c>
      <c r="AD34" s="404">
        <f>+IF($R34&gt;D$8,"FIN",(AC34-SUM($AE$25:AE33))*VLOOKUP($R34,$A:$Q,4,0)/VLOOKUP(D$15,$M$1:$O$4,2,0))</f>
        <v>55.275000000000006</v>
      </c>
      <c r="AE34" s="404">
        <f t="shared" si="12"/>
        <v>0</v>
      </c>
      <c r="AF34" s="404">
        <f t="shared" si="74"/>
        <v>55.275000000000006</v>
      </c>
      <c r="AG34" s="405">
        <f t="shared" si="14"/>
        <v>35.996615409159283</v>
      </c>
      <c r="AH34" s="404">
        <f t="shared" si="61"/>
        <v>1700.0000000000002</v>
      </c>
      <c r="AI34" s="404">
        <f>+IF($R34&gt;E$8,"FIN",(AH34-SUM($AJ$25:AJ33))*VLOOKUP($R34,$A:$Q,5,0)/VLOOKUP(E$15,$M$1:$O$4,2,0))</f>
        <v>17.000000000000004</v>
      </c>
      <c r="AJ34" s="404">
        <f t="shared" si="15"/>
        <v>0</v>
      </c>
      <c r="AK34" s="404">
        <f t="shared" si="16"/>
        <v>17.000000000000004</v>
      </c>
      <c r="AL34" s="405">
        <f t="shared" si="17"/>
        <v>11.070872219913303</v>
      </c>
      <c r="AM34" s="404">
        <f t="shared" si="62"/>
        <v>8600</v>
      </c>
      <c r="AN34" s="404">
        <f>+IF($R34&gt;F$8,"FIN",(AM34-SUM($AO$25:AO33))*VLOOKUP($R34,$A:$Q,6,0)/VLOOKUP(F$15,$M$1:$O$4,2,0))</f>
        <v>146.20000000000002</v>
      </c>
      <c r="AO34" s="404">
        <f t="shared" si="18"/>
        <v>0</v>
      </c>
      <c r="AP34" s="404">
        <f t="shared" si="19"/>
        <v>146.20000000000002</v>
      </c>
      <c r="AQ34" s="405">
        <f t="shared" si="20"/>
        <v>95.209501091254396</v>
      </c>
      <c r="AR34" s="404">
        <f t="shared" si="63"/>
        <v>1150</v>
      </c>
      <c r="AS34" s="404">
        <f>+IF($R34&gt;G$8,"FIN",(AR34-SUM(AT$25:AT33))*VLOOKUP($R34,$A:$Q,7,0)/VLOOKUP(G$15,$M$1:$O$4,2,0))</f>
        <v>12.9375</v>
      </c>
      <c r="AT34" s="404">
        <f t="shared" si="21"/>
        <v>0</v>
      </c>
      <c r="AU34" s="404">
        <f t="shared" si="48"/>
        <v>12.9375</v>
      </c>
      <c r="AV34" s="405">
        <f t="shared" si="22"/>
        <v>8.4252593732428434</v>
      </c>
      <c r="AW34" s="404">
        <f t="shared" si="64"/>
        <v>8600.0000000000018</v>
      </c>
      <c r="AX34" s="404">
        <f>+IF($R34&gt;H$8,"FIN",(AW34-SUM(AY$25:AY33))*VLOOKUP($R34,$A:$Q,8,0)/VLOOKUP(H$15,$M$1:$O$4,2,0))</f>
        <v>182.75000000000006</v>
      </c>
      <c r="AY34" s="404">
        <f t="shared" si="23"/>
        <v>0</v>
      </c>
      <c r="AZ34" s="404">
        <f t="shared" si="24"/>
        <v>182.75000000000006</v>
      </c>
      <c r="BA34" s="405">
        <f t="shared" si="25"/>
        <v>119.01187636406802</v>
      </c>
      <c r="BB34" s="404">
        <f t="shared" si="65"/>
        <v>1150</v>
      </c>
      <c r="BC34" s="404">
        <f>+IF($R34&gt;I$8,"FIN",(BB34-SUM(BD$25:BD33))*VLOOKUP($R34,$A:$Q,9,0)/VLOOKUP(I$15,$M$1:$O$4,2,0))</f>
        <v>17.25</v>
      </c>
      <c r="BD34" s="404">
        <f t="shared" si="26"/>
        <v>0</v>
      </c>
      <c r="BE34" s="404">
        <f t="shared" si="49"/>
        <v>17.25</v>
      </c>
      <c r="BF34" s="405">
        <f t="shared" si="27"/>
        <v>11.233679164323791</v>
      </c>
      <c r="BG34" s="404">
        <f t="shared" si="66"/>
        <v>5200</v>
      </c>
      <c r="BH34" s="404">
        <f>+IF($R34&gt;J$8,"FIN",(BG34-SUM(BI$25:BI33))*VLOOKUP($R34,$A:$Q,10,0)/VLOOKUP(J$15,$M$1:$O$4,2,0))</f>
        <v>130</v>
      </c>
      <c r="BI34" s="404">
        <f t="shared" si="50"/>
        <v>0</v>
      </c>
      <c r="BJ34" s="404">
        <f t="shared" si="28"/>
        <v>130</v>
      </c>
      <c r="BK34" s="405">
        <f t="shared" si="29"/>
        <v>84.659611093454657</v>
      </c>
      <c r="BL34" s="404">
        <f t="shared" si="67"/>
        <v>5800</v>
      </c>
      <c r="BM34" s="404">
        <f>+IF($R34&gt;K$8,"FIN",(BL34-SUM(BN$25:BN33))*VLOOKUP($R34,$A:$Q,11,0)/VLOOKUP(K$15,$M$1:$O$4,2,0))</f>
        <v>114.55</v>
      </c>
      <c r="BN34" s="404">
        <f t="shared" si="51"/>
        <v>0</v>
      </c>
      <c r="BO34" s="404">
        <f t="shared" si="52"/>
        <v>114.55</v>
      </c>
      <c r="BP34" s="405">
        <f t="shared" si="30"/>
        <v>74.598141928886392</v>
      </c>
      <c r="BQ34" s="404">
        <f t="shared" si="68"/>
        <v>0</v>
      </c>
      <c r="BR34" s="404">
        <f>+IF($R34&gt;L$8,"FIN",(BQ34-SUM(BS$25:BS33))*VLOOKUP($R34,$A:$Q,12,0)/VLOOKUP(L$15,$M$1:$O$4,2,0))</f>
        <v>0</v>
      </c>
      <c r="BS34" s="404">
        <f t="shared" si="31"/>
        <v>0</v>
      </c>
      <c r="BT34" s="404">
        <f t="shared" si="32"/>
        <v>0</v>
      </c>
      <c r="BU34" s="405">
        <f t="shared" si="33"/>
        <v>0</v>
      </c>
      <c r="BV34" s="404">
        <f t="shared" si="69"/>
        <v>0</v>
      </c>
      <c r="BW34" s="404">
        <f>+IF($R34&gt;M$8,"FIN",(BV34-SUM(BX$25:BX33))*VLOOKUP($R34,$A:$Q,13,0)/VLOOKUP(M$15,$M$1:$O$4,2,0))</f>
        <v>0</v>
      </c>
      <c r="BX34" s="404">
        <f t="shared" si="34"/>
        <v>0</v>
      </c>
      <c r="BY34" s="404">
        <f t="shared" si="53"/>
        <v>0</v>
      </c>
      <c r="BZ34" s="405">
        <f t="shared" si="35"/>
        <v>0</v>
      </c>
      <c r="CA34" s="404">
        <f t="shared" si="70"/>
        <v>14079.830909345501</v>
      </c>
      <c r="CB34" s="404">
        <f>+IF($R34&gt;N$8,"FIN",(CA34-SUM(CC$25:CC33))*VLOOKUP($R34,$A:$Q,14,0)/VLOOKUP(N$15,$M$1:$O$4,2,0))</f>
        <v>299.19640682359193</v>
      </c>
      <c r="CC34" s="404">
        <f t="shared" si="36"/>
        <v>0</v>
      </c>
      <c r="CD34" s="404">
        <f t="shared" si="54"/>
        <v>299.19640682359193</v>
      </c>
      <c r="CE34" s="405">
        <f t="shared" si="38"/>
        <v>194.84501109418719</v>
      </c>
      <c r="CF34" s="404">
        <f t="shared" si="71"/>
        <v>6893.2985731165309</v>
      </c>
      <c r="CG34" s="404">
        <f>+IF($R34&gt;O$8,"FIN",(CF34-SUM(CH$25:CH33))*VLOOKUP($R34,$A:$Q,15,0)/VLOOKUP(O$15,$M$1:$O$4,2,0))</f>
        <v>103.39947859674795</v>
      </c>
      <c r="CH34" s="404">
        <f t="shared" si="39"/>
        <v>0</v>
      </c>
      <c r="CI34" s="404">
        <f t="shared" si="55"/>
        <v>103.39947859674795</v>
      </c>
      <c r="CJ34" s="405">
        <f t="shared" si="40"/>
        <v>67.336612655897468</v>
      </c>
      <c r="CK34" s="404"/>
      <c r="CL34" s="404"/>
      <c r="CM34" s="404"/>
      <c r="CN34" s="404"/>
      <c r="CO34" s="405"/>
      <c r="CP34" s="397"/>
      <c r="CQ34" s="348">
        <f t="shared" si="56"/>
        <v>1159.5750818817751</v>
      </c>
      <c r="CR34" s="409">
        <f t="shared" si="56"/>
        <v>0</v>
      </c>
      <c r="CS34" s="410">
        <f t="shared" si="57"/>
        <v>1159.5750818817751</v>
      </c>
      <c r="CT34"/>
    </row>
    <row r="35" spans="1:98" ht="15" x14ac:dyDescent="0.25">
      <c r="A35" s="27">
        <f t="shared" si="43"/>
        <v>45853</v>
      </c>
      <c r="B35" s="256">
        <v>1.4999999999999999E-2</v>
      </c>
      <c r="C35" s="256">
        <v>2.5000000000000001E-3</v>
      </c>
      <c r="D35" s="256">
        <v>3.3500000000000002E-2</v>
      </c>
      <c r="E35" s="256">
        <v>0.02</v>
      </c>
      <c r="F35" s="256">
        <v>3.4000000000000002E-2</v>
      </c>
      <c r="G35" s="256">
        <v>2.2499999999999999E-2</v>
      </c>
      <c r="H35" s="256">
        <v>4.2500000000000003E-2</v>
      </c>
      <c r="I35" s="256">
        <v>0.03</v>
      </c>
      <c r="J35" s="256">
        <v>0.05</v>
      </c>
      <c r="K35" s="256">
        <v>3.95E-2</v>
      </c>
      <c r="L35" s="256">
        <v>3.5000000000000003E-2</v>
      </c>
      <c r="M35" s="256">
        <v>2.6249999999999999E-2</v>
      </c>
      <c r="N35" s="256">
        <v>4.2500000000000003E-2</v>
      </c>
      <c r="O35" s="286">
        <v>0.03</v>
      </c>
      <c r="P35" s="259"/>
      <c r="Q35" s="2">
        <f t="shared" si="44"/>
        <v>2025</v>
      </c>
      <c r="R35" s="27">
        <f t="shared" si="45"/>
        <v>45853</v>
      </c>
      <c r="S35" s="404">
        <f t="shared" si="58"/>
        <v>6200</v>
      </c>
      <c r="T35" s="404">
        <f>+IF($R35&gt;B$8,"FIN",(S35-SUM($U$25:U34))*VLOOKUP($R35,$A:$Q,2,0)/VLOOKUP(B$15,$M$1:$O$4,2,0))</f>
        <v>46.5</v>
      </c>
      <c r="U35" s="404">
        <f t="shared" si="8"/>
        <v>1240</v>
      </c>
      <c r="V35" s="404">
        <f t="shared" si="46"/>
        <v>1286.5</v>
      </c>
      <c r="W35" s="405">
        <f t="shared" si="9"/>
        <v>798.81528211560283</v>
      </c>
      <c r="X35" s="404">
        <f t="shared" si="59"/>
        <v>1100</v>
      </c>
      <c r="Y35" s="404">
        <f>+IF($R35&gt;C$8,"FIN",(X35-SUM($Z$25:Z34))*VLOOKUP($R35,$A:$Q,3,0)/VLOOKUP(C$15,$M$1:$O$4,2,0))</f>
        <v>1.375</v>
      </c>
      <c r="Z35" s="404">
        <f t="shared" si="47"/>
        <v>220</v>
      </c>
      <c r="AA35" s="404">
        <f t="shared" si="10"/>
        <v>221.375</v>
      </c>
      <c r="AB35" s="405">
        <f t="shared" si="11"/>
        <v>137.45645789222044</v>
      </c>
      <c r="AC35" s="404">
        <f t="shared" si="60"/>
        <v>3300</v>
      </c>
      <c r="AD35" s="404">
        <f>+IF($R35&gt;D$8,"FIN",(AC35-SUM($AE$25:AE34))*VLOOKUP($R35,$A:$Q,4,0)/VLOOKUP(D$15,$M$1:$O$4,2,0))</f>
        <v>55.275000000000006</v>
      </c>
      <c r="AE35" s="404">
        <f t="shared" si="12"/>
        <v>0</v>
      </c>
      <c r="AF35" s="404">
        <f t="shared" si="74"/>
        <v>55.275000000000006</v>
      </c>
      <c r="AG35" s="405">
        <f t="shared" si="14"/>
        <v>34.321426132094793</v>
      </c>
      <c r="AH35" s="404">
        <f t="shared" si="61"/>
        <v>1700.0000000000002</v>
      </c>
      <c r="AI35" s="404">
        <f>+IF($R35&gt;E$8,"FIN",(AH35-SUM($AJ$25:AJ34))*VLOOKUP($R35,$A:$Q,5,0)/VLOOKUP(E$15,$M$1:$O$4,2,0))</f>
        <v>17.000000000000004</v>
      </c>
      <c r="AJ35" s="404">
        <f t="shared" si="15"/>
        <v>0</v>
      </c>
      <c r="AK35" s="404">
        <f t="shared" si="16"/>
        <v>17.000000000000004</v>
      </c>
      <c r="AL35" s="405">
        <f t="shared" si="17"/>
        <v>10.555662492005636</v>
      </c>
      <c r="AM35" s="404">
        <f t="shared" si="62"/>
        <v>8600</v>
      </c>
      <c r="AN35" s="404">
        <f>+IF($R35&gt;F$8,"FIN",(AM35-SUM($AO$25:AO34))*VLOOKUP($R35,$A:$Q,6,0)/VLOOKUP(F$15,$M$1:$O$4,2,0))</f>
        <v>146.20000000000002</v>
      </c>
      <c r="AO35" s="404">
        <f t="shared" si="18"/>
        <v>0</v>
      </c>
      <c r="AP35" s="404">
        <f t="shared" si="19"/>
        <v>146.20000000000002</v>
      </c>
      <c r="AQ35" s="405">
        <f t="shared" si="20"/>
        <v>90.77869743124846</v>
      </c>
      <c r="AR35" s="404">
        <f t="shared" si="63"/>
        <v>1150</v>
      </c>
      <c r="AS35" s="404">
        <f>+IF($R35&gt;G$8,"FIN",(AR35-SUM(AT$25:AT34))*VLOOKUP($R35,$A:$Q,7,0)/VLOOKUP(G$15,$M$1:$O$4,2,0))</f>
        <v>12.9375</v>
      </c>
      <c r="AT35" s="404">
        <f t="shared" si="21"/>
        <v>0</v>
      </c>
      <c r="AU35" s="404">
        <f t="shared" si="48"/>
        <v>12.9375</v>
      </c>
      <c r="AV35" s="405">
        <f t="shared" si="22"/>
        <v>8.0331696170778173</v>
      </c>
      <c r="AW35" s="404">
        <f t="shared" si="64"/>
        <v>8600.0000000000018</v>
      </c>
      <c r="AX35" s="404">
        <f>+IF($R35&gt;H$8,"FIN",(AW35-SUM(AY$25:AY34))*VLOOKUP($R35,$A:$Q,8,0)/VLOOKUP(H$15,$M$1:$O$4,2,0))</f>
        <v>182.75000000000006</v>
      </c>
      <c r="AY35" s="404">
        <f t="shared" si="23"/>
        <v>0</v>
      </c>
      <c r="AZ35" s="404">
        <f t="shared" si="24"/>
        <v>182.75000000000006</v>
      </c>
      <c r="BA35" s="405">
        <f t="shared" si="25"/>
        <v>113.47337178906061</v>
      </c>
      <c r="BB35" s="404">
        <f t="shared" si="65"/>
        <v>1150</v>
      </c>
      <c r="BC35" s="404">
        <f>+IF($R35&gt;I$8,"FIN",(BB35-SUM(BD$25:BD34))*VLOOKUP($R35,$A:$Q,9,0)/VLOOKUP(I$15,$M$1:$O$4,2,0))</f>
        <v>17.25</v>
      </c>
      <c r="BD35" s="404">
        <f t="shared" si="26"/>
        <v>0</v>
      </c>
      <c r="BE35" s="404">
        <f t="shared" si="49"/>
        <v>17.25</v>
      </c>
      <c r="BF35" s="405">
        <f t="shared" si="27"/>
        <v>10.710892822770424</v>
      </c>
      <c r="BG35" s="404">
        <f t="shared" si="66"/>
        <v>5200</v>
      </c>
      <c r="BH35" s="404">
        <f>+IF($R35&gt;J$8,"FIN",(BG35-SUM(BI$25:BI34))*VLOOKUP($R35,$A:$Q,10,0)/VLOOKUP(J$15,$M$1:$O$4,2,0))</f>
        <v>130</v>
      </c>
      <c r="BI35" s="404">
        <f t="shared" si="50"/>
        <v>0</v>
      </c>
      <c r="BJ35" s="404">
        <f t="shared" si="28"/>
        <v>130</v>
      </c>
      <c r="BK35" s="405">
        <f t="shared" si="29"/>
        <v>80.719771997690145</v>
      </c>
      <c r="BL35" s="404">
        <f t="shared" si="67"/>
        <v>5800</v>
      </c>
      <c r="BM35" s="404">
        <f>+IF($R35&gt;K$8,"FIN",(BL35-SUM(BN$25:BN34))*VLOOKUP($R35,$A:$Q,11,0)/VLOOKUP(K$15,$M$1:$O$4,2,0))</f>
        <v>114.55</v>
      </c>
      <c r="BN35" s="404">
        <f t="shared" si="51"/>
        <v>0</v>
      </c>
      <c r="BO35" s="404">
        <f t="shared" si="52"/>
        <v>114.55</v>
      </c>
      <c r="BP35" s="405">
        <f t="shared" si="30"/>
        <v>71.1265375564262</v>
      </c>
      <c r="BQ35" s="404">
        <f t="shared" si="68"/>
        <v>0</v>
      </c>
      <c r="BR35" s="404">
        <f>+IF($R35&gt;L$8,"FIN",(BQ35-SUM(BS$25:BS34))*VLOOKUP($R35,$A:$Q,12,0)/VLOOKUP(L$15,$M$1:$O$4,2,0))</f>
        <v>0</v>
      </c>
      <c r="BS35" s="404">
        <f t="shared" si="31"/>
        <v>0</v>
      </c>
      <c r="BT35" s="404">
        <f t="shared" si="32"/>
        <v>0</v>
      </c>
      <c r="BU35" s="405">
        <f t="shared" si="33"/>
        <v>0</v>
      </c>
      <c r="BV35" s="404">
        <f t="shared" si="69"/>
        <v>0</v>
      </c>
      <c r="BW35" s="404">
        <f>+IF($R35&gt;M$8,"FIN",(BV35-SUM(BX$25:BX34))*VLOOKUP($R35,$A:$Q,13,0)/VLOOKUP(M$15,$M$1:$O$4,2,0))</f>
        <v>0</v>
      </c>
      <c r="BX35" s="404">
        <f t="shared" si="34"/>
        <v>0</v>
      </c>
      <c r="BY35" s="404">
        <f t="shared" si="53"/>
        <v>0</v>
      </c>
      <c r="BZ35" s="405">
        <f t="shared" si="35"/>
        <v>0</v>
      </c>
      <c r="CA35" s="404">
        <f t="shared" si="70"/>
        <v>14079.830909345501</v>
      </c>
      <c r="CB35" s="404">
        <f>+IF($R35&gt;N$8,"FIN",(CA35-SUM(CC$25:CC34))*VLOOKUP($R35,$A:$Q,14,0)/VLOOKUP(N$15,$M$1:$O$4,2,0))</f>
        <v>299.19640682359193</v>
      </c>
      <c r="CC35" s="404">
        <f t="shared" si="36"/>
        <v>0</v>
      </c>
      <c r="CD35" s="404">
        <f t="shared" si="54"/>
        <v>299.19640682359193</v>
      </c>
      <c r="CE35" s="405">
        <f t="shared" si="38"/>
        <v>185.77742877944988</v>
      </c>
      <c r="CF35" s="404">
        <f t="shared" si="71"/>
        <v>6893.2985731165309</v>
      </c>
      <c r="CG35" s="404">
        <f>+IF($R35&gt;O$8,"FIN",(CF35-SUM(CH$25:CH34))*VLOOKUP($R35,$A:$Q,15,0)/VLOOKUP(O$15,$M$1:$O$4,2,0))</f>
        <v>103.39947859674795</v>
      </c>
      <c r="CH35" s="404">
        <f t="shared" si="39"/>
        <v>0</v>
      </c>
      <c r="CI35" s="404">
        <f t="shared" si="55"/>
        <v>103.39947859674795</v>
      </c>
      <c r="CJ35" s="405">
        <f t="shared" si="40"/>
        <v>64.202941053919517</v>
      </c>
      <c r="CK35" s="404"/>
      <c r="CL35" s="404"/>
      <c r="CM35" s="404"/>
      <c r="CN35" s="404"/>
      <c r="CO35" s="405"/>
      <c r="CP35" s="397"/>
      <c r="CQ35" s="348">
        <f t="shared" si="56"/>
        <v>1159.5750818817751</v>
      </c>
      <c r="CR35" s="409">
        <f t="shared" si="56"/>
        <v>1487.3577692826625</v>
      </c>
      <c r="CS35" s="410">
        <f t="shared" si="57"/>
        <v>2646.9328511644376</v>
      </c>
      <c r="CT35"/>
    </row>
    <row r="36" spans="1:98" ht="15" x14ac:dyDescent="0.25">
      <c r="A36" s="27">
        <f t="shared" si="43"/>
        <v>46037</v>
      </c>
      <c r="B36" s="256">
        <v>1.4999999999999999E-2</v>
      </c>
      <c r="C36" s="256">
        <v>2.5000000000000001E-3</v>
      </c>
      <c r="D36" s="256">
        <v>3.7499999999999999E-2</v>
      </c>
      <c r="E36" s="256">
        <v>2.4E-2</v>
      </c>
      <c r="F36" s="256">
        <v>0.04</v>
      </c>
      <c r="G36" s="256">
        <v>2.75E-2</v>
      </c>
      <c r="H36" s="256">
        <v>0.05</v>
      </c>
      <c r="I36" s="256">
        <v>3.85E-2</v>
      </c>
      <c r="J36" s="256">
        <v>5.7500000000000002E-2</v>
      </c>
      <c r="K36" s="256">
        <v>4.5499999999999999E-2</v>
      </c>
      <c r="L36" s="256">
        <v>3.5000000000000003E-2</v>
      </c>
      <c r="M36" s="256">
        <v>2.6249999999999999E-2</v>
      </c>
      <c r="N36" s="256">
        <v>5.3499999999999999E-2</v>
      </c>
      <c r="O36" s="286">
        <v>4.4999999999999998E-2</v>
      </c>
      <c r="P36" s="259"/>
      <c r="Q36" s="2">
        <f t="shared" si="44"/>
        <v>2026</v>
      </c>
      <c r="R36" s="27">
        <f t="shared" si="45"/>
        <v>46037</v>
      </c>
      <c r="S36" s="404">
        <f t="shared" si="58"/>
        <v>6200</v>
      </c>
      <c r="T36" s="404">
        <f>+IF($R36&gt;B$8,"FIN",(S36-SUM($U$25:U35))*VLOOKUP($R36,$A:$Q,2,0)/VLOOKUP(B$15,$M$1:$O$4,2,0))</f>
        <v>37.199999999999996</v>
      </c>
      <c r="U36" s="404">
        <f>+IF($R36&gt;B$8,"FIN",IF($R36&lt;=B$8,IFERROR(IF($R36&lt;B$17,0,$B$19/B$16),0),0))</f>
        <v>1240</v>
      </c>
      <c r="V36" s="404">
        <f t="shared" si="46"/>
        <v>1277.2</v>
      </c>
      <c r="W36" s="405">
        <f t="shared" si="9"/>
        <v>756.13465236755451</v>
      </c>
      <c r="X36" s="404">
        <f t="shared" si="59"/>
        <v>1100</v>
      </c>
      <c r="Y36" s="404">
        <f>+IF($R36&gt;C$8,"FIN",(X36-SUM($Z$25:Z35))*VLOOKUP($R36,$A:$Q,3,0)/VLOOKUP(C$15,$M$1:$O$4,2,0))</f>
        <v>1.1000000000000001</v>
      </c>
      <c r="Z36" s="404">
        <f t="shared" si="47"/>
        <v>220</v>
      </c>
      <c r="AA36" s="404">
        <f t="shared" si="10"/>
        <v>221.1</v>
      </c>
      <c r="AB36" s="405">
        <f t="shared" si="11"/>
        <v>130.89678330603374</v>
      </c>
      <c r="AC36" s="404">
        <f t="shared" si="60"/>
        <v>3300</v>
      </c>
      <c r="AD36" s="404">
        <f>+IF($R36&gt;D$8,"FIN",(AC36-SUM($AE$25:AE35))*VLOOKUP($R36,$A:$Q,4,0)/VLOOKUP(D$15,$M$1:$O$4,2,0))</f>
        <v>61.875</v>
      </c>
      <c r="AE36" s="404">
        <f t="shared" si="12"/>
        <v>0</v>
      </c>
      <c r="AF36" s="404">
        <f t="shared" si="74"/>
        <v>61.875</v>
      </c>
      <c r="AG36" s="405">
        <f t="shared" si="14"/>
        <v>36.631562492360189</v>
      </c>
      <c r="AH36" s="404">
        <f t="shared" si="61"/>
        <v>1700.0000000000002</v>
      </c>
      <c r="AI36" s="404">
        <f>+IF($R36&gt;E$8,"FIN",(AH36-SUM($AJ$25:AJ35))*VLOOKUP($R36,$A:$Q,5,0)/VLOOKUP(E$15,$M$1:$O$4,2,0))</f>
        <v>20.400000000000002</v>
      </c>
      <c r="AJ36" s="404">
        <f t="shared" si="15"/>
        <v>0</v>
      </c>
      <c r="AK36" s="404">
        <f t="shared" si="16"/>
        <v>20.400000000000002</v>
      </c>
      <c r="AL36" s="405">
        <f t="shared" si="17"/>
        <v>12.07731514899633</v>
      </c>
      <c r="AM36" s="404">
        <f t="shared" si="62"/>
        <v>8600</v>
      </c>
      <c r="AN36" s="404">
        <f>+IF($R36&gt;F$8,"FIN",(AM36-SUM($AO$25:AO35))*VLOOKUP($R36,$A:$Q,6,0)/VLOOKUP(F$15,$M$1:$O$4,2,0))</f>
        <v>172</v>
      </c>
      <c r="AO36" s="404">
        <f t="shared" si="18"/>
        <v>0</v>
      </c>
      <c r="AP36" s="404">
        <f t="shared" si="19"/>
        <v>172</v>
      </c>
      <c r="AQ36" s="405">
        <f t="shared" si="20"/>
        <v>101.8283434131063</v>
      </c>
      <c r="AR36" s="404">
        <f t="shared" si="63"/>
        <v>1150</v>
      </c>
      <c r="AS36" s="404">
        <f>+IF($R36&gt;G$8,"FIN",(AR36-SUM(AT$25:AT35))*VLOOKUP($R36,$A:$Q,7,0)/VLOOKUP(G$15,$M$1:$O$4,2,0))</f>
        <v>15.8125</v>
      </c>
      <c r="AT36" s="404">
        <f t="shared" si="21"/>
        <v>0</v>
      </c>
      <c r="AU36" s="404">
        <f t="shared" si="48"/>
        <v>15.8125</v>
      </c>
      <c r="AV36" s="405">
        <f t="shared" si="22"/>
        <v>9.3613993036031591</v>
      </c>
      <c r="AW36" s="404">
        <f t="shared" si="64"/>
        <v>8600.0000000000018</v>
      </c>
      <c r="AX36" s="404">
        <f>+IF($R36&gt;H$8,"FIN",(AW36-SUM(AY$25:AY35))*VLOOKUP($R36,$A:$Q,8,0)/VLOOKUP(H$15,$M$1:$O$4,2,0))</f>
        <v>215.00000000000006</v>
      </c>
      <c r="AY36" s="404">
        <f t="shared" si="23"/>
        <v>0</v>
      </c>
      <c r="AZ36" s="404">
        <f t="shared" si="24"/>
        <v>215.00000000000006</v>
      </c>
      <c r="BA36" s="405">
        <f t="shared" si="25"/>
        <v>127.28542926638291</v>
      </c>
      <c r="BB36" s="404">
        <f t="shared" si="65"/>
        <v>1150</v>
      </c>
      <c r="BC36" s="404">
        <f>+IF($R36&gt;I$8,"FIN",(BB36-SUM(BD$25:BD35))*VLOOKUP($R36,$A:$Q,9,0)/VLOOKUP(I$15,$M$1:$O$4,2,0))</f>
        <v>22.137499999999999</v>
      </c>
      <c r="BD36" s="404">
        <f t="shared" si="26"/>
        <v>0</v>
      </c>
      <c r="BE36" s="404">
        <f t="shared" si="49"/>
        <v>22.137499999999999</v>
      </c>
      <c r="BF36" s="405">
        <f t="shared" si="27"/>
        <v>13.105959025044422</v>
      </c>
      <c r="BG36" s="404">
        <f t="shared" si="66"/>
        <v>5200</v>
      </c>
      <c r="BH36" s="404">
        <f>+IF($R36&gt;J$8,"FIN",(BG36-SUM(BI$25:BI35))*VLOOKUP($R36,$A:$Q,10,0)/VLOOKUP(J$15,$M$1:$O$4,2,0))</f>
        <v>149.5</v>
      </c>
      <c r="BI36" s="404">
        <f t="shared" si="50"/>
        <v>0</v>
      </c>
      <c r="BJ36" s="404">
        <f t="shared" si="28"/>
        <v>149.5</v>
      </c>
      <c r="BK36" s="405">
        <f t="shared" si="29"/>
        <v>88.50777523406623</v>
      </c>
      <c r="BL36" s="404">
        <f t="shared" si="67"/>
        <v>5800</v>
      </c>
      <c r="BM36" s="404">
        <f>+IF($R36&gt;K$8,"FIN",(BL36-SUM(BN$25:BN35))*VLOOKUP($R36,$A:$Q,11,0)/VLOOKUP(K$15,$M$1:$O$4,2,0))</f>
        <v>131.94999999999999</v>
      </c>
      <c r="BN36" s="404">
        <f t="shared" si="51"/>
        <v>0</v>
      </c>
      <c r="BO36" s="404">
        <f t="shared" si="52"/>
        <v>131.94999999999999</v>
      </c>
      <c r="BP36" s="405">
        <f t="shared" si="30"/>
        <v>78.117732054414972</v>
      </c>
      <c r="BQ36" s="404">
        <f t="shared" si="68"/>
        <v>0</v>
      </c>
      <c r="BR36" s="404">
        <f>+IF($R36&gt;L$8,"FIN",(BQ36-SUM(BS$25:BS35))*VLOOKUP($R36,$A:$Q,12,0)/VLOOKUP(L$15,$M$1:$O$4,2,0))</f>
        <v>0</v>
      </c>
      <c r="BS36" s="404">
        <f t="shared" si="31"/>
        <v>0</v>
      </c>
      <c r="BT36" s="404">
        <f t="shared" si="32"/>
        <v>0</v>
      </c>
      <c r="BU36" s="405">
        <f t="shared" si="33"/>
        <v>0</v>
      </c>
      <c r="BV36" s="404">
        <f t="shared" si="69"/>
        <v>0</v>
      </c>
      <c r="BW36" s="404">
        <f>+IF($R36&gt;M$8,"FIN",(BV36-SUM(BX$25:BX35))*VLOOKUP($R36,$A:$Q,13,0)/VLOOKUP(M$15,$M$1:$O$4,2,0))</f>
        <v>0</v>
      </c>
      <c r="BX36" s="404">
        <f t="shared" si="34"/>
        <v>0</v>
      </c>
      <c r="BY36" s="404">
        <f t="shared" si="53"/>
        <v>0</v>
      </c>
      <c r="BZ36" s="405">
        <f t="shared" si="35"/>
        <v>0</v>
      </c>
      <c r="CA36" s="404">
        <f t="shared" si="70"/>
        <v>14079.830909345501</v>
      </c>
      <c r="CB36" s="404">
        <f>+IF($R36&gt;N$8,"FIN",(CA36-SUM(CC$25:CC35))*VLOOKUP($R36,$A:$Q,14,0)/VLOOKUP(N$15,$M$1:$O$4,2,0))</f>
        <v>376.63547682499217</v>
      </c>
      <c r="CC36" s="404">
        <f t="shared" si="36"/>
        <v>0</v>
      </c>
      <c r="CD36" s="404">
        <f t="shared" si="54"/>
        <v>376.63547682499217</v>
      </c>
      <c r="CE36" s="405">
        <f t="shared" si="38"/>
        <v>222.97771323078106</v>
      </c>
      <c r="CF36" s="404">
        <f t="shared" si="71"/>
        <v>6893.2985731165309</v>
      </c>
      <c r="CG36" s="404">
        <f>+IF($R36&gt;O$8,"FIN",(CF36-SUM(CH$25:CH35))*VLOOKUP($R36,$A:$Q,15,0)/VLOOKUP(O$15,$M$1:$O$4,2,0))</f>
        <v>155.09921789512194</v>
      </c>
      <c r="CH36" s="404">
        <f t="shared" si="39"/>
        <v>0</v>
      </c>
      <c r="CI36" s="404">
        <f t="shared" si="55"/>
        <v>155.09921789512194</v>
      </c>
      <c r="CJ36" s="405">
        <f t="shared" si="40"/>
        <v>91.82265362167837</v>
      </c>
      <c r="CK36" s="404"/>
      <c r="CL36" s="404"/>
      <c r="CM36" s="404"/>
      <c r="CN36" s="404"/>
      <c r="CO36" s="405"/>
      <c r="CP36" s="397"/>
      <c r="CQ36" s="348">
        <f t="shared" si="56"/>
        <v>1401.7980840828313</v>
      </c>
      <c r="CR36" s="409">
        <f t="shared" si="56"/>
        <v>1487.3577692826625</v>
      </c>
      <c r="CS36" s="410">
        <f t="shared" si="57"/>
        <v>2889.1558533654938</v>
      </c>
      <c r="CT36"/>
    </row>
    <row r="37" spans="1:98" ht="15" x14ac:dyDescent="0.25">
      <c r="A37" s="27">
        <f t="shared" si="43"/>
        <v>46218</v>
      </c>
      <c r="B37" s="256">
        <v>1.4999999999999999E-2</v>
      </c>
      <c r="C37" s="256">
        <v>2.5000000000000001E-3</v>
      </c>
      <c r="D37" s="256">
        <v>3.7499999999999999E-2</v>
      </c>
      <c r="E37" s="256">
        <v>2.4E-2</v>
      </c>
      <c r="F37" s="256">
        <v>0.04</v>
      </c>
      <c r="G37" s="256">
        <v>2.75E-2</v>
      </c>
      <c r="H37" s="256">
        <v>0.05</v>
      </c>
      <c r="I37" s="256">
        <v>3.85E-2</v>
      </c>
      <c r="J37" s="256">
        <v>5.7500000000000002E-2</v>
      </c>
      <c r="K37" s="256">
        <v>4.5499999999999999E-2</v>
      </c>
      <c r="L37" s="256">
        <v>3.5000000000000003E-2</v>
      </c>
      <c r="M37" s="256">
        <v>2.6249999999999999E-2</v>
      </c>
      <c r="N37" s="256">
        <v>5.3499999999999999E-2</v>
      </c>
      <c r="O37" s="286">
        <v>4.4999999999999998E-2</v>
      </c>
      <c r="P37" s="259"/>
      <c r="Q37" s="2">
        <f t="shared" si="44"/>
        <v>2026</v>
      </c>
      <c r="R37" s="27">
        <f t="shared" si="45"/>
        <v>46218</v>
      </c>
      <c r="S37" s="404">
        <f t="shared" si="58"/>
        <v>6200</v>
      </c>
      <c r="T37" s="404">
        <f>+IF($R37&gt;B$8,"FIN",(S37-SUM($U$25:U36))*VLOOKUP($R37,$A:$Q,2,0)/VLOOKUP(B$15,$M$1:$O$4,2,0))</f>
        <v>27.9</v>
      </c>
      <c r="U37" s="404">
        <f t="shared" si="8"/>
        <v>1240</v>
      </c>
      <c r="V37" s="404">
        <f t="shared" si="46"/>
        <v>1267.9000000000001</v>
      </c>
      <c r="W37" s="405">
        <f t="shared" si="9"/>
        <v>715.69649591518407</v>
      </c>
      <c r="X37" s="404">
        <f t="shared" si="59"/>
        <v>1100</v>
      </c>
      <c r="Y37" s="404">
        <f>+IF($R37&gt;C$8,"FIN",(X37-SUM($Z$25:Z36))*VLOOKUP($R37,$A:$Q,3,0)/VLOOKUP(C$15,$M$1:$O$4,2,0))</f>
        <v>0.82500000000000007</v>
      </c>
      <c r="Z37" s="404">
        <f t="shared" si="47"/>
        <v>220</v>
      </c>
      <c r="AA37" s="404">
        <f t="shared" si="10"/>
        <v>220.82499999999999</v>
      </c>
      <c r="AB37" s="405">
        <f t="shared" si="11"/>
        <v>124.64995560412534</v>
      </c>
      <c r="AC37" s="404">
        <f t="shared" si="60"/>
        <v>3300</v>
      </c>
      <c r="AD37" s="404">
        <f>+IF($R37&gt;D$8,"FIN",(AC37-SUM($AE$25:AE36))*VLOOKUP($R37,$A:$Q,4,0)/VLOOKUP(D$15,$M$1:$O$4,2,0))</f>
        <v>61.875</v>
      </c>
      <c r="AE37" s="404">
        <f t="shared" si="12"/>
        <v>0</v>
      </c>
      <c r="AF37" s="404">
        <f t="shared" si="74"/>
        <v>61.875</v>
      </c>
      <c r="AG37" s="405">
        <f t="shared" si="14"/>
        <v>34.926824422077459</v>
      </c>
      <c r="AH37" s="404">
        <f t="shared" si="61"/>
        <v>1700.0000000000002</v>
      </c>
      <c r="AI37" s="404">
        <f>+IF($R37&gt;E$8,"FIN",(AH37-SUM($AJ$25:AJ36))*VLOOKUP($R37,$A:$Q,5,0)/VLOOKUP(E$15,$M$1:$O$4,2,0))</f>
        <v>20.400000000000002</v>
      </c>
      <c r="AJ37" s="404">
        <f t="shared" si="15"/>
        <v>0</v>
      </c>
      <c r="AK37" s="404">
        <f t="shared" si="16"/>
        <v>20.400000000000002</v>
      </c>
      <c r="AL37" s="405">
        <f t="shared" si="17"/>
        <v>11.515268173097056</v>
      </c>
      <c r="AM37" s="404">
        <f t="shared" si="62"/>
        <v>8600</v>
      </c>
      <c r="AN37" s="404">
        <f>+IF($R37&gt;F$8,"FIN",(AM37-SUM($AO$25:AO36))*VLOOKUP($R37,$A:$Q,6,0)/VLOOKUP(F$15,$M$1:$O$4,2,0))</f>
        <v>172</v>
      </c>
      <c r="AO37" s="404">
        <f t="shared" si="18"/>
        <v>0</v>
      </c>
      <c r="AP37" s="404">
        <f t="shared" si="19"/>
        <v>172</v>
      </c>
      <c r="AQ37" s="405">
        <f t="shared" si="20"/>
        <v>97.089515969249675</v>
      </c>
      <c r="AR37" s="404">
        <f t="shared" si="63"/>
        <v>1150</v>
      </c>
      <c r="AS37" s="404">
        <f>+IF($R37&gt;G$8,"FIN",(AR37-SUM(AT$25:AT36))*VLOOKUP($R37,$A:$Q,7,0)/VLOOKUP(G$15,$M$1:$O$4,2,0))</f>
        <v>15.8125</v>
      </c>
      <c r="AT37" s="404">
        <f t="shared" si="21"/>
        <v>0</v>
      </c>
      <c r="AU37" s="404">
        <f t="shared" si="48"/>
        <v>15.8125</v>
      </c>
      <c r="AV37" s="405">
        <f t="shared" si="22"/>
        <v>8.925744018975351</v>
      </c>
      <c r="AW37" s="404">
        <f t="shared" si="64"/>
        <v>8600.0000000000018</v>
      </c>
      <c r="AX37" s="404">
        <f>+IF($R37&gt;H$8,"FIN",(AW37-SUM(AY$25:AY36))*VLOOKUP($R37,$A:$Q,8,0)/VLOOKUP(H$15,$M$1:$O$4,2,0))</f>
        <v>215.00000000000006</v>
      </c>
      <c r="AY37" s="404">
        <f t="shared" si="23"/>
        <v>0</v>
      </c>
      <c r="AZ37" s="404">
        <f t="shared" si="24"/>
        <v>215.00000000000006</v>
      </c>
      <c r="BA37" s="405">
        <f t="shared" si="25"/>
        <v>121.36189496156213</v>
      </c>
      <c r="BB37" s="404">
        <f t="shared" si="65"/>
        <v>1150</v>
      </c>
      <c r="BC37" s="404">
        <f>+IF($R37&gt;I$8,"FIN",(BB37-SUM(BD$25:BD36))*VLOOKUP($R37,$A:$Q,9,0)/VLOOKUP(I$15,$M$1:$O$4,2,0))</f>
        <v>22.137499999999999</v>
      </c>
      <c r="BD37" s="404">
        <f t="shared" si="26"/>
        <v>0</v>
      </c>
      <c r="BE37" s="404">
        <f t="shared" si="49"/>
        <v>22.137499999999999</v>
      </c>
      <c r="BF37" s="405">
        <f t="shared" si="27"/>
        <v>12.496041626565491</v>
      </c>
      <c r="BG37" s="404">
        <f t="shared" si="66"/>
        <v>5200</v>
      </c>
      <c r="BH37" s="404">
        <f>+IF($R37&gt;J$8,"FIN",(BG37-SUM(BI$25:BI36))*VLOOKUP($R37,$A:$Q,10,0)/VLOOKUP(J$15,$M$1:$O$4,2,0))</f>
        <v>149.5</v>
      </c>
      <c r="BI37" s="404">
        <f t="shared" si="50"/>
        <v>0</v>
      </c>
      <c r="BJ37" s="404">
        <f t="shared" si="28"/>
        <v>149.5</v>
      </c>
      <c r="BK37" s="405">
        <f t="shared" si="29"/>
        <v>84.38885254303969</v>
      </c>
      <c r="BL37" s="404">
        <f t="shared" si="67"/>
        <v>5800</v>
      </c>
      <c r="BM37" s="404">
        <f>+IF($R37&gt;K$8,"FIN",(BL37-SUM(BN$25:BN36))*VLOOKUP($R37,$A:$Q,11,0)/VLOOKUP(K$15,$M$1:$O$4,2,0))</f>
        <v>131.94999999999999</v>
      </c>
      <c r="BN37" s="404">
        <f t="shared" si="51"/>
        <v>0</v>
      </c>
      <c r="BO37" s="404">
        <f t="shared" si="52"/>
        <v>131.94999999999999</v>
      </c>
      <c r="BP37" s="405">
        <f t="shared" si="30"/>
        <v>74.482335070595894</v>
      </c>
      <c r="BQ37" s="404">
        <f t="shared" si="68"/>
        <v>0</v>
      </c>
      <c r="BR37" s="404">
        <f>+IF($R37&gt;L$8,"FIN",(BQ37-SUM(BS$25:BS36))*VLOOKUP($R37,$A:$Q,12,0)/VLOOKUP(L$15,$M$1:$O$4,2,0))</f>
        <v>0</v>
      </c>
      <c r="BS37" s="404">
        <f t="shared" si="31"/>
        <v>0</v>
      </c>
      <c r="BT37" s="404">
        <f t="shared" si="32"/>
        <v>0</v>
      </c>
      <c r="BU37" s="405">
        <f t="shared" si="33"/>
        <v>0</v>
      </c>
      <c r="BV37" s="404">
        <f t="shared" si="69"/>
        <v>0</v>
      </c>
      <c r="BW37" s="404">
        <f>+IF($R37&gt;M$8,"FIN",(BV37-SUM(BX$25:BX36))*VLOOKUP($R37,$A:$Q,13,0)/VLOOKUP(M$15,$M$1:$O$4,2,0))</f>
        <v>0</v>
      </c>
      <c r="BX37" s="404">
        <f t="shared" si="34"/>
        <v>0</v>
      </c>
      <c r="BY37" s="404">
        <f t="shared" si="53"/>
        <v>0</v>
      </c>
      <c r="BZ37" s="405">
        <f t="shared" si="35"/>
        <v>0</v>
      </c>
      <c r="CA37" s="404">
        <f t="shared" si="70"/>
        <v>14079.830909345501</v>
      </c>
      <c r="CB37" s="404">
        <f>+IF($R37&gt;N$8,"FIN",(CA37-SUM(CC$25:CC36))*VLOOKUP($R37,$A:$Q,14,0)/VLOOKUP(N$15,$M$1:$O$4,2,0))</f>
        <v>376.63547682499217</v>
      </c>
      <c r="CC37" s="404">
        <f t="shared" si="36"/>
        <v>0</v>
      </c>
      <c r="CD37" s="404">
        <f t="shared" si="54"/>
        <v>376.63547682499217</v>
      </c>
      <c r="CE37" s="405">
        <f t="shared" si="38"/>
        <v>212.60090780108163</v>
      </c>
      <c r="CF37" s="404">
        <f t="shared" si="71"/>
        <v>6893.2985731165309</v>
      </c>
      <c r="CG37" s="404">
        <f>+IF($R37&gt;O$8,"FIN",(CF37-SUM(CH$25:CH36))*VLOOKUP($R37,$A:$Q,15,0)/VLOOKUP(O$15,$M$1:$O$4,2,0))</f>
        <v>155.09921789512194</v>
      </c>
      <c r="CH37" s="404">
        <f t="shared" si="39"/>
        <v>0</v>
      </c>
      <c r="CI37" s="404">
        <f t="shared" si="55"/>
        <v>155.09921789512194</v>
      </c>
      <c r="CJ37" s="405">
        <f t="shared" si="40"/>
        <v>87.549465073526605</v>
      </c>
      <c r="CK37" s="404"/>
      <c r="CL37" s="404"/>
      <c r="CM37" s="404"/>
      <c r="CN37" s="404"/>
      <c r="CO37" s="405"/>
      <c r="CP37" s="397"/>
      <c r="CQ37" s="348">
        <f t="shared" si="56"/>
        <v>1392.1888868712279</v>
      </c>
      <c r="CR37" s="409">
        <f t="shared" si="56"/>
        <v>1487.3577692826625</v>
      </c>
      <c r="CS37" s="410">
        <f t="shared" si="57"/>
        <v>2879.5466561538906</v>
      </c>
      <c r="CT37"/>
    </row>
    <row r="38" spans="1:98" ht="15" x14ac:dyDescent="0.25">
      <c r="A38" s="27">
        <f t="shared" si="43"/>
        <v>46402</v>
      </c>
      <c r="B38" s="256">
        <v>1.4999999999999999E-2</v>
      </c>
      <c r="C38" s="256">
        <v>2.5000000000000001E-3</v>
      </c>
      <c r="D38" s="256">
        <v>0.04</v>
      </c>
      <c r="E38" s="256">
        <v>0.03</v>
      </c>
      <c r="F38" s="256">
        <v>5.6500000000000002E-2</v>
      </c>
      <c r="G38" s="256">
        <v>4.65E-2</v>
      </c>
      <c r="H38" s="256">
        <v>5.7500000000000002E-2</v>
      </c>
      <c r="I38" s="256">
        <v>4.7500000000000001E-2</v>
      </c>
      <c r="J38" s="256">
        <v>5.7500000000000002E-2</v>
      </c>
      <c r="K38" s="256">
        <v>4.5499999999999999E-2</v>
      </c>
      <c r="L38" s="256">
        <v>3.5000000000000003E-2</v>
      </c>
      <c r="M38" s="256">
        <v>2.6249999999999999E-2</v>
      </c>
      <c r="N38" s="256">
        <v>5.7500000000000002E-2</v>
      </c>
      <c r="O38" s="286">
        <v>4.7500000000000001E-2</v>
      </c>
      <c r="P38" s="259"/>
      <c r="Q38" s="2">
        <f t="shared" si="44"/>
        <v>2027</v>
      </c>
      <c r="R38" s="27">
        <f t="shared" si="45"/>
        <v>46402</v>
      </c>
      <c r="S38" s="404">
        <f t="shared" si="58"/>
        <v>6200</v>
      </c>
      <c r="T38" s="404">
        <f>+IF($R38&gt;B$8,"FIN",(S38-SUM($U$25:U37))*VLOOKUP($R38,$A:$Q,2,0)/VLOOKUP(B$15,$M$1:$O$4,2,0))</f>
        <v>18.599999999999998</v>
      </c>
      <c r="U38" s="404">
        <f t="shared" si="8"/>
        <v>1240</v>
      </c>
      <c r="V38" s="404">
        <f t="shared" si="46"/>
        <v>1258.5999999999999</v>
      </c>
      <c r="W38" s="405">
        <f t="shared" si="9"/>
        <v>677.38452970261926</v>
      </c>
      <c r="X38" s="404">
        <f t="shared" si="59"/>
        <v>1100</v>
      </c>
      <c r="Y38" s="404">
        <f>+IF($R38&gt;C$8,"FIN",(X38-SUM($Z$25:Z37))*VLOOKUP($R38,$A:$Q,3,0)/VLOOKUP(C$15,$M$1:$O$4,2,0))</f>
        <v>0.55000000000000004</v>
      </c>
      <c r="Z38" s="404">
        <f t="shared" si="47"/>
        <v>220</v>
      </c>
      <c r="AA38" s="404">
        <f t="shared" si="10"/>
        <v>220.55</v>
      </c>
      <c r="AB38" s="405">
        <f t="shared" si="11"/>
        <v>118.70106310655704</v>
      </c>
      <c r="AC38" s="404">
        <f t="shared" si="60"/>
        <v>3300</v>
      </c>
      <c r="AD38" s="404">
        <f>+IF($R38&gt;D$8,"FIN",(AC38-SUM($AE$25:AE37))*VLOOKUP($R38,$A:$Q,4,0)/VLOOKUP(D$15,$M$1:$O$4,2,0))</f>
        <v>66</v>
      </c>
      <c r="AE38" s="404">
        <f t="shared" si="12"/>
        <v>0</v>
      </c>
      <c r="AF38" s="404">
        <f t="shared" si="74"/>
        <v>66</v>
      </c>
      <c r="AG38" s="405">
        <f t="shared" si="14"/>
        <v>35.521515144106843</v>
      </c>
      <c r="AH38" s="404">
        <f t="shared" si="61"/>
        <v>1700.0000000000002</v>
      </c>
      <c r="AI38" s="404">
        <f>+IF($R38&gt;E$8,"FIN",(AH38-SUM($AJ$25:AJ37))*VLOOKUP($R38,$A:$Q,5,0)/VLOOKUP(E$15,$M$1:$O$4,2,0))</f>
        <v>25.500000000000004</v>
      </c>
      <c r="AJ38" s="404">
        <f t="shared" si="15"/>
        <v>0</v>
      </c>
      <c r="AK38" s="404">
        <f t="shared" si="16"/>
        <v>25.500000000000004</v>
      </c>
      <c r="AL38" s="405">
        <f t="shared" si="17"/>
        <v>13.7242217602231</v>
      </c>
      <c r="AM38" s="404">
        <f t="shared" si="62"/>
        <v>8600</v>
      </c>
      <c r="AN38" s="404">
        <f>+IF($R38&gt;F$8,"FIN",(AM38-SUM($AO$25:AO37))*VLOOKUP($R38,$A:$Q,6,0)/VLOOKUP(F$15,$M$1:$O$4,2,0))</f>
        <v>242.95000000000002</v>
      </c>
      <c r="AO38" s="404">
        <f t="shared" si="18"/>
        <v>0</v>
      </c>
      <c r="AP38" s="404">
        <f t="shared" si="19"/>
        <v>242.95000000000002</v>
      </c>
      <c r="AQ38" s="405">
        <f t="shared" si="20"/>
        <v>130.75685006455694</v>
      </c>
      <c r="AR38" s="404">
        <f t="shared" si="63"/>
        <v>1150</v>
      </c>
      <c r="AS38" s="404">
        <f>+IF($R38&gt;G$8,"FIN",(AR38-SUM(AT$25:AT37))*VLOOKUP($R38,$A:$Q,7,0)/VLOOKUP(G$15,$M$1:$O$4,2,0))</f>
        <v>26.737500000000001</v>
      </c>
      <c r="AT38" s="404">
        <f t="shared" si="21"/>
        <v>0</v>
      </c>
      <c r="AU38" s="404">
        <f t="shared" si="48"/>
        <v>26.737500000000001</v>
      </c>
      <c r="AV38" s="405">
        <f t="shared" si="22"/>
        <v>14.390250169175102</v>
      </c>
      <c r="AW38" s="404">
        <f t="shared" si="64"/>
        <v>8600.0000000000018</v>
      </c>
      <c r="AX38" s="404">
        <f>+IF($R38&gt;H$8,"FIN",(AW38-SUM(AY$25:AY37))*VLOOKUP($R38,$A:$Q,8,0)/VLOOKUP(H$15,$M$1:$O$4,2,0))</f>
        <v>247.25000000000006</v>
      </c>
      <c r="AY38" s="404">
        <f t="shared" si="23"/>
        <v>0</v>
      </c>
      <c r="AZ38" s="404">
        <f t="shared" si="24"/>
        <v>247.25000000000006</v>
      </c>
      <c r="BA38" s="405">
        <f t="shared" si="25"/>
        <v>133.07113059667302</v>
      </c>
      <c r="BB38" s="404">
        <f t="shared" si="65"/>
        <v>1150</v>
      </c>
      <c r="BC38" s="404">
        <f>+IF($R38&gt;I$8,"FIN",(BB38-SUM(BD$25:BD37))*VLOOKUP($R38,$A:$Q,9,0)/VLOOKUP(I$15,$M$1:$O$4,2,0))</f>
        <v>27.3125</v>
      </c>
      <c r="BD38" s="404">
        <f t="shared" si="26"/>
        <v>0</v>
      </c>
      <c r="BE38" s="404">
        <f t="shared" si="49"/>
        <v>27.3125</v>
      </c>
      <c r="BF38" s="405">
        <f t="shared" si="27"/>
        <v>14.69971791474876</v>
      </c>
      <c r="BG38" s="404">
        <f t="shared" si="66"/>
        <v>5200</v>
      </c>
      <c r="BH38" s="404">
        <f>+IF($R38&gt;J$8,"FIN",(BG38-SUM(BI$25:BI37))*VLOOKUP($R38,$A:$Q,10,0)/VLOOKUP(J$15,$M$1:$O$4,2,0))</f>
        <v>149.5</v>
      </c>
      <c r="BI38" s="404">
        <f t="shared" si="50"/>
        <v>0</v>
      </c>
      <c r="BJ38" s="404">
        <f t="shared" si="28"/>
        <v>149.5</v>
      </c>
      <c r="BK38" s="405">
        <f t="shared" si="29"/>
        <v>80.461613849151107</v>
      </c>
      <c r="BL38" s="404">
        <f t="shared" si="67"/>
        <v>5800</v>
      </c>
      <c r="BM38" s="404">
        <f>+IF($R38&gt;K$8,"FIN",(BL38-SUM(BN$25:BN37))*VLOOKUP($R38,$A:$Q,11,0)/VLOOKUP(K$15,$M$1:$O$4,2,0))</f>
        <v>131.94999999999999</v>
      </c>
      <c r="BN38" s="404">
        <f t="shared" si="51"/>
        <v>0</v>
      </c>
      <c r="BO38" s="404">
        <f t="shared" si="52"/>
        <v>131.94999999999999</v>
      </c>
      <c r="BP38" s="405">
        <f t="shared" si="30"/>
        <v>71.016120049468142</v>
      </c>
      <c r="BQ38" s="404">
        <f t="shared" si="68"/>
        <v>0</v>
      </c>
      <c r="BR38" s="404">
        <f>+IF($R38&gt;L$8,"FIN",(BQ38-SUM(BS$25:BS37))*VLOOKUP($R38,$A:$Q,12,0)/VLOOKUP(L$15,$M$1:$O$4,2,0))</f>
        <v>0</v>
      </c>
      <c r="BS38" s="404">
        <f t="shared" si="31"/>
        <v>0</v>
      </c>
      <c r="BT38" s="404">
        <f t="shared" si="32"/>
        <v>0</v>
      </c>
      <c r="BU38" s="405">
        <f t="shared" si="33"/>
        <v>0</v>
      </c>
      <c r="BV38" s="404">
        <f t="shared" si="69"/>
        <v>0</v>
      </c>
      <c r="BW38" s="404">
        <f>+IF($R38&gt;M$8,"FIN",(BV38-SUM(BX$25:BX37))*VLOOKUP($R38,$A:$Q,13,0)/VLOOKUP(M$15,$M$1:$O$4,2,0))</f>
        <v>0</v>
      </c>
      <c r="BX38" s="404">
        <f t="shared" si="34"/>
        <v>0</v>
      </c>
      <c r="BY38" s="404">
        <f t="shared" si="53"/>
        <v>0</v>
      </c>
      <c r="BZ38" s="405">
        <f t="shared" si="35"/>
        <v>0</v>
      </c>
      <c r="CA38" s="404">
        <f t="shared" si="70"/>
        <v>14079.830909345501</v>
      </c>
      <c r="CB38" s="404">
        <f>+IF($R38&gt;N$8,"FIN",(CA38-SUM(CC$25:CC37))*VLOOKUP($R38,$A:$Q,14,0)/VLOOKUP(N$15,$M$1:$O$4,2,0))</f>
        <v>404.79513864368317</v>
      </c>
      <c r="CC38" s="404">
        <f t="shared" si="36"/>
        <v>0</v>
      </c>
      <c r="CD38" s="404">
        <f t="shared" si="54"/>
        <v>404.79513864368317</v>
      </c>
      <c r="CE38" s="405">
        <f t="shared" si="38"/>
        <v>217.86267647867305</v>
      </c>
      <c r="CF38" s="404">
        <f t="shared" si="71"/>
        <v>6893.2985731165309</v>
      </c>
      <c r="CG38" s="404">
        <f>+IF($R38&gt;O$8,"FIN",(CF38-SUM(CH$25:CH37))*VLOOKUP($R38,$A:$Q,15,0)/VLOOKUP(O$15,$M$1:$O$4,2,0))</f>
        <v>163.71584111151762</v>
      </c>
      <c r="CH38" s="404">
        <f t="shared" si="39"/>
        <v>0</v>
      </c>
      <c r="CI38" s="404">
        <f t="shared" si="55"/>
        <v>163.71584111151762</v>
      </c>
      <c r="CJ38" s="405">
        <f t="shared" si="40"/>
        <v>88.112647414741858</v>
      </c>
      <c r="CK38" s="404"/>
      <c r="CL38" s="404"/>
      <c r="CM38" s="404"/>
      <c r="CN38" s="404"/>
      <c r="CO38" s="405"/>
      <c r="CP38" s="397"/>
      <c r="CQ38" s="348">
        <f t="shared" si="56"/>
        <v>1551.5887760526305</v>
      </c>
      <c r="CR38" s="409">
        <f t="shared" si="56"/>
        <v>1487.3577692826625</v>
      </c>
      <c r="CS38" s="410">
        <f t="shared" si="57"/>
        <v>3038.9465453352932</v>
      </c>
      <c r="CT38"/>
    </row>
    <row r="39" spans="1:98" ht="15" x14ac:dyDescent="0.25">
      <c r="A39" s="27">
        <f t="shared" si="43"/>
        <v>46583</v>
      </c>
      <c r="B39" s="256">
        <v>1.4999999999999999E-2</v>
      </c>
      <c r="C39" s="256">
        <v>2.5000000000000001E-3</v>
      </c>
      <c r="D39" s="256">
        <v>0.04</v>
      </c>
      <c r="E39" s="256">
        <v>0.03</v>
      </c>
      <c r="F39" s="256">
        <v>5.6500000000000002E-2</v>
      </c>
      <c r="G39" s="256">
        <v>4.65E-2</v>
      </c>
      <c r="H39" s="256">
        <v>5.7500000000000002E-2</v>
      </c>
      <c r="I39" s="256">
        <v>4.7500000000000001E-2</v>
      </c>
      <c r="J39" s="256">
        <v>5.7500000000000002E-2</v>
      </c>
      <c r="K39" s="256">
        <v>4.5499999999999999E-2</v>
      </c>
      <c r="L39" s="256">
        <v>3.5000000000000003E-2</v>
      </c>
      <c r="M39" s="256">
        <v>2.6249999999999999E-2</v>
      </c>
      <c r="N39" s="256">
        <v>5.7500000000000002E-2</v>
      </c>
      <c r="O39" s="286">
        <v>4.7500000000000001E-2</v>
      </c>
      <c r="P39" s="259"/>
      <c r="Q39" s="2">
        <f t="shared" si="44"/>
        <v>2027</v>
      </c>
      <c r="R39" s="27">
        <f t="shared" si="45"/>
        <v>46583</v>
      </c>
      <c r="S39" s="404">
        <f t="shared" si="58"/>
        <v>6200</v>
      </c>
      <c r="T39" s="404">
        <f>+IF($R39&gt;B$8,"FIN",(S39-SUM($U$25:U38))*VLOOKUP($R39,$A:$Q,2,0)/VLOOKUP(B$15,$M$1:$O$4,2,0))</f>
        <v>9.2999999999999989</v>
      </c>
      <c r="U39" s="404">
        <f t="shared" si="8"/>
        <v>1240</v>
      </c>
      <c r="V39" s="404">
        <f t="shared" si="46"/>
        <v>1249.3</v>
      </c>
      <c r="W39" s="405">
        <f t="shared" si="9"/>
        <v>641.08843710562155</v>
      </c>
      <c r="X39" s="404">
        <f t="shared" si="59"/>
        <v>1100</v>
      </c>
      <c r="Y39" s="404">
        <f>+IF($R39&gt;C$8,"FIN",(X39-SUM($Z$25:Z38))*VLOOKUP($R39,$A:$Q,3,0)/VLOOKUP(C$15,$M$1:$O$4,2,0))</f>
        <v>0.27500000000000002</v>
      </c>
      <c r="Z39" s="404">
        <f t="shared" si="47"/>
        <v>220</v>
      </c>
      <c r="AA39" s="404">
        <f t="shared" si="10"/>
        <v>220.27500000000001</v>
      </c>
      <c r="AB39" s="405">
        <f t="shared" si="11"/>
        <v>113.03590449326886</v>
      </c>
      <c r="AC39" s="404">
        <f t="shared" si="60"/>
        <v>3300</v>
      </c>
      <c r="AD39" s="404">
        <f>+IF($R39&gt;D$8,"FIN",(AC39-SUM($AE$25:AE38))*VLOOKUP($R39,$A:$Q,4,0)/VLOOKUP(D$15,$M$1:$O$4,2,0))</f>
        <v>66</v>
      </c>
      <c r="AE39" s="404">
        <f t="shared" si="12"/>
        <v>0</v>
      </c>
      <c r="AF39" s="404">
        <f t="shared" si="74"/>
        <v>66</v>
      </c>
      <c r="AG39" s="405">
        <f t="shared" si="14"/>
        <v>33.868435803226625</v>
      </c>
      <c r="AH39" s="404">
        <f t="shared" si="61"/>
        <v>1700.0000000000002</v>
      </c>
      <c r="AI39" s="404">
        <f>+IF($R39&gt;E$8,"FIN",(AH39-SUM($AJ$25:AJ38))*VLOOKUP($R39,$A:$Q,5,0)/VLOOKUP(E$15,$M$1:$O$4,2,0))</f>
        <v>25.500000000000004</v>
      </c>
      <c r="AJ39" s="404">
        <f t="shared" si="15"/>
        <v>0</v>
      </c>
      <c r="AK39" s="404">
        <f t="shared" si="16"/>
        <v>25.500000000000004</v>
      </c>
      <c r="AL39" s="405">
        <f t="shared" si="17"/>
        <v>13.085532014883016</v>
      </c>
      <c r="AM39" s="404">
        <f t="shared" si="62"/>
        <v>8600</v>
      </c>
      <c r="AN39" s="404">
        <f>+IF($R39&gt;F$8,"FIN",(AM39-SUM($AO$25:AO38))*VLOOKUP($R39,$A:$Q,6,0)/VLOOKUP(F$15,$M$1:$O$4,2,0))</f>
        <v>242.95000000000002</v>
      </c>
      <c r="AO39" s="404">
        <f t="shared" si="18"/>
        <v>0</v>
      </c>
      <c r="AP39" s="404">
        <f t="shared" si="19"/>
        <v>242.95000000000002</v>
      </c>
      <c r="AQ39" s="405">
        <f t="shared" si="20"/>
        <v>124.67176482415015</v>
      </c>
      <c r="AR39" s="404">
        <f t="shared" si="63"/>
        <v>1150</v>
      </c>
      <c r="AS39" s="404">
        <f>+IF($R39&gt;G$8,"FIN",(AR39-SUM(AT$25:AT38))*VLOOKUP($R39,$A:$Q,7,0)/VLOOKUP(G$15,$M$1:$O$4,2,0))</f>
        <v>26.737500000000001</v>
      </c>
      <c r="AT39" s="404">
        <f t="shared" si="21"/>
        <v>0</v>
      </c>
      <c r="AU39" s="404">
        <f t="shared" si="48"/>
        <v>26.737500000000001</v>
      </c>
      <c r="AV39" s="405">
        <f t="shared" si="22"/>
        <v>13.720565186193515</v>
      </c>
      <c r="AW39" s="404">
        <f t="shared" si="64"/>
        <v>8600.0000000000018</v>
      </c>
      <c r="AX39" s="404">
        <f>+IF($R39&gt;H$8,"FIN",(AW39-SUM(AY$25:AY38))*VLOOKUP($R39,$A:$Q,8,0)/VLOOKUP(H$15,$M$1:$O$4,2,0))</f>
        <v>247.25000000000006</v>
      </c>
      <c r="AY39" s="404">
        <f t="shared" si="23"/>
        <v>0</v>
      </c>
      <c r="AZ39" s="404">
        <f t="shared" si="24"/>
        <v>247.25000000000006</v>
      </c>
      <c r="BA39" s="405">
        <f t="shared" si="25"/>
        <v>126.8783447325422</v>
      </c>
      <c r="BB39" s="404">
        <f t="shared" si="65"/>
        <v>1150</v>
      </c>
      <c r="BC39" s="404">
        <f>+IF($R39&gt;I$8,"FIN",(BB39-SUM(BD$25:BD38))*VLOOKUP($R39,$A:$Q,9,0)/VLOOKUP(I$15,$M$1:$O$4,2,0))</f>
        <v>27.3125</v>
      </c>
      <c r="BD39" s="404">
        <f t="shared" si="26"/>
        <v>0</v>
      </c>
      <c r="BE39" s="404">
        <f t="shared" si="49"/>
        <v>27.3125</v>
      </c>
      <c r="BF39" s="405">
        <f t="shared" si="27"/>
        <v>14.015631104176169</v>
      </c>
      <c r="BG39" s="404">
        <f t="shared" si="66"/>
        <v>5200</v>
      </c>
      <c r="BH39" s="404">
        <f>+IF($R39&gt;J$8,"FIN",(BG39-SUM(BI$25:BI38))*VLOOKUP($R39,$A:$Q,10,0)/VLOOKUP(J$15,$M$1:$O$4,2,0))</f>
        <v>149.5</v>
      </c>
      <c r="BI39" s="404">
        <f t="shared" si="50"/>
        <v>0</v>
      </c>
      <c r="BJ39" s="404">
        <f t="shared" si="28"/>
        <v>149.5</v>
      </c>
      <c r="BK39" s="405">
        <f t="shared" si="29"/>
        <v>76.717138675490617</v>
      </c>
      <c r="BL39" s="404">
        <f t="shared" si="67"/>
        <v>5800</v>
      </c>
      <c r="BM39" s="404">
        <f>+IF($R39&gt;K$8,"FIN",(BL39-SUM(BN$25:BN38))*VLOOKUP($R39,$A:$Q,11,0)/VLOOKUP(K$15,$M$1:$O$4,2,0))</f>
        <v>131.94999999999999</v>
      </c>
      <c r="BN39" s="404">
        <f t="shared" si="51"/>
        <v>0</v>
      </c>
      <c r="BO39" s="404">
        <f t="shared" si="52"/>
        <v>131.94999999999999</v>
      </c>
      <c r="BP39" s="405">
        <f t="shared" si="30"/>
        <v>67.711213700541705</v>
      </c>
      <c r="BQ39" s="404">
        <f t="shared" si="68"/>
        <v>0</v>
      </c>
      <c r="BR39" s="404">
        <f>+IF($R39&gt;L$8,"FIN",(BQ39-SUM(BS$25:BS38))*VLOOKUP($R39,$A:$Q,12,0)/VLOOKUP(L$15,$M$1:$O$4,2,0))</f>
        <v>0</v>
      </c>
      <c r="BS39" s="404">
        <f t="shared" si="31"/>
        <v>0</v>
      </c>
      <c r="BT39" s="404">
        <f t="shared" si="32"/>
        <v>0</v>
      </c>
      <c r="BU39" s="405">
        <f t="shared" si="33"/>
        <v>0</v>
      </c>
      <c r="BV39" s="404">
        <f t="shared" si="69"/>
        <v>0</v>
      </c>
      <c r="BW39" s="404">
        <f>+IF($R39&gt;M$8,"FIN",(BV39-SUM(BX$25:BX38))*VLOOKUP($R39,$A:$Q,13,0)/VLOOKUP(M$15,$M$1:$O$4,2,0))</f>
        <v>0</v>
      </c>
      <c r="BX39" s="404">
        <f t="shared" si="34"/>
        <v>0</v>
      </c>
      <c r="BY39" s="404">
        <f t="shared" si="53"/>
        <v>0</v>
      </c>
      <c r="BZ39" s="405">
        <f t="shared" si="35"/>
        <v>0</v>
      </c>
      <c r="CA39" s="404">
        <f t="shared" si="70"/>
        <v>14079.830909345501</v>
      </c>
      <c r="CB39" s="404">
        <f>+IF($R39&gt;N$8,"FIN",(CA39-SUM(CC$25:CC38))*VLOOKUP($R39,$A:$Q,14,0)/VLOOKUP(N$15,$M$1:$O$4,2,0))</f>
        <v>404.79513864368317</v>
      </c>
      <c r="CC39" s="404">
        <f t="shared" si="36"/>
        <v>0</v>
      </c>
      <c r="CD39" s="404">
        <f t="shared" si="54"/>
        <v>404.79513864368317</v>
      </c>
      <c r="CE39" s="405">
        <f t="shared" si="38"/>
        <v>207.72391161533037</v>
      </c>
      <c r="CF39" s="404">
        <f t="shared" si="71"/>
        <v>6893.2985731165309</v>
      </c>
      <c r="CG39" s="404">
        <f>+IF($R39&gt;O$8,"FIN",(CF39-SUM(CH$25:CH38))*VLOOKUP($R39,$A:$Q,15,0)/VLOOKUP(O$15,$M$1:$O$4,2,0))</f>
        <v>163.71584111151762</v>
      </c>
      <c r="CH39" s="404">
        <f t="shared" si="39"/>
        <v>0</v>
      </c>
      <c r="CI39" s="404">
        <f t="shared" si="55"/>
        <v>163.71584111151762</v>
      </c>
      <c r="CJ39" s="405">
        <f t="shared" si="40"/>
        <v>84.012112949343702</v>
      </c>
      <c r="CK39" s="404"/>
      <c r="CL39" s="404"/>
      <c r="CM39" s="404"/>
      <c r="CN39" s="404"/>
      <c r="CO39" s="405"/>
      <c r="CP39" s="397"/>
      <c r="CQ39" s="348">
        <f t="shared" si="56"/>
        <v>1541.979578841027</v>
      </c>
      <c r="CR39" s="409">
        <f t="shared" si="56"/>
        <v>1487.3577692826625</v>
      </c>
      <c r="CS39" s="410">
        <f t="shared" si="57"/>
        <v>3029.3373481236895</v>
      </c>
      <c r="CT39"/>
    </row>
    <row r="40" spans="1:98" ht="15" x14ac:dyDescent="0.25">
      <c r="A40" s="27">
        <f t="shared" si="43"/>
        <v>46767</v>
      </c>
      <c r="B40" s="256"/>
      <c r="C40" s="256"/>
      <c r="D40" s="256">
        <v>0.04</v>
      </c>
      <c r="E40" s="256">
        <v>0.03</v>
      </c>
      <c r="F40" s="256">
        <v>5.6500000000000002E-2</v>
      </c>
      <c r="G40" s="256">
        <v>4.65E-2</v>
      </c>
      <c r="H40" s="256">
        <v>5.7500000000000002E-2</v>
      </c>
      <c r="I40" s="256">
        <v>4.7500000000000001E-2</v>
      </c>
      <c r="J40" s="256">
        <v>5.7500000000000002E-2</v>
      </c>
      <c r="K40" s="256">
        <v>4.5499999999999999E-2</v>
      </c>
      <c r="L40" s="256">
        <v>3.5000000000000003E-2</v>
      </c>
      <c r="M40" s="256">
        <v>2.6249999999999999E-2</v>
      </c>
      <c r="N40" s="256">
        <v>5.7500000000000002E-2</v>
      </c>
      <c r="O40" s="286">
        <v>4.7500000000000001E-2</v>
      </c>
      <c r="P40" s="259"/>
      <c r="Q40" s="2">
        <f t="shared" si="44"/>
        <v>2028</v>
      </c>
      <c r="R40" s="27">
        <f t="shared" si="45"/>
        <v>46767</v>
      </c>
      <c r="S40" s="404"/>
      <c r="T40" s="404"/>
      <c r="U40" s="404"/>
      <c r="V40" s="404"/>
      <c r="W40" s="405"/>
      <c r="X40" s="404"/>
      <c r="Y40" s="404"/>
      <c r="Z40" s="404"/>
      <c r="AA40" s="404"/>
      <c r="AB40" s="405"/>
      <c r="AC40" s="404">
        <f t="shared" si="60"/>
        <v>3300</v>
      </c>
      <c r="AD40" s="404">
        <f>+IF($R40&gt;D$8,"FIN",(AC40-SUM($AE$25:AE39))*VLOOKUP($R40,$A:$Q,4,0)/VLOOKUP(D$15,$M$1:$O$4,2,0))</f>
        <v>66</v>
      </c>
      <c r="AE40" s="404">
        <f t="shared" si="12"/>
        <v>550</v>
      </c>
      <c r="AF40" s="404">
        <f t="shared" si="74"/>
        <v>616</v>
      </c>
      <c r="AG40" s="405">
        <f t="shared" si="14"/>
        <v>301.39467394999741</v>
      </c>
      <c r="AH40" s="404">
        <f t="shared" si="61"/>
        <v>1700.0000000000002</v>
      </c>
      <c r="AI40" s="404">
        <f>+IF($R40&gt;E$8,"FIN",(AH40-SUM($AJ$25:AJ39))*VLOOKUP($R40,$A:$Q,5,0)/VLOOKUP(E$15,$M$1:$O$4,2,0))</f>
        <v>25.500000000000004</v>
      </c>
      <c r="AJ40" s="404">
        <f t="shared" si="15"/>
        <v>283.33333333333337</v>
      </c>
      <c r="AK40" s="404">
        <f t="shared" si="16"/>
        <v>308.83333333333337</v>
      </c>
      <c r="AL40" s="405">
        <f t="shared" si="17"/>
        <v>151.10506786508259</v>
      </c>
      <c r="AM40" s="404">
        <f t="shared" si="62"/>
        <v>8600</v>
      </c>
      <c r="AN40" s="404">
        <f>+IF($R40&gt;F$8,"FIN",(AM40-SUM($AO$25:AO39))*VLOOKUP($R40,$A:$Q,6,0)/VLOOKUP(F$15,$M$1:$O$4,2,0))</f>
        <v>242.95000000000002</v>
      </c>
      <c r="AO40" s="404">
        <f t="shared" si="18"/>
        <v>0</v>
      </c>
      <c r="AP40" s="404">
        <f t="shared" si="19"/>
        <v>242.95000000000002</v>
      </c>
      <c r="AQ40" s="405">
        <f t="shared" si="20"/>
        <v>118.86986369505175</v>
      </c>
      <c r="AR40" s="404">
        <f t="shared" si="63"/>
        <v>1150</v>
      </c>
      <c r="AS40" s="404">
        <f>+IF($R40&gt;G$8,"FIN",(AR40-SUM(AT$25:AT39))*VLOOKUP($R40,$A:$Q,7,0)/VLOOKUP(G$15,$M$1:$O$4,2,0))</f>
        <v>26.737500000000001</v>
      </c>
      <c r="AT40" s="404">
        <f t="shared" si="21"/>
        <v>0</v>
      </c>
      <c r="AU40" s="404">
        <f t="shared" si="48"/>
        <v>26.737500000000001</v>
      </c>
      <c r="AV40" s="405">
        <f t="shared" si="22"/>
        <v>13.082045608341</v>
      </c>
      <c r="AW40" s="404">
        <f t="shared" si="64"/>
        <v>8600.0000000000018</v>
      </c>
      <c r="AX40" s="404">
        <f>+IF($R40&gt;H$8,"FIN",(AW40-SUM(AY$25:AY39))*VLOOKUP($R40,$A:$Q,8,0)/VLOOKUP(H$15,$M$1:$O$4,2,0))</f>
        <v>247.25000000000006</v>
      </c>
      <c r="AY40" s="404">
        <f t="shared" si="23"/>
        <v>0</v>
      </c>
      <c r="AZ40" s="404">
        <f t="shared" si="24"/>
        <v>247.25000000000006</v>
      </c>
      <c r="BA40" s="405">
        <f t="shared" si="25"/>
        <v>120.97375508788454</v>
      </c>
      <c r="BB40" s="404">
        <f t="shared" si="65"/>
        <v>1150</v>
      </c>
      <c r="BC40" s="404">
        <f>+IF($R40&gt;I$8,"FIN",(BB40-SUM(BD$25:BD39))*VLOOKUP($R40,$A:$Q,9,0)/VLOOKUP(I$15,$M$1:$O$4,2,0))</f>
        <v>27.3125</v>
      </c>
      <c r="BD40" s="404">
        <f t="shared" si="26"/>
        <v>0</v>
      </c>
      <c r="BE40" s="404">
        <f t="shared" si="49"/>
        <v>27.3125</v>
      </c>
      <c r="BF40" s="405">
        <f t="shared" si="27"/>
        <v>13.36337992249887</v>
      </c>
      <c r="BG40" s="404">
        <f t="shared" si="66"/>
        <v>5200</v>
      </c>
      <c r="BH40" s="404">
        <f>+IF($R40&gt;J$8,"FIN",(BG40-SUM(BI$25:BI39))*VLOOKUP($R40,$A:$Q,10,0)/VLOOKUP(J$15,$M$1:$O$4,2,0))</f>
        <v>149.5</v>
      </c>
      <c r="BI40" s="404">
        <f t="shared" si="50"/>
        <v>236.36363636363637</v>
      </c>
      <c r="BJ40" s="404">
        <f t="shared" si="28"/>
        <v>385.86363636363637</v>
      </c>
      <c r="BK40" s="405">
        <f t="shared" si="29"/>
        <v>188.7942286866535</v>
      </c>
      <c r="BL40" s="404">
        <f t="shared" si="67"/>
        <v>5800</v>
      </c>
      <c r="BM40" s="404">
        <f>+IF($R40&gt;K$8,"FIN",(BL40-SUM(BN$25:BN39))*VLOOKUP($R40,$A:$Q,11,0)/VLOOKUP(K$15,$M$1:$O$4,2,0))</f>
        <v>131.94999999999999</v>
      </c>
      <c r="BN40" s="404">
        <f t="shared" si="51"/>
        <v>263.63636363636363</v>
      </c>
      <c r="BO40" s="404">
        <f t="shared" si="52"/>
        <v>395.58636363636361</v>
      </c>
      <c r="BP40" s="405">
        <f t="shared" si="30"/>
        <v>193.55133618059565</v>
      </c>
      <c r="BQ40" s="404">
        <f t="shared" si="68"/>
        <v>0</v>
      </c>
      <c r="BR40" s="404">
        <f>+IF($R40&gt;L$8,"FIN",(BQ40-SUM(BS$25:BS39))*VLOOKUP($R40,$A:$Q,12,0)/VLOOKUP(L$15,$M$1:$O$4,2,0))</f>
        <v>0</v>
      </c>
      <c r="BS40" s="404">
        <f t="shared" si="31"/>
        <v>0</v>
      </c>
      <c r="BT40" s="404">
        <f t="shared" si="32"/>
        <v>0</v>
      </c>
      <c r="BU40" s="405">
        <f t="shared" si="33"/>
        <v>0</v>
      </c>
      <c r="BV40" s="404">
        <f t="shared" si="69"/>
        <v>0</v>
      </c>
      <c r="BW40" s="404">
        <f>+IF($R40&gt;M$8,"FIN",(BV40-SUM(BX$25:BX39))*VLOOKUP($R40,$A:$Q,13,0)/VLOOKUP(M$15,$M$1:$O$4,2,0))</f>
        <v>0</v>
      </c>
      <c r="BX40" s="404">
        <f t="shared" si="34"/>
        <v>0</v>
      </c>
      <c r="BY40" s="404">
        <f t="shared" si="53"/>
        <v>0</v>
      </c>
      <c r="BZ40" s="405">
        <f t="shared" si="35"/>
        <v>0</v>
      </c>
      <c r="CA40" s="404">
        <f t="shared" si="70"/>
        <v>14079.830909345501</v>
      </c>
      <c r="CB40" s="404">
        <f>+IF($R40&gt;N$8,"FIN",(CA40-SUM(CC$25:CC39))*VLOOKUP($R40,$A:$Q,14,0)/VLOOKUP(N$15,$M$1:$O$4,2,0))</f>
        <v>404.79513864368317</v>
      </c>
      <c r="CC40" s="404">
        <f t="shared" si="36"/>
        <v>391.10641414848612</v>
      </c>
      <c r="CD40" s="404">
        <f t="shared" si="54"/>
        <v>795.90155279216924</v>
      </c>
      <c r="CE40" s="405">
        <f t="shared" si="38"/>
        <v>389.41637824690343</v>
      </c>
      <c r="CF40" s="404">
        <f t="shared" si="71"/>
        <v>6893.2985731165309</v>
      </c>
      <c r="CG40" s="404">
        <f>+IF($R40&gt;O$8,"FIN",(CF40-SUM(CH$25:CH39))*VLOOKUP($R40,$A:$Q,15,0)/VLOOKUP(O$15,$M$1:$O$4,2,0))</f>
        <v>163.71584111151762</v>
      </c>
      <c r="CH40" s="404">
        <f t="shared" si="39"/>
        <v>191.48051591990364</v>
      </c>
      <c r="CI40" s="404">
        <f t="shared" si="55"/>
        <v>355.19635703142126</v>
      </c>
      <c r="CJ40" s="405">
        <f t="shared" si="40"/>
        <v>173.78943216836376</v>
      </c>
      <c r="CK40" s="404"/>
      <c r="CL40" s="404"/>
      <c r="CM40" s="404"/>
      <c r="CN40" s="404"/>
      <c r="CO40" s="405"/>
      <c r="CP40" s="397"/>
      <c r="CQ40" s="348">
        <f t="shared" si="56"/>
        <v>1532.3703816294237</v>
      </c>
      <c r="CR40" s="409">
        <f t="shared" si="56"/>
        <v>2007.7491295424809</v>
      </c>
      <c r="CS40" s="410">
        <f t="shared" si="57"/>
        <v>3540.1195111719044</v>
      </c>
      <c r="CT40"/>
    </row>
    <row r="41" spans="1:98" ht="15" x14ac:dyDescent="0.25">
      <c r="A41" s="27">
        <f t="shared" si="43"/>
        <v>46949</v>
      </c>
      <c r="B41" s="256"/>
      <c r="C41" s="256"/>
      <c r="D41" s="256">
        <v>0.04</v>
      </c>
      <c r="E41" s="256">
        <v>0.03</v>
      </c>
      <c r="F41" s="256">
        <v>5.6500000000000002E-2</v>
      </c>
      <c r="G41" s="256">
        <v>4.65E-2</v>
      </c>
      <c r="H41" s="256">
        <v>5.7500000000000002E-2</v>
      </c>
      <c r="I41" s="256">
        <v>4.7500000000000001E-2</v>
      </c>
      <c r="J41" s="256">
        <v>5.7500000000000002E-2</v>
      </c>
      <c r="K41" s="256">
        <v>4.5499999999999999E-2</v>
      </c>
      <c r="L41" s="256">
        <v>3.5000000000000003E-2</v>
      </c>
      <c r="M41" s="256">
        <v>2.6249999999999999E-2</v>
      </c>
      <c r="N41" s="256">
        <v>5.7500000000000002E-2</v>
      </c>
      <c r="O41" s="286">
        <v>4.7500000000000001E-2</v>
      </c>
      <c r="P41" s="259"/>
      <c r="Q41" s="2">
        <f t="shared" si="44"/>
        <v>2028</v>
      </c>
      <c r="R41" s="27">
        <f t="shared" si="45"/>
        <v>46949</v>
      </c>
      <c r="S41" s="404"/>
      <c r="T41" s="404"/>
      <c r="U41" s="404"/>
      <c r="V41" s="404"/>
      <c r="W41" s="405"/>
      <c r="X41" s="404"/>
      <c r="Y41" s="404"/>
      <c r="Z41" s="404"/>
      <c r="AA41" s="404"/>
      <c r="AB41" s="405"/>
      <c r="AC41" s="404">
        <f t="shared" si="60"/>
        <v>3300</v>
      </c>
      <c r="AD41" s="404">
        <f>+IF($R41&gt;D$8,"FIN",(AC41-SUM($AE$25:AE40))*VLOOKUP($R41,$A:$Q,4,0)/VLOOKUP(D$15,$M$1:$O$4,2,0))</f>
        <v>55</v>
      </c>
      <c r="AE41" s="404">
        <f t="shared" si="12"/>
        <v>550</v>
      </c>
      <c r="AF41" s="404">
        <f t="shared" si="74"/>
        <v>605</v>
      </c>
      <c r="AG41" s="405">
        <f t="shared" si="14"/>
        <v>282.23696502688858</v>
      </c>
      <c r="AH41" s="404">
        <f t="shared" si="61"/>
        <v>1700.0000000000002</v>
      </c>
      <c r="AI41" s="404">
        <f>+IF($R41&gt;E$8,"FIN",(AH41-SUM($AJ$25:AJ40))*VLOOKUP($R41,$A:$Q,5,0)/VLOOKUP(E$15,$M$1:$O$4,2,0))</f>
        <v>21.250000000000004</v>
      </c>
      <c r="AJ41" s="404">
        <f t="shared" si="15"/>
        <v>283.33333333333337</v>
      </c>
      <c r="AK41" s="404">
        <f t="shared" si="16"/>
        <v>304.58333333333337</v>
      </c>
      <c r="AL41" s="405">
        <f t="shared" si="17"/>
        <v>142.09037288888123</v>
      </c>
      <c r="AM41" s="404">
        <f t="shared" si="62"/>
        <v>8600</v>
      </c>
      <c r="AN41" s="404">
        <f>+IF($R41&gt;F$8,"FIN",(AM41-SUM($AO$25:AO40))*VLOOKUP($R41,$A:$Q,6,0)/VLOOKUP(F$15,$M$1:$O$4,2,0))</f>
        <v>242.95000000000002</v>
      </c>
      <c r="AO41" s="404">
        <f t="shared" si="18"/>
        <v>0</v>
      </c>
      <c r="AP41" s="404">
        <f t="shared" si="19"/>
        <v>242.95000000000002</v>
      </c>
      <c r="AQ41" s="405">
        <f t="shared" si="20"/>
        <v>113.33796802195468</v>
      </c>
      <c r="AR41" s="404">
        <f t="shared" si="63"/>
        <v>1150</v>
      </c>
      <c r="AS41" s="404">
        <f>+IF($R41&gt;G$8,"FIN",(AR41-SUM(AT$25:AT40))*VLOOKUP($R41,$A:$Q,7,0)/VLOOKUP(G$15,$M$1:$O$4,2,0))</f>
        <v>26.737500000000001</v>
      </c>
      <c r="AT41" s="404">
        <f t="shared" si="21"/>
        <v>0</v>
      </c>
      <c r="AU41" s="404">
        <f t="shared" si="48"/>
        <v>26.737500000000001</v>
      </c>
      <c r="AV41" s="405">
        <f t="shared" si="22"/>
        <v>12.473241078357741</v>
      </c>
      <c r="AW41" s="404">
        <f t="shared" si="64"/>
        <v>8600.0000000000018</v>
      </c>
      <c r="AX41" s="404">
        <f>+IF($R41&gt;H$8,"FIN",(AW41-SUM(AY$25:AY40))*VLOOKUP($R41,$A:$Q,8,0)/VLOOKUP(H$15,$M$1:$O$4,2,0))</f>
        <v>247.25000000000006</v>
      </c>
      <c r="AY41" s="404">
        <f t="shared" si="23"/>
        <v>0</v>
      </c>
      <c r="AZ41" s="404">
        <f t="shared" si="24"/>
        <v>247.25000000000006</v>
      </c>
      <c r="BA41" s="405">
        <f t="shared" si="25"/>
        <v>115.34394975685656</v>
      </c>
      <c r="BB41" s="404">
        <f t="shared" si="65"/>
        <v>1150</v>
      </c>
      <c r="BC41" s="404">
        <f>+IF($R41&gt;I$8,"FIN",(BB41-SUM(BD$25:BD40))*VLOOKUP($R41,$A:$Q,9,0)/VLOOKUP(I$15,$M$1:$O$4,2,0))</f>
        <v>27.3125</v>
      </c>
      <c r="BD41" s="404">
        <f t="shared" si="26"/>
        <v>0</v>
      </c>
      <c r="BE41" s="404">
        <f t="shared" si="49"/>
        <v>27.3125</v>
      </c>
      <c r="BF41" s="405">
        <f t="shared" si="27"/>
        <v>12.741482821978337</v>
      </c>
      <c r="BG41" s="404">
        <f t="shared" si="66"/>
        <v>5200</v>
      </c>
      <c r="BH41" s="404">
        <f>+IF($R41&gt;J$8,"FIN",(BG41-SUM(BI$25:BI40))*VLOOKUP($R41,$A:$Q,10,0)/VLOOKUP(J$15,$M$1:$O$4,2,0))</f>
        <v>142.70454545454547</v>
      </c>
      <c r="BI41" s="404">
        <f t="shared" si="50"/>
        <v>236.36363636363637</v>
      </c>
      <c r="BJ41" s="404">
        <f t="shared" si="28"/>
        <v>379.06818181818187</v>
      </c>
      <c r="BK41" s="405">
        <f t="shared" si="29"/>
        <v>176.83810442086684</v>
      </c>
      <c r="BL41" s="404">
        <f t="shared" si="67"/>
        <v>5800</v>
      </c>
      <c r="BM41" s="404">
        <f>+IF($R41&gt;K$8,"FIN",(BL41-SUM(BN$25:BN40))*VLOOKUP($R41,$A:$Q,11,0)/VLOOKUP(K$15,$M$1:$O$4,2,0))</f>
        <v>125.95227272727271</v>
      </c>
      <c r="BN41" s="404">
        <f t="shared" si="51"/>
        <v>263.63636363636363</v>
      </c>
      <c r="BO41" s="404">
        <f t="shared" si="52"/>
        <v>389.58863636363634</v>
      </c>
      <c r="BP41" s="405">
        <f t="shared" si="30"/>
        <v>181.74597410948238</v>
      </c>
      <c r="BQ41" s="404">
        <f t="shared" si="68"/>
        <v>0</v>
      </c>
      <c r="BR41" s="404">
        <f>+IF($R41&gt;L$8,"FIN",(BQ41-SUM(BS$25:BS40))*VLOOKUP($R41,$A:$Q,12,0)/VLOOKUP(L$15,$M$1:$O$4,2,0))</f>
        <v>0</v>
      </c>
      <c r="BS41" s="404">
        <f t="shared" si="31"/>
        <v>0</v>
      </c>
      <c r="BT41" s="404">
        <f t="shared" si="32"/>
        <v>0</v>
      </c>
      <c r="BU41" s="405">
        <f t="shared" si="33"/>
        <v>0</v>
      </c>
      <c r="BV41" s="404">
        <f t="shared" si="69"/>
        <v>0</v>
      </c>
      <c r="BW41" s="404">
        <f>+IF($R41&gt;M$8,"FIN",(BV41-SUM(BX$25:BX40))*VLOOKUP($R41,$A:$Q,13,0)/VLOOKUP(M$15,$M$1:$O$4,2,0))</f>
        <v>0</v>
      </c>
      <c r="BX41" s="404">
        <f t="shared" si="34"/>
        <v>0</v>
      </c>
      <c r="BY41" s="404">
        <f t="shared" si="53"/>
        <v>0</v>
      </c>
      <c r="BZ41" s="405">
        <f t="shared" si="35"/>
        <v>0</v>
      </c>
      <c r="CA41" s="404">
        <f t="shared" si="70"/>
        <v>14079.830909345501</v>
      </c>
      <c r="CB41" s="404">
        <f>+IF($R41&gt;N$8,"FIN",(CA41-SUM(CC$25:CC40))*VLOOKUP($R41,$A:$Q,14,0)/VLOOKUP(N$15,$M$1:$O$4,2,0))</f>
        <v>393.55082923691418</v>
      </c>
      <c r="CC41" s="404">
        <f t="shared" si="36"/>
        <v>391.10641414848612</v>
      </c>
      <c r="CD41" s="404">
        <f t="shared" si="54"/>
        <v>784.65724338540031</v>
      </c>
      <c r="CE41" s="405">
        <f t="shared" si="38"/>
        <v>366.04839497431408</v>
      </c>
      <c r="CF41" s="404">
        <f t="shared" si="71"/>
        <v>6893.2985731165309</v>
      </c>
      <c r="CG41" s="404">
        <f>+IF($R41&gt;O$8,"FIN",(CF41-SUM(CH$25:CH40))*VLOOKUP($R41,$A:$Q,15,0)/VLOOKUP(O$15,$M$1:$O$4,2,0))</f>
        <v>159.16817885841988</v>
      </c>
      <c r="CH41" s="404">
        <f t="shared" si="39"/>
        <v>191.48051591990364</v>
      </c>
      <c r="CI41" s="404">
        <f t="shared" si="55"/>
        <v>350.64869477832349</v>
      </c>
      <c r="CJ41" s="405">
        <f t="shared" si="40"/>
        <v>163.58020397499803</v>
      </c>
      <c r="CK41" s="404"/>
      <c r="CL41" s="404"/>
      <c r="CM41" s="404"/>
      <c r="CN41" s="404"/>
      <c r="CO41" s="405"/>
      <c r="CP41" s="397"/>
      <c r="CQ41" s="348">
        <f t="shared" si="56"/>
        <v>1486.6953697282179</v>
      </c>
      <c r="CR41" s="409">
        <f t="shared" si="56"/>
        <v>2007.7491295424809</v>
      </c>
      <c r="CS41" s="410">
        <f t="shared" si="57"/>
        <v>3494.4444992706985</v>
      </c>
      <c r="CT41"/>
    </row>
    <row r="42" spans="1:98" ht="15" x14ac:dyDescent="0.25">
      <c r="A42" s="27">
        <f t="shared" si="43"/>
        <v>47133</v>
      </c>
      <c r="B42" s="256"/>
      <c r="C42" s="256"/>
      <c r="D42" s="256">
        <v>0.04</v>
      </c>
      <c r="E42" s="256">
        <v>0.03</v>
      </c>
      <c r="F42" s="256">
        <v>5.6500000000000002E-2</v>
      </c>
      <c r="G42" s="256">
        <v>4.65E-2</v>
      </c>
      <c r="H42" s="256">
        <v>5.7500000000000002E-2</v>
      </c>
      <c r="I42" s="256">
        <v>4.7500000000000001E-2</v>
      </c>
      <c r="J42" s="256">
        <v>5.7500000000000002E-2</v>
      </c>
      <c r="K42" s="256">
        <v>4.5499999999999999E-2</v>
      </c>
      <c r="L42" s="256">
        <v>3.5000000000000003E-2</v>
      </c>
      <c r="M42" s="256">
        <v>2.6249999999999999E-2</v>
      </c>
      <c r="N42" s="256">
        <v>5.7500000000000002E-2</v>
      </c>
      <c r="O42" s="286">
        <v>4.7500000000000001E-2</v>
      </c>
      <c r="P42" s="259"/>
      <c r="Q42" s="2">
        <f t="shared" si="44"/>
        <v>2029</v>
      </c>
      <c r="R42" s="27">
        <f t="shared" si="45"/>
        <v>47133</v>
      </c>
      <c r="S42" s="404"/>
      <c r="T42" s="404"/>
      <c r="U42" s="404"/>
      <c r="V42" s="404"/>
      <c r="W42" s="405"/>
      <c r="X42" s="404"/>
      <c r="Y42" s="404"/>
      <c r="Z42" s="404"/>
      <c r="AA42" s="404"/>
      <c r="AB42" s="405"/>
      <c r="AC42" s="404">
        <f t="shared" si="60"/>
        <v>3300</v>
      </c>
      <c r="AD42" s="404">
        <f>+IF($R42&gt;D$8,"FIN",(AC42-SUM($AE$25:AE41))*VLOOKUP($R42,$A:$Q,4,0)/VLOOKUP(D$15,$M$1:$O$4,2,0))</f>
        <v>44</v>
      </c>
      <c r="AE42" s="404">
        <f t="shared" si="12"/>
        <v>550</v>
      </c>
      <c r="AF42" s="404">
        <f t="shared" si="74"/>
        <v>594</v>
      </c>
      <c r="AG42" s="405">
        <f t="shared" si="14"/>
        <v>264.20961677434838</v>
      </c>
      <c r="AH42" s="404">
        <f t="shared" si="61"/>
        <v>1700.0000000000002</v>
      </c>
      <c r="AI42" s="404">
        <f>+IF($R42&gt;E$8,"FIN",(AH42-SUM($AJ$25:AJ41))*VLOOKUP($R42,$A:$Q,5,0)/VLOOKUP(E$15,$M$1:$O$4,2,0))</f>
        <v>17</v>
      </c>
      <c r="AJ42" s="404">
        <f t="shared" si="15"/>
        <v>283.33333333333337</v>
      </c>
      <c r="AK42" s="404">
        <f t="shared" si="16"/>
        <v>300.33333333333337</v>
      </c>
      <c r="AL42" s="405">
        <f t="shared" si="17"/>
        <v>133.58746616929736</v>
      </c>
      <c r="AM42" s="404">
        <f t="shared" si="62"/>
        <v>8600</v>
      </c>
      <c r="AN42" s="404">
        <f>+IF($R42&gt;F$8,"FIN",(AM42-SUM($AO$25:AO41))*VLOOKUP($R42,$A:$Q,6,0)/VLOOKUP(F$15,$M$1:$O$4,2,0))</f>
        <v>242.95000000000002</v>
      </c>
      <c r="AO42" s="404">
        <f t="shared" si="18"/>
        <v>0</v>
      </c>
      <c r="AP42" s="404">
        <f t="shared" si="19"/>
        <v>242.95000000000002</v>
      </c>
      <c r="AQ42" s="405">
        <f t="shared" si="20"/>
        <v>108.06351245004703</v>
      </c>
      <c r="AR42" s="404">
        <f t="shared" si="63"/>
        <v>1150</v>
      </c>
      <c r="AS42" s="404">
        <f>+IF($R42&gt;G$8,"FIN",(AR42-SUM(AT$25:AT41))*VLOOKUP($R42,$A:$Q,7,0)/VLOOKUP(G$15,$M$1:$O$4,2,0))</f>
        <v>26.737500000000001</v>
      </c>
      <c r="AT42" s="404">
        <f t="shared" si="21"/>
        <v>0</v>
      </c>
      <c r="AU42" s="404">
        <f t="shared" si="48"/>
        <v>26.737500000000001</v>
      </c>
      <c r="AV42" s="405">
        <f t="shared" si="22"/>
        <v>11.892768734855453</v>
      </c>
      <c r="AW42" s="404">
        <f t="shared" si="64"/>
        <v>8600.0000000000018</v>
      </c>
      <c r="AX42" s="404">
        <f>+IF($R42&gt;H$8,"FIN",(AW42-SUM(AY$25:AY41))*VLOOKUP($R42,$A:$Q,8,0)/VLOOKUP(H$15,$M$1:$O$4,2,0))</f>
        <v>247.25000000000006</v>
      </c>
      <c r="AY42" s="404">
        <f t="shared" si="23"/>
        <v>0</v>
      </c>
      <c r="AZ42" s="404">
        <f t="shared" si="24"/>
        <v>247.25000000000006</v>
      </c>
      <c r="BA42" s="405">
        <f t="shared" si="25"/>
        <v>109.97614098898593</v>
      </c>
      <c r="BB42" s="404">
        <f t="shared" si="65"/>
        <v>1150</v>
      </c>
      <c r="BC42" s="404">
        <f>+IF($R42&gt;I$8,"FIN",(BB42-SUM(BD$25:BD41))*VLOOKUP($R42,$A:$Q,9,0)/VLOOKUP(I$15,$M$1:$O$4,2,0))</f>
        <v>27.3125</v>
      </c>
      <c r="BD42" s="404">
        <f t="shared" si="26"/>
        <v>0</v>
      </c>
      <c r="BE42" s="404">
        <f t="shared" si="49"/>
        <v>27.3125</v>
      </c>
      <c r="BF42" s="405">
        <f t="shared" si="27"/>
        <v>12.148527202271699</v>
      </c>
      <c r="BG42" s="404">
        <f t="shared" si="66"/>
        <v>5200</v>
      </c>
      <c r="BH42" s="404">
        <f>+IF($R42&gt;J$8,"FIN",(BG42-SUM(BI$25:BI41))*VLOOKUP($R42,$A:$Q,10,0)/VLOOKUP(J$15,$M$1:$O$4,2,0))</f>
        <v>135.90909090909091</v>
      </c>
      <c r="BI42" s="404">
        <f t="shared" si="50"/>
        <v>236.36363636363637</v>
      </c>
      <c r="BJ42" s="404">
        <f t="shared" si="28"/>
        <v>372.27272727272725</v>
      </c>
      <c r="BK42" s="405">
        <f t="shared" si="29"/>
        <v>165.58591684893733</v>
      </c>
      <c r="BL42" s="404">
        <f t="shared" si="67"/>
        <v>5800</v>
      </c>
      <c r="BM42" s="404">
        <f>+IF($R42&gt;K$8,"FIN",(BL42-SUM(BN$25:BN41))*VLOOKUP($R42,$A:$Q,11,0)/VLOOKUP(K$15,$M$1:$O$4,2,0))</f>
        <v>119.95454545454545</v>
      </c>
      <c r="BN42" s="404">
        <f t="shared" si="51"/>
        <v>263.63636363636363</v>
      </c>
      <c r="BO42" s="404">
        <f t="shared" si="52"/>
        <v>383.59090909090907</v>
      </c>
      <c r="BP42" s="405">
        <f t="shared" si="30"/>
        <v>170.62021395460098</v>
      </c>
      <c r="BQ42" s="404">
        <f t="shared" si="68"/>
        <v>0</v>
      </c>
      <c r="BR42" s="404">
        <f>+IF($R42&gt;L$8,"FIN",(BQ42-SUM(BS$25:BS41))*VLOOKUP($R42,$A:$Q,12,0)/VLOOKUP(L$15,$M$1:$O$4,2,0))</f>
        <v>0</v>
      </c>
      <c r="BS42" s="404">
        <f t="shared" si="31"/>
        <v>0</v>
      </c>
      <c r="BT42" s="404">
        <f t="shared" si="32"/>
        <v>0</v>
      </c>
      <c r="BU42" s="405">
        <f t="shared" si="33"/>
        <v>0</v>
      </c>
      <c r="BV42" s="404">
        <f t="shared" si="69"/>
        <v>0</v>
      </c>
      <c r="BW42" s="404">
        <f>+IF($R42&gt;M$8,"FIN",(BV42-SUM(BX$25:BX41))*VLOOKUP($R42,$A:$Q,13,0)/VLOOKUP(M$15,$M$1:$O$4,2,0))</f>
        <v>0</v>
      </c>
      <c r="BX42" s="404">
        <f t="shared" si="34"/>
        <v>0</v>
      </c>
      <c r="BY42" s="404">
        <f t="shared" si="53"/>
        <v>0</v>
      </c>
      <c r="BZ42" s="405">
        <f t="shared" si="35"/>
        <v>0</v>
      </c>
      <c r="CA42" s="404">
        <f t="shared" si="70"/>
        <v>14079.830909345501</v>
      </c>
      <c r="CB42" s="404">
        <f>+IF($R42&gt;N$8,"FIN",(CA42-SUM(CC$25:CC41))*VLOOKUP($R42,$A:$Q,14,0)/VLOOKUP(N$15,$M$1:$O$4,2,0))</f>
        <v>382.30651983014525</v>
      </c>
      <c r="CC42" s="404">
        <f t="shared" si="36"/>
        <v>391.10641414848612</v>
      </c>
      <c r="CD42" s="404">
        <f t="shared" si="54"/>
        <v>773.41293397863137</v>
      </c>
      <c r="CE42" s="405">
        <f t="shared" si="38"/>
        <v>344.01201160743869</v>
      </c>
      <c r="CF42" s="404">
        <f t="shared" si="71"/>
        <v>6893.2985731165309</v>
      </c>
      <c r="CG42" s="404">
        <f>+IF($R42&gt;O$8,"FIN",(CF42-SUM(CH$25:CH41))*VLOOKUP($R42,$A:$Q,15,0)/VLOOKUP(O$15,$M$1:$O$4,2,0))</f>
        <v>154.62051660532219</v>
      </c>
      <c r="CH42" s="404">
        <f t="shared" si="39"/>
        <v>191.48051591990364</v>
      </c>
      <c r="CI42" s="404">
        <f t="shared" si="55"/>
        <v>346.10103252522583</v>
      </c>
      <c r="CJ42" s="405">
        <f t="shared" si="40"/>
        <v>153.94481678231682</v>
      </c>
      <c r="CK42" s="404"/>
      <c r="CL42" s="404"/>
      <c r="CM42" s="404"/>
      <c r="CN42" s="404"/>
      <c r="CO42" s="405"/>
      <c r="CP42" s="397"/>
      <c r="CQ42" s="348">
        <f t="shared" si="56"/>
        <v>1441.0203578270116</v>
      </c>
      <c r="CR42" s="409">
        <f t="shared" si="56"/>
        <v>2007.7491295424809</v>
      </c>
      <c r="CS42" s="410">
        <f t="shared" si="57"/>
        <v>3448.7694873694927</v>
      </c>
      <c r="CT42"/>
    </row>
    <row r="43" spans="1:98" ht="15" x14ac:dyDescent="0.25">
      <c r="A43" s="27">
        <f t="shared" si="43"/>
        <v>47314</v>
      </c>
      <c r="B43" s="256"/>
      <c r="C43" s="256"/>
      <c r="D43" s="256">
        <v>0.04</v>
      </c>
      <c r="E43" s="256">
        <v>0.03</v>
      </c>
      <c r="F43" s="256">
        <v>5.6500000000000002E-2</v>
      </c>
      <c r="G43" s="256">
        <v>4.65E-2</v>
      </c>
      <c r="H43" s="256">
        <v>5.7500000000000002E-2</v>
      </c>
      <c r="I43" s="256">
        <v>4.7500000000000001E-2</v>
      </c>
      <c r="J43" s="256">
        <v>5.7500000000000002E-2</v>
      </c>
      <c r="K43" s="256">
        <v>4.5499999999999999E-2</v>
      </c>
      <c r="L43" s="256">
        <v>4.7500000000000001E-2</v>
      </c>
      <c r="M43" s="256">
        <v>4.2500000000000003E-2</v>
      </c>
      <c r="N43" s="256">
        <v>5.7500000000000002E-2</v>
      </c>
      <c r="O43" s="286">
        <v>4.7500000000000001E-2</v>
      </c>
      <c r="P43" s="259"/>
      <c r="Q43" s="2">
        <f t="shared" si="44"/>
        <v>2029</v>
      </c>
      <c r="R43" s="27">
        <f t="shared" si="45"/>
        <v>47314</v>
      </c>
      <c r="S43" s="404"/>
      <c r="T43" s="404"/>
      <c r="U43" s="404"/>
      <c r="V43" s="404"/>
      <c r="W43" s="405"/>
      <c r="X43" s="404"/>
      <c r="Y43" s="404"/>
      <c r="Z43" s="404"/>
      <c r="AA43" s="404"/>
      <c r="AB43" s="405"/>
      <c r="AC43" s="404">
        <f t="shared" si="60"/>
        <v>3300</v>
      </c>
      <c r="AD43" s="404">
        <f>+IF($R43&gt;D$8,"FIN",(AC43-SUM($AE$25:AE42))*VLOOKUP($R43,$A:$Q,4,0)/VLOOKUP(D$15,$M$1:$O$4,2,0))</f>
        <v>33</v>
      </c>
      <c r="AE43" s="404">
        <f t="shared" si="12"/>
        <v>550</v>
      </c>
      <c r="AF43" s="404">
        <f t="shared" si="74"/>
        <v>583</v>
      </c>
      <c r="AG43" s="405">
        <f t="shared" si="14"/>
        <v>247.24891151115855</v>
      </c>
      <c r="AH43" s="404">
        <f t="shared" si="61"/>
        <v>1700.0000000000002</v>
      </c>
      <c r="AI43" s="404">
        <f>+IF($R43&gt;E$8,"FIN",(AH43-SUM($AJ$25:AJ42))*VLOOKUP($R43,$A:$Q,5,0)/VLOOKUP(E$15,$M$1:$O$4,2,0))</f>
        <v>12.750000000000002</v>
      </c>
      <c r="AJ43" s="404">
        <f t="shared" si="15"/>
        <v>283.33333333333337</v>
      </c>
      <c r="AK43" s="404">
        <f t="shared" si="16"/>
        <v>296.08333333333337</v>
      </c>
      <c r="AL43" s="405">
        <f t="shared" si="17"/>
        <v>125.56823650645319</v>
      </c>
      <c r="AM43" s="404">
        <f t="shared" si="62"/>
        <v>8600</v>
      </c>
      <c r="AN43" s="404">
        <f>+IF($R43&gt;F$8,"FIN",(AM43-SUM($AO$25:AO42))*VLOOKUP($R43,$A:$Q,6,0)/VLOOKUP(F$15,$M$1:$O$4,2,0))</f>
        <v>242.95000000000002</v>
      </c>
      <c r="AO43" s="404">
        <f t="shared" si="18"/>
        <v>0</v>
      </c>
      <c r="AP43" s="404">
        <f t="shared" si="19"/>
        <v>242.95000000000002</v>
      </c>
      <c r="AQ43" s="405">
        <f t="shared" si="20"/>
        <v>103.03451638359516</v>
      </c>
      <c r="AR43" s="404">
        <f t="shared" si="63"/>
        <v>1150</v>
      </c>
      <c r="AS43" s="404">
        <f>+IF($R43&gt;G$8,"FIN",(AR43-SUM(AT$25:AT42))*VLOOKUP($R43,$A:$Q,7,0)/VLOOKUP(G$15,$M$1:$O$4,2,0))</f>
        <v>26.737500000000001</v>
      </c>
      <c r="AT43" s="404">
        <f t="shared" si="21"/>
        <v>0</v>
      </c>
      <c r="AU43" s="404">
        <f t="shared" si="48"/>
        <v>26.737500000000001</v>
      </c>
      <c r="AV43" s="405">
        <f t="shared" si="22"/>
        <v>11.339310071234308</v>
      </c>
      <c r="AW43" s="404">
        <f t="shared" si="64"/>
        <v>8600.0000000000018</v>
      </c>
      <c r="AX43" s="404">
        <f>+IF($R43&gt;H$8,"FIN",(AW43-SUM(AY$25:AY42))*VLOOKUP($R43,$A:$Q,8,0)/VLOOKUP(H$15,$M$1:$O$4,2,0))</f>
        <v>247.25000000000006</v>
      </c>
      <c r="AY43" s="404">
        <f t="shared" si="23"/>
        <v>0</v>
      </c>
      <c r="AZ43" s="404">
        <f t="shared" si="24"/>
        <v>247.25000000000006</v>
      </c>
      <c r="BA43" s="405">
        <f t="shared" si="25"/>
        <v>104.85813614259686</v>
      </c>
      <c r="BB43" s="404">
        <f t="shared" si="65"/>
        <v>1150</v>
      </c>
      <c r="BC43" s="404">
        <f>+IF($R43&gt;I$8,"FIN",(BB43-SUM(BD$25:BD42))*VLOOKUP($R43,$A:$Q,9,0)/VLOOKUP(I$15,$M$1:$O$4,2,0))</f>
        <v>27.3125</v>
      </c>
      <c r="BD43" s="404">
        <f t="shared" si="26"/>
        <v>0</v>
      </c>
      <c r="BE43" s="404">
        <f t="shared" si="49"/>
        <v>27.3125</v>
      </c>
      <c r="BF43" s="405">
        <f t="shared" si="27"/>
        <v>11.583166201798488</v>
      </c>
      <c r="BG43" s="404">
        <f t="shared" si="66"/>
        <v>5200</v>
      </c>
      <c r="BH43" s="404">
        <f>+IF($R43&gt;J$8,"FIN",(BG43-SUM(BI$25:BI42))*VLOOKUP($R43,$A:$Q,10,0)/VLOOKUP(J$15,$M$1:$O$4,2,0))</f>
        <v>129.11363636363637</v>
      </c>
      <c r="BI43" s="404">
        <f t="shared" si="50"/>
        <v>236.36363636363637</v>
      </c>
      <c r="BJ43" s="404">
        <f t="shared" si="28"/>
        <v>365.47727272727275</v>
      </c>
      <c r="BK43" s="405">
        <f t="shared" si="29"/>
        <v>154.9980409329074</v>
      </c>
      <c r="BL43" s="404">
        <f t="shared" si="67"/>
        <v>5800</v>
      </c>
      <c r="BM43" s="404">
        <f>+IF($R43&gt;K$8,"FIN",(BL43-SUM(BN$25:BN42))*VLOOKUP($R43,$A:$Q,11,0)/VLOOKUP(K$15,$M$1:$O$4,2,0))</f>
        <v>113.95681818181818</v>
      </c>
      <c r="BN43" s="404">
        <f t="shared" si="51"/>
        <v>263.63636363636363</v>
      </c>
      <c r="BO43" s="404">
        <f t="shared" si="52"/>
        <v>377.59318181818179</v>
      </c>
      <c r="BP43" s="405">
        <f t="shared" si="30"/>
        <v>160.13636912277948</v>
      </c>
      <c r="BQ43" s="404">
        <f t="shared" si="68"/>
        <v>0</v>
      </c>
      <c r="BR43" s="404">
        <f>+IF($R43&gt;L$8,"FIN",(BQ43-SUM(BS$25:BS42))*VLOOKUP($R43,$A:$Q,12,0)/VLOOKUP(L$15,$M$1:$O$4,2,0))</f>
        <v>0</v>
      </c>
      <c r="BS43" s="404">
        <f t="shared" si="31"/>
        <v>0</v>
      </c>
      <c r="BT43" s="404">
        <f t="shared" si="32"/>
        <v>0</v>
      </c>
      <c r="BU43" s="405">
        <f t="shared" si="33"/>
        <v>0</v>
      </c>
      <c r="BV43" s="404">
        <f t="shared" si="69"/>
        <v>0</v>
      </c>
      <c r="BW43" s="404">
        <f>+IF($R43&gt;M$8,"FIN",(BV43-SUM(BX$25:BX42))*VLOOKUP($R43,$A:$Q,13,0)/VLOOKUP(M$15,$M$1:$O$4,2,0))</f>
        <v>0</v>
      </c>
      <c r="BX43" s="404">
        <f t="shared" si="34"/>
        <v>0</v>
      </c>
      <c r="BY43" s="404">
        <f t="shared" si="53"/>
        <v>0</v>
      </c>
      <c r="BZ43" s="405">
        <f t="shared" si="35"/>
        <v>0</v>
      </c>
      <c r="CA43" s="404">
        <f t="shared" si="70"/>
        <v>14079.830909345501</v>
      </c>
      <c r="CB43" s="404">
        <f>+IF($R43&gt;N$8,"FIN",(CA43-SUM(CC$25:CC42))*VLOOKUP($R43,$A:$Q,14,0)/VLOOKUP(N$15,$M$1:$O$4,2,0))</f>
        <v>371.0622104233762</v>
      </c>
      <c r="CC43" s="404">
        <f t="shared" si="36"/>
        <v>391.10641414848612</v>
      </c>
      <c r="CD43" s="404">
        <f t="shared" si="54"/>
        <v>762.16862457186232</v>
      </c>
      <c r="CE43" s="405">
        <f t="shared" si="38"/>
        <v>323.23389847915922</v>
      </c>
      <c r="CF43" s="404">
        <f t="shared" si="71"/>
        <v>6893.2985731165309</v>
      </c>
      <c r="CG43" s="404">
        <f>+IF($R43&gt;O$8,"FIN",(CF43-SUM(CH$25:CH42))*VLOOKUP($R43,$A:$Q,15,0)/VLOOKUP(O$15,$M$1:$O$4,2,0))</f>
        <v>150.07285435222445</v>
      </c>
      <c r="CH43" s="404">
        <f t="shared" si="39"/>
        <v>191.48051591990364</v>
      </c>
      <c r="CI43" s="404">
        <f t="shared" si="55"/>
        <v>341.55337027212806</v>
      </c>
      <c r="CJ43" s="405">
        <f t="shared" si="40"/>
        <v>144.8519708795049</v>
      </c>
      <c r="CK43" s="404"/>
      <c r="CL43" s="404"/>
      <c r="CM43" s="404"/>
      <c r="CN43" s="404"/>
      <c r="CO43" s="405"/>
      <c r="CP43" s="397"/>
      <c r="CQ43" s="348">
        <f t="shared" si="56"/>
        <v>1395.3453459258058</v>
      </c>
      <c r="CR43" s="409">
        <f t="shared" si="56"/>
        <v>2007.7491295424809</v>
      </c>
      <c r="CS43" s="410">
        <f t="shared" si="57"/>
        <v>3403.0944754682869</v>
      </c>
      <c r="CT43"/>
    </row>
    <row r="44" spans="1:98" ht="15" x14ac:dyDescent="0.25">
      <c r="A44" s="27">
        <f t="shared" si="43"/>
        <v>47498</v>
      </c>
      <c r="B44" s="256"/>
      <c r="C44" s="256"/>
      <c r="D44" s="256">
        <v>0.04</v>
      </c>
      <c r="E44" s="256">
        <v>0.03</v>
      </c>
      <c r="F44" s="256">
        <v>5.6500000000000002E-2</v>
      </c>
      <c r="G44" s="256">
        <v>4.65E-2</v>
      </c>
      <c r="H44" s="256">
        <v>5.7500000000000002E-2</v>
      </c>
      <c r="I44" s="256">
        <v>4.7500000000000001E-2</v>
      </c>
      <c r="J44" s="256">
        <v>5.7500000000000002E-2</v>
      </c>
      <c r="K44" s="256">
        <v>4.5499999999999999E-2</v>
      </c>
      <c r="L44" s="256">
        <v>4.7500000000000001E-2</v>
      </c>
      <c r="M44" s="256">
        <v>4.2500000000000003E-2</v>
      </c>
      <c r="N44" s="256">
        <v>5.7500000000000002E-2</v>
      </c>
      <c r="O44" s="286">
        <v>4.7500000000000001E-2</v>
      </c>
      <c r="P44" s="259"/>
      <c r="Q44" s="2">
        <f t="shared" si="44"/>
        <v>2030</v>
      </c>
      <c r="R44" s="27">
        <f t="shared" si="45"/>
        <v>47498</v>
      </c>
      <c r="S44" s="404"/>
      <c r="T44" s="404"/>
      <c r="U44" s="404"/>
      <c r="V44" s="404"/>
      <c r="W44" s="405"/>
      <c r="X44" s="404"/>
      <c r="Y44" s="404"/>
      <c r="Z44" s="404"/>
      <c r="AA44" s="404"/>
      <c r="AB44" s="405"/>
      <c r="AC44" s="404">
        <f t="shared" si="60"/>
        <v>3300</v>
      </c>
      <c r="AD44" s="404">
        <f>+IF($R44&gt;D$8,"FIN",(AC44-SUM($AE$25:AE43))*VLOOKUP($R44,$A:$Q,4,0)/VLOOKUP(D$15,$M$1:$O$4,2,0))</f>
        <v>22</v>
      </c>
      <c r="AE44" s="404">
        <f t="shared" si="12"/>
        <v>550</v>
      </c>
      <c r="AF44" s="404">
        <f t="shared" si="74"/>
        <v>572</v>
      </c>
      <c r="AG44" s="405">
        <f t="shared" si="14"/>
        <v>231.29461401121407</v>
      </c>
      <c r="AH44" s="404">
        <f t="shared" si="61"/>
        <v>1700.0000000000002</v>
      </c>
      <c r="AI44" s="404">
        <f>+IF($R44&gt;E$8,"FIN",(AH44-SUM($AJ$25:AJ43))*VLOOKUP($R44,$A:$Q,5,0)/VLOOKUP(E$15,$M$1:$O$4,2,0))</f>
        <v>8.5</v>
      </c>
      <c r="AJ44" s="404">
        <f t="shared" si="15"/>
        <v>283.33333333333337</v>
      </c>
      <c r="AK44" s="404">
        <f t="shared" si="16"/>
        <v>291.83333333333337</v>
      </c>
      <c r="AL44" s="405">
        <f t="shared" si="17"/>
        <v>118.0060807498939</v>
      </c>
      <c r="AM44" s="404">
        <f t="shared" si="62"/>
        <v>8600</v>
      </c>
      <c r="AN44" s="404">
        <f>+IF($R44&gt;F$8,"FIN",(AM44-SUM($AO$25:AO43))*VLOOKUP($R44,$A:$Q,6,0)/VLOOKUP(F$15,$M$1:$O$4,2,0))</f>
        <v>242.95000000000002</v>
      </c>
      <c r="AO44" s="404">
        <f t="shared" si="18"/>
        <v>0</v>
      </c>
      <c r="AP44" s="404">
        <f t="shared" si="19"/>
        <v>242.95000000000002</v>
      </c>
      <c r="AQ44" s="405">
        <f t="shared" si="20"/>
        <v>98.23955677277003</v>
      </c>
      <c r="AR44" s="404">
        <f t="shared" si="63"/>
        <v>1150</v>
      </c>
      <c r="AS44" s="404">
        <f>+IF($R44&gt;G$8,"FIN",(AR44-SUM(AT$25:AT43))*VLOOKUP($R44,$A:$Q,7,0)/VLOOKUP(G$15,$M$1:$O$4,2,0))</f>
        <v>26.737500000000001</v>
      </c>
      <c r="AT44" s="404">
        <f t="shared" si="21"/>
        <v>0</v>
      </c>
      <c r="AU44" s="404">
        <f t="shared" si="48"/>
        <v>26.737500000000001</v>
      </c>
      <c r="AV44" s="405">
        <f t="shared" si="22"/>
        <v>10.811607940777685</v>
      </c>
      <c r="AW44" s="404">
        <f t="shared" si="64"/>
        <v>8600.0000000000018</v>
      </c>
      <c r="AX44" s="404">
        <f>+IF($R44&gt;H$8,"FIN",(AW44-SUM(AY$25:AY43))*VLOOKUP($R44,$A:$Q,8,0)/VLOOKUP(H$15,$M$1:$O$4,2,0))</f>
        <v>247.25000000000006</v>
      </c>
      <c r="AY44" s="404">
        <f t="shared" si="23"/>
        <v>0</v>
      </c>
      <c r="AZ44" s="404">
        <f t="shared" si="24"/>
        <v>247.25000000000006</v>
      </c>
      <c r="BA44" s="405">
        <f t="shared" si="25"/>
        <v>99.978309989987224</v>
      </c>
      <c r="BB44" s="404">
        <f t="shared" si="65"/>
        <v>1150</v>
      </c>
      <c r="BC44" s="404">
        <f>+IF($R44&gt;I$8,"FIN",(BB44-SUM(BD$25:BD43))*VLOOKUP($R44,$A:$Q,9,0)/VLOOKUP(I$15,$M$1:$O$4,2,0))</f>
        <v>27.3125</v>
      </c>
      <c r="BD44" s="404">
        <f t="shared" si="26"/>
        <v>0</v>
      </c>
      <c r="BE44" s="404">
        <f t="shared" si="49"/>
        <v>27.3125</v>
      </c>
      <c r="BF44" s="405">
        <f t="shared" si="27"/>
        <v>11.044115638428819</v>
      </c>
      <c r="BG44" s="404">
        <f t="shared" si="66"/>
        <v>5200</v>
      </c>
      <c r="BH44" s="404">
        <f>+IF($R44&gt;J$8,"FIN",(BG44-SUM(BI$25:BI43))*VLOOKUP($R44,$A:$Q,10,0)/VLOOKUP(J$15,$M$1:$O$4,2,0))</f>
        <v>122.31818181818181</v>
      </c>
      <c r="BI44" s="404">
        <f t="shared" si="50"/>
        <v>236.36363636363637</v>
      </c>
      <c r="BJ44" s="404">
        <f t="shared" si="28"/>
        <v>358.68181818181819</v>
      </c>
      <c r="BK44" s="405">
        <f t="shared" si="29"/>
        <v>145.03701519091626</v>
      </c>
      <c r="BL44" s="404">
        <f t="shared" si="67"/>
        <v>5800</v>
      </c>
      <c r="BM44" s="404">
        <f>+IF($R44&gt;K$8,"FIN",(BL44-SUM(BN$25:BN43))*VLOOKUP($R44,$A:$Q,11,0)/VLOOKUP(K$15,$M$1:$O$4,2,0))</f>
        <v>107.95909090909092</v>
      </c>
      <c r="BN44" s="404">
        <f t="shared" si="51"/>
        <v>263.63636363636363</v>
      </c>
      <c r="BO44" s="404">
        <f t="shared" si="52"/>
        <v>371.59545454545457</v>
      </c>
      <c r="BP44" s="405">
        <f t="shared" si="30"/>
        <v>150.25878885911285</v>
      </c>
      <c r="BQ44" s="404">
        <f t="shared" si="68"/>
        <v>0</v>
      </c>
      <c r="BR44" s="404">
        <f>+IF($R44&gt;L$8,"FIN",(BQ44-SUM(BS$25:BS43))*VLOOKUP($R44,$A:$Q,12,0)/VLOOKUP(L$15,$M$1:$O$4,2,0))</f>
        <v>0</v>
      </c>
      <c r="BS44" s="404">
        <f t="shared" si="31"/>
        <v>0</v>
      </c>
      <c r="BT44" s="404">
        <f t="shared" si="32"/>
        <v>0</v>
      </c>
      <c r="BU44" s="405">
        <f t="shared" si="33"/>
        <v>0</v>
      </c>
      <c r="BV44" s="404">
        <f t="shared" si="69"/>
        <v>0</v>
      </c>
      <c r="BW44" s="404">
        <f>+IF($R44&gt;M$8,"FIN",(BV44-SUM(BX$25:BX43))*VLOOKUP($R44,$A:$Q,13,0)/VLOOKUP(M$15,$M$1:$O$4,2,0))</f>
        <v>0</v>
      </c>
      <c r="BX44" s="404">
        <f t="shared" si="34"/>
        <v>0</v>
      </c>
      <c r="BY44" s="404">
        <f t="shared" si="53"/>
        <v>0</v>
      </c>
      <c r="BZ44" s="405">
        <f t="shared" si="35"/>
        <v>0</v>
      </c>
      <c r="CA44" s="404">
        <f t="shared" si="70"/>
        <v>14079.830909345501</v>
      </c>
      <c r="CB44" s="404">
        <f>+IF($R44&gt;N$8,"FIN",(CA44-SUM(CC$25:CC43))*VLOOKUP($R44,$A:$Q,14,0)/VLOOKUP(N$15,$M$1:$O$4,2,0))</f>
        <v>359.81790101660727</v>
      </c>
      <c r="CC44" s="404">
        <f t="shared" si="36"/>
        <v>391.10641414848612</v>
      </c>
      <c r="CD44" s="404">
        <f t="shared" si="54"/>
        <v>750.92431516509339</v>
      </c>
      <c r="CE44" s="405">
        <f t="shared" si="38"/>
        <v>303.64466718137328</v>
      </c>
      <c r="CF44" s="404">
        <f t="shared" si="71"/>
        <v>6893.2985731165309</v>
      </c>
      <c r="CG44" s="404">
        <f>+IF($R44&gt;O$8,"FIN",(CF44-SUM(CH$25:CH43))*VLOOKUP($R44,$A:$Q,15,0)/VLOOKUP(O$15,$M$1:$O$4,2,0))</f>
        <v>145.52519209912677</v>
      </c>
      <c r="CH44" s="404">
        <f t="shared" si="39"/>
        <v>191.48051591990364</v>
      </c>
      <c r="CI44" s="404">
        <f t="shared" si="55"/>
        <v>337.00570801903041</v>
      </c>
      <c r="CJ44" s="405">
        <f t="shared" si="40"/>
        <v>136.27203698572998</v>
      </c>
      <c r="CK44" s="404"/>
      <c r="CL44" s="404"/>
      <c r="CM44" s="404"/>
      <c r="CN44" s="404"/>
      <c r="CO44" s="405"/>
      <c r="CP44" s="397"/>
      <c r="CQ44" s="348">
        <f t="shared" si="56"/>
        <v>1349.6703340245997</v>
      </c>
      <c r="CR44" s="409">
        <f t="shared" si="56"/>
        <v>2007.7491295424809</v>
      </c>
      <c r="CS44" s="410">
        <f t="shared" si="57"/>
        <v>3357.4194635670806</v>
      </c>
      <c r="CT44"/>
    </row>
    <row r="45" spans="1:98" ht="15" x14ac:dyDescent="0.25">
      <c r="A45" s="27">
        <f t="shared" si="43"/>
        <v>47679</v>
      </c>
      <c r="B45" s="256"/>
      <c r="C45" s="256"/>
      <c r="D45" s="256">
        <v>0.04</v>
      </c>
      <c r="E45" s="256">
        <v>0.03</v>
      </c>
      <c r="F45" s="256">
        <v>5.6500000000000002E-2</v>
      </c>
      <c r="G45" s="256">
        <v>4.65E-2</v>
      </c>
      <c r="H45" s="256">
        <v>5.7500000000000002E-2</v>
      </c>
      <c r="I45" s="256">
        <v>4.7500000000000001E-2</v>
      </c>
      <c r="J45" s="256">
        <v>5.7500000000000002E-2</v>
      </c>
      <c r="K45" s="256">
        <v>4.5499999999999999E-2</v>
      </c>
      <c r="L45" s="256">
        <v>4.7500000000000001E-2</v>
      </c>
      <c r="M45" s="256">
        <v>4.2500000000000003E-2</v>
      </c>
      <c r="N45" s="256">
        <v>5.7500000000000002E-2</v>
      </c>
      <c r="O45" s="286">
        <v>4.7500000000000001E-2</v>
      </c>
      <c r="P45" s="259"/>
      <c r="Q45" s="2">
        <f t="shared" si="44"/>
        <v>2030</v>
      </c>
      <c r="R45" s="27">
        <f t="shared" si="45"/>
        <v>47679</v>
      </c>
      <c r="S45" s="404"/>
      <c r="T45" s="404"/>
      <c r="U45" s="404"/>
      <c r="V45" s="404"/>
      <c r="W45" s="405"/>
      <c r="X45" s="404"/>
      <c r="Y45" s="404"/>
      <c r="Z45" s="404"/>
      <c r="AA45" s="404"/>
      <c r="AB45" s="405"/>
      <c r="AC45" s="404">
        <f t="shared" si="60"/>
        <v>3300</v>
      </c>
      <c r="AD45" s="404">
        <f>+IF($R45&gt;D$8,"FIN",(AC45-SUM($AE$25:AE44))*VLOOKUP($R45,$A:$Q,4,0)/VLOOKUP(D$15,$M$1:$O$4,2,0))</f>
        <v>11</v>
      </c>
      <c r="AE45" s="404">
        <f t="shared" si="12"/>
        <v>550</v>
      </c>
      <c r="AF45" s="404">
        <f t="shared" si="74"/>
        <v>561</v>
      </c>
      <c r="AG45" s="405">
        <f t="shared" si="14"/>
        <v>216.28978536996715</v>
      </c>
      <c r="AH45" s="404">
        <f t="shared" si="61"/>
        <v>1700.0000000000002</v>
      </c>
      <c r="AI45" s="404">
        <f>+IF($R45&gt;E$8,"FIN",(AH45-SUM($AJ$25:AJ44))*VLOOKUP($R45,$A:$Q,5,0)/VLOOKUP(E$15,$M$1:$O$4,2,0))</f>
        <v>4.2499999999999991</v>
      </c>
      <c r="AJ45" s="404">
        <f t="shared" si="15"/>
        <v>283.33333333333337</v>
      </c>
      <c r="AK45" s="404">
        <f t="shared" si="16"/>
        <v>287.58333333333337</v>
      </c>
      <c r="AL45" s="405">
        <f t="shared" si="17"/>
        <v>110.87582431844277</v>
      </c>
      <c r="AM45" s="404">
        <f t="shared" si="62"/>
        <v>8600</v>
      </c>
      <c r="AN45" s="404">
        <f>+IF($R45&gt;F$8,"FIN",(AM45-SUM($AO$25:AO44))*VLOOKUP($R45,$A:$Q,6,0)/VLOOKUP(F$15,$M$1:$O$4,2,0))</f>
        <v>242.95000000000002</v>
      </c>
      <c r="AO45" s="404">
        <f t="shared" si="18"/>
        <v>0</v>
      </c>
      <c r="AP45" s="404">
        <f t="shared" si="19"/>
        <v>242.95000000000002</v>
      </c>
      <c r="AQ45" s="405">
        <f t="shared" si="20"/>
        <v>93.667742166904674</v>
      </c>
      <c r="AR45" s="404">
        <f t="shared" si="63"/>
        <v>1150</v>
      </c>
      <c r="AS45" s="404">
        <f>+IF($R45&gt;G$8,"FIN",(AR45-SUM(AT$25:AT44))*VLOOKUP($R45,$A:$Q,7,0)/VLOOKUP(G$15,$M$1:$O$4,2,0))</f>
        <v>26.737500000000001</v>
      </c>
      <c r="AT45" s="404">
        <f t="shared" si="21"/>
        <v>0</v>
      </c>
      <c r="AU45" s="404">
        <f t="shared" si="48"/>
        <v>26.737500000000001</v>
      </c>
      <c r="AV45" s="405">
        <f t="shared" si="22"/>
        <v>10.308463701122099</v>
      </c>
      <c r="AW45" s="404">
        <f t="shared" si="64"/>
        <v>8600.0000000000018</v>
      </c>
      <c r="AX45" s="404">
        <f>+IF($R45&gt;H$8,"FIN",(AW45-SUM(AY$25:AY44))*VLOOKUP($R45,$A:$Q,8,0)/VLOOKUP(H$15,$M$1:$O$4,2,0))</f>
        <v>247.25000000000006</v>
      </c>
      <c r="AY45" s="404">
        <f t="shared" si="23"/>
        <v>0</v>
      </c>
      <c r="AZ45" s="404">
        <f t="shared" si="24"/>
        <v>247.25000000000006</v>
      </c>
      <c r="BA45" s="405">
        <f t="shared" si="25"/>
        <v>95.325578311451679</v>
      </c>
      <c r="BB45" s="404">
        <f t="shared" si="65"/>
        <v>1150</v>
      </c>
      <c r="BC45" s="404">
        <f>+IF($R45&gt;I$8,"FIN",(BB45-SUM(BD$25:BD44))*VLOOKUP($R45,$A:$Q,9,0)/VLOOKUP(I$15,$M$1:$O$4,2,0))</f>
        <v>27.3125</v>
      </c>
      <c r="BD45" s="404">
        <f t="shared" si="26"/>
        <v>0</v>
      </c>
      <c r="BE45" s="404">
        <f t="shared" si="49"/>
        <v>27.3125</v>
      </c>
      <c r="BF45" s="405">
        <f t="shared" si="27"/>
        <v>10.530151092544079</v>
      </c>
      <c r="BG45" s="404">
        <f t="shared" si="66"/>
        <v>5200</v>
      </c>
      <c r="BH45" s="404">
        <f>+IF($R45&gt;J$8,"FIN",(BG45-SUM(BI$25:BI44))*VLOOKUP($R45,$A:$Q,10,0)/VLOOKUP(J$15,$M$1:$O$4,2,0))</f>
        <v>115.52272727272727</v>
      </c>
      <c r="BI45" s="404">
        <f t="shared" si="50"/>
        <v>236.36363636363637</v>
      </c>
      <c r="BJ45" s="404">
        <f t="shared" si="28"/>
        <v>351.88636363636363</v>
      </c>
      <c r="BK45" s="405">
        <f t="shared" si="29"/>
        <v>135.6674261417599</v>
      </c>
      <c r="BL45" s="404">
        <f t="shared" si="67"/>
        <v>5800</v>
      </c>
      <c r="BM45" s="404">
        <f>+IF($R45&gt;K$8,"FIN",(BL45-SUM(BN$25:BN44))*VLOOKUP($R45,$A:$Q,11,0)/VLOOKUP(K$15,$M$1:$O$4,2,0))</f>
        <v>101.96136363636364</v>
      </c>
      <c r="BN45" s="404">
        <f t="shared" si="51"/>
        <v>263.63636363636363</v>
      </c>
      <c r="BO45" s="404">
        <f t="shared" si="52"/>
        <v>365.5977272727273</v>
      </c>
      <c r="BP45" s="405">
        <f t="shared" si="30"/>
        <v>140.95375038068801</v>
      </c>
      <c r="BQ45" s="404">
        <f t="shared" si="68"/>
        <v>0</v>
      </c>
      <c r="BR45" s="404">
        <f>+IF($R45&gt;L$8,"FIN",(BQ45-SUM(BS$25:BS44))*VLOOKUP($R45,$A:$Q,12,0)/VLOOKUP(L$15,$M$1:$O$4,2,0))</f>
        <v>0</v>
      </c>
      <c r="BS45" s="404">
        <f t="shared" si="31"/>
        <v>0</v>
      </c>
      <c r="BT45" s="404">
        <f t="shared" si="32"/>
        <v>0</v>
      </c>
      <c r="BU45" s="405">
        <f t="shared" si="33"/>
        <v>0</v>
      </c>
      <c r="BV45" s="404">
        <f t="shared" si="69"/>
        <v>0</v>
      </c>
      <c r="BW45" s="404">
        <f>+IF($R45&gt;M$8,"FIN",(BV45-SUM(BX$25:BX44))*VLOOKUP($R45,$A:$Q,13,0)/VLOOKUP(M$15,$M$1:$O$4,2,0))</f>
        <v>0</v>
      </c>
      <c r="BX45" s="404">
        <f t="shared" si="34"/>
        <v>0</v>
      </c>
      <c r="BY45" s="404">
        <f t="shared" si="53"/>
        <v>0</v>
      </c>
      <c r="BZ45" s="405">
        <f t="shared" si="35"/>
        <v>0</v>
      </c>
      <c r="CA45" s="404">
        <f t="shared" si="70"/>
        <v>14079.830909345501</v>
      </c>
      <c r="CB45" s="404">
        <f>+IF($R45&gt;N$8,"FIN",(CA45-SUM(CC$25:CC44))*VLOOKUP($R45,$A:$Q,14,0)/VLOOKUP(N$15,$M$1:$O$4,2,0))</f>
        <v>348.57359160983827</v>
      </c>
      <c r="CC45" s="404">
        <f t="shared" si="36"/>
        <v>391.10641414848612</v>
      </c>
      <c r="CD45" s="404">
        <f t="shared" si="54"/>
        <v>739.68000575832434</v>
      </c>
      <c r="CE45" s="405">
        <f t="shared" si="38"/>
        <v>285.17866254531913</v>
      </c>
      <c r="CF45" s="404">
        <f t="shared" si="71"/>
        <v>6893.2985731165309</v>
      </c>
      <c r="CG45" s="404">
        <f>+IF($R45&gt;O$8,"FIN",(CF45-SUM(CH$25:CH44))*VLOOKUP($R45,$A:$Q,15,0)/VLOOKUP(O$15,$M$1:$O$4,2,0))</f>
        <v>140.97752984602906</v>
      </c>
      <c r="CH45" s="404">
        <f t="shared" si="39"/>
        <v>191.48051591990364</v>
      </c>
      <c r="CI45" s="404">
        <f t="shared" si="55"/>
        <v>332.4580457659327</v>
      </c>
      <c r="CJ45" s="405">
        <f t="shared" si="40"/>
        <v>128.17696856191142</v>
      </c>
      <c r="CK45" s="404"/>
      <c r="CL45" s="404"/>
      <c r="CM45" s="404"/>
      <c r="CN45" s="404"/>
      <c r="CO45" s="405"/>
      <c r="CP45" s="397"/>
      <c r="CQ45" s="348">
        <f t="shared" si="56"/>
        <v>1303.9953221233941</v>
      </c>
      <c r="CR45" s="409">
        <f t="shared" si="56"/>
        <v>2007.7491295424809</v>
      </c>
      <c r="CS45" s="410">
        <f t="shared" si="57"/>
        <v>3311.7444516658752</v>
      </c>
      <c r="CT45"/>
    </row>
    <row r="46" spans="1:98" ht="15" x14ac:dyDescent="0.25">
      <c r="A46" s="27">
        <f t="shared" si="43"/>
        <v>47863</v>
      </c>
      <c r="B46" s="256"/>
      <c r="C46" s="256"/>
      <c r="D46" s="256"/>
      <c r="E46" s="256"/>
      <c r="F46" s="256">
        <v>5.6500000000000002E-2</v>
      </c>
      <c r="G46" s="256">
        <v>4.65E-2</v>
      </c>
      <c r="H46" s="256">
        <v>5.7500000000000002E-2</v>
      </c>
      <c r="I46" s="256">
        <v>4.7500000000000001E-2</v>
      </c>
      <c r="J46" s="256">
        <v>5.7500000000000002E-2</v>
      </c>
      <c r="K46" s="256">
        <v>4.5499999999999999E-2</v>
      </c>
      <c r="L46" s="256">
        <v>4.7500000000000001E-2</v>
      </c>
      <c r="M46" s="256">
        <v>4.2500000000000003E-2</v>
      </c>
      <c r="N46" s="256">
        <v>5.7500000000000002E-2</v>
      </c>
      <c r="O46" s="286">
        <v>4.7500000000000001E-2</v>
      </c>
      <c r="P46" s="259"/>
      <c r="Q46" s="2">
        <f t="shared" si="44"/>
        <v>2031</v>
      </c>
      <c r="R46" s="27">
        <f t="shared" si="45"/>
        <v>47863</v>
      </c>
      <c r="S46" s="404"/>
      <c r="T46" s="404"/>
      <c r="U46" s="404"/>
      <c r="V46" s="404"/>
      <c r="W46" s="405"/>
      <c r="X46" s="404"/>
      <c r="Y46" s="404"/>
      <c r="Z46" s="404"/>
      <c r="AA46" s="404"/>
      <c r="AB46" s="405"/>
      <c r="AC46" s="404"/>
      <c r="AD46" s="404"/>
      <c r="AE46" s="404"/>
      <c r="AF46" s="404"/>
      <c r="AG46" s="405"/>
      <c r="AH46" s="404"/>
      <c r="AI46" s="404"/>
      <c r="AJ46" s="404"/>
      <c r="AK46" s="404"/>
      <c r="AL46" s="405"/>
      <c r="AM46" s="404">
        <f t="shared" si="62"/>
        <v>8600</v>
      </c>
      <c r="AN46" s="404">
        <f>+IF($R46&gt;F$8,"FIN",(AM46-SUM($AO$25:AO45))*VLOOKUP($R46,$A:$Q,6,0)/VLOOKUP(F$15,$M$1:$O$4,2,0))</f>
        <v>242.95000000000002</v>
      </c>
      <c r="AO46" s="404">
        <f t="shared" si="18"/>
        <v>1433.3333333333333</v>
      </c>
      <c r="AP46" s="404">
        <f t="shared" si="19"/>
        <v>1676.2833333333333</v>
      </c>
      <c r="AQ46" s="405">
        <f t="shared" si="20"/>
        <v>616.20360228347829</v>
      </c>
      <c r="AR46" s="404">
        <f t="shared" si="63"/>
        <v>1150</v>
      </c>
      <c r="AS46" s="404">
        <f>+IF($R46&gt;G$8,"FIN",(AR46-SUM(AT$25:AT45))*VLOOKUP($R46,$A:$Q,7,0)/VLOOKUP(G$15,$M$1:$O$4,2,0))</f>
        <v>26.737500000000001</v>
      </c>
      <c r="AT46" s="404">
        <f t="shared" si="21"/>
        <v>191.66666666666666</v>
      </c>
      <c r="AU46" s="404">
        <f t="shared" si="48"/>
        <v>218.40416666666667</v>
      </c>
      <c r="AV46" s="405">
        <f t="shared" si="22"/>
        <v>80.285612567716981</v>
      </c>
      <c r="AW46" s="404">
        <f t="shared" si="64"/>
        <v>8600.0000000000018</v>
      </c>
      <c r="AX46" s="404">
        <f>+IF($R46&gt;H$8,"FIN",(AW46-SUM(AY$25:AY45))*VLOOKUP($R46,$A:$Q,8,0)/VLOOKUP(H$15,$M$1:$O$4,2,0))</f>
        <v>247.25000000000006</v>
      </c>
      <c r="AY46" s="404">
        <f t="shared" si="23"/>
        <v>0</v>
      </c>
      <c r="AZ46" s="404">
        <f t="shared" si="24"/>
        <v>247.25000000000006</v>
      </c>
      <c r="BA46" s="405">
        <f t="shared" si="25"/>
        <v>90.889372718170179</v>
      </c>
      <c r="BB46" s="404">
        <f t="shared" si="65"/>
        <v>1150</v>
      </c>
      <c r="BC46" s="404">
        <f>+IF($R46&gt;I$8,"FIN",(BB46-SUM(BD$25:BD45))*VLOOKUP($R46,$A:$Q,9,0)/VLOOKUP(I$15,$M$1:$O$4,2,0))</f>
        <v>27.3125</v>
      </c>
      <c r="BD46" s="404">
        <f t="shared" si="26"/>
        <v>0</v>
      </c>
      <c r="BE46" s="404">
        <f t="shared" si="49"/>
        <v>27.3125</v>
      </c>
      <c r="BF46" s="405">
        <f t="shared" si="27"/>
        <v>10.040105125844379</v>
      </c>
      <c r="BG46" s="404">
        <f t="shared" si="66"/>
        <v>5200</v>
      </c>
      <c r="BH46" s="404">
        <f>+IF($R46&gt;J$8,"FIN",(BG46-SUM(BI$25:BI45))*VLOOKUP($R46,$A:$Q,10,0)/VLOOKUP(J$15,$M$1:$O$4,2,0))</f>
        <v>108.72727272727272</v>
      </c>
      <c r="BI46" s="404">
        <f t="shared" si="50"/>
        <v>236.36363636363637</v>
      </c>
      <c r="BJ46" s="404">
        <f t="shared" si="28"/>
        <v>345.09090909090912</v>
      </c>
      <c r="BK46" s="405">
        <f t="shared" si="29"/>
        <v>126.85579881907306</v>
      </c>
      <c r="BL46" s="404">
        <f t="shared" si="67"/>
        <v>5800</v>
      </c>
      <c r="BM46" s="404">
        <f>+IF($R46&gt;K$8,"FIN",(BL46-SUM(BN$25:BN45))*VLOOKUP($R46,$A:$Q,11,0)/VLOOKUP(K$15,$M$1:$O$4,2,0))</f>
        <v>95.963636363636354</v>
      </c>
      <c r="BN46" s="404">
        <f t="shared" si="51"/>
        <v>263.63636363636363</v>
      </c>
      <c r="BO46" s="404">
        <f t="shared" si="52"/>
        <v>359.59999999999997</v>
      </c>
      <c r="BP46" s="405">
        <f t="shared" si="30"/>
        <v>132.18935664086547</v>
      </c>
      <c r="BQ46" s="404">
        <f t="shared" si="68"/>
        <v>0</v>
      </c>
      <c r="BR46" s="404">
        <f>+IF($R46&gt;L$8,"FIN",(BQ46-SUM(BS$25:BS45))*VLOOKUP($R46,$A:$Q,12,0)/VLOOKUP(L$15,$M$1:$O$4,2,0))</f>
        <v>0</v>
      </c>
      <c r="BS46" s="404">
        <f t="shared" si="31"/>
        <v>0</v>
      </c>
      <c r="BT46" s="404">
        <f t="shared" si="32"/>
        <v>0</v>
      </c>
      <c r="BU46" s="405">
        <f t="shared" si="33"/>
        <v>0</v>
      </c>
      <c r="BV46" s="404">
        <f t="shared" si="69"/>
        <v>0</v>
      </c>
      <c r="BW46" s="404">
        <f>+IF($R46&gt;M$8,"FIN",(BV46-SUM(BX$25:BX45))*VLOOKUP($R46,$A:$Q,13,0)/VLOOKUP(M$15,$M$1:$O$4,2,0))</f>
        <v>0</v>
      </c>
      <c r="BX46" s="404">
        <f t="shared" si="34"/>
        <v>0</v>
      </c>
      <c r="BY46" s="404">
        <f t="shared" si="53"/>
        <v>0</v>
      </c>
      <c r="BZ46" s="405">
        <f t="shared" si="35"/>
        <v>0</v>
      </c>
      <c r="CA46" s="404">
        <f t="shared" si="70"/>
        <v>14079.830909345501</v>
      </c>
      <c r="CB46" s="404">
        <f>+IF($R46&gt;N$8,"FIN",(CA46-SUM(CC$25:CC45))*VLOOKUP($R46,$A:$Q,14,0)/VLOOKUP(N$15,$M$1:$O$4,2,0))</f>
        <v>337.32928220306934</v>
      </c>
      <c r="CC46" s="404">
        <f t="shared" si="36"/>
        <v>391.10641414848612</v>
      </c>
      <c r="CD46" s="404">
        <f t="shared" si="54"/>
        <v>728.43569635155541</v>
      </c>
      <c r="CE46" s="405">
        <f t="shared" si="38"/>
        <v>267.77376544758886</v>
      </c>
      <c r="CF46" s="404">
        <f t="shared" si="71"/>
        <v>6893.2985731165309</v>
      </c>
      <c r="CG46" s="404">
        <f>+IF($R46&gt;O$8,"FIN",(CF46-SUM(CH$25:CH45))*VLOOKUP($R46,$A:$Q,15,0)/VLOOKUP(O$15,$M$1:$O$4,2,0))</f>
        <v>136.42986759293134</v>
      </c>
      <c r="CH46" s="404">
        <f t="shared" si="39"/>
        <v>191.48051591990364</v>
      </c>
      <c r="CI46" s="404">
        <f t="shared" si="55"/>
        <v>327.91038351283498</v>
      </c>
      <c r="CJ46" s="405">
        <f t="shared" si="40"/>
        <v>120.54021866635462</v>
      </c>
      <c r="CK46" s="404"/>
      <c r="CL46" s="404"/>
      <c r="CM46" s="404"/>
      <c r="CN46" s="404"/>
      <c r="CO46" s="405"/>
      <c r="CP46" s="397"/>
      <c r="CQ46" s="348">
        <f t="shared" si="56"/>
        <v>1258.320310222188</v>
      </c>
      <c r="CR46" s="409">
        <f t="shared" si="56"/>
        <v>2788.0167256747045</v>
      </c>
      <c r="CS46" s="410">
        <f t="shared" si="57"/>
        <v>4046.3370358968923</v>
      </c>
      <c r="CT46"/>
    </row>
    <row r="47" spans="1:98" ht="15" x14ac:dyDescent="0.25">
      <c r="A47" s="27">
        <f t="shared" si="43"/>
        <v>48044</v>
      </c>
      <c r="B47" s="256"/>
      <c r="C47" s="256"/>
      <c r="D47" s="256"/>
      <c r="E47" s="256"/>
      <c r="F47" s="256">
        <v>5.6500000000000002E-2</v>
      </c>
      <c r="G47" s="256">
        <v>4.65E-2</v>
      </c>
      <c r="H47" s="256">
        <v>5.7500000000000002E-2</v>
      </c>
      <c r="I47" s="256">
        <v>4.7500000000000001E-2</v>
      </c>
      <c r="J47" s="256">
        <v>5.7500000000000002E-2</v>
      </c>
      <c r="K47" s="256">
        <v>4.5499999999999999E-2</v>
      </c>
      <c r="L47" s="256">
        <v>4.7500000000000001E-2</v>
      </c>
      <c r="M47" s="256">
        <v>4.2500000000000003E-2</v>
      </c>
      <c r="N47" s="256">
        <v>5.7500000000000002E-2</v>
      </c>
      <c r="O47" s="286">
        <v>4.7500000000000001E-2</v>
      </c>
      <c r="P47" s="259"/>
      <c r="Q47" s="2">
        <f t="shared" si="44"/>
        <v>2031</v>
      </c>
      <c r="R47" s="27">
        <f t="shared" si="45"/>
        <v>48044</v>
      </c>
      <c r="S47" s="404"/>
      <c r="T47" s="404"/>
      <c r="U47" s="404"/>
      <c r="V47" s="404"/>
      <c r="W47" s="405"/>
      <c r="X47" s="404"/>
      <c r="Y47" s="404"/>
      <c r="Z47" s="404"/>
      <c r="AA47" s="404"/>
      <c r="AB47" s="405"/>
      <c r="AC47" s="404"/>
      <c r="AD47" s="404"/>
      <c r="AE47" s="404"/>
      <c r="AF47" s="404"/>
      <c r="AG47" s="405"/>
      <c r="AH47" s="404"/>
      <c r="AI47" s="404"/>
      <c r="AJ47" s="404"/>
      <c r="AK47" s="404"/>
      <c r="AL47" s="405"/>
      <c r="AM47" s="404">
        <f t="shared" si="62"/>
        <v>8600</v>
      </c>
      <c r="AN47" s="404">
        <f>+IF($R47&gt;F$8,"FIN",(AM47-SUM($AO$25:AO46))*VLOOKUP($R47,$A:$Q,6,0)/VLOOKUP(F$15,$M$1:$O$4,2,0))</f>
        <v>202.45833333333334</v>
      </c>
      <c r="AO47" s="404">
        <f t="shared" si="18"/>
        <v>1433.3333333333333</v>
      </c>
      <c r="AP47" s="404">
        <f t="shared" si="19"/>
        <v>1635.7916666666665</v>
      </c>
      <c r="AQ47" s="405">
        <f t="shared" si="20"/>
        <v>573.33499998916557</v>
      </c>
      <c r="AR47" s="404">
        <f t="shared" si="63"/>
        <v>1150</v>
      </c>
      <c r="AS47" s="404">
        <f>+IF($R47&gt;G$8,"FIN",(AR47-SUM(AT$25:AT46))*VLOOKUP($R47,$A:$Q,7,0)/VLOOKUP(G$15,$M$1:$O$4,2,0))</f>
        <v>22.28125</v>
      </c>
      <c r="AT47" s="404">
        <f t="shared" si="21"/>
        <v>191.66666666666666</v>
      </c>
      <c r="AU47" s="404">
        <f t="shared" si="48"/>
        <v>213.94791666666666</v>
      </c>
      <c r="AV47" s="405">
        <f t="shared" si="22"/>
        <v>74.98743959841994</v>
      </c>
      <c r="AW47" s="404">
        <f t="shared" si="64"/>
        <v>8600.0000000000018</v>
      </c>
      <c r="AX47" s="404">
        <f>+IF($R47&gt;H$8,"FIN",(AW47-SUM(AY$25:AY46))*VLOOKUP($R47,$A:$Q,8,0)/VLOOKUP(H$15,$M$1:$O$4,2,0))</f>
        <v>247.25000000000006</v>
      </c>
      <c r="AY47" s="404">
        <f t="shared" si="23"/>
        <v>0</v>
      </c>
      <c r="AZ47" s="404">
        <f t="shared" si="24"/>
        <v>247.25000000000006</v>
      </c>
      <c r="BA47" s="405">
        <f t="shared" si="25"/>
        <v>86.659616646774239</v>
      </c>
      <c r="BB47" s="404">
        <f t="shared" si="65"/>
        <v>1150</v>
      </c>
      <c r="BC47" s="404">
        <f>+IF($R47&gt;I$8,"FIN",(BB47-SUM(BD$25:BD46))*VLOOKUP($R47,$A:$Q,9,0)/VLOOKUP(I$15,$M$1:$O$4,2,0))</f>
        <v>27.3125</v>
      </c>
      <c r="BD47" s="404">
        <f t="shared" si="26"/>
        <v>0</v>
      </c>
      <c r="BE47" s="404">
        <f t="shared" si="49"/>
        <v>27.3125</v>
      </c>
      <c r="BF47" s="405">
        <f t="shared" si="27"/>
        <v>9.5728646295855242</v>
      </c>
      <c r="BG47" s="404">
        <f t="shared" si="66"/>
        <v>5200</v>
      </c>
      <c r="BH47" s="404">
        <f>+IF($R47&gt;J$8,"FIN",(BG47-SUM(BI$25:BI46))*VLOOKUP($R47,$A:$Q,10,0)/VLOOKUP(J$15,$M$1:$O$4,2,0))</f>
        <v>101.93181818181817</v>
      </c>
      <c r="BI47" s="404">
        <f t="shared" si="50"/>
        <v>236.36363636363637</v>
      </c>
      <c r="BJ47" s="404">
        <f t="shared" si="28"/>
        <v>338.29545454545456</v>
      </c>
      <c r="BK47" s="405">
        <f t="shared" si="29"/>
        <v>118.57049304046643</v>
      </c>
      <c r="BL47" s="404">
        <f t="shared" si="67"/>
        <v>5800</v>
      </c>
      <c r="BM47" s="404">
        <f>+IF($R47&gt;K$8,"FIN",(BL47-SUM(BN$25:BN46))*VLOOKUP($R47,$A:$Q,11,0)/VLOOKUP(K$15,$M$1:$O$4,2,0))</f>
        <v>89.965909090909093</v>
      </c>
      <c r="BN47" s="404">
        <f t="shared" si="51"/>
        <v>263.63636363636363</v>
      </c>
      <c r="BO47" s="404">
        <f t="shared" si="52"/>
        <v>353.60227272727275</v>
      </c>
      <c r="BP47" s="405">
        <f t="shared" si="30"/>
        <v>123.93543943366457</v>
      </c>
      <c r="BQ47" s="404">
        <f t="shared" si="68"/>
        <v>0</v>
      </c>
      <c r="BR47" s="404">
        <f>+IF($R47&gt;L$8,"FIN",(BQ47-SUM(BS$25:BS46))*VLOOKUP($R47,$A:$Q,12,0)/VLOOKUP(L$15,$M$1:$O$4,2,0))</f>
        <v>0</v>
      </c>
      <c r="BS47" s="404">
        <f t="shared" si="31"/>
        <v>0</v>
      </c>
      <c r="BT47" s="404">
        <f t="shared" si="32"/>
        <v>0</v>
      </c>
      <c r="BU47" s="405">
        <f t="shared" si="33"/>
        <v>0</v>
      </c>
      <c r="BV47" s="404">
        <f t="shared" si="69"/>
        <v>0</v>
      </c>
      <c r="BW47" s="404">
        <f>+IF($R47&gt;M$8,"FIN",(BV47-SUM(BX$25:BX46))*VLOOKUP($R47,$A:$Q,13,0)/VLOOKUP(M$15,$M$1:$O$4,2,0))</f>
        <v>0</v>
      </c>
      <c r="BX47" s="404">
        <f t="shared" si="34"/>
        <v>0</v>
      </c>
      <c r="BY47" s="404">
        <f t="shared" si="53"/>
        <v>0</v>
      </c>
      <c r="BZ47" s="405">
        <f t="shared" si="35"/>
        <v>0</v>
      </c>
      <c r="CA47" s="404">
        <f t="shared" si="70"/>
        <v>14079.830909345501</v>
      </c>
      <c r="CB47" s="404">
        <f>+IF($R47&gt;N$8,"FIN",(CA47-SUM(CC$25:CC46))*VLOOKUP($R47,$A:$Q,14,0)/VLOOKUP(N$15,$M$1:$O$4,2,0))</f>
        <v>326.08497279630035</v>
      </c>
      <c r="CC47" s="404">
        <f t="shared" si="36"/>
        <v>391.10641414848612</v>
      </c>
      <c r="CD47" s="404">
        <f t="shared" si="54"/>
        <v>717.19138694478647</v>
      </c>
      <c r="CE47" s="405">
        <f t="shared" si="38"/>
        <v>251.37120588474625</v>
      </c>
      <c r="CF47" s="404">
        <f t="shared" si="71"/>
        <v>6893.2985731165309</v>
      </c>
      <c r="CG47" s="404">
        <f>+IF($R47&gt;O$8,"FIN",(CF47-SUM(CH$25:CH46))*VLOOKUP($R47,$A:$Q,15,0)/VLOOKUP(O$15,$M$1:$O$4,2,0))</f>
        <v>131.88220533983363</v>
      </c>
      <c r="CH47" s="404">
        <f t="shared" si="39"/>
        <v>191.48051591990364</v>
      </c>
      <c r="CI47" s="404">
        <f t="shared" si="55"/>
        <v>323.36272125973727</v>
      </c>
      <c r="CJ47" s="405">
        <f t="shared" si="40"/>
        <v>113.3366611212398</v>
      </c>
      <c r="CK47" s="404"/>
      <c r="CL47" s="404"/>
      <c r="CM47" s="404"/>
      <c r="CN47" s="404"/>
      <c r="CO47" s="405"/>
      <c r="CP47" s="397"/>
      <c r="CQ47" s="348">
        <f t="shared" si="56"/>
        <v>1182.9217337456128</v>
      </c>
      <c r="CR47" s="409">
        <f t="shared" si="56"/>
        <v>2788.0167256747045</v>
      </c>
      <c r="CS47" s="410">
        <f t="shared" si="57"/>
        <v>3970.9384594203175</v>
      </c>
      <c r="CT47"/>
    </row>
    <row r="48" spans="1:98" ht="15" x14ac:dyDescent="0.25">
      <c r="A48" s="27">
        <f t="shared" si="43"/>
        <v>48228</v>
      </c>
      <c r="B48" s="256"/>
      <c r="C48" s="256"/>
      <c r="D48" s="256"/>
      <c r="E48" s="256"/>
      <c r="F48" s="256">
        <v>5.6500000000000002E-2</v>
      </c>
      <c r="G48" s="256">
        <v>4.65E-2</v>
      </c>
      <c r="H48" s="256">
        <v>5.7500000000000002E-2</v>
      </c>
      <c r="I48" s="256">
        <v>4.7500000000000001E-2</v>
      </c>
      <c r="J48" s="256">
        <v>5.7500000000000002E-2</v>
      </c>
      <c r="K48" s="256">
        <v>4.5499999999999999E-2</v>
      </c>
      <c r="L48" s="256">
        <v>4.7500000000000001E-2</v>
      </c>
      <c r="M48" s="256">
        <v>4.2500000000000003E-2</v>
      </c>
      <c r="N48" s="256">
        <v>5.7500000000000002E-2</v>
      </c>
      <c r="O48" s="286">
        <v>4.7500000000000001E-2</v>
      </c>
      <c r="P48" s="259"/>
      <c r="Q48" s="2">
        <f t="shared" si="44"/>
        <v>2032</v>
      </c>
      <c r="R48" s="27">
        <f t="shared" si="45"/>
        <v>48228</v>
      </c>
      <c r="S48" s="404"/>
      <c r="T48" s="404"/>
      <c r="U48" s="404"/>
      <c r="V48" s="404"/>
      <c r="W48" s="405"/>
      <c r="X48" s="404"/>
      <c r="Y48" s="404"/>
      <c r="Z48" s="404"/>
      <c r="AA48" s="404"/>
      <c r="AB48" s="405"/>
      <c r="AC48" s="404"/>
      <c r="AD48" s="404"/>
      <c r="AE48" s="404"/>
      <c r="AF48" s="404"/>
      <c r="AG48" s="405"/>
      <c r="AH48" s="404"/>
      <c r="AI48" s="404"/>
      <c r="AJ48" s="404"/>
      <c r="AK48" s="404"/>
      <c r="AL48" s="405"/>
      <c r="AM48" s="404">
        <f t="shared" si="62"/>
        <v>8600</v>
      </c>
      <c r="AN48" s="404">
        <f>+IF($R48&gt;F$8,"FIN",(AM48-SUM($AO$25:AO47))*VLOOKUP($R48,$A:$Q,6,0)/VLOOKUP(F$15,$M$1:$O$4,2,0))</f>
        <v>161.9666666666667</v>
      </c>
      <c r="AO48" s="404">
        <f t="shared" si="18"/>
        <v>1433.3333333333333</v>
      </c>
      <c r="AP48" s="404">
        <f t="shared" si="19"/>
        <v>1595.3</v>
      </c>
      <c r="AQ48" s="405">
        <f t="shared" si="20"/>
        <v>533.12185420460276</v>
      </c>
      <c r="AR48" s="404">
        <f t="shared" si="63"/>
        <v>1150</v>
      </c>
      <c r="AS48" s="404">
        <f>+IF($R48&gt;G$8,"FIN",(AR48-SUM(AT$25:AT47))*VLOOKUP($R48,$A:$Q,7,0)/VLOOKUP(G$15,$M$1:$O$4,2,0))</f>
        <v>17.825000000000003</v>
      </c>
      <c r="AT48" s="404">
        <f t="shared" si="21"/>
        <v>191.66666666666666</v>
      </c>
      <c r="AU48" s="404">
        <f t="shared" si="48"/>
        <v>209.49166666666667</v>
      </c>
      <c r="AV48" s="405">
        <f t="shared" si="22"/>
        <v>70.008516124707526</v>
      </c>
      <c r="AW48" s="404">
        <f t="shared" si="64"/>
        <v>8600.0000000000018</v>
      </c>
      <c r="AX48" s="404">
        <f>+IF($R48&gt;H$8,"FIN",(AW48-SUM(AY$25:AY47))*VLOOKUP($R48,$A:$Q,8,0)/VLOOKUP(H$15,$M$1:$O$4,2,0))</f>
        <v>247.25000000000006</v>
      </c>
      <c r="AY48" s="404">
        <f t="shared" si="23"/>
        <v>0</v>
      </c>
      <c r="AZ48" s="404">
        <f t="shared" si="24"/>
        <v>247.25000000000006</v>
      </c>
      <c r="BA48" s="405">
        <f t="shared" si="25"/>
        <v>82.626702471063794</v>
      </c>
      <c r="BB48" s="404">
        <f t="shared" si="65"/>
        <v>1150</v>
      </c>
      <c r="BC48" s="404">
        <f>+IF($R48&gt;I$8,"FIN",(BB48-SUM(BD$25:BD47))*VLOOKUP($R48,$A:$Q,9,0)/VLOOKUP(I$15,$M$1:$O$4,2,0))</f>
        <v>27.3125</v>
      </c>
      <c r="BD48" s="404">
        <f t="shared" si="26"/>
        <v>0</v>
      </c>
      <c r="BE48" s="404">
        <f t="shared" si="49"/>
        <v>27.3125</v>
      </c>
      <c r="BF48" s="405">
        <f t="shared" si="27"/>
        <v>9.1273682962221603</v>
      </c>
      <c r="BG48" s="404">
        <f t="shared" si="66"/>
        <v>5200</v>
      </c>
      <c r="BH48" s="404">
        <f>+IF($R48&gt;J$8,"FIN",(BG48-SUM(BI$25:BI47))*VLOOKUP($R48,$A:$Q,10,0)/VLOOKUP(J$15,$M$1:$O$4,2,0))</f>
        <v>95.136363636363626</v>
      </c>
      <c r="BI48" s="404">
        <f t="shared" si="50"/>
        <v>236.36363636363637</v>
      </c>
      <c r="BJ48" s="404">
        <f t="shared" si="28"/>
        <v>331.5</v>
      </c>
      <c r="BK48" s="405">
        <f t="shared" si="29"/>
        <v>110.7816051330946</v>
      </c>
      <c r="BL48" s="404">
        <f t="shared" si="67"/>
        <v>5800</v>
      </c>
      <c r="BM48" s="404">
        <f>+IF($R48&gt;K$8,"FIN",(BL48-SUM(BN$25:BN47))*VLOOKUP($R48,$A:$Q,11,0)/VLOOKUP(K$15,$M$1:$O$4,2,0))</f>
        <v>83.968181818181833</v>
      </c>
      <c r="BN48" s="404">
        <f t="shared" si="51"/>
        <v>263.63636363636363</v>
      </c>
      <c r="BO48" s="404">
        <f t="shared" si="52"/>
        <v>347.60454545454547</v>
      </c>
      <c r="BP48" s="405">
        <f t="shared" si="30"/>
        <v>116.16346756263738</v>
      </c>
      <c r="BQ48" s="404">
        <f t="shared" si="68"/>
        <v>0</v>
      </c>
      <c r="BR48" s="404">
        <f>+IF($R48&gt;L$8,"FIN",(BQ48-SUM(BS$25:BS47))*VLOOKUP($R48,$A:$Q,12,0)/VLOOKUP(L$15,$M$1:$O$4,2,0))</f>
        <v>0</v>
      </c>
      <c r="BS48" s="404">
        <f t="shared" si="31"/>
        <v>0</v>
      </c>
      <c r="BT48" s="404">
        <f t="shared" si="32"/>
        <v>0</v>
      </c>
      <c r="BU48" s="405">
        <f t="shared" si="33"/>
        <v>0</v>
      </c>
      <c r="BV48" s="404">
        <f t="shared" si="69"/>
        <v>0</v>
      </c>
      <c r="BW48" s="404">
        <f>+IF($R48&gt;M$8,"FIN",(BV48-SUM(BX$25:BX47))*VLOOKUP($R48,$A:$Q,13,0)/VLOOKUP(M$15,$M$1:$O$4,2,0))</f>
        <v>0</v>
      </c>
      <c r="BX48" s="404">
        <f t="shared" si="34"/>
        <v>0</v>
      </c>
      <c r="BY48" s="404">
        <f t="shared" si="53"/>
        <v>0</v>
      </c>
      <c r="BZ48" s="405">
        <f t="shared" si="35"/>
        <v>0</v>
      </c>
      <c r="CA48" s="404">
        <f t="shared" si="70"/>
        <v>14079.830909345501</v>
      </c>
      <c r="CB48" s="404">
        <f>+IF($R48&gt;N$8,"FIN",(CA48-SUM(CC$25:CC47))*VLOOKUP($R48,$A:$Q,14,0)/VLOOKUP(N$15,$M$1:$O$4,2,0))</f>
        <v>314.84066338953136</v>
      </c>
      <c r="CC48" s="404">
        <f t="shared" si="36"/>
        <v>391.10641414848612</v>
      </c>
      <c r="CD48" s="404">
        <f t="shared" si="54"/>
        <v>705.94707753801754</v>
      </c>
      <c r="CE48" s="405">
        <f t="shared" si="38"/>
        <v>235.91538578786961</v>
      </c>
      <c r="CF48" s="404">
        <f t="shared" si="71"/>
        <v>6893.2985731165309</v>
      </c>
      <c r="CG48" s="404">
        <f>+IF($R48&gt;O$8,"FIN",(CF48-SUM(CH$25:CH47))*VLOOKUP($R48,$A:$Q,15,0)/VLOOKUP(O$15,$M$1:$O$4,2,0))</f>
        <v>127.33454308673592</v>
      </c>
      <c r="CH48" s="404">
        <f t="shared" si="39"/>
        <v>191.48051591990364</v>
      </c>
      <c r="CI48" s="404">
        <f t="shared" si="55"/>
        <v>318.81505900663956</v>
      </c>
      <c r="CJ48" s="405">
        <f t="shared" si="40"/>
        <v>106.54251576880181</v>
      </c>
      <c r="CK48" s="404"/>
      <c r="CL48" s="404"/>
      <c r="CM48" s="404"/>
      <c r="CN48" s="404"/>
      <c r="CO48" s="405"/>
      <c r="CP48" s="397"/>
      <c r="CQ48" s="348">
        <f t="shared" si="56"/>
        <v>1107.5231572690377</v>
      </c>
      <c r="CR48" s="409">
        <f t="shared" si="56"/>
        <v>2788.0167256747045</v>
      </c>
      <c r="CS48" s="410">
        <f t="shared" si="57"/>
        <v>3895.5398829437422</v>
      </c>
      <c r="CT48"/>
    </row>
    <row r="49" spans="1:98" ht="15" x14ac:dyDescent="0.25">
      <c r="A49" s="27">
        <f t="shared" si="43"/>
        <v>48410</v>
      </c>
      <c r="B49" s="256"/>
      <c r="C49" s="256"/>
      <c r="D49" s="256"/>
      <c r="E49" s="256"/>
      <c r="F49" s="256">
        <v>5.6500000000000002E-2</v>
      </c>
      <c r="G49" s="256">
        <v>4.65E-2</v>
      </c>
      <c r="H49" s="256">
        <v>5.7500000000000002E-2</v>
      </c>
      <c r="I49" s="256">
        <v>4.7500000000000001E-2</v>
      </c>
      <c r="J49" s="256">
        <v>5.7500000000000002E-2</v>
      </c>
      <c r="K49" s="256">
        <v>4.5499999999999999E-2</v>
      </c>
      <c r="L49" s="256">
        <v>4.7500000000000001E-2</v>
      </c>
      <c r="M49" s="256">
        <v>4.2500000000000003E-2</v>
      </c>
      <c r="N49" s="256">
        <v>5.7500000000000002E-2</v>
      </c>
      <c r="O49" s="286">
        <v>4.7500000000000001E-2</v>
      </c>
      <c r="P49" s="259"/>
      <c r="Q49" s="2">
        <f t="shared" si="44"/>
        <v>2032</v>
      </c>
      <c r="R49" s="27">
        <f t="shared" si="45"/>
        <v>48410</v>
      </c>
      <c r="S49" s="404"/>
      <c r="T49" s="404"/>
      <c r="U49" s="404"/>
      <c r="V49" s="404"/>
      <c r="W49" s="405"/>
      <c r="X49" s="404"/>
      <c r="Y49" s="404"/>
      <c r="Z49" s="404"/>
      <c r="AA49" s="404"/>
      <c r="AB49" s="405"/>
      <c r="AC49" s="404"/>
      <c r="AD49" s="404"/>
      <c r="AE49" s="404"/>
      <c r="AF49" s="404"/>
      <c r="AG49" s="405"/>
      <c r="AH49" s="404"/>
      <c r="AI49" s="404"/>
      <c r="AJ49" s="404"/>
      <c r="AK49" s="404"/>
      <c r="AL49" s="405"/>
      <c r="AM49" s="404">
        <f t="shared" si="62"/>
        <v>8600</v>
      </c>
      <c r="AN49" s="404">
        <f>+IF($R49&gt;F$8,"FIN",(AM49-SUM($AO$25:AO48))*VLOOKUP($R49,$A:$Q,6,0)/VLOOKUP(F$15,$M$1:$O$4,2,0))</f>
        <v>121.47500000000001</v>
      </c>
      <c r="AO49" s="404">
        <f t="shared" si="18"/>
        <v>1433.3333333333333</v>
      </c>
      <c r="AP49" s="404">
        <f t="shared" si="19"/>
        <v>1554.8083333333332</v>
      </c>
      <c r="AQ49" s="405">
        <f t="shared" si="20"/>
        <v>495.40985063287656</v>
      </c>
      <c r="AR49" s="404">
        <f t="shared" si="63"/>
        <v>1150</v>
      </c>
      <c r="AS49" s="404">
        <f>+IF($R49&gt;G$8,"FIN",(AR49-SUM(AT$25:AT48))*VLOOKUP($R49,$A:$Q,7,0)/VLOOKUP(G$15,$M$1:$O$4,2,0))</f>
        <v>13.36875</v>
      </c>
      <c r="AT49" s="404">
        <f t="shared" si="21"/>
        <v>191.66666666666666</v>
      </c>
      <c r="AU49" s="404">
        <f t="shared" si="48"/>
        <v>205.03541666666666</v>
      </c>
      <c r="AV49" s="405">
        <f t="shared" si="22"/>
        <v>65.330602472083669</v>
      </c>
      <c r="AW49" s="404">
        <f t="shared" si="64"/>
        <v>8600.0000000000018</v>
      </c>
      <c r="AX49" s="404">
        <f>+IF($R49&gt;H$8,"FIN",(AW49-SUM(AY$25:AY48))*VLOOKUP($R49,$A:$Q,8,0)/VLOOKUP(H$15,$M$1:$O$4,2,0))</f>
        <v>247.25000000000006</v>
      </c>
      <c r="AY49" s="404">
        <f t="shared" si="23"/>
        <v>0</v>
      </c>
      <c r="AZ49" s="404">
        <f t="shared" si="24"/>
        <v>247.25000000000006</v>
      </c>
      <c r="BA49" s="405">
        <f t="shared" si="25"/>
        <v>78.781469678885671</v>
      </c>
      <c r="BB49" s="404">
        <f t="shared" si="65"/>
        <v>1150</v>
      </c>
      <c r="BC49" s="404">
        <f>+IF($R49&gt;I$8,"FIN",(BB49-SUM(BD$25:BD48))*VLOOKUP($R49,$A:$Q,9,0)/VLOOKUP(I$15,$M$1:$O$4,2,0))</f>
        <v>27.3125</v>
      </c>
      <c r="BD49" s="404">
        <f t="shared" si="26"/>
        <v>0</v>
      </c>
      <c r="BE49" s="404">
        <f t="shared" si="49"/>
        <v>27.3125</v>
      </c>
      <c r="BF49" s="405">
        <f t="shared" si="27"/>
        <v>8.7026042087141136</v>
      </c>
      <c r="BG49" s="404">
        <f t="shared" si="66"/>
        <v>5200</v>
      </c>
      <c r="BH49" s="404">
        <f>+IF($R49&gt;J$8,"FIN",(BG49-SUM(BI$25:BI48))*VLOOKUP($R49,$A:$Q,10,0)/VLOOKUP(J$15,$M$1:$O$4,2,0))</f>
        <v>88.340909090909079</v>
      </c>
      <c r="BI49" s="404">
        <f t="shared" si="50"/>
        <v>236.36363636363637</v>
      </c>
      <c r="BJ49" s="404">
        <f t="shared" si="28"/>
        <v>324.70454545454544</v>
      </c>
      <c r="BK49" s="405">
        <f t="shared" si="29"/>
        <v>103.46087483245145</v>
      </c>
      <c r="BL49" s="404">
        <f t="shared" si="67"/>
        <v>5800</v>
      </c>
      <c r="BM49" s="404">
        <f>+IF($R49&gt;K$8,"FIN",(BL49-SUM(BN$25:BN48))*VLOOKUP($R49,$A:$Q,11,0)/VLOOKUP(K$15,$M$1:$O$4,2,0))</f>
        <v>77.970454545454558</v>
      </c>
      <c r="BN49" s="404">
        <f t="shared" si="51"/>
        <v>263.63636363636363</v>
      </c>
      <c r="BO49" s="404">
        <f t="shared" si="52"/>
        <v>341.6068181818182</v>
      </c>
      <c r="BP49" s="405">
        <f t="shared" si="30"/>
        <v>108.84645981270583</v>
      </c>
      <c r="BQ49" s="404">
        <f t="shared" si="68"/>
        <v>0</v>
      </c>
      <c r="BR49" s="404">
        <f>+IF($R49&gt;L$8,"FIN",(BQ49-SUM(BS$25:BS48))*VLOOKUP($R49,$A:$Q,12,0)/VLOOKUP(L$15,$M$1:$O$4,2,0))</f>
        <v>0</v>
      </c>
      <c r="BS49" s="404">
        <f t="shared" si="31"/>
        <v>0</v>
      </c>
      <c r="BT49" s="404">
        <f t="shared" si="32"/>
        <v>0</v>
      </c>
      <c r="BU49" s="405">
        <f t="shared" si="33"/>
        <v>0</v>
      </c>
      <c r="BV49" s="404">
        <f t="shared" si="69"/>
        <v>0</v>
      </c>
      <c r="BW49" s="404">
        <f>+IF($R49&gt;M$8,"FIN",(BV49-SUM(BX$25:BX48))*VLOOKUP($R49,$A:$Q,13,0)/VLOOKUP(M$15,$M$1:$O$4,2,0))</f>
        <v>0</v>
      </c>
      <c r="BX49" s="404">
        <f t="shared" si="34"/>
        <v>0</v>
      </c>
      <c r="BY49" s="404">
        <f t="shared" si="53"/>
        <v>0</v>
      </c>
      <c r="BZ49" s="405">
        <f t="shared" si="35"/>
        <v>0</v>
      </c>
      <c r="CA49" s="404">
        <f t="shared" si="70"/>
        <v>14079.830909345501</v>
      </c>
      <c r="CB49" s="404">
        <f>+IF($R49&gt;N$8,"FIN",(CA49-SUM(CC$25:CC48))*VLOOKUP($R49,$A:$Q,14,0)/VLOOKUP(N$15,$M$1:$O$4,2,0))</f>
        <v>303.59635398276237</v>
      </c>
      <c r="CC49" s="404">
        <f t="shared" si="36"/>
        <v>391.10641414848612</v>
      </c>
      <c r="CD49" s="404">
        <f t="shared" si="54"/>
        <v>694.70276813124849</v>
      </c>
      <c r="CE49" s="405">
        <f t="shared" si="38"/>
        <v>221.35371107530793</v>
      </c>
      <c r="CF49" s="404">
        <f t="shared" si="71"/>
        <v>6893.2985731165309</v>
      </c>
      <c r="CG49" s="404">
        <f>+IF($R49&gt;O$8,"FIN",(CF49-SUM(CH$25:CH48))*VLOOKUP($R49,$A:$Q,15,0)/VLOOKUP(O$15,$M$1:$O$4,2,0))</f>
        <v>122.78688083363821</v>
      </c>
      <c r="CH49" s="404">
        <f t="shared" si="39"/>
        <v>191.48051591990364</v>
      </c>
      <c r="CI49" s="404">
        <f t="shared" si="55"/>
        <v>314.26739675354185</v>
      </c>
      <c r="CJ49" s="405">
        <f t="shared" si="40"/>
        <v>100.13527760728608</v>
      </c>
      <c r="CK49" s="404"/>
      <c r="CL49" s="404"/>
      <c r="CM49" s="404"/>
      <c r="CN49" s="404"/>
      <c r="CO49" s="405"/>
      <c r="CP49" s="397"/>
      <c r="CQ49" s="348">
        <f t="shared" si="56"/>
        <v>1032.1245807924624</v>
      </c>
      <c r="CR49" s="409">
        <f t="shared" si="56"/>
        <v>2788.0167256747045</v>
      </c>
      <c r="CS49" s="410">
        <f t="shared" si="57"/>
        <v>3820.1413064671669</v>
      </c>
      <c r="CT49"/>
    </row>
    <row r="50" spans="1:98" ht="15" x14ac:dyDescent="0.25">
      <c r="A50" s="27">
        <f t="shared" si="43"/>
        <v>48594</v>
      </c>
      <c r="B50" s="256"/>
      <c r="C50" s="256"/>
      <c r="D50" s="256"/>
      <c r="E50" s="256"/>
      <c r="F50" s="256">
        <v>5.6500000000000002E-2</v>
      </c>
      <c r="G50" s="256">
        <v>4.65E-2</v>
      </c>
      <c r="H50" s="256">
        <v>5.7500000000000002E-2</v>
      </c>
      <c r="I50" s="256">
        <v>4.7500000000000001E-2</v>
      </c>
      <c r="J50" s="256">
        <v>5.7500000000000002E-2</v>
      </c>
      <c r="K50" s="256">
        <v>4.5499999999999999E-2</v>
      </c>
      <c r="L50" s="256">
        <v>4.7500000000000001E-2</v>
      </c>
      <c r="M50" s="256">
        <v>4.2500000000000003E-2</v>
      </c>
      <c r="N50" s="256">
        <v>5.7500000000000002E-2</v>
      </c>
      <c r="O50" s="286">
        <v>4.7500000000000001E-2</v>
      </c>
      <c r="P50" s="259"/>
      <c r="Q50" s="2">
        <f t="shared" si="44"/>
        <v>2033</v>
      </c>
      <c r="R50" s="27">
        <f t="shared" si="45"/>
        <v>48594</v>
      </c>
      <c r="S50" s="404"/>
      <c r="T50" s="404"/>
      <c r="U50" s="404"/>
      <c r="V50" s="404"/>
      <c r="W50" s="405"/>
      <c r="X50" s="404"/>
      <c r="Y50" s="404"/>
      <c r="Z50" s="404"/>
      <c r="AA50" s="404"/>
      <c r="AB50" s="405"/>
      <c r="AC50" s="404"/>
      <c r="AD50" s="404"/>
      <c r="AE50" s="404"/>
      <c r="AF50" s="404"/>
      <c r="AG50" s="405"/>
      <c r="AH50" s="404"/>
      <c r="AI50" s="404"/>
      <c r="AJ50" s="404"/>
      <c r="AK50" s="404"/>
      <c r="AL50" s="405"/>
      <c r="AM50" s="404">
        <f t="shared" si="62"/>
        <v>8600</v>
      </c>
      <c r="AN50" s="404">
        <f>+IF($R50&gt;F$8,"FIN",(AM50-SUM($AO$25:AO49))*VLOOKUP($R50,$A:$Q,6,0)/VLOOKUP(F$15,$M$1:$O$4,2,0))</f>
        <v>80.983333333333348</v>
      </c>
      <c r="AO50" s="404">
        <f t="shared" si="18"/>
        <v>1433.3333333333333</v>
      </c>
      <c r="AP50" s="404">
        <f t="shared" si="19"/>
        <v>1514.3166666666666</v>
      </c>
      <c r="AQ50" s="405">
        <f t="shared" si="20"/>
        <v>460.05328674929581</v>
      </c>
      <c r="AR50" s="404">
        <f t="shared" si="63"/>
        <v>1150</v>
      </c>
      <c r="AS50" s="404">
        <f>+IF($R50&gt;G$8,"FIN",(AR50-SUM(AT$25:AT49))*VLOOKUP($R50,$A:$Q,7,0)/VLOOKUP(G$15,$M$1:$O$4,2,0))</f>
        <v>8.9125000000000014</v>
      </c>
      <c r="AT50" s="404">
        <f t="shared" si="21"/>
        <v>191.66666666666666</v>
      </c>
      <c r="AU50" s="404">
        <f t="shared" si="48"/>
        <v>200.57916666666665</v>
      </c>
      <c r="AV50" s="405">
        <f t="shared" si="22"/>
        <v>60.936465212098831</v>
      </c>
      <c r="AW50" s="404">
        <f t="shared" si="64"/>
        <v>8600.0000000000018</v>
      </c>
      <c r="AX50" s="404">
        <f>+IF($R50&gt;H$8,"FIN",(AW50-SUM(AY$25:AY49))*VLOOKUP($R50,$A:$Q,8,0)/VLOOKUP(H$15,$M$1:$O$4,2,0))</f>
        <v>247.25000000000006</v>
      </c>
      <c r="AY50" s="404">
        <f t="shared" si="23"/>
        <v>0</v>
      </c>
      <c r="AZ50" s="404">
        <f t="shared" si="24"/>
        <v>247.25000000000006</v>
      </c>
      <c r="BA50" s="405">
        <f t="shared" si="25"/>
        <v>75.115184064603454</v>
      </c>
      <c r="BB50" s="404">
        <f t="shared" si="65"/>
        <v>1150</v>
      </c>
      <c r="BC50" s="404">
        <f>+IF($R50&gt;I$8,"FIN",(BB50-SUM(BD$25:BD49))*VLOOKUP($R50,$A:$Q,9,0)/VLOOKUP(I$15,$M$1:$O$4,2,0))</f>
        <v>27.3125</v>
      </c>
      <c r="BD50" s="404">
        <f t="shared" si="26"/>
        <v>0</v>
      </c>
      <c r="BE50" s="404">
        <f t="shared" si="49"/>
        <v>27.3125</v>
      </c>
      <c r="BF50" s="405">
        <f t="shared" si="27"/>
        <v>8.2976075420201472</v>
      </c>
      <c r="BG50" s="404">
        <f t="shared" si="66"/>
        <v>5200</v>
      </c>
      <c r="BH50" s="404">
        <f>+IF($R50&gt;J$8,"FIN",(BG50-SUM(BI$25:BI49))*VLOOKUP($R50,$A:$Q,10,0)/VLOOKUP(J$15,$M$1:$O$4,2,0))</f>
        <v>81.545454545454533</v>
      </c>
      <c r="BI50" s="404">
        <f t="shared" si="50"/>
        <v>236.36363636363637</v>
      </c>
      <c r="BJ50" s="404">
        <f t="shared" si="28"/>
        <v>317.90909090909088</v>
      </c>
      <c r="BK50" s="405">
        <f t="shared" si="29"/>
        <v>96.581597085731474</v>
      </c>
      <c r="BL50" s="404">
        <f t="shared" si="67"/>
        <v>5800</v>
      </c>
      <c r="BM50" s="404">
        <f>+IF($R50&gt;K$8,"FIN",(BL50-SUM(BN$25:BN49))*VLOOKUP($R50,$A:$Q,11,0)/VLOOKUP(K$15,$M$1:$O$4,2,0))</f>
        <v>71.972727272727283</v>
      </c>
      <c r="BN50" s="404">
        <f t="shared" si="51"/>
        <v>263.63636363636363</v>
      </c>
      <c r="BO50" s="404">
        <f t="shared" si="52"/>
        <v>335.60909090909092</v>
      </c>
      <c r="BP50" s="405">
        <f t="shared" si="30"/>
        <v>101.95890247680725</v>
      </c>
      <c r="BQ50" s="404">
        <f t="shared" si="68"/>
        <v>0</v>
      </c>
      <c r="BR50" s="404">
        <f>+IF($R50&gt;L$8,"FIN",(BQ50-SUM(BS$25:BS49))*VLOOKUP($R50,$A:$Q,12,0)/VLOOKUP(L$15,$M$1:$O$4,2,0))</f>
        <v>0</v>
      </c>
      <c r="BS50" s="404">
        <f t="shared" si="31"/>
        <v>0</v>
      </c>
      <c r="BT50" s="404">
        <f t="shared" si="32"/>
        <v>0</v>
      </c>
      <c r="BU50" s="405">
        <f t="shared" si="33"/>
        <v>0</v>
      </c>
      <c r="BV50" s="404">
        <f t="shared" si="69"/>
        <v>0</v>
      </c>
      <c r="BW50" s="404">
        <f>+IF($R50&gt;M$8,"FIN",(BV50-SUM(BX$25:BX49))*VLOOKUP($R50,$A:$Q,13,0)/VLOOKUP(M$15,$M$1:$O$4,2,0))</f>
        <v>0</v>
      </c>
      <c r="BX50" s="404">
        <f t="shared" si="34"/>
        <v>0</v>
      </c>
      <c r="BY50" s="404">
        <f t="shared" si="53"/>
        <v>0</v>
      </c>
      <c r="BZ50" s="405">
        <f t="shared" si="35"/>
        <v>0</v>
      </c>
      <c r="CA50" s="404">
        <f t="shared" si="70"/>
        <v>14079.830909345501</v>
      </c>
      <c r="CB50" s="404">
        <f>+IF($R50&gt;N$8,"FIN",(CA50-SUM(CC$25:CC49))*VLOOKUP($R50,$A:$Q,14,0)/VLOOKUP(N$15,$M$1:$O$4,2,0))</f>
        <v>292.35204457599338</v>
      </c>
      <c r="CC50" s="404">
        <f t="shared" si="36"/>
        <v>391.10641414848612</v>
      </c>
      <c r="CD50" s="404">
        <f t="shared" si="54"/>
        <v>683.45845872447944</v>
      </c>
      <c r="CE50" s="405">
        <f t="shared" si="38"/>
        <v>207.63643246754071</v>
      </c>
      <c r="CF50" s="404">
        <f t="shared" si="71"/>
        <v>6893.2985731165309</v>
      </c>
      <c r="CG50" s="404">
        <f>+IF($R50&gt;O$8,"FIN",(CF50-SUM(CH$25:CH49))*VLOOKUP($R50,$A:$Q,15,0)/VLOOKUP(O$15,$M$1:$O$4,2,0))</f>
        <v>118.23921858054049</v>
      </c>
      <c r="CH50" s="404">
        <f t="shared" si="39"/>
        <v>191.48051591990364</v>
      </c>
      <c r="CI50" s="404">
        <f t="shared" si="55"/>
        <v>309.71973450044413</v>
      </c>
      <c r="CJ50" s="405">
        <f t="shared" si="40"/>
        <v>94.093649607445769</v>
      </c>
      <c r="CK50" s="404"/>
      <c r="CL50" s="404"/>
      <c r="CM50" s="404"/>
      <c r="CN50" s="404"/>
      <c r="CO50" s="405"/>
      <c r="CP50" s="397"/>
      <c r="CQ50" s="348">
        <f t="shared" si="56"/>
        <v>956.72600431588739</v>
      </c>
      <c r="CR50" s="409">
        <f t="shared" si="56"/>
        <v>2788.0167256747045</v>
      </c>
      <c r="CS50" s="410">
        <f t="shared" si="57"/>
        <v>3744.7427299905921</v>
      </c>
      <c r="CT50"/>
    </row>
    <row r="51" spans="1:98" ht="15" x14ac:dyDescent="0.25">
      <c r="A51" s="27">
        <f t="shared" si="43"/>
        <v>48775</v>
      </c>
      <c r="B51" s="256"/>
      <c r="C51" s="256"/>
      <c r="D51" s="256"/>
      <c r="E51" s="256"/>
      <c r="F51" s="256">
        <v>5.6500000000000002E-2</v>
      </c>
      <c r="G51" s="256">
        <v>4.65E-2</v>
      </c>
      <c r="H51" s="256">
        <v>5.7500000000000002E-2</v>
      </c>
      <c r="I51" s="256">
        <v>4.7500000000000001E-2</v>
      </c>
      <c r="J51" s="256">
        <v>5.7500000000000002E-2</v>
      </c>
      <c r="K51" s="256">
        <v>4.5499999999999999E-2</v>
      </c>
      <c r="L51" s="256">
        <v>4.7500000000000001E-2</v>
      </c>
      <c r="M51" s="256">
        <v>4.2500000000000003E-2</v>
      </c>
      <c r="N51" s="256">
        <v>5.7500000000000002E-2</v>
      </c>
      <c r="O51" s="286">
        <v>4.7500000000000001E-2</v>
      </c>
      <c r="P51" s="259"/>
      <c r="Q51" s="2">
        <f t="shared" si="44"/>
        <v>2033</v>
      </c>
      <c r="R51" s="27">
        <f t="shared" si="45"/>
        <v>48775</v>
      </c>
      <c r="S51" s="404"/>
      <c r="T51" s="404"/>
      <c r="U51" s="404"/>
      <c r="V51" s="404"/>
      <c r="W51" s="405"/>
      <c r="X51" s="404"/>
      <c r="Y51" s="404"/>
      <c r="Z51" s="404"/>
      <c r="AA51" s="404"/>
      <c r="AB51" s="405"/>
      <c r="AC51" s="404"/>
      <c r="AD51" s="404"/>
      <c r="AE51" s="404"/>
      <c r="AF51" s="404"/>
      <c r="AG51" s="405"/>
      <c r="AH51" s="404"/>
      <c r="AI51" s="404"/>
      <c r="AJ51" s="404"/>
      <c r="AK51" s="404"/>
      <c r="AL51" s="405"/>
      <c r="AM51" s="404">
        <f t="shared" si="62"/>
        <v>8600</v>
      </c>
      <c r="AN51" s="404">
        <f>+IF($R51&gt;F$8,"FIN",(AM51-SUM($AO$25:AO50))*VLOOKUP($R51,$A:$Q,6,0)/VLOOKUP(F$15,$M$1:$O$4,2,0))</f>
        <v>40.491666666666688</v>
      </c>
      <c r="AO51" s="404">
        <f t="shared" si="18"/>
        <v>1433.3333333333333</v>
      </c>
      <c r="AP51" s="404">
        <f t="shared" si="19"/>
        <v>1473.825</v>
      </c>
      <c r="AQ51" s="405">
        <f t="shared" si="20"/>
        <v>426.91460446542385</v>
      </c>
      <c r="AR51" s="404">
        <f t="shared" si="63"/>
        <v>1150</v>
      </c>
      <c r="AS51" s="404">
        <f>+IF($R51&gt;G$8,"FIN",(AR51-SUM(AT$25:AT50))*VLOOKUP($R51,$A:$Q,7,0)/VLOOKUP(G$15,$M$1:$O$4,2,0))</f>
        <v>4.4562500000000016</v>
      </c>
      <c r="AT51" s="404">
        <f t="shared" si="21"/>
        <v>191.66666666666666</v>
      </c>
      <c r="AU51" s="404">
        <f t="shared" si="48"/>
        <v>196.12291666666667</v>
      </c>
      <c r="AV51" s="405">
        <f t="shared" si="22"/>
        <v>56.809823008400102</v>
      </c>
      <c r="AW51" s="404">
        <f t="shared" si="64"/>
        <v>8600.0000000000018</v>
      </c>
      <c r="AX51" s="404">
        <f>+IF($R51&gt;H$8,"FIN",(AW51-SUM(AY$25:AY50))*VLOOKUP($R51,$A:$Q,8,0)/VLOOKUP(H$15,$M$1:$O$4,2,0))</f>
        <v>247.25000000000006</v>
      </c>
      <c r="AY51" s="404">
        <f t="shared" si="23"/>
        <v>0</v>
      </c>
      <c r="AZ51" s="404">
        <f t="shared" si="24"/>
        <v>247.25000000000006</v>
      </c>
      <c r="BA51" s="405">
        <f t="shared" si="25"/>
        <v>71.619517889896073</v>
      </c>
      <c r="BB51" s="404">
        <f t="shared" si="65"/>
        <v>1150</v>
      </c>
      <c r="BC51" s="404">
        <f>+IF($R51&gt;I$8,"FIN",(BB51-SUM(BD$25:BD50))*VLOOKUP($R51,$A:$Q,9,0)/VLOOKUP(I$15,$M$1:$O$4,2,0))</f>
        <v>27.3125</v>
      </c>
      <c r="BD51" s="404">
        <f t="shared" si="26"/>
        <v>0</v>
      </c>
      <c r="BE51" s="404">
        <f t="shared" si="49"/>
        <v>27.3125</v>
      </c>
      <c r="BF51" s="405">
        <f t="shared" si="27"/>
        <v>7.9114583715582851</v>
      </c>
      <c r="BG51" s="404">
        <f t="shared" si="66"/>
        <v>5200</v>
      </c>
      <c r="BH51" s="404">
        <f>+IF($R51&gt;J$8,"FIN",(BG51-SUM(BI$25:BI50))*VLOOKUP($R51,$A:$Q,10,0)/VLOOKUP(J$15,$M$1:$O$4,2,0))</f>
        <v>74.749999999999972</v>
      </c>
      <c r="BI51" s="404">
        <f t="shared" si="50"/>
        <v>236.36363636363637</v>
      </c>
      <c r="BJ51" s="404">
        <f t="shared" si="28"/>
        <v>311.11363636363637</v>
      </c>
      <c r="BK51" s="405">
        <f t="shared" si="29"/>
        <v>90.118538504898154</v>
      </c>
      <c r="BL51" s="404">
        <f t="shared" si="67"/>
        <v>5800</v>
      </c>
      <c r="BM51" s="404">
        <f>+IF($R51&gt;K$8,"FIN",(BL51-SUM(BN$25:BN50))*VLOOKUP($R51,$A:$Q,11,0)/VLOOKUP(K$15,$M$1:$O$4,2,0))</f>
        <v>65.975000000000023</v>
      </c>
      <c r="BN51" s="404">
        <f t="shared" si="51"/>
        <v>263.63636363636363</v>
      </c>
      <c r="BO51" s="404">
        <f t="shared" si="52"/>
        <v>329.61136363636365</v>
      </c>
      <c r="BP51" s="405">
        <f t="shared" si="30"/>
        <v>95.476671201891122</v>
      </c>
      <c r="BQ51" s="404">
        <f t="shared" si="68"/>
        <v>0</v>
      </c>
      <c r="BR51" s="404">
        <f>+IF($R51&gt;L$8,"FIN",(BQ51-SUM(BS$25:BS50))*VLOOKUP($R51,$A:$Q,12,0)/VLOOKUP(L$15,$M$1:$O$4,2,0))</f>
        <v>0</v>
      </c>
      <c r="BS51" s="404">
        <f t="shared" si="31"/>
        <v>0</v>
      </c>
      <c r="BT51" s="404">
        <f t="shared" si="32"/>
        <v>0</v>
      </c>
      <c r="BU51" s="405">
        <f t="shared" si="33"/>
        <v>0</v>
      </c>
      <c r="BV51" s="404">
        <f t="shared" si="69"/>
        <v>0</v>
      </c>
      <c r="BW51" s="404">
        <f>+IF($R51&gt;M$8,"FIN",(BV51-SUM(BX$25:BX50))*VLOOKUP($R51,$A:$Q,13,0)/VLOOKUP(M$15,$M$1:$O$4,2,0))</f>
        <v>0</v>
      </c>
      <c r="BX51" s="404">
        <f t="shared" si="34"/>
        <v>0</v>
      </c>
      <c r="BY51" s="404">
        <f t="shared" si="53"/>
        <v>0</v>
      </c>
      <c r="BZ51" s="405">
        <f t="shared" si="35"/>
        <v>0</v>
      </c>
      <c r="CA51" s="404">
        <f t="shared" si="70"/>
        <v>14079.830909345501</v>
      </c>
      <c r="CB51" s="404">
        <f>+IF($R51&gt;N$8,"FIN",(CA51-SUM(CC$25:CC50))*VLOOKUP($R51,$A:$Q,14,0)/VLOOKUP(N$15,$M$1:$O$4,2,0))</f>
        <v>281.10773516922438</v>
      </c>
      <c r="CC51" s="404">
        <f t="shared" si="36"/>
        <v>391.10641414848612</v>
      </c>
      <c r="CD51" s="404">
        <f t="shared" si="54"/>
        <v>672.21414931771051</v>
      </c>
      <c r="CE51" s="405">
        <f t="shared" si="38"/>
        <v>194.71649461233983</v>
      </c>
      <c r="CF51" s="404">
        <f t="shared" si="71"/>
        <v>6893.2985731165309</v>
      </c>
      <c r="CG51" s="404">
        <f>+IF($R51&gt;O$8,"FIN",(CF51-SUM(CH$25:CH50))*VLOOKUP($R51,$A:$Q,15,0)/VLOOKUP(O$15,$M$1:$O$4,2,0))</f>
        <v>113.69155632744278</v>
      </c>
      <c r="CH51" s="404">
        <f t="shared" si="39"/>
        <v>191.48051591990364</v>
      </c>
      <c r="CI51" s="404">
        <f t="shared" si="55"/>
        <v>305.17207224734642</v>
      </c>
      <c r="CJ51" s="405">
        <f t="shared" si="40"/>
        <v>88.397479020487268</v>
      </c>
      <c r="CK51" s="404"/>
      <c r="CL51" s="404"/>
      <c r="CM51" s="404"/>
      <c r="CN51" s="404"/>
      <c r="CO51" s="405"/>
      <c r="CP51" s="397"/>
      <c r="CQ51" s="348">
        <f t="shared" si="56"/>
        <v>881.32742783931235</v>
      </c>
      <c r="CR51" s="409">
        <f t="shared" si="56"/>
        <v>2788.0167256747045</v>
      </c>
      <c r="CS51" s="410">
        <f t="shared" si="57"/>
        <v>3669.3441535140169</v>
      </c>
      <c r="CT51"/>
    </row>
    <row r="52" spans="1:98" ht="15" x14ac:dyDescent="0.25">
      <c r="A52" s="27">
        <f t="shared" si="43"/>
        <v>48959</v>
      </c>
      <c r="B52" s="256"/>
      <c r="C52" s="256"/>
      <c r="D52" s="256"/>
      <c r="E52" s="256"/>
      <c r="F52" s="256"/>
      <c r="G52" s="256"/>
      <c r="H52" s="256">
        <v>5.7500000000000002E-2</v>
      </c>
      <c r="I52" s="256">
        <v>4.7500000000000001E-2</v>
      </c>
      <c r="J52" s="256">
        <v>5.7500000000000002E-2</v>
      </c>
      <c r="K52" s="256">
        <v>4.5499999999999999E-2</v>
      </c>
      <c r="L52" s="256">
        <v>4.7500000000000001E-2</v>
      </c>
      <c r="M52" s="256">
        <v>4.2500000000000003E-2</v>
      </c>
      <c r="N52" s="256">
        <v>5.7500000000000002E-2</v>
      </c>
      <c r="O52" s="286">
        <v>4.7500000000000001E-2</v>
      </c>
      <c r="P52" s="259"/>
      <c r="Q52" s="2">
        <f t="shared" si="44"/>
        <v>2034</v>
      </c>
      <c r="R52" s="27">
        <f t="shared" si="45"/>
        <v>48959</v>
      </c>
      <c r="S52" s="404"/>
      <c r="T52" s="404"/>
      <c r="U52" s="404"/>
      <c r="V52" s="404"/>
      <c r="W52" s="405"/>
      <c r="X52" s="404"/>
      <c r="Y52" s="404"/>
      <c r="Z52" s="404"/>
      <c r="AA52" s="404"/>
      <c r="AB52" s="405"/>
      <c r="AC52" s="404"/>
      <c r="AD52" s="404"/>
      <c r="AE52" s="404"/>
      <c r="AF52" s="404"/>
      <c r="AG52" s="405"/>
      <c r="AH52" s="404"/>
      <c r="AI52" s="404"/>
      <c r="AJ52" s="404"/>
      <c r="AK52" s="404"/>
      <c r="AL52" s="405"/>
      <c r="AM52" s="404"/>
      <c r="AN52" s="404"/>
      <c r="AO52" s="404"/>
      <c r="AP52" s="404"/>
      <c r="AQ52" s="405"/>
      <c r="AR52" s="404"/>
      <c r="AS52" s="404"/>
      <c r="AT52" s="404"/>
      <c r="AU52" s="404"/>
      <c r="AV52" s="405"/>
      <c r="AW52" s="404">
        <f t="shared" si="64"/>
        <v>8600.0000000000018</v>
      </c>
      <c r="AX52" s="404">
        <f>+IF($R52&gt;H$8,"FIN",(AW52-SUM(AY$25:AY51))*VLOOKUP($R52,$A:$Q,8,0)/VLOOKUP(H$15,$M$1:$O$4,2,0))</f>
        <v>247.25000000000006</v>
      </c>
      <c r="AY52" s="404">
        <f t="shared" si="23"/>
        <v>1433.3333333333337</v>
      </c>
      <c r="AZ52" s="404">
        <f t="shared" si="24"/>
        <v>1680.5833333333337</v>
      </c>
      <c r="BA52" s="405">
        <f t="shared" si="25"/>
        <v>464.15047860736513</v>
      </c>
      <c r="BB52" s="404">
        <f t="shared" si="65"/>
        <v>1150</v>
      </c>
      <c r="BC52" s="404">
        <f>+IF($R52&gt;I$8,"FIN",(BB52-SUM(BD$25:BD51))*VLOOKUP($R52,$A:$Q,9,0)/VLOOKUP(I$15,$M$1:$O$4,2,0))</f>
        <v>27.3125</v>
      </c>
      <c r="BD52" s="404">
        <f t="shared" si="26"/>
        <v>191.66666666666666</v>
      </c>
      <c r="BE52" s="404">
        <f t="shared" si="49"/>
        <v>218.97916666666666</v>
      </c>
      <c r="BF52" s="405">
        <f t="shared" si="27"/>
        <v>60.478574907547156</v>
      </c>
      <c r="BG52" s="404">
        <f t="shared" si="66"/>
        <v>5200</v>
      </c>
      <c r="BH52" s="404">
        <f>+IF($R52&gt;J$8,"FIN",(BG52-SUM(BI$25:BI51))*VLOOKUP($R52,$A:$Q,10,0)/VLOOKUP(J$15,$M$1:$O$4,2,0))</f>
        <v>67.954545454545425</v>
      </c>
      <c r="BI52" s="404">
        <f t="shared" si="50"/>
        <v>236.36363636363637</v>
      </c>
      <c r="BJ52" s="404">
        <f t="shared" si="28"/>
        <v>304.31818181818181</v>
      </c>
      <c r="BK52" s="405">
        <f t="shared" si="29"/>
        <v>84.047858227698057</v>
      </c>
      <c r="BL52" s="404">
        <f t="shared" si="67"/>
        <v>5800</v>
      </c>
      <c r="BM52" s="404">
        <f>+IF($R52&gt;K$8,"FIN",(BL52-SUM(BN$25:BN51))*VLOOKUP($R52,$A:$Q,11,0)/VLOOKUP(K$15,$M$1:$O$4,2,0))</f>
        <v>59.977272727272748</v>
      </c>
      <c r="BN52" s="404">
        <f t="shared" si="51"/>
        <v>263.63636363636363</v>
      </c>
      <c r="BO52" s="404">
        <f t="shared" si="52"/>
        <v>323.61363636363637</v>
      </c>
      <c r="BP52" s="405">
        <f t="shared" si="30"/>
        <v>89.376956930858299</v>
      </c>
      <c r="BQ52" s="404">
        <f t="shared" si="68"/>
        <v>0</v>
      </c>
      <c r="BR52" s="404">
        <f>+IF($R52&gt;L$8,"FIN",(BQ52-SUM(BS$25:BS51))*VLOOKUP($R52,$A:$Q,12,0)/VLOOKUP(L$15,$M$1:$O$4,2,0))</f>
        <v>0</v>
      </c>
      <c r="BS52" s="404">
        <f t="shared" si="31"/>
        <v>0</v>
      </c>
      <c r="BT52" s="404">
        <f t="shared" si="32"/>
        <v>0</v>
      </c>
      <c r="BU52" s="405">
        <f t="shared" si="33"/>
        <v>0</v>
      </c>
      <c r="BV52" s="404">
        <f t="shared" si="69"/>
        <v>0</v>
      </c>
      <c r="BW52" s="404">
        <f>+IF($R52&gt;M$8,"FIN",(BV52-SUM(BX$25:BX51))*VLOOKUP($R52,$A:$Q,13,0)/VLOOKUP(M$15,$M$1:$O$4,2,0))</f>
        <v>0</v>
      </c>
      <c r="BX52" s="404">
        <f t="shared" si="34"/>
        <v>0</v>
      </c>
      <c r="BY52" s="404">
        <f t="shared" si="53"/>
        <v>0</v>
      </c>
      <c r="BZ52" s="405">
        <f t="shared" si="35"/>
        <v>0</v>
      </c>
      <c r="CA52" s="404">
        <f t="shared" si="70"/>
        <v>14079.830909345501</v>
      </c>
      <c r="CB52" s="404">
        <f>+IF($R52&gt;N$8,"FIN",(CA52-SUM(CC$25:CC51))*VLOOKUP($R52,$A:$Q,14,0)/VLOOKUP(N$15,$M$1:$O$4,2,0))</f>
        <v>269.86342576245539</v>
      </c>
      <c r="CC52" s="404">
        <f t="shared" si="36"/>
        <v>391.10641414848612</v>
      </c>
      <c r="CD52" s="404">
        <f t="shared" si="54"/>
        <v>660.96983991094157</v>
      </c>
      <c r="CE52" s="405">
        <f t="shared" si="38"/>
        <v>182.54939309150413</v>
      </c>
      <c r="CF52" s="404">
        <f t="shared" si="71"/>
        <v>6893.2985731165309</v>
      </c>
      <c r="CG52" s="404">
        <f>+IF($R52&gt;O$8,"FIN",(CF52-SUM(CH$25:CH51))*VLOOKUP($R52,$A:$Q,15,0)/VLOOKUP(O$15,$M$1:$O$4,2,0))</f>
        <v>109.14389407434506</v>
      </c>
      <c r="CH52" s="404">
        <f t="shared" si="39"/>
        <v>191.48051591990364</v>
      </c>
      <c r="CI52" s="404">
        <f t="shared" si="55"/>
        <v>300.62440999424871</v>
      </c>
      <c r="CJ52" s="405">
        <f t="shared" si="40"/>
        <v>83.027696997999072</v>
      </c>
      <c r="CK52" s="404"/>
      <c r="CL52" s="404"/>
      <c r="CM52" s="404"/>
      <c r="CN52" s="404"/>
      <c r="CO52" s="405"/>
      <c r="CP52" s="397"/>
      <c r="CQ52" s="348">
        <f t="shared" si="56"/>
        <v>805.92885136273708</v>
      </c>
      <c r="CR52" s="409">
        <f t="shared" si="56"/>
        <v>2788.0167256747054</v>
      </c>
      <c r="CS52" s="410">
        <f t="shared" si="57"/>
        <v>3593.9455770374425</v>
      </c>
      <c r="CT52"/>
    </row>
    <row r="53" spans="1:98" ht="15" x14ac:dyDescent="0.25">
      <c r="A53" s="27">
        <f t="shared" si="43"/>
        <v>49140</v>
      </c>
      <c r="B53" s="256"/>
      <c r="C53" s="256"/>
      <c r="D53" s="256"/>
      <c r="E53" s="256"/>
      <c r="F53" s="256"/>
      <c r="G53" s="256"/>
      <c r="H53" s="256">
        <v>5.7500000000000002E-2</v>
      </c>
      <c r="I53" s="256">
        <v>4.7500000000000001E-2</v>
      </c>
      <c r="J53" s="256">
        <v>5.7500000000000002E-2</v>
      </c>
      <c r="K53" s="256">
        <v>4.5499999999999999E-2</v>
      </c>
      <c r="L53" s="256">
        <v>4.7500000000000001E-2</v>
      </c>
      <c r="M53" s="256">
        <v>4.2500000000000003E-2</v>
      </c>
      <c r="N53" s="256">
        <v>5.7500000000000002E-2</v>
      </c>
      <c r="O53" s="286">
        <v>4.7500000000000001E-2</v>
      </c>
      <c r="P53" s="259"/>
      <c r="Q53" s="2">
        <f t="shared" si="44"/>
        <v>2034</v>
      </c>
      <c r="R53" s="27">
        <f t="shared" si="45"/>
        <v>49140</v>
      </c>
      <c r="S53" s="404"/>
      <c r="T53" s="404"/>
      <c r="U53" s="404"/>
      <c r="V53" s="404"/>
      <c r="W53" s="405"/>
      <c r="X53" s="404"/>
      <c r="Y53" s="404"/>
      <c r="Z53" s="404"/>
      <c r="AA53" s="404"/>
      <c r="AB53" s="405"/>
      <c r="AC53" s="404"/>
      <c r="AD53" s="404"/>
      <c r="AE53" s="404"/>
      <c r="AF53" s="404"/>
      <c r="AG53" s="405"/>
      <c r="AH53" s="404"/>
      <c r="AI53" s="404"/>
      <c r="AJ53" s="404"/>
      <c r="AK53" s="404"/>
      <c r="AL53" s="405"/>
      <c r="AM53" s="404"/>
      <c r="AN53" s="404"/>
      <c r="AO53" s="404"/>
      <c r="AP53" s="404"/>
      <c r="AQ53" s="405"/>
      <c r="AR53" s="404"/>
      <c r="AS53" s="404"/>
      <c r="AT53" s="404"/>
      <c r="AU53" s="404"/>
      <c r="AV53" s="405"/>
      <c r="AW53" s="404">
        <f t="shared" si="64"/>
        <v>8600.0000000000018</v>
      </c>
      <c r="AX53" s="404">
        <f>+IF($R53&gt;H$8,"FIN",(AW53-SUM(AY$25:AY52))*VLOOKUP($R53,$A:$Q,8,0)/VLOOKUP(H$15,$M$1:$O$4,2,0))</f>
        <v>206.04166666666671</v>
      </c>
      <c r="AY53" s="404">
        <f t="shared" si="23"/>
        <v>1433.3333333333337</v>
      </c>
      <c r="AZ53" s="404">
        <f t="shared" si="24"/>
        <v>1639.3750000000005</v>
      </c>
      <c r="BA53" s="405">
        <f t="shared" si="25"/>
        <v>431.69867502802958</v>
      </c>
      <c r="BB53" s="404">
        <f t="shared" si="65"/>
        <v>1150</v>
      </c>
      <c r="BC53" s="404">
        <f>+IF($R53&gt;I$8,"FIN",(BB53-SUM(BD$25:BD52))*VLOOKUP($R53,$A:$Q,9,0)/VLOOKUP(I$15,$M$1:$O$4,2,0))</f>
        <v>22.760416666666668</v>
      </c>
      <c r="BD53" s="404">
        <f t="shared" si="26"/>
        <v>191.66666666666666</v>
      </c>
      <c r="BE53" s="404">
        <f t="shared" si="49"/>
        <v>214.42708333333331</v>
      </c>
      <c r="BF53" s="405">
        <f t="shared" si="27"/>
        <v>56.465352811360951</v>
      </c>
      <c r="BG53" s="404">
        <f t="shared" si="66"/>
        <v>5200</v>
      </c>
      <c r="BH53" s="404">
        <f>+IF($R53&gt;J$8,"FIN",(BG53-SUM(BI$25:BI52))*VLOOKUP($R53,$A:$Q,10,0)/VLOOKUP(J$15,$M$1:$O$4,2,0))</f>
        <v>61.159090909090878</v>
      </c>
      <c r="BI53" s="404">
        <f t="shared" si="50"/>
        <v>236.36363636363637</v>
      </c>
      <c r="BJ53" s="404">
        <f t="shared" si="28"/>
        <v>297.52272727272725</v>
      </c>
      <c r="BK53" s="405">
        <f t="shared" si="29"/>
        <v>78.347032957292953</v>
      </c>
      <c r="BL53" s="404">
        <f t="shared" si="67"/>
        <v>5800</v>
      </c>
      <c r="BM53" s="404">
        <f>+IF($R53&gt;K$8,"FIN",(BL53-SUM(BN$25:BN52))*VLOOKUP($R53,$A:$Q,11,0)/VLOOKUP(K$15,$M$1:$O$4,2,0))</f>
        <v>53.97954545454548</v>
      </c>
      <c r="BN53" s="404">
        <f t="shared" si="51"/>
        <v>263.63636363636363</v>
      </c>
      <c r="BO53" s="404">
        <f t="shared" si="52"/>
        <v>317.6159090909091</v>
      </c>
      <c r="BP53" s="405">
        <f t="shared" si="30"/>
        <v>83.638195728474884</v>
      </c>
      <c r="BQ53" s="404">
        <f t="shared" si="68"/>
        <v>0</v>
      </c>
      <c r="BR53" s="404">
        <f>+IF($R53&gt;L$8,"FIN",(BQ53-SUM(BS$25:BS52))*VLOOKUP($R53,$A:$Q,12,0)/VLOOKUP(L$15,$M$1:$O$4,2,0))</f>
        <v>0</v>
      </c>
      <c r="BS53" s="404">
        <f t="shared" si="31"/>
        <v>0</v>
      </c>
      <c r="BT53" s="404">
        <f t="shared" si="32"/>
        <v>0</v>
      </c>
      <c r="BU53" s="405">
        <f t="shared" si="33"/>
        <v>0</v>
      </c>
      <c r="BV53" s="404">
        <f t="shared" si="69"/>
        <v>0</v>
      </c>
      <c r="BW53" s="404">
        <f>+IF($R53&gt;M$8,"FIN",(BV53-SUM(BX$25:BX52))*VLOOKUP($R53,$A:$Q,13,0)/VLOOKUP(M$15,$M$1:$O$4,2,0))</f>
        <v>0</v>
      </c>
      <c r="BX53" s="404">
        <f t="shared" si="34"/>
        <v>0</v>
      </c>
      <c r="BY53" s="404">
        <f t="shared" si="53"/>
        <v>0</v>
      </c>
      <c r="BZ53" s="405">
        <f t="shared" si="35"/>
        <v>0</v>
      </c>
      <c r="CA53" s="404">
        <f t="shared" si="70"/>
        <v>14079.830909345501</v>
      </c>
      <c r="CB53" s="404">
        <f>+IF($R53&gt;N$8,"FIN",(CA53-SUM(CC$25:CC52))*VLOOKUP($R53,$A:$Q,14,0)/VLOOKUP(N$15,$M$1:$O$4,2,0))</f>
        <v>258.61911635568646</v>
      </c>
      <c r="CC53" s="404">
        <f t="shared" si="36"/>
        <v>391.10641414848612</v>
      </c>
      <c r="CD53" s="404">
        <f t="shared" si="54"/>
        <v>649.72553050417264</v>
      </c>
      <c r="CE53" s="405">
        <f t="shared" si="38"/>
        <v>171.09303890234685</v>
      </c>
      <c r="CF53" s="404">
        <f t="shared" si="71"/>
        <v>6893.2985731165309</v>
      </c>
      <c r="CG53" s="404">
        <f>+IF($R53&gt;O$8,"FIN",(CF53-SUM(CH$25:CH52))*VLOOKUP($R53,$A:$Q,15,0)/VLOOKUP(O$15,$M$1:$O$4,2,0))</f>
        <v>104.59623182124736</v>
      </c>
      <c r="CH53" s="404">
        <f t="shared" si="39"/>
        <v>191.48051591990364</v>
      </c>
      <c r="CI53" s="404">
        <f t="shared" si="55"/>
        <v>296.076747741151</v>
      </c>
      <c r="CJ53" s="405">
        <f t="shared" si="40"/>
        <v>77.966261353542052</v>
      </c>
      <c r="CK53" s="404"/>
      <c r="CL53" s="404"/>
      <c r="CM53" s="404"/>
      <c r="CN53" s="404"/>
      <c r="CO53" s="405"/>
      <c r="CP53" s="397"/>
      <c r="CQ53" s="348">
        <f t="shared" si="56"/>
        <v>729.7058576760578</v>
      </c>
      <c r="CR53" s="409">
        <f t="shared" si="56"/>
        <v>2788.0167256747054</v>
      </c>
      <c r="CS53" s="410">
        <f t="shared" si="57"/>
        <v>3517.7225833507632</v>
      </c>
      <c r="CT53"/>
    </row>
    <row r="54" spans="1:98" ht="15" x14ac:dyDescent="0.25">
      <c r="A54" s="27">
        <f t="shared" si="43"/>
        <v>49324</v>
      </c>
      <c r="B54" s="256"/>
      <c r="C54" s="256"/>
      <c r="D54" s="256"/>
      <c r="E54" s="256"/>
      <c r="F54" s="256"/>
      <c r="G54" s="256"/>
      <c r="H54" s="256">
        <v>5.7500000000000002E-2</v>
      </c>
      <c r="I54" s="256">
        <v>4.7500000000000001E-2</v>
      </c>
      <c r="J54" s="256">
        <v>5.7500000000000002E-2</v>
      </c>
      <c r="K54" s="256">
        <v>4.5499999999999999E-2</v>
      </c>
      <c r="L54" s="256">
        <v>4.7500000000000001E-2</v>
      </c>
      <c r="M54" s="256">
        <v>4.2500000000000003E-2</v>
      </c>
      <c r="N54" s="256">
        <v>5.7500000000000002E-2</v>
      </c>
      <c r="O54" s="286">
        <v>4.7500000000000001E-2</v>
      </c>
      <c r="P54" s="259"/>
      <c r="Q54" s="2">
        <f t="shared" si="44"/>
        <v>2035</v>
      </c>
      <c r="R54" s="27">
        <f t="shared" si="45"/>
        <v>49324</v>
      </c>
      <c r="S54" s="404"/>
      <c r="T54" s="404"/>
      <c r="U54" s="404"/>
      <c r="V54" s="404"/>
      <c r="W54" s="405"/>
      <c r="X54" s="404"/>
      <c r="Y54" s="404"/>
      <c r="Z54" s="404"/>
      <c r="AA54" s="404"/>
      <c r="AB54" s="405"/>
      <c r="AC54" s="404"/>
      <c r="AD54" s="404"/>
      <c r="AE54" s="404"/>
      <c r="AF54" s="404"/>
      <c r="AG54" s="405"/>
      <c r="AH54" s="404"/>
      <c r="AI54" s="404"/>
      <c r="AJ54" s="404"/>
      <c r="AK54" s="404"/>
      <c r="AL54" s="405"/>
      <c r="AM54" s="404"/>
      <c r="AN54" s="404"/>
      <c r="AO54" s="404"/>
      <c r="AP54" s="404"/>
      <c r="AQ54" s="405"/>
      <c r="AR54" s="404"/>
      <c r="AS54" s="404"/>
      <c r="AT54" s="404"/>
      <c r="AU54" s="404"/>
      <c r="AV54" s="405"/>
      <c r="AW54" s="404">
        <f t="shared" si="64"/>
        <v>8600.0000000000018</v>
      </c>
      <c r="AX54" s="404">
        <f>+IF($R54&gt;H$8,"FIN",(AW54-SUM(AY$25:AY53))*VLOOKUP($R54,$A:$Q,8,0)/VLOOKUP(H$15,$M$1:$O$4,2,0))</f>
        <v>164.83333333333337</v>
      </c>
      <c r="AY54" s="404">
        <f t="shared" si="23"/>
        <v>1433.3333333333337</v>
      </c>
      <c r="AZ54" s="404">
        <f t="shared" si="24"/>
        <v>1598.166666666667</v>
      </c>
      <c r="BA54" s="405">
        <f t="shared" si="25"/>
        <v>401.262092380083</v>
      </c>
      <c r="BB54" s="404">
        <f t="shared" si="65"/>
        <v>1150</v>
      </c>
      <c r="BC54" s="404">
        <f>+IF($R54&gt;I$8,"FIN",(BB54-SUM(BD$25:BD53))*VLOOKUP($R54,$A:$Q,9,0)/VLOOKUP(I$15,$M$1:$O$4,2,0))</f>
        <v>18.208333333333336</v>
      </c>
      <c r="BD54" s="404">
        <f t="shared" si="26"/>
        <v>191.66666666666666</v>
      </c>
      <c r="BE54" s="404">
        <f t="shared" si="49"/>
        <v>209.875</v>
      </c>
      <c r="BF54" s="405">
        <f t="shared" si="27"/>
        <v>52.694680345147511</v>
      </c>
      <c r="BG54" s="404">
        <f t="shared" si="66"/>
        <v>5200</v>
      </c>
      <c r="BH54" s="404">
        <f>+IF($R54&gt;J$8,"FIN",(BG54-SUM(BI$25:BI53))*VLOOKUP($R54,$A:$Q,10,0)/VLOOKUP(J$15,$M$1:$O$4,2,0))</f>
        <v>54.363636363636331</v>
      </c>
      <c r="BI54" s="404">
        <f t="shared" si="50"/>
        <v>236.36363636363637</v>
      </c>
      <c r="BJ54" s="404">
        <f t="shared" si="28"/>
        <v>290.72727272727269</v>
      </c>
      <c r="BK54" s="405">
        <f t="shared" si="29"/>
        <v>72.99478596297871</v>
      </c>
      <c r="BL54" s="404">
        <f t="shared" si="67"/>
        <v>5800</v>
      </c>
      <c r="BM54" s="404">
        <f>+IF($R54&gt;K$8,"FIN",(BL54-SUM(BN$25:BN53))*VLOOKUP($R54,$A:$Q,11,0)/VLOOKUP(K$15,$M$1:$O$4,2,0))</f>
        <v>47.981818181818213</v>
      </c>
      <c r="BN54" s="404">
        <f t="shared" si="51"/>
        <v>263.63636363636363</v>
      </c>
      <c r="BO54" s="404">
        <f t="shared" si="52"/>
        <v>311.61818181818182</v>
      </c>
      <c r="BP54" s="405">
        <f t="shared" si="30"/>
        <v>78.240002290149604</v>
      </c>
      <c r="BQ54" s="404">
        <f t="shared" si="68"/>
        <v>0</v>
      </c>
      <c r="BR54" s="404">
        <f>+IF($R54&gt;L$8,"FIN",(BQ54-SUM(BS$25:BS53))*VLOOKUP($R54,$A:$Q,12,0)/VLOOKUP(L$15,$M$1:$O$4,2,0))</f>
        <v>0</v>
      </c>
      <c r="BS54" s="404">
        <f t="shared" si="31"/>
        <v>0</v>
      </c>
      <c r="BT54" s="404">
        <f t="shared" si="32"/>
        <v>0</v>
      </c>
      <c r="BU54" s="405">
        <f t="shared" si="33"/>
        <v>0</v>
      </c>
      <c r="BV54" s="404">
        <f t="shared" si="69"/>
        <v>0</v>
      </c>
      <c r="BW54" s="404">
        <f>+IF($R54&gt;M$8,"FIN",(BV54-SUM(BX$25:BX53))*VLOOKUP($R54,$A:$Q,13,0)/VLOOKUP(M$15,$M$1:$O$4,2,0))</f>
        <v>0</v>
      </c>
      <c r="BX54" s="404">
        <f t="shared" si="34"/>
        <v>0</v>
      </c>
      <c r="BY54" s="404">
        <f t="shared" si="53"/>
        <v>0</v>
      </c>
      <c r="BZ54" s="405">
        <f t="shared" si="35"/>
        <v>0</v>
      </c>
      <c r="CA54" s="404">
        <f t="shared" si="70"/>
        <v>14079.830909345501</v>
      </c>
      <c r="CB54" s="404">
        <f>+IF($R54&gt;N$8,"FIN",(CA54-SUM(CC$25:CC53))*VLOOKUP($R54,$A:$Q,14,0)/VLOOKUP(N$15,$M$1:$O$4,2,0))</f>
        <v>247.37480694891747</v>
      </c>
      <c r="CC54" s="404">
        <f t="shared" si="36"/>
        <v>391.10641414848612</v>
      </c>
      <c r="CD54" s="404">
        <f t="shared" si="54"/>
        <v>638.48122109740359</v>
      </c>
      <c r="CE54" s="405">
        <f t="shared" si="38"/>
        <v>160.30763002790772</v>
      </c>
      <c r="CF54" s="404">
        <f t="shared" si="71"/>
        <v>6893.2985731165309</v>
      </c>
      <c r="CG54" s="404">
        <f>+IF($R54&gt;O$8,"FIN",(CF54-SUM(CH$25:CH53))*VLOOKUP($R54,$A:$Q,15,0)/VLOOKUP(O$15,$M$1:$O$4,2,0))</f>
        <v>100.04856956814966</v>
      </c>
      <c r="CH54" s="404">
        <f t="shared" si="39"/>
        <v>191.48051591990364</v>
      </c>
      <c r="CI54" s="404">
        <f t="shared" si="55"/>
        <v>291.52908548805328</v>
      </c>
      <c r="CJ54" s="405">
        <f t="shared" si="40"/>
        <v>73.196102304258005</v>
      </c>
      <c r="CK54" s="404"/>
      <c r="CL54" s="404"/>
      <c r="CM54" s="404"/>
      <c r="CN54" s="404"/>
      <c r="CO54" s="405"/>
      <c r="CP54" s="397"/>
      <c r="CQ54" s="348">
        <f t="shared" si="56"/>
        <v>653.48286398937842</v>
      </c>
      <c r="CR54" s="409">
        <f t="shared" si="56"/>
        <v>2788.0167256747054</v>
      </c>
      <c r="CS54" s="410">
        <f t="shared" si="57"/>
        <v>3441.4995896640839</v>
      </c>
      <c r="CT54"/>
    </row>
    <row r="55" spans="1:98" ht="15" x14ac:dyDescent="0.25">
      <c r="A55" s="27">
        <f t="shared" si="43"/>
        <v>49505</v>
      </c>
      <c r="B55" s="256"/>
      <c r="C55" s="256"/>
      <c r="D55" s="256"/>
      <c r="E55" s="256"/>
      <c r="F55" s="256"/>
      <c r="G55" s="256"/>
      <c r="H55" s="256">
        <v>5.7500000000000002E-2</v>
      </c>
      <c r="I55" s="256">
        <v>4.7500000000000001E-2</v>
      </c>
      <c r="J55" s="256">
        <v>5.7500000000000002E-2</v>
      </c>
      <c r="K55" s="256">
        <v>4.5499999999999999E-2</v>
      </c>
      <c r="L55" s="256">
        <v>4.7500000000000001E-2</v>
      </c>
      <c r="M55" s="256">
        <v>4.2500000000000003E-2</v>
      </c>
      <c r="N55" s="256">
        <v>5.7500000000000002E-2</v>
      </c>
      <c r="O55" s="286">
        <v>4.7500000000000001E-2</v>
      </c>
      <c r="P55" s="259"/>
      <c r="Q55" s="2">
        <f t="shared" si="44"/>
        <v>2035</v>
      </c>
      <c r="R55" s="27">
        <f t="shared" si="45"/>
        <v>49505</v>
      </c>
      <c r="S55" s="404"/>
      <c r="T55" s="404"/>
      <c r="U55" s="404"/>
      <c r="V55" s="404"/>
      <c r="W55" s="405"/>
      <c r="X55" s="404"/>
      <c r="Y55" s="404"/>
      <c r="Z55" s="404"/>
      <c r="AA55" s="404"/>
      <c r="AB55" s="405"/>
      <c r="AC55" s="404"/>
      <c r="AD55" s="404"/>
      <c r="AE55" s="404"/>
      <c r="AF55" s="404"/>
      <c r="AG55" s="405"/>
      <c r="AH55" s="404"/>
      <c r="AI55" s="404"/>
      <c r="AJ55" s="404"/>
      <c r="AK55" s="404"/>
      <c r="AL55" s="405"/>
      <c r="AM55" s="404"/>
      <c r="AN55" s="404"/>
      <c r="AO55" s="404"/>
      <c r="AP55" s="404"/>
      <c r="AQ55" s="405"/>
      <c r="AR55" s="404"/>
      <c r="AS55" s="404"/>
      <c r="AT55" s="404"/>
      <c r="AU55" s="404"/>
      <c r="AV55" s="405"/>
      <c r="AW55" s="404">
        <f t="shared" si="64"/>
        <v>8600.0000000000018</v>
      </c>
      <c r="AX55" s="404">
        <f>+IF($R55&gt;H$8,"FIN",(AW55-SUM(AY$25:AY54))*VLOOKUP($R55,$A:$Q,8,0)/VLOOKUP(H$15,$M$1:$O$4,2,0))</f>
        <v>123.62500000000003</v>
      </c>
      <c r="AY55" s="404">
        <f t="shared" si="23"/>
        <v>1433.3333333333337</v>
      </c>
      <c r="AZ55" s="404">
        <f t="shared" si="24"/>
        <v>1556.9583333333337</v>
      </c>
      <c r="BA55" s="405">
        <f t="shared" si="25"/>
        <v>372.7234461990638</v>
      </c>
      <c r="BB55" s="404">
        <f t="shared" si="65"/>
        <v>1150</v>
      </c>
      <c r="BC55" s="404">
        <f>+IF($R55&gt;I$8,"FIN",(BB55-SUM(BD$25:BD54))*VLOOKUP($R55,$A:$Q,9,0)/VLOOKUP(I$15,$M$1:$O$4,2,0))</f>
        <v>13.65625</v>
      </c>
      <c r="BD55" s="404">
        <f t="shared" si="26"/>
        <v>191.66666666666666</v>
      </c>
      <c r="BE55" s="404">
        <f t="shared" si="49"/>
        <v>205.32291666666666</v>
      </c>
      <c r="BF55" s="405">
        <f t="shared" si="27"/>
        <v>49.152673803287286</v>
      </c>
      <c r="BG55" s="404">
        <f t="shared" si="66"/>
        <v>5200</v>
      </c>
      <c r="BH55" s="404">
        <f>+IF($R55&gt;J$8,"FIN",(BG55-SUM(BI$25:BI54))*VLOOKUP($R55,$A:$Q,10,0)/VLOOKUP(J$15,$M$1:$O$4,2,0))</f>
        <v>47.568181818181777</v>
      </c>
      <c r="BI55" s="404">
        <f t="shared" si="50"/>
        <v>236.36363636363637</v>
      </c>
      <c r="BJ55" s="404">
        <f t="shared" si="28"/>
        <v>283.93181818181813</v>
      </c>
      <c r="BK55" s="405">
        <f t="shared" si="29"/>
        <v>67.971019835658126</v>
      </c>
      <c r="BL55" s="404">
        <f t="shared" si="67"/>
        <v>5800</v>
      </c>
      <c r="BM55" s="404">
        <f>+IF($R55&gt;K$8,"FIN",(BL55-SUM(BN$25:BN54))*VLOOKUP($R55,$A:$Q,11,0)/VLOOKUP(K$15,$M$1:$O$4,2,0))</f>
        <v>41.984090909090938</v>
      </c>
      <c r="BN55" s="404">
        <f t="shared" si="51"/>
        <v>263.63636363636363</v>
      </c>
      <c r="BO55" s="404">
        <f t="shared" si="52"/>
        <v>305.62045454545455</v>
      </c>
      <c r="BP55" s="405">
        <f t="shared" si="30"/>
        <v>73.16310694277162</v>
      </c>
      <c r="BQ55" s="404">
        <f t="shared" si="68"/>
        <v>0</v>
      </c>
      <c r="BR55" s="404">
        <f>+IF($R55&gt;L$8,"FIN",(BQ55-SUM(BS$25:BS54))*VLOOKUP($R55,$A:$Q,12,0)/VLOOKUP(L$15,$M$1:$O$4,2,0))</f>
        <v>0</v>
      </c>
      <c r="BS55" s="404">
        <f t="shared" si="31"/>
        <v>0</v>
      </c>
      <c r="BT55" s="404">
        <f t="shared" si="32"/>
        <v>0</v>
      </c>
      <c r="BU55" s="405">
        <f t="shared" si="33"/>
        <v>0</v>
      </c>
      <c r="BV55" s="404">
        <f t="shared" si="69"/>
        <v>0</v>
      </c>
      <c r="BW55" s="404">
        <f>+IF($R55&gt;M$8,"FIN",(BV55-SUM(BX$25:BX54))*VLOOKUP($R55,$A:$Q,13,0)/VLOOKUP(M$15,$M$1:$O$4,2,0))</f>
        <v>0</v>
      </c>
      <c r="BX55" s="404">
        <f t="shared" si="34"/>
        <v>0</v>
      </c>
      <c r="BY55" s="404">
        <f t="shared" si="53"/>
        <v>0</v>
      </c>
      <c r="BZ55" s="405">
        <f t="shared" si="35"/>
        <v>0</v>
      </c>
      <c r="CA55" s="404">
        <f t="shared" si="70"/>
        <v>14079.830909345501</v>
      </c>
      <c r="CB55" s="404">
        <f>+IF($R55&gt;N$8,"FIN",(CA55-SUM(CC$25:CC54))*VLOOKUP($R55,$A:$Q,14,0)/VLOOKUP(N$15,$M$1:$O$4,2,0))</f>
        <v>236.1304975421485</v>
      </c>
      <c r="CC55" s="404">
        <f t="shared" si="36"/>
        <v>391.10641414848612</v>
      </c>
      <c r="CD55" s="404">
        <f t="shared" si="54"/>
        <v>627.23691169063466</v>
      </c>
      <c r="CE55" s="405">
        <f t="shared" si="38"/>
        <v>150.155529729606</v>
      </c>
      <c r="CF55" s="404">
        <f t="shared" si="71"/>
        <v>6893.2985731165309</v>
      </c>
      <c r="CG55" s="404">
        <f>+IF($R55&gt;O$8,"FIN",(CF55-SUM(CH$25:CH54))*VLOOKUP($R55,$A:$Q,15,0)/VLOOKUP(O$15,$M$1:$O$4,2,0))</f>
        <v>95.500907315051933</v>
      </c>
      <c r="CH55" s="404">
        <f t="shared" si="39"/>
        <v>191.48051591990364</v>
      </c>
      <c r="CI55" s="404">
        <f t="shared" si="55"/>
        <v>286.98142323495557</v>
      </c>
      <c r="CJ55" s="405">
        <f t="shared" si="40"/>
        <v>68.701071039095254</v>
      </c>
      <c r="CK55" s="404"/>
      <c r="CL55" s="404"/>
      <c r="CM55" s="404"/>
      <c r="CN55" s="404"/>
      <c r="CO55" s="405"/>
      <c r="CP55" s="397"/>
      <c r="CQ55" s="348">
        <f t="shared" si="56"/>
        <v>577.25987030269914</v>
      </c>
      <c r="CR55" s="409">
        <f t="shared" si="56"/>
        <v>2788.0167256747054</v>
      </c>
      <c r="CS55" s="410">
        <f t="shared" si="57"/>
        <v>3365.2765959774047</v>
      </c>
      <c r="CT55"/>
    </row>
    <row r="56" spans="1:98" ht="15" x14ac:dyDescent="0.25">
      <c r="A56" s="27">
        <f t="shared" si="43"/>
        <v>49689</v>
      </c>
      <c r="B56" s="256"/>
      <c r="C56" s="256"/>
      <c r="D56" s="256"/>
      <c r="E56" s="256"/>
      <c r="F56" s="256"/>
      <c r="G56" s="256"/>
      <c r="H56" s="256">
        <v>5.7500000000000002E-2</v>
      </c>
      <c r="I56" s="256">
        <v>4.7500000000000001E-2</v>
      </c>
      <c r="J56" s="256">
        <v>5.7500000000000002E-2</v>
      </c>
      <c r="K56" s="256">
        <v>4.5499999999999999E-2</v>
      </c>
      <c r="L56" s="256">
        <v>4.7500000000000001E-2</v>
      </c>
      <c r="M56" s="256">
        <v>4.2500000000000003E-2</v>
      </c>
      <c r="N56" s="256">
        <v>5.7500000000000002E-2</v>
      </c>
      <c r="O56" s="286">
        <v>4.7500000000000001E-2</v>
      </c>
      <c r="P56" s="259"/>
      <c r="Q56" s="2">
        <f t="shared" si="44"/>
        <v>2036</v>
      </c>
      <c r="R56" s="27">
        <f t="shared" si="45"/>
        <v>49689</v>
      </c>
      <c r="S56" s="404"/>
      <c r="T56" s="404"/>
      <c r="U56" s="404"/>
      <c r="V56" s="404"/>
      <c r="W56" s="405"/>
      <c r="X56" s="404"/>
      <c r="Y56" s="404"/>
      <c r="Z56" s="404"/>
      <c r="AA56" s="404"/>
      <c r="AB56" s="405"/>
      <c r="AC56" s="404"/>
      <c r="AD56" s="404"/>
      <c r="AE56" s="404"/>
      <c r="AF56" s="404"/>
      <c r="AG56" s="405"/>
      <c r="AH56" s="404"/>
      <c r="AI56" s="404"/>
      <c r="AJ56" s="404"/>
      <c r="AK56" s="404"/>
      <c r="AL56" s="405"/>
      <c r="AM56" s="404"/>
      <c r="AN56" s="404"/>
      <c r="AO56" s="404"/>
      <c r="AP56" s="404"/>
      <c r="AQ56" s="405"/>
      <c r="AR56" s="404"/>
      <c r="AS56" s="404"/>
      <c r="AT56" s="404"/>
      <c r="AU56" s="404"/>
      <c r="AV56" s="405"/>
      <c r="AW56" s="404">
        <f t="shared" si="64"/>
        <v>8600.0000000000018</v>
      </c>
      <c r="AX56" s="404">
        <f>+IF($R56&gt;H$8,"FIN",(AW56-SUM(AY$25:AY55))*VLOOKUP($R56,$A:$Q,8,0)/VLOOKUP(H$15,$M$1:$O$4,2,0))</f>
        <v>82.416666666666686</v>
      </c>
      <c r="AY56" s="404">
        <f t="shared" si="23"/>
        <v>1433.3333333333337</v>
      </c>
      <c r="AZ56" s="404">
        <f t="shared" si="24"/>
        <v>1515.7500000000005</v>
      </c>
      <c r="BA56" s="405">
        <f t="shared" si="25"/>
        <v>345.97200382546907</v>
      </c>
      <c r="BB56" s="404">
        <f t="shared" si="65"/>
        <v>1150</v>
      </c>
      <c r="BC56" s="404">
        <f>+IF($R56&gt;I$8,"FIN",(BB56-SUM(BD$25:BD55))*VLOOKUP($R56,$A:$Q,9,0)/VLOOKUP(I$15,$M$1:$O$4,2,0))</f>
        <v>9.1041666666666679</v>
      </c>
      <c r="BD56" s="404">
        <f t="shared" si="26"/>
        <v>191.66666666666666</v>
      </c>
      <c r="BE56" s="404">
        <f t="shared" si="49"/>
        <v>200.77083333333331</v>
      </c>
      <c r="BF56" s="405">
        <f t="shared" si="27"/>
        <v>45.826216406427569</v>
      </c>
      <c r="BG56" s="404">
        <f t="shared" si="66"/>
        <v>5200</v>
      </c>
      <c r="BH56" s="404">
        <f>+IF($R56&gt;J$8,"FIN",(BG56-SUM(BI$25:BI55))*VLOOKUP($R56,$A:$Q,10,0)/VLOOKUP(J$15,$M$1:$O$4,2,0))</f>
        <v>40.772727272727231</v>
      </c>
      <c r="BI56" s="404">
        <f t="shared" si="50"/>
        <v>236.36363636363637</v>
      </c>
      <c r="BJ56" s="404">
        <f t="shared" si="28"/>
        <v>277.13636363636363</v>
      </c>
      <c r="BK56" s="405">
        <f t="shared" si="29"/>
        <v>63.256752802359593</v>
      </c>
      <c r="BL56" s="404">
        <f t="shared" si="67"/>
        <v>5800</v>
      </c>
      <c r="BM56" s="404">
        <f>+IF($R56&gt;K$8,"FIN",(BL56-SUM(BN$25:BN55))*VLOOKUP($R56,$A:$Q,11,0)/VLOOKUP(K$15,$M$1:$O$4,2,0))</f>
        <v>35.986363636363663</v>
      </c>
      <c r="BN56" s="404">
        <f t="shared" si="51"/>
        <v>263.63636363636363</v>
      </c>
      <c r="BO56" s="404">
        <f t="shared" si="52"/>
        <v>299.62272727272727</v>
      </c>
      <c r="BP56" s="405">
        <f t="shared" si="30"/>
        <v>68.389295956587461</v>
      </c>
      <c r="BQ56" s="404">
        <f t="shared" si="68"/>
        <v>0</v>
      </c>
      <c r="BR56" s="404">
        <f>+IF($R56&gt;L$8,"FIN",(BQ56-SUM(BS$25:BS55))*VLOOKUP($R56,$A:$Q,12,0)/VLOOKUP(L$15,$M$1:$O$4,2,0))</f>
        <v>0</v>
      </c>
      <c r="BS56" s="404">
        <f t="shared" si="31"/>
        <v>0</v>
      </c>
      <c r="BT56" s="404">
        <f t="shared" si="32"/>
        <v>0</v>
      </c>
      <c r="BU56" s="405">
        <f t="shared" si="33"/>
        <v>0</v>
      </c>
      <c r="BV56" s="404">
        <f t="shared" si="69"/>
        <v>0</v>
      </c>
      <c r="BW56" s="404">
        <f>+IF($R56&gt;M$8,"FIN",(BV56-SUM(BX$25:BX55))*VLOOKUP($R56,$A:$Q,13,0)/VLOOKUP(M$15,$M$1:$O$4,2,0))</f>
        <v>0</v>
      </c>
      <c r="BX56" s="404">
        <f t="shared" si="34"/>
        <v>0</v>
      </c>
      <c r="BY56" s="404">
        <f t="shared" si="53"/>
        <v>0</v>
      </c>
      <c r="BZ56" s="405">
        <f t="shared" si="35"/>
        <v>0</v>
      </c>
      <c r="CA56" s="404">
        <f t="shared" si="70"/>
        <v>14079.830909345501</v>
      </c>
      <c r="CB56" s="404">
        <f>+IF($R56&gt;N$8,"FIN",(CA56-SUM(CC$25:CC55))*VLOOKUP($R56,$A:$Q,14,0)/VLOOKUP(N$15,$M$1:$O$4,2,0))</f>
        <v>224.88618813537957</v>
      </c>
      <c r="CC56" s="404">
        <f t="shared" si="36"/>
        <v>391.10641414848612</v>
      </c>
      <c r="CD56" s="404">
        <f t="shared" si="54"/>
        <v>615.99260228386572</v>
      </c>
      <c r="CE56" s="405">
        <f t="shared" si="38"/>
        <v>140.60115121478751</v>
      </c>
      <c r="CF56" s="404">
        <f t="shared" si="71"/>
        <v>6893.2985731165309</v>
      </c>
      <c r="CG56" s="404">
        <f>+IF($R56&gt;O$8,"FIN",(CF56-SUM(CH$25:CH55))*VLOOKUP($R56,$A:$Q,15,0)/VLOOKUP(O$15,$M$1:$O$4,2,0))</f>
        <v>90.95324506195422</v>
      </c>
      <c r="CH56" s="404">
        <f t="shared" si="39"/>
        <v>191.48051591990364</v>
      </c>
      <c r="CI56" s="404">
        <f t="shared" si="55"/>
        <v>282.43376098185786</v>
      </c>
      <c r="CJ56" s="405">
        <f t="shared" si="40"/>
        <v>64.465890968073182</v>
      </c>
      <c r="CK56" s="404"/>
      <c r="CL56" s="404"/>
      <c r="CM56" s="404"/>
      <c r="CN56" s="404"/>
      <c r="CO56" s="405"/>
      <c r="CP56" s="397"/>
      <c r="CQ56" s="348">
        <f t="shared" si="56"/>
        <v>501.03687661601987</v>
      </c>
      <c r="CR56" s="409">
        <f t="shared" si="56"/>
        <v>2788.0167256747054</v>
      </c>
      <c r="CS56" s="410">
        <f t="shared" si="57"/>
        <v>3289.0536022907254</v>
      </c>
      <c r="CT56"/>
    </row>
    <row r="57" spans="1:98" ht="15" x14ac:dyDescent="0.25">
      <c r="A57" s="27">
        <f t="shared" si="43"/>
        <v>49871</v>
      </c>
      <c r="B57" s="256"/>
      <c r="C57" s="256"/>
      <c r="D57" s="256"/>
      <c r="E57" s="256"/>
      <c r="F57" s="256"/>
      <c r="G57" s="256"/>
      <c r="H57" s="256">
        <v>5.7500000000000002E-2</v>
      </c>
      <c r="I57" s="256">
        <v>4.7500000000000001E-2</v>
      </c>
      <c r="J57" s="256">
        <v>5.7500000000000002E-2</v>
      </c>
      <c r="K57" s="256">
        <v>4.5499999999999999E-2</v>
      </c>
      <c r="L57" s="256">
        <v>4.7500000000000001E-2</v>
      </c>
      <c r="M57" s="256">
        <v>4.2500000000000003E-2</v>
      </c>
      <c r="N57" s="256">
        <v>5.7500000000000002E-2</v>
      </c>
      <c r="O57" s="286">
        <v>4.7500000000000001E-2</v>
      </c>
      <c r="P57" s="259"/>
      <c r="Q57" s="2">
        <f t="shared" si="44"/>
        <v>2036</v>
      </c>
      <c r="R57" s="27">
        <f t="shared" si="45"/>
        <v>49871</v>
      </c>
      <c r="S57" s="404"/>
      <c r="T57" s="404"/>
      <c r="U57" s="404"/>
      <c r="V57" s="404"/>
      <c r="W57" s="405"/>
      <c r="X57" s="404"/>
      <c r="Y57" s="404"/>
      <c r="Z57" s="404"/>
      <c r="AA57" s="404"/>
      <c r="AB57" s="405"/>
      <c r="AC57" s="404"/>
      <c r="AD57" s="404"/>
      <c r="AE57" s="404"/>
      <c r="AF57" s="404"/>
      <c r="AG57" s="405"/>
      <c r="AH57" s="404"/>
      <c r="AI57" s="404"/>
      <c r="AJ57" s="404"/>
      <c r="AK57" s="404"/>
      <c r="AL57" s="405"/>
      <c r="AM57" s="404"/>
      <c r="AN57" s="404"/>
      <c r="AO57" s="404"/>
      <c r="AP57" s="404"/>
      <c r="AQ57" s="405"/>
      <c r="AR57" s="404"/>
      <c r="AS57" s="404"/>
      <c r="AT57" s="404"/>
      <c r="AU57" s="404"/>
      <c r="AV57" s="405"/>
      <c r="AW57" s="404">
        <f t="shared" si="64"/>
        <v>8600.0000000000018</v>
      </c>
      <c r="AX57" s="404">
        <f>+IF($R57&gt;H$8,"FIN",(AW57-SUM(AY$25:AY56))*VLOOKUP($R57,$A:$Q,8,0)/VLOOKUP(H$15,$M$1:$O$4,2,0))</f>
        <v>41.208333333333329</v>
      </c>
      <c r="AY57" s="404">
        <f t="shared" si="23"/>
        <v>1433.3333333333337</v>
      </c>
      <c r="AZ57" s="404">
        <f t="shared" si="24"/>
        <v>1474.541666666667</v>
      </c>
      <c r="BA57" s="405">
        <f t="shared" si="25"/>
        <v>320.90322860323198</v>
      </c>
      <c r="BB57" s="404">
        <f t="shared" si="65"/>
        <v>1150</v>
      </c>
      <c r="BC57" s="404">
        <f>+IF($R57&gt;I$8,"FIN",(BB57-SUM(BD$25:BD56))*VLOOKUP($R57,$A:$Q,9,0)/VLOOKUP(I$15,$M$1:$O$4,2,0))</f>
        <v>4.5520833333333348</v>
      </c>
      <c r="BD57" s="404">
        <f t="shared" si="26"/>
        <v>191.66666666666666</v>
      </c>
      <c r="BE57" s="404">
        <f t="shared" si="49"/>
        <v>196.21875</v>
      </c>
      <c r="BF57" s="405">
        <f t="shared" si="27"/>
        <v>42.70291698832321</v>
      </c>
      <c r="BG57" s="404">
        <f t="shared" si="66"/>
        <v>5200</v>
      </c>
      <c r="BH57" s="404">
        <f>+IF($R57&gt;J$8,"FIN",(BG57-SUM(BI$25:BI56))*VLOOKUP($R57,$A:$Q,10,0)/VLOOKUP(J$15,$M$1:$O$4,2,0))</f>
        <v>33.977272727272684</v>
      </c>
      <c r="BI57" s="404">
        <f t="shared" si="50"/>
        <v>236.36363636363637</v>
      </c>
      <c r="BJ57" s="404">
        <f t="shared" si="28"/>
        <v>270.34090909090907</v>
      </c>
      <c r="BK57" s="405">
        <f t="shared" si="29"/>
        <v>58.834058414177647</v>
      </c>
      <c r="BL57" s="404">
        <f t="shared" si="67"/>
        <v>5800</v>
      </c>
      <c r="BM57" s="404">
        <f>+IF($R57&gt;K$8,"FIN",(BL57-SUM(BN$25:BN56))*VLOOKUP($R57,$A:$Q,11,0)/VLOOKUP(K$15,$M$1:$O$4,2,0))</f>
        <v>29.988636363636381</v>
      </c>
      <c r="BN57" s="404">
        <f t="shared" si="51"/>
        <v>263.63636363636363</v>
      </c>
      <c r="BO57" s="404">
        <f t="shared" si="52"/>
        <v>293.625</v>
      </c>
      <c r="BP57" s="405">
        <f t="shared" si="30"/>
        <v>63.901354996382366</v>
      </c>
      <c r="BQ57" s="404">
        <f t="shared" si="68"/>
        <v>0</v>
      </c>
      <c r="BR57" s="404">
        <f>+IF($R57&gt;L$8,"FIN",(BQ57-SUM(BS$25:BS56))*VLOOKUP($R57,$A:$Q,12,0)/VLOOKUP(L$15,$M$1:$O$4,2,0))</f>
        <v>0</v>
      </c>
      <c r="BS57" s="404">
        <f t="shared" si="31"/>
        <v>0</v>
      </c>
      <c r="BT57" s="404">
        <f t="shared" si="32"/>
        <v>0</v>
      </c>
      <c r="BU57" s="405">
        <f t="shared" si="33"/>
        <v>0</v>
      </c>
      <c r="BV57" s="404">
        <f t="shared" si="69"/>
        <v>0</v>
      </c>
      <c r="BW57" s="404">
        <f>+IF($R57&gt;M$8,"FIN",(BV57-SUM(BX$25:BX56))*VLOOKUP($R57,$A:$Q,13,0)/VLOOKUP(M$15,$M$1:$O$4,2,0))</f>
        <v>0</v>
      </c>
      <c r="BX57" s="404">
        <f t="shared" si="34"/>
        <v>0</v>
      </c>
      <c r="BY57" s="404">
        <f t="shared" si="53"/>
        <v>0</v>
      </c>
      <c r="BZ57" s="405">
        <f t="shared" si="35"/>
        <v>0</v>
      </c>
      <c r="CA57" s="404">
        <f t="shared" si="70"/>
        <v>14079.830909345501</v>
      </c>
      <c r="CB57" s="404">
        <f>+IF($R57&gt;N$8,"FIN",(CA57-SUM(CC$25:CC56))*VLOOKUP($R57,$A:$Q,14,0)/VLOOKUP(N$15,$M$1:$O$4,2,0))</f>
        <v>213.64187872861061</v>
      </c>
      <c r="CC57" s="404">
        <f t="shared" si="36"/>
        <v>391.10641414848612</v>
      </c>
      <c r="CD57" s="404">
        <f t="shared" si="54"/>
        <v>604.74829287709667</v>
      </c>
      <c r="CE57" s="405">
        <f t="shared" ref="CE57:CE75" si="75">CD57/(1+$B$5)^(YEARFRAC($R$25,$R57))</f>
        <v>131.61084834941019</v>
      </c>
      <c r="CF57" s="404">
        <f t="shared" si="71"/>
        <v>6893.2985731165309</v>
      </c>
      <c r="CG57" s="404">
        <f>+IF($R57&gt;O$8,"FIN",(CF57-SUM(CH$25:CH56))*VLOOKUP($R57,$A:$Q,15,0)/VLOOKUP(O$15,$M$1:$O$4,2,0))</f>
        <v>86.405582808856522</v>
      </c>
      <c r="CH57" s="404">
        <f t="shared" si="39"/>
        <v>191.48051591990364</v>
      </c>
      <c r="CI57" s="404">
        <f t="shared" si="55"/>
        <v>277.88609872876015</v>
      </c>
      <c r="CJ57" s="405">
        <f t="shared" ref="CJ57:CJ75" si="76">CI57/(1+$B$5)^(YEARFRAC($R$25,$R57))</f>
        <v>60.476111514435964</v>
      </c>
      <c r="CK57" s="404"/>
      <c r="CL57" s="404"/>
      <c r="CM57" s="404"/>
      <c r="CN57" s="404"/>
      <c r="CO57" s="405"/>
      <c r="CP57" s="397"/>
      <c r="CQ57" s="348">
        <f t="shared" si="56"/>
        <v>424.81388292934059</v>
      </c>
      <c r="CR57" s="409">
        <f t="shared" si="56"/>
        <v>2788.0167256747054</v>
      </c>
      <c r="CS57" s="410">
        <f t="shared" si="57"/>
        <v>3212.8306086040461</v>
      </c>
      <c r="CT57"/>
    </row>
    <row r="58" spans="1:98" ht="15" x14ac:dyDescent="0.25">
      <c r="A58" s="27">
        <f t="shared" si="43"/>
        <v>50055</v>
      </c>
      <c r="B58" s="256"/>
      <c r="C58" s="256"/>
      <c r="D58" s="256"/>
      <c r="E58" s="256"/>
      <c r="F58" s="256"/>
      <c r="G58" s="256"/>
      <c r="H58" s="256"/>
      <c r="I58" s="256"/>
      <c r="J58" s="256">
        <v>5.7500000000000002E-2</v>
      </c>
      <c r="K58" s="256">
        <v>4.5499999999999999E-2</v>
      </c>
      <c r="L58" s="256">
        <v>4.7500000000000001E-2</v>
      </c>
      <c r="M58" s="256">
        <v>4.2500000000000003E-2</v>
      </c>
      <c r="N58" s="256">
        <v>5.7500000000000002E-2</v>
      </c>
      <c r="O58" s="286">
        <v>4.7500000000000001E-2</v>
      </c>
      <c r="P58" s="259"/>
      <c r="Q58" s="2">
        <f t="shared" si="44"/>
        <v>2037</v>
      </c>
      <c r="R58" s="27">
        <f t="shared" si="45"/>
        <v>50055</v>
      </c>
      <c r="S58" s="404"/>
      <c r="T58" s="404"/>
      <c r="U58" s="404"/>
      <c r="V58" s="404"/>
      <c r="W58" s="405"/>
      <c r="X58" s="404"/>
      <c r="Y58" s="404"/>
      <c r="Z58" s="404"/>
      <c r="AA58" s="404"/>
      <c r="AB58" s="405"/>
      <c r="AC58" s="404"/>
      <c r="AD58" s="404"/>
      <c r="AE58" s="404"/>
      <c r="AF58" s="404"/>
      <c r="AG58" s="405"/>
      <c r="AH58" s="404"/>
      <c r="AI58" s="404"/>
      <c r="AJ58" s="404"/>
      <c r="AK58" s="404"/>
      <c r="AL58" s="405"/>
      <c r="AM58" s="404"/>
      <c r="AN58" s="404"/>
      <c r="AO58" s="404"/>
      <c r="AP58" s="404"/>
      <c r="AQ58" s="405"/>
      <c r="AR58" s="404"/>
      <c r="AS58" s="404"/>
      <c r="AT58" s="404"/>
      <c r="AU58" s="404"/>
      <c r="AV58" s="405"/>
      <c r="AW58" s="404"/>
      <c r="AX58" s="404"/>
      <c r="AY58" s="404"/>
      <c r="AZ58" s="404"/>
      <c r="BA58" s="405"/>
      <c r="BB58" s="404"/>
      <c r="BC58" s="404"/>
      <c r="BD58" s="404"/>
      <c r="BE58" s="404"/>
      <c r="BF58" s="405"/>
      <c r="BG58" s="404">
        <f t="shared" si="66"/>
        <v>5200</v>
      </c>
      <c r="BH58" s="404">
        <f>+IF($R58&gt;J$8,"FIN",(BG58-SUM(BI$25:BI57))*VLOOKUP($R58,$A:$Q,10,0)/VLOOKUP(J$15,$M$1:$O$4,2,0))</f>
        <v>27.181818181818144</v>
      </c>
      <c r="BI58" s="404">
        <f t="shared" si="50"/>
        <v>236.36363636363637</v>
      </c>
      <c r="BJ58" s="404">
        <f t="shared" si="28"/>
        <v>263.5454545454545</v>
      </c>
      <c r="BK58" s="405">
        <f t="shared" si="29"/>
        <v>54.686008431580497</v>
      </c>
      <c r="BL58" s="404">
        <f t="shared" si="67"/>
        <v>5800</v>
      </c>
      <c r="BM58" s="404">
        <f>+IF($R58&gt;K$8,"FIN",(BL58-SUM(BN$25:BN57))*VLOOKUP($R58,$A:$Q,11,0)/VLOOKUP(K$15,$M$1:$O$4,2,0))</f>
        <v>23.990909090909099</v>
      </c>
      <c r="BN58" s="404">
        <f t="shared" si="51"/>
        <v>263.63636363636363</v>
      </c>
      <c r="BO58" s="404">
        <f t="shared" si="52"/>
        <v>287.62727272727273</v>
      </c>
      <c r="BP58" s="405">
        <f t="shared" si="30"/>
        <v>59.683015549043652</v>
      </c>
      <c r="BQ58" s="404">
        <f t="shared" si="68"/>
        <v>0</v>
      </c>
      <c r="BR58" s="404">
        <f>+IF($R58&gt;L$8,"FIN",(BQ58-SUM(BS$25:BS57))*VLOOKUP($R58,$A:$Q,12,0)/VLOOKUP(L$15,$M$1:$O$4,2,0))</f>
        <v>0</v>
      </c>
      <c r="BS58" s="404">
        <f t="shared" si="31"/>
        <v>0</v>
      </c>
      <c r="BT58" s="404">
        <f t="shared" si="32"/>
        <v>0</v>
      </c>
      <c r="BU58" s="405">
        <f t="shared" si="33"/>
        <v>0</v>
      </c>
      <c r="BV58" s="404">
        <f t="shared" si="69"/>
        <v>0</v>
      </c>
      <c r="BW58" s="404">
        <f>+IF($R58&gt;M$8,"FIN",(BV58-SUM(BX$25:BX57))*VLOOKUP($R58,$A:$Q,13,0)/VLOOKUP(M$15,$M$1:$O$4,2,0))</f>
        <v>0</v>
      </c>
      <c r="BX58" s="404">
        <f t="shared" si="34"/>
        <v>0</v>
      </c>
      <c r="BY58" s="404">
        <f t="shared" si="53"/>
        <v>0</v>
      </c>
      <c r="BZ58" s="405">
        <f t="shared" si="35"/>
        <v>0</v>
      </c>
      <c r="CA58" s="404">
        <f t="shared" si="70"/>
        <v>14079.830909345501</v>
      </c>
      <c r="CB58" s="404">
        <f>+IF($R58&gt;N$8,"FIN",(CA58-SUM(CC$25:CC57))*VLOOKUP($R58,$A:$Q,14,0)/VLOOKUP(N$15,$M$1:$O$4,2,0))</f>
        <v>202.39756932184164</v>
      </c>
      <c r="CC58" s="404">
        <f t="shared" si="36"/>
        <v>391.10641414848612</v>
      </c>
      <c r="CD58" s="404">
        <f t="shared" si="54"/>
        <v>593.50398347032774</v>
      </c>
      <c r="CE58" s="405">
        <f t="shared" si="75"/>
        <v>123.15281210299571</v>
      </c>
      <c r="CF58" s="404">
        <f t="shared" si="71"/>
        <v>6893.2985731165309</v>
      </c>
      <c r="CG58" s="404">
        <f>+IF($R58&gt;O$8,"FIN",(CF58-SUM(CH$25:CH57))*VLOOKUP($R58,$A:$Q,15,0)/VLOOKUP(O$15,$M$1:$O$4,2,0))</f>
        <v>81.85792055575881</v>
      </c>
      <c r="CH58" s="404">
        <f t="shared" si="39"/>
        <v>191.48051591990364</v>
      </c>
      <c r="CI58" s="404">
        <f t="shared" si="55"/>
        <v>273.33843647566243</v>
      </c>
      <c r="CJ58" s="405">
        <f t="shared" si="76"/>
        <v>56.718064318597513</v>
      </c>
      <c r="CK58" s="404"/>
      <c r="CL58" s="404"/>
      <c r="CM58" s="404"/>
      <c r="CN58" s="404"/>
      <c r="CO58" s="405"/>
      <c r="CP58" s="397"/>
      <c r="CQ58" s="348">
        <f t="shared" si="56"/>
        <v>348.59088924266126</v>
      </c>
      <c r="CR58" s="409">
        <f t="shared" si="56"/>
        <v>1139.1823054663246</v>
      </c>
      <c r="CS58" s="410">
        <f t="shared" si="57"/>
        <v>1487.7731947089858</v>
      </c>
      <c r="CT58"/>
    </row>
    <row r="59" spans="1:98" ht="15" x14ac:dyDescent="0.25">
      <c r="A59" s="27">
        <f t="shared" si="43"/>
        <v>50236</v>
      </c>
      <c r="B59" s="256"/>
      <c r="C59" s="256"/>
      <c r="D59" s="256"/>
      <c r="E59" s="256"/>
      <c r="F59" s="256"/>
      <c r="G59" s="256"/>
      <c r="H59" s="256"/>
      <c r="I59" s="256"/>
      <c r="J59" s="256">
        <v>5.7500000000000002E-2</v>
      </c>
      <c r="K59" s="256">
        <v>4.5499999999999999E-2</v>
      </c>
      <c r="L59" s="256">
        <v>4.7500000000000001E-2</v>
      </c>
      <c r="M59" s="256">
        <v>4.2500000000000003E-2</v>
      </c>
      <c r="N59" s="256">
        <v>5.7500000000000002E-2</v>
      </c>
      <c r="O59" s="286">
        <v>4.7500000000000001E-2</v>
      </c>
      <c r="P59" s="259"/>
      <c r="Q59" s="2">
        <f t="shared" si="44"/>
        <v>2037</v>
      </c>
      <c r="R59" s="27">
        <f t="shared" si="45"/>
        <v>50236</v>
      </c>
      <c r="S59" s="404"/>
      <c r="T59" s="404"/>
      <c r="U59" s="404"/>
      <c r="V59" s="404"/>
      <c r="W59" s="405"/>
      <c r="X59" s="404"/>
      <c r="Y59" s="404"/>
      <c r="Z59" s="404"/>
      <c r="AA59" s="404"/>
      <c r="AB59" s="405"/>
      <c r="AC59" s="404"/>
      <c r="AD59" s="404"/>
      <c r="AE59" s="404"/>
      <c r="AF59" s="404"/>
      <c r="AG59" s="405"/>
      <c r="AH59" s="404"/>
      <c r="AI59" s="404"/>
      <c r="AJ59" s="404"/>
      <c r="AK59" s="404"/>
      <c r="AL59" s="405"/>
      <c r="AM59" s="404"/>
      <c r="AN59" s="404"/>
      <c r="AO59" s="404"/>
      <c r="AP59" s="404"/>
      <c r="AQ59" s="405"/>
      <c r="AR59" s="404"/>
      <c r="AS59" s="404"/>
      <c r="AT59" s="404"/>
      <c r="AU59" s="404"/>
      <c r="AV59" s="405"/>
      <c r="AW59" s="404"/>
      <c r="AX59" s="404"/>
      <c r="AY59" s="404"/>
      <c r="AZ59" s="404"/>
      <c r="BA59" s="405"/>
      <c r="BB59" s="404"/>
      <c r="BC59" s="404"/>
      <c r="BD59" s="404"/>
      <c r="BE59" s="404"/>
      <c r="BF59" s="405"/>
      <c r="BG59" s="404">
        <f t="shared" si="66"/>
        <v>5200</v>
      </c>
      <c r="BH59" s="404">
        <f>+IF($R59&gt;J$8,"FIN",(BG59-SUM(BI$25:BI58))*VLOOKUP($R59,$A:$Q,10,0)/VLOOKUP(J$15,$M$1:$O$4,2,0))</f>
        <v>20.386363636363608</v>
      </c>
      <c r="BI59" s="404">
        <f t="shared" si="50"/>
        <v>236.36363636363637</v>
      </c>
      <c r="BJ59" s="404">
        <f t="shared" si="28"/>
        <v>256.75</v>
      </c>
      <c r="BK59" s="405">
        <f t="shared" si="29"/>
        <v>50.796618740109672</v>
      </c>
      <c r="BL59" s="404">
        <f t="shared" si="67"/>
        <v>5800</v>
      </c>
      <c r="BM59" s="404">
        <f>+IF($R59&gt;K$8,"FIN",(BL59-SUM(BN$25:BN58))*VLOOKUP($R59,$A:$Q,11,0)/VLOOKUP(K$15,$M$1:$O$4,2,0))</f>
        <v>17.993181818181821</v>
      </c>
      <c r="BN59" s="404">
        <f t="shared" si="51"/>
        <v>263.63636363636363</v>
      </c>
      <c r="BO59" s="404">
        <f t="shared" si="52"/>
        <v>281.62954545454545</v>
      </c>
      <c r="BP59" s="405">
        <f t="shared" si="30"/>
        <v>55.718904172950076</v>
      </c>
      <c r="BQ59" s="404">
        <f t="shared" si="68"/>
        <v>0</v>
      </c>
      <c r="BR59" s="404">
        <f>+IF($R59&gt;L$8,"FIN",(BQ59-SUM(BS$25:BS58))*VLOOKUP($R59,$A:$Q,12,0)/VLOOKUP(L$15,$M$1:$O$4,2,0))</f>
        <v>0</v>
      </c>
      <c r="BS59" s="404">
        <f t="shared" si="31"/>
        <v>0</v>
      </c>
      <c r="BT59" s="404">
        <f t="shared" si="32"/>
        <v>0</v>
      </c>
      <c r="BU59" s="405">
        <f t="shared" si="33"/>
        <v>0</v>
      </c>
      <c r="BV59" s="404">
        <f t="shared" si="69"/>
        <v>0</v>
      </c>
      <c r="BW59" s="404">
        <f>+IF($R59&gt;M$8,"FIN",(BV59-SUM(BX$25:BX58))*VLOOKUP($R59,$A:$Q,13,0)/VLOOKUP(M$15,$M$1:$O$4,2,0))</f>
        <v>0</v>
      </c>
      <c r="BX59" s="404">
        <f t="shared" si="34"/>
        <v>0</v>
      </c>
      <c r="BY59" s="404">
        <f t="shared" si="53"/>
        <v>0</v>
      </c>
      <c r="BZ59" s="405">
        <f t="shared" si="35"/>
        <v>0</v>
      </c>
      <c r="CA59" s="404">
        <f t="shared" si="70"/>
        <v>14079.830909345501</v>
      </c>
      <c r="CB59" s="404">
        <f>+IF($R59&gt;N$8,"FIN",(CA59-SUM(CC$25:CC58))*VLOOKUP($R59,$A:$Q,14,0)/VLOOKUP(N$15,$M$1:$O$4,2,0))</f>
        <v>191.15325991507268</v>
      </c>
      <c r="CC59" s="404">
        <f t="shared" si="36"/>
        <v>391.10641414848612</v>
      </c>
      <c r="CD59" s="404">
        <f t="shared" si="54"/>
        <v>582.2596740635588</v>
      </c>
      <c r="CE59" s="405">
        <f t="shared" si="75"/>
        <v>115.19697242900533</v>
      </c>
      <c r="CF59" s="404">
        <f t="shared" si="71"/>
        <v>6893.2985731165309</v>
      </c>
      <c r="CG59" s="404">
        <f>+IF($R59&gt;O$8,"FIN",(CF59-SUM(CH$25:CH58))*VLOOKUP($R59,$A:$Q,15,0)/VLOOKUP(O$15,$M$1:$O$4,2,0))</f>
        <v>77.310258302661097</v>
      </c>
      <c r="CH59" s="404">
        <f t="shared" si="39"/>
        <v>191.48051591990364</v>
      </c>
      <c r="CI59" s="404">
        <f t="shared" si="55"/>
        <v>268.79077422256472</v>
      </c>
      <c r="CJ59" s="405">
        <f t="shared" si="76"/>
        <v>53.178821729474265</v>
      </c>
      <c r="CK59" s="404"/>
      <c r="CL59" s="404"/>
      <c r="CM59" s="404"/>
      <c r="CN59" s="404"/>
      <c r="CO59" s="405"/>
      <c r="CP59" s="397"/>
      <c r="CQ59" s="348">
        <f t="shared" si="56"/>
        <v>318.69437970259764</v>
      </c>
      <c r="CR59" s="409">
        <f t="shared" si="56"/>
        <v>1139.1823054663246</v>
      </c>
      <c r="CS59" s="410">
        <f t="shared" si="57"/>
        <v>1457.8766851689222</v>
      </c>
      <c r="CT59"/>
    </row>
    <row r="60" spans="1:98" ht="15" x14ac:dyDescent="0.25">
      <c r="A60" s="27">
        <f t="shared" si="43"/>
        <v>50420</v>
      </c>
      <c r="B60" s="256"/>
      <c r="C60" s="256"/>
      <c r="D60" s="256"/>
      <c r="E60" s="256"/>
      <c r="F60" s="256"/>
      <c r="G60" s="256"/>
      <c r="H60" s="256"/>
      <c r="I60" s="256"/>
      <c r="J60" s="256">
        <v>5.7500000000000002E-2</v>
      </c>
      <c r="K60" s="256">
        <v>4.5499999999999999E-2</v>
      </c>
      <c r="L60" s="256">
        <v>4.7500000000000001E-2</v>
      </c>
      <c r="M60" s="256">
        <v>4.2500000000000003E-2</v>
      </c>
      <c r="N60" s="256">
        <v>5.7500000000000002E-2</v>
      </c>
      <c r="O60" s="286">
        <v>4.7500000000000001E-2</v>
      </c>
      <c r="P60" s="259"/>
      <c r="Q60" s="2">
        <f t="shared" si="44"/>
        <v>2038</v>
      </c>
      <c r="R60" s="27">
        <f t="shared" si="45"/>
        <v>50420</v>
      </c>
      <c r="S60" s="404"/>
      <c r="T60" s="404"/>
      <c r="U60" s="404"/>
      <c r="V60" s="404"/>
      <c r="W60" s="405"/>
      <c r="X60" s="404"/>
      <c r="Y60" s="404"/>
      <c r="Z60" s="404"/>
      <c r="AA60" s="404"/>
      <c r="AB60" s="405"/>
      <c r="AC60" s="404"/>
      <c r="AD60" s="404"/>
      <c r="AE60" s="404"/>
      <c r="AF60" s="404"/>
      <c r="AG60" s="405"/>
      <c r="AH60" s="404"/>
      <c r="AI60" s="404"/>
      <c r="AJ60" s="404"/>
      <c r="AK60" s="404"/>
      <c r="AL60" s="405"/>
      <c r="AM60" s="404"/>
      <c r="AN60" s="404"/>
      <c r="AO60" s="404"/>
      <c r="AP60" s="404"/>
      <c r="AQ60" s="405"/>
      <c r="AR60" s="404"/>
      <c r="AS60" s="404"/>
      <c r="AT60" s="404"/>
      <c r="AU60" s="404"/>
      <c r="AV60" s="405"/>
      <c r="AW60" s="404"/>
      <c r="AX60" s="404"/>
      <c r="AY60" s="404"/>
      <c r="AZ60" s="404"/>
      <c r="BA60" s="405"/>
      <c r="BB60" s="404"/>
      <c r="BC60" s="404"/>
      <c r="BD60" s="404"/>
      <c r="BE60" s="404"/>
      <c r="BF60" s="405"/>
      <c r="BG60" s="404">
        <f t="shared" si="66"/>
        <v>5200</v>
      </c>
      <c r="BH60" s="404">
        <f>+IF($R60&gt;J$8,"FIN",(BG60-SUM(BI$25:BI59))*VLOOKUP($R60,$A:$Q,10,0)/VLOOKUP(J$15,$M$1:$O$4,2,0))</f>
        <v>13.590909090909072</v>
      </c>
      <c r="BI60" s="404">
        <f t="shared" si="50"/>
        <v>236.36363636363637</v>
      </c>
      <c r="BJ60" s="404">
        <f t="shared" si="28"/>
        <v>249.95454545454544</v>
      </c>
      <c r="BK60" s="405">
        <f t="shared" si="29"/>
        <v>47.150798138113636</v>
      </c>
      <c r="BL60" s="404">
        <f t="shared" si="67"/>
        <v>5800</v>
      </c>
      <c r="BM60" s="404">
        <f>+IF($R60&gt;K$8,"FIN",(BL60-SUM(BN$25:BN59))*VLOOKUP($R60,$A:$Q,11,0)/VLOOKUP(K$15,$M$1:$O$4,2,0))</f>
        <v>11.995454545454539</v>
      </c>
      <c r="BN60" s="404">
        <f t="shared" si="51"/>
        <v>263.63636363636363</v>
      </c>
      <c r="BO60" s="404">
        <f t="shared" si="52"/>
        <v>275.63181818181818</v>
      </c>
      <c r="BP60" s="405">
        <f t="shared" si="30"/>
        <v>51.994494422569062</v>
      </c>
      <c r="BQ60" s="404">
        <f t="shared" si="68"/>
        <v>0</v>
      </c>
      <c r="BR60" s="404">
        <f>+IF($R60&gt;L$8,"FIN",(BQ60-SUM(BS$25:BS59))*VLOOKUP($R60,$A:$Q,12,0)/VLOOKUP(L$15,$M$1:$O$4,2,0))</f>
        <v>0</v>
      </c>
      <c r="BS60" s="404">
        <f t="shared" si="31"/>
        <v>0</v>
      </c>
      <c r="BT60" s="404">
        <f t="shared" si="32"/>
        <v>0</v>
      </c>
      <c r="BU60" s="405">
        <f t="shared" si="33"/>
        <v>0</v>
      </c>
      <c r="BV60" s="404">
        <f t="shared" si="69"/>
        <v>0</v>
      </c>
      <c r="BW60" s="404">
        <f>+IF($R60&gt;M$8,"FIN",(BV60-SUM(BX$25:BX59))*VLOOKUP($R60,$A:$Q,13,0)/VLOOKUP(M$15,$M$1:$O$4,2,0))</f>
        <v>0</v>
      </c>
      <c r="BX60" s="404">
        <f t="shared" si="34"/>
        <v>0</v>
      </c>
      <c r="BY60" s="404">
        <f t="shared" si="53"/>
        <v>0</v>
      </c>
      <c r="BZ60" s="405">
        <f t="shared" si="35"/>
        <v>0</v>
      </c>
      <c r="CA60" s="404">
        <f t="shared" si="70"/>
        <v>14079.830909345501</v>
      </c>
      <c r="CB60" s="404">
        <f>+IF($R60&gt;N$8,"FIN",(CA60-SUM(CC$25:CC59))*VLOOKUP($R60,$A:$Q,14,0)/VLOOKUP(N$15,$M$1:$O$4,2,0))</f>
        <v>179.90895050830369</v>
      </c>
      <c r="CC60" s="404">
        <f t="shared" si="36"/>
        <v>391.10641414848612</v>
      </c>
      <c r="CD60" s="404">
        <f t="shared" si="54"/>
        <v>571.01536465678987</v>
      </c>
      <c r="CE60" s="405">
        <f t="shared" si="75"/>
        <v>107.71490529901077</v>
      </c>
      <c r="CF60" s="404">
        <f t="shared" si="71"/>
        <v>6893.2985731165309</v>
      </c>
      <c r="CG60" s="404">
        <f>+IF($R60&gt;O$8,"FIN",(CF60-SUM(CH$25:CH59))*VLOOKUP($R60,$A:$Q,15,0)/VLOOKUP(O$15,$M$1:$O$4,2,0))</f>
        <v>72.762596049563385</v>
      </c>
      <c r="CH60" s="404">
        <f t="shared" si="39"/>
        <v>191.48051591990364</v>
      </c>
      <c r="CI60" s="404">
        <f t="shared" si="55"/>
        <v>264.24311196946701</v>
      </c>
      <c r="CJ60" s="405">
        <f t="shared" si="76"/>
        <v>49.846157465158129</v>
      </c>
      <c r="CK60" s="404"/>
      <c r="CL60" s="404"/>
      <c r="CM60" s="404"/>
      <c r="CN60" s="404"/>
      <c r="CO60" s="405"/>
      <c r="CP60" s="397"/>
      <c r="CQ60" s="348">
        <f t="shared" si="56"/>
        <v>288.79787016253402</v>
      </c>
      <c r="CR60" s="409">
        <f t="shared" si="56"/>
        <v>1139.1823054663246</v>
      </c>
      <c r="CS60" s="410">
        <f t="shared" si="57"/>
        <v>1427.9801756288587</v>
      </c>
      <c r="CT60"/>
    </row>
    <row r="61" spans="1:98" ht="15" x14ac:dyDescent="0.25">
      <c r="A61" s="27">
        <f t="shared" si="43"/>
        <v>50601</v>
      </c>
      <c r="B61" s="256"/>
      <c r="C61" s="256"/>
      <c r="D61" s="256"/>
      <c r="E61" s="256"/>
      <c r="F61" s="256"/>
      <c r="G61" s="256"/>
      <c r="H61" s="256"/>
      <c r="I61" s="256"/>
      <c r="J61" s="256">
        <v>5.7500000000000002E-2</v>
      </c>
      <c r="K61" s="256">
        <v>4.5499999999999999E-2</v>
      </c>
      <c r="L61" s="256">
        <v>4.7500000000000001E-2</v>
      </c>
      <c r="M61" s="256">
        <v>4.2500000000000003E-2</v>
      </c>
      <c r="N61" s="256">
        <v>5.7500000000000002E-2</v>
      </c>
      <c r="O61" s="286">
        <v>4.7500000000000001E-2</v>
      </c>
      <c r="P61" s="259"/>
      <c r="Q61" s="2">
        <f t="shared" si="44"/>
        <v>2038</v>
      </c>
      <c r="R61" s="27">
        <f t="shared" si="45"/>
        <v>50601</v>
      </c>
      <c r="S61" s="404"/>
      <c r="T61" s="404"/>
      <c r="U61" s="404"/>
      <c r="V61" s="404"/>
      <c r="W61" s="405"/>
      <c r="X61" s="404"/>
      <c r="Y61" s="404"/>
      <c r="Z61" s="404"/>
      <c r="AA61" s="404"/>
      <c r="AB61" s="405"/>
      <c r="AC61" s="404"/>
      <c r="AD61" s="404"/>
      <c r="AE61" s="404"/>
      <c r="AF61" s="404"/>
      <c r="AG61" s="405"/>
      <c r="AH61" s="404"/>
      <c r="AI61" s="404"/>
      <c r="AJ61" s="404"/>
      <c r="AK61" s="404"/>
      <c r="AL61" s="405"/>
      <c r="AM61" s="404"/>
      <c r="AN61" s="404"/>
      <c r="AO61" s="404"/>
      <c r="AP61" s="404"/>
      <c r="AQ61" s="405"/>
      <c r="AR61" s="404"/>
      <c r="AS61" s="404"/>
      <c r="AT61" s="404"/>
      <c r="AU61" s="404"/>
      <c r="AV61" s="405"/>
      <c r="AW61" s="404"/>
      <c r="AX61" s="404"/>
      <c r="AY61" s="404"/>
      <c r="AZ61" s="404"/>
      <c r="BA61" s="405"/>
      <c r="BB61" s="404"/>
      <c r="BC61" s="404"/>
      <c r="BD61" s="404"/>
      <c r="BE61" s="404"/>
      <c r="BF61" s="405"/>
      <c r="BG61" s="404">
        <f t="shared" si="66"/>
        <v>5200</v>
      </c>
      <c r="BH61" s="404">
        <f>+IF($R61&gt;J$8,"FIN",(BG61-SUM(BI$25:BI60))*VLOOKUP($R61,$A:$Q,10,0)/VLOOKUP(J$15,$M$1:$O$4,2,0))</f>
        <v>6.7954545454545361</v>
      </c>
      <c r="BI61" s="404">
        <f t="shared" si="50"/>
        <v>236.36363636363637</v>
      </c>
      <c r="BJ61" s="404">
        <f t="shared" si="28"/>
        <v>243.15909090909091</v>
      </c>
      <c r="BK61" s="405">
        <f t="shared" si="29"/>
        <v>43.734299846333563</v>
      </c>
      <c r="BL61" s="404">
        <f t="shared" si="67"/>
        <v>5800</v>
      </c>
      <c r="BM61" s="404">
        <f>+IF($R61&gt;K$8,"FIN",(BL61-SUM(BN$25:BN60))*VLOOKUP($R61,$A:$Q,11,0)/VLOOKUP(K$15,$M$1:$O$4,2,0))</f>
        <v>5.9977272727272597</v>
      </c>
      <c r="BN61" s="404">
        <f t="shared" si="51"/>
        <v>263.63636363636363</v>
      </c>
      <c r="BO61" s="404">
        <f t="shared" si="52"/>
        <v>269.6340909090909</v>
      </c>
      <c r="BP61" s="405">
        <f t="shared" si="30"/>
        <v>48.496061309179993</v>
      </c>
      <c r="BQ61" s="404">
        <f t="shared" si="68"/>
        <v>0</v>
      </c>
      <c r="BR61" s="404">
        <f>+IF($R61&gt;L$8,"FIN",(BQ61-SUM(BS$25:BS60))*VLOOKUP($R61,$A:$Q,12,0)/VLOOKUP(L$15,$M$1:$O$4,2,0))</f>
        <v>0</v>
      </c>
      <c r="BS61" s="404">
        <f t="shared" si="31"/>
        <v>0</v>
      </c>
      <c r="BT61" s="404">
        <f t="shared" si="32"/>
        <v>0</v>
      </c>
      <c r="BU61" s="405">
        <f t="shared" si="33"/>
        <v>0</v>
      </c>
      <c r="BV61" s="404">
        <f t="shared" si="69"/>
        <v>0</v>
      </c>
      <c r="BW61" s="404">
        <f>+IF($R61&gt;M$8,"FIN",(BV61-SUM(BX$25:BX60))*VLOOKUP($R61,$A:$Q,13,0)/VLOOKUP(M$15,$M$1:$O$4,2,0))</f>
        <v>0</v>
      </c>
      <c r="BX61" s="404">
        <f t="shared" si="34"/>
        <v>0</v>
      </c>
      <c r="BY61" s="404">
        <f t="shared" si="53"/>
        <v>0</v>
      </c>
      <c r="BZ61" s="405">
        <f t="shared" si="35"/>
        <v>0</v>
      </c>
      <c r="CA61" s="404">
        <f t="shared" si="70"/>
        <v>14079.830909345501</v>
      </c>
      <c r="CB61" s="404">
        <f>+IF($R61&gt;N$8,"FIN",(CA61-SUM(CC$25:CC60))*VLOOKUP($R61,$A:$Q,14,0)/VLOOKUP(N$15,$M$1:$O$4,2,0))</f>
        <v>168.6646411015347</v>
      </c>
      <c r="CC61" s="404">
        <f t="shared" si="36"/>
        <v>391.10641414848612</v>
      </c>
      <c r="CD61" s="404">
        <f t="shared" si="54"/>
        <v>559.77105525002082</v>
      </c>
      <c r="CE61" s="405">
        <f t="shared" si="75"/>
        <v>100.67974462347232</v>
      </c>
      <c r="CF61" s="404">
        <f t="shared" si="71"/>
        <v>6893.2985731165309</v>
      </c>
      <c r="CG61" s="404">
        <f>+IF($R61&gt;O$8,"FIN",(CF61-SUM(CH$25:CH60))*VLOOKUP($R61,$A:$Q,15,0)/VLOOKUP(O$15,$M$1:$O$4,2,0))</f>
        <v>68.214933796465672</v>
      </c>
      <c r="CH61" s="404">
        <f t="shared" si="39"/>
        <v>191.48051591990364</v>
      </c>
      <c r="CI61" s="404">
        <f t="shared" si="55"/>
        <v>259.6954497163693</v>
      </c>
      <c r="CJ61" s="405">
        <f t="shared" si="76"/>
        <v>46.70850933091522</v>
      </c>
      <c r="CK61" s="404"/>
      <c r="CL61" s="404"/>
      <c r="CM61" s="404"/>
      <c r="CN61" s="404"/>
      <c r="CO61" s="405"/>
      <c r="CP61" s="397"/>
      <c r="CQ61" s="348">
        <f t="shared" si="56"/>
        <v>258.90136062247041</v>
      </c>
      <c r="CR61" s="409">
        <f t="shared" si="56"/>
        <v>1139.1823054663246</v>
      </c>
      <c r="CS61" s="410">
        <f t="shared" si="57"/>
        <v>1398.0836660887949</v>
      </c>
      <c r="CT61"/>
    </row>
    <row r="62" spans="1:98" ht="15" x14ac:dyDescent="0.25">
      <c r="A62" s="27">
        <f t="shared" si="43"/>
        <v>50785</v>
      </c>
      <c r="B62" s="263"/>
      <c r="C62" s="263"/>
      <c r="D62" s="263"/>
      <c r="E62" s="263"/>
      <c r="F62" s="263"/>
      <c r="G62" s="263"/>
      <c r="H62" s="256"/>
      <c r="I62" s="256"/>
      <c r="J62" s="256"/>
      <c r="K62" s="256"/>
      <c r="L62" s="256">
        <v>4.7500000000000001E-2</v>
      </c>
      <c r="M62" s="256">
        <v>4.2500000000000003E-2</v>
      </c>
      <c r="N62" s="256">
        <v>5.7500000000000002E-2</v>
      </c>
      <c r="O62" s="286">
        <v>4.7500000000000001E-2</v>
      </c>
      <c r="P62" s="259"/>
      <c r="Q62" s="2">
        <f t="shared" si="44"/>
        <v>2039</v>
      </c>
      <c r="R62" s="27">
        <f t="shared" si="45"/>
        <v>50785</v>
      </c>
      <c r="S62" s="404"/>
      <c r="T62" s="404"/>
      <c r="U62" s="404"/>
      <c r="V62" s="404"/>
      <c r="W62" s="405"/>
      <c r="X62" s="404"/>
      <c r="Y62" s="404"/>
      <c r="Z62" s="404"/>
      <c r="AA62" s="404"/>
      <c r="AB62" s="405"/>
      <c r="AC62" s="404"/>
      <c r="AD62" s="404"/>
      <c r="AE62" s="404"/>
      <c r="AF62" s="404"/>
      <c r="AG62" s="405"/>
      <c r="AH62" s="404"/>
      <c r="AI62" s="404"/>
      <c r="AJ62" s="404"/>
      <c r="AK62" s="404"/>
      <c r="AL62" s="405"/>
      <c r="AM62" s="404"/>
      <c r="AN62" s="404"/>
      <c r="AO62" s="404"/>
      <c r="AP62" s="404"/>
      <c r="AQ62" s="405"/>
      <c r="AR62" s="404"/>
      <c r="AS62" s="404"/>
      <c r="AT62" s="404"/>
      <c r="AU62" s="404"/>
      <c r="AV62" s="405"/>
      <c r="AW62" s="404"/>
      <c r="AX62" s="404"/>
      <c r="AY62" s="404"/>
      <c r="AZ62" s="404"/>
      <c r="BA62" s="405"/>
      <c r="BB62" s="404"/>
      <c r="BC62" s="404"/>
      <c r="BD62" s="404"/>
      <c r="BE62" s="404"/>
      <c r="BF62" s="405"/>
      <c r="BG62" s="404"/>
      <c r="BH62" s="404"/>
      <c r="BI62" s="404"/>
      <c r="BJ62" s="404"/>
      <c r="BK62" s="405"/>
      <c r="BL62" s="404"/>
      <c r="BM62" s="404"/>
      <c r="BN62" s="404"/>
      <c r="BO62" s="404"/>
      <c r="BP62" s="405"/>
      <c r="BQ62" s="404">
        <f t="shared" si="68"/>
        <v>0</v>
      </c>
      <c r="BR62" s="404">
        <f>+IF($R62&gt;L$8,"FIN",(BQ62-SUM(BS$25:BS61))*VLOOKUP($R62,$A:$Q,12,0)/VLOOKUP(L$15,$M$1:$O$4,2,0))</f>
        <v>0</v>
      </c>
      <c r="BS62" s="404">
        <f t="shared" si="31"/>
        <v>0</v>
      </c>
      <c r="BT62" s="404">
        <f t="shared" si="32"/>
        <v>0</v>
      </c>
      <c r="BU62" s="405">
        <f t="shared" si="33"/>
        <v>0</v>
      </c>
      <c r="BV62" s="404">
        <f t="shared" si="69"/>
        <v>0</v>
      </c>
      <c r="BW62" s="404">
        <f>+IF($R62&gt;M$8,"FIN",(BV62-SUM(BX$25:BX61))*VLOOKUP($R62,$A:$Q,13,0)/VLOOKUP(M$15,$M$1:$O$4,2,0))</f>
        <v>0</v>
      </c>
      <c r="BX62" s="404">
        <f t="shared" si="34"/>
        <v>0</v>
      </c>
      <c r="BY62" s="404">
        <f t="shared" si="53"/>
        <v>0</v>
      </c>
      <c r="BZ62" s="405">
        <f t="shared" si="35"/>
        <v>0</v>
      </c>
      <c r="CA62" s="404">
        <f t="shared" si="70"/>
        <v>14079.830909345501</v>
      </c>
      <c r="CB62" s="404">
        <f>+IF($R62&gt;N$8,"FIN",(CA62-SUM(CC$25:CC61))*VLOOKUP($R62,$A:$Q,14,0)/VLOOKUP(N$15,$M$1:$O$4,2,0))</f>
        <v>157.42033169476574</v>
      </c>
      <c r="CC62" s="404">
        <f t="shared" si="36"/>
        <v>391.10641414848612</v>
      </c>
      <c r="CD62" s="404">
        <f t="shared" si="54"/>
        <v>548.52674584325189</v>
      </c>
      <c r="CE62" s="405">
        <f t="shared" si="75"/>
        <v>94.066098805642952</v>
      </c>
      <c r="CF62" s="404">
        <f t="shared" si="71"/>
        <v>6893.2985731165309</v>
      </c>
      <c r="CG62" s="404">
        <f>+IF($R62&gt;O$8,"FIN",(CF62-SUM(CH$25:CH61))*VLOOKUP($R62,$A:$Q,15,0)/VLOOKUP(O$15,$M$1:$O$4,2,0))</f>
        <v>63.667271543367953</v>
      </c>
      <c r="CH62" s="404">
        <f t="shared" si="39"/>
        <v>191.48051591990364</v>
      </c>
      <c r="CI62" s="404">
        <f t="shared" si="55"/>
        <v>255.14778746327158</v>
      </c>
      <c r="CJ62" s="405">
        <f t="shared" si="76"/>
        <v>43.754943888223451</v>
      </c>
      <c r="CK62" s="404"/>
      <c r="CL62" s="404"/>
      <c r="CM62" s="404"/>
      <c r="CN62" s="404"/>
      <c r="CO62" s="405"/>
      <c r="CP62" s="397"/>
      <c r="CQ62" s="348">
        <f t="shared" si="56"/>
        <v>229.00485108240679</v>
      </c>
      <c r="CR62" s="409">
        <f t="shared" si="56"/>
        <v>606.39820178048933</v>
      </c>
      <c r="CS62" s="410">
        <f t="shared" si="57"/>
        <v>835.40305286289617</v>
      </c>
      <c r="CT62"/>
    </row>
    <row r="63" spans="1:98" ht="15" x14ac:dyDescent="0.25">
      <c r="A63" s="27">
        <f t="shared" si="43"/>
        <v>50966</v>
      </c>
      <c r="B63" s="263"/>
      <c r="C63" s="263"/>
      <c r="D63" s="263"/>
      <c r="E63" s="263"/>
      <c r="F63" s="263"/>
      <c r="G63" s="263"/>
      <c r="H63" s="256"/>
      <c r="I63" s="256"/>
      <c r="J63" s="256"/>
      <c r="K63" s="256"/>
      <c r="L63" s="256">
        <v>4.7500000000000001E-2</v>
      </c>
      <c r="M63" s="256">
        <v>4.2500000000000003E-2</v>
      </c>
      <c r="N63" s="256">
        <v>5.7500000000000002E-2</v>
      </c>
      <c r="O63" s="286">
        <v>4.7500000000000001E-2</v>
      </c>
      <c r="P63" s="259"/>
      <c r="Q63" s="2">
        <f t="shared" si="44"/>
        <v>2039</v>
      </c>
      <c r="R63" s="27">
        <f t="shared" si="45"/>
        <v>50966</v>
      </c>
      <c r="S63" s="404"/>
      <c r="T63" s="404"/>
      <c r="U63" s="404"/>
      <c r="V63" s="404"/>
      <c r="W63" s="405"/>
      <c r="X63" s="404"/>
      <c r="Y63" s="404"/>
      <c r="Z63" s="404"/>
      <c r="AA63" s="404"/>
      <c r="AB63" s="405"/>
      <c r="AC63" s="404"/>
      <c r="AD63" s="404"/>
      <c r="AE63" s="404"/>
      <c r="AF63" s="404"/>
      <c r="AG63" s="405"/>
      <c r="AH63" s="404"/>
      <c r="AI63" s="404"/>
      <c r="AJ63" s="404"/>
      <c r="AK63" s="404"/>
      <c r="AL63" s="405"/>
      <c r="AM63" s="404"/>
      <c r="AN63" s="404"/>
      <c r="AO63" s="404"/>
      <c r="AP63" s="404"/>
      <c r="AQ63" s="405"/>
      <c r="AR63" s="404"/>
      <c r="AS63" s="404"/>
      <c r="AT63" s="404"/>
      <c r="AU63" s="404"/>
      <c r="AV63" s="405"/>
      <c r="AW63" s="404"/>
      <c r="AX63" s="404"/>
      <c r="AY63" s="404"/>
      <c r="AZ63" s="404"/>
      <c r="BA63" s="405"/>
      <c r="BB63" s="404"/>
      <c r="BC63" s="404"/>
      <c r="BD63" s="404"/>
      <c r="BE63" s="404"/>
      <c r="BF63" s="405"/>
      <c r="BG63" s="404"/>
      <c r="BH63" s="404"/>
      <c r="BI63" s="404"/>
      <c r="BJ63" s="404"/>
      <c r="BK63" s="405"/>
      <c r="BL63" s="404"/>
      <c r="BM63" s="404"/>
      <c r="BN63" s="404"/>
      <c r="BO63" s="404"/>
      <c r="BP63" s="405"/>
      <c r="BQ63" s="404">
        <f t="shared" si="68"/>
        <v>0</v>
      </c>
      <c r="BR63" s="404">
        <f>+IF($R63&gt;L$8,"FIN",(BQ63-SUM(BS$25:BS62))*VLOOKUP($R63,$A:$Q,12,0)/VLOOKUP(L$15,$M$1:$O$4,2,0))</f>
        <v>0</v>
      </c>
      <c r="BS63" s="404">
        <f t="shared" si="31"/>
        <v>0</v>
      </c>
      <c r="BT63" s="404">
        <f t="shared" si="32"/>
        <v>0</v>
      </c>
      <c r="BU63" s="405">
        <f t="shared" si="33"/>
        <v>0</v>
      </c>
      <c r="BV63" s="404">
        <f t="shared" si="69"/>
        <v>0</v>
      </c>
      <c r="BW63" s="404">
        <f>+IF($R63&gt;M$8,"FIN",(BV63-SUM(BX$25:BX62))*VLOOKUP($R63,$A:$Q,13,0)/VLOOKUP(M$15,$M$1:$O$4,2,0))</f>
        <v>0</v>
      </c>
      <c r="BX63" s="404">
        <f t="shared" si="34"/>
        <v>0</v>
      </c>
      <c r="BY63" s="404">
        <f t="shared" si="53"/>
        <v>0</v>
      </c>
      <c r="BZ63" s="405">
        <f t="shared" si="35"/>
        <v>0</v>
      </c>
      <c r="CA63" s="404">
        <f t="shared" si="70"/>
        <v>14079.830909345501</v>
      </c>
      <c r="CB63" s="404">
        <f>+IF($R63&gt;N$8,"FIN",(CA63-SUM(CC$25:CC62))*VLOOKUP($R63,$A:$Q,14,0)/VLOOKUP(N$15,$M$1:$O$4,2,0))</f>
        <v>146.17602228799677</v>
      </c>
      <c r="CC63" s="404">
        <f t="shared" si="36"/>
        <v>391.10641414848612</v>
      </c>
      <c r="CD63" s="404">
        <f t="shared" si="54"/>
        <v>537.28243643648284</v>
      </c>
      <c r="CE63" s="405">
        <f t="shared" si="75"/>
        <v>87.84997168812707</v>
      </c>
      <c r="CF63" s="404">
        <f t="shared" si="71"/>
        <v>6893.2985731165309</v>
      </c>
      <c r="CG63" s="404">
        <f>+IF($R63&gt;O$8,"FIN",(CF63-SUM(CH$25:CH62))*VLOOKUP($R63,$A:$Q,15,0)/VLOOKUP(O$15,$M$1:$O$4,2,0))</f>
        <v>59.119609290270226</v>
      </c>
      <c r="CH63" s="404">
        <f t="shared" si="39"/>
        <v>191.48051591990364</v>
      </c>
      <c r="CI63" s="404">
        <f t="shared" si="55"/>
        <v>250.60012521017387</v>
      </c>
      <c r="CJ63" s="405">
        <f t="shared" si="76"/>
        <v>40.975122973999355</v>
      </c>
      <c r="CK63" s="404"/>
      <c r="CL63" s="404"/>
      <c r="CM63" s="404"/>
      <c r="CN63" s="404"/>
      <c r="CO63" s="405"/>
      <c r="CP63" s="397"/>
      <c r="CQ63" s="348">
        <f t="shared" si="56"/>
        <v>212.64736171937773</v>
      </c>
      <c r="CR63" s="409">
        <f t="shared" si="56"/>
        <v>606.39820178048933</v>
      </c>
      <c r="CS63" s="410">
        <f t="shared" si="57"/>
        <v>819.04556349986706</v>
      </c>
      <c r="CT63"/>
    </row>
    <row r="64" spans="1:98" ht="15" x14ac:dyDescent="0.25">
      <c r="A64" s="27">
        <f t="shared" si="43"/>
        <v>51150</v>
      </c>
      <c r="B64" s="263"/>
      <c r="C64" s="263"/>
      <c r="D64" s="263"/>
      <c r="E64" s="263"/>
      <c r="F64" s="263"/>
      <c r="G64" s="263"/>
      <c r="H64" s="256"/>
      <c r="I64" s="256"/>
      <c r="J64" s="256"/>
      <c r="K64" s="256"/>
      <c r="L64" s="256">
        <v>4.7500000000000001E-2</v>
      </c>
      <c r="M64" s="256">
        <v>4.2500000000000003E-2</v>
      </c>
      <c r="N64" s="256">
        <v>5.7500000000000002E-2</v>
      </c>
      <c r="O64" s="286">
        <v>4.7500000000000001E-2</v>
      </c>
      <c r="P64" s="259"/>
      <c r="Q64" s="2">
        <f t="shared" si="44"/>
        <v>2040</v>
      </c>
      <c r="R64" s="27">
        <f t="shared" si="45"/>
        <v>51150</v>
      </c>
      <c r="S64" s="404"/>
      <c r="T64" s="404"/>
      <c r="U64" s="404"/>
      <c r="V64" s="404"/>
      <c r="W64" s="405"/>
      <c r="X64" s="404"/>
      <c r="Y64" s="404"/>
      <c r="Z64" s="404"/>
      <c r="AA64" s="404"/>
      <c r="AB64" s="405"/>
      <c r="AC64" s="404"/>
      <c r="AD64" s="404"/>
      <c r="AE64" s="404"/>
      <c r="AF64" s="404"/>
      <c r="AG64" s="405"/>
      <c r="AH64" s="404"/>
      <c r="AI64" s="404"/>
      <c r="AJ64" s="404"/>
      <c r="AK64" s="404"/>
      <c r="AL64" s="405"/>
      <c r="AM64" s="404"/>
      <c r="AN64" s="404"/>
      <c r="AO64" s="404"/>
      <c r="AP64" s="404"/>
      <c r="AQ64" s="405"/>
      <c r="AR64" s="404"/>
      <c r="AS64" s="404"/>
      <c r="AT64" s="404"/>
      <c r="AU64" s="404"/>
      <c r="AV64" s="405"/>
      <c r="AW64" s="404"/>
      <c r="AX64" s="404"/>
      <c r="AY64" s="404"/>
      <c r="AZ64" s="404"/>
      <c r="BA64" s="405"/>
      <c r="BB64" s="404"/>
      <c r="BC64" s="404"/>
      <c r="BD64" s="404"/>
      <c r="BE64" s="404"/>
      <c r="BF64" s="405"/>
      <c r="BG64" s="404"/>
      <c r="BH64" s="404"/>
      <c r="BI64" s="404"/>
      <c r="BJ64" s="404"/>
      <c r="BK64" s="405"/>
      <c r="BL64" s="404"/>
      <c r="BM64" s="404"/>
      <c r="BN64" s="404"/>
      <c r="BO64" s="404"/>
      <c r="BP64" s="405"/>
      <c r="BQ64" s="404">
        <f t="shared" si="68"/>
        <v>0</v>
      </c>
      <c r="BR64" s="404">
        <f>+IF($R64&gt;L$8,"FIN",(BQ64-SUM(BS$25:BS63))*VLOOKUP($R64,$A:$Q,12,0)/VLOOKUP(L$15,$M$1:$O$4,2,0))</f>
        <v>0</v>
      </c>
      <c r="BS64" s="404">
        <f t="shared" si="31"/>
        <v>0</v>
      </c>
      <c r="BT64" s="404">
        <f t="shared" si="32"/>
        <v>0</v>
      </c>
      <c r="BU64" s="405">
        <f t="shared" si="33"/>
        <v>0</v>
      </c>
      <c r="BV64" s="404">
        <f t="shared" si="69"/>
        <v>0</v>
      </c>
      <c r="BW64" s="404">
        <f>+IF($R64&gt;M$8,"FIN",(BV64-SUM(BX$25:BX63))*VLOOKUP($R64,$A:$Q,13,0)/VLOOKUP(M$15,$M$1:$O$4,2,0))</f>
        <v>0</v>
      </c>
      <c r="BX64" s="404">
        <f t="shared" si="34"/>
        <v>0</v>
      </c>
      <c r="BY64" s="404">
        <f t="shared" si="53"/>
        <v>0</v>
      </c>
      <c r="BZ64" s="405">
        <f t="shared" si="35"/>
        <v>0</v>
      </c>
      <c r="CA64" s="404">
        <f t="shared" si="70"/>
        <v>14079.830909345501</v>
      </c>
      <c r="CB64" s="404">
        <f>+IF($R64&gt;N$8,"FIN",(CA64-SUM(CC$25:CC63))*VLOOKUP($R64,$A:$Q,14,0)/VLOOKUP(N$15,$M$1:$O$4,2,0))</f>
        <v>134.93171288122781</v>
      </c>
      <c r="CC64" s="404">
        <f t="shared" si="36"/>
        <v>391.10641414848612</v>
      </c>
      <c r="CD64" s="404">
        <f t="shared" si="54"/>
        <v>526.03812702971391</v>
      </c>
      <c r="CE64" s="405">
        <f t="shared" si="75"/>
        <v>82.008687663970022</v>
      </c>
      <c r="CF64" s="404">
        <f t="shared" si="71"/>
        <v>6893.2985731165309</v>
      </c>
      <c r="CG64" s="404">
        <f>+IF($R64&gt;O$8,"FIN",(CF64-SUM(CH$25:CH63))*VLOOKUP($R64,$A:$Q,15,0)/VLOOKUP(O$15,$M$1:$O$4,2,0))</f>
        <v>54.571947037172507</v>
      </c>
      <c r="CH64" s="404">
        <f t="shared" si="39"/>
        <v>191.48051591990364</v>
      </c>
      <c r="CI64" s="404">
        <f t="shared" si="55"/>
        <v>246.05246295707616</v>
      </c>
      <c r="CJ64" s="405">
        <f t="shared" si="76"/>
        <v>38.359271974325175</v>
      </c>
      <c r="CK64" s="404"/>
      <c r="CL64" s="404"/>
      <c r="CM64" s="404"/>
      <c r="CN64" s="404"/>
      <c r="CO64" s="405"/>
      <c r="CP64" s="397"/>
      <c r="CQ64" s="348">
        <f t="shared" si="56"/>
        <v>196.2898723563487</v>
      </c>
      <c r="CR64" s="409">
        <f t="shared" si="56"/>
        <v>606.39820178048933</v>
      </c>
      <c r="CS64" s="410">
        <f t="shared" si="57"/>
        <v>802.68807413683805</v>
      </c>
      <c r="CT64"/>
    </row>
    <row r="65" spans="1:98" ht="15" x14ac:dyDescent="0.25">
      <c r="A65" s="27">
        <f t="shared" si="43"/>
        <v>51332</v>
      </c>
      <c r="B65" s="263"/>
      <c r="C65" s="263"/>
      <c r="D65" s="263"/>
      <c r="E65" s="263"/>
      <c r="F65" s="263"/>
      <c r="G65" s="263"/>
      <c r="H65" s="256"/>
      <c r="I65" s="256"/>
      <c r="J65" s="256"/>
      <c r="K65" s="256"/>
      <c r="L65" s="256">
        <v>4.7500000000000001E-2</v>
      </c>
      <c r="M65" s="256">
        <v>4.2500000000000003E-2</v>
      </c>
      <c r="N65" s="256">
        <v>5.7500000000000002E-2</v>
      </c>
      <c r="O65" s="286">
        <v>4.7500000000000001E-2</v>
      </c>
      <c r="P65" s="259"/>
      <c r="Q65" s="2">
        <f t="shared" si="44"/>
        <v>2040</v>
      </c>
      <c r="R65" s="27">
        <f t="shared" si="45"/>
        <v>51332</v>
      </c>
      <c r="S65" s="404"/>
      <c r="T65" s="404"/>
      <c r="U65" s="404"/>
      <c r="V65" s="404"/>
      <c r="W65" s="405"/>
      <c r="X65" s="404"/>
      <c r="Y65" s="404"/>
      <c r="Z65" s="404"/>
      <c r="AA65" s="404"/>
      <c r="AB65" s="405"/>
      <c r="AC65" s="404"/>
      <c r="AD65" s="404"/>
      <c r="AE65" s="404"/>
      <c r="AF65" s="404"/>
      <c r="AG65" s="405"/>
      <c r="AH65" s="404"/>
      <c r="AI65" s="404"/>
      <c r="AJ65" s="404"/>
      <c r="AK65" s="404"/>
      <c r="AL65" s="405"/>
      <c r="AM65" s="404"/>
      <c r="AN65" s="404"/>
      <c r="AO65" s="404"/>
      <c r="AP65" s="404"/>
      <c r="AQ65" s="405"/>
      <c r="AR65" s="404"/>
      <c r="AS65" s="404"/>
      <c r="AT65" s="404"/>
      <c r="AU65" s="404"/>
      <c r="AV65" s="405"/>
      <c r="AW65" s="404"/>
      <c r="AX65" s="404"/>
      <c r="AY65" s="404"/>
      <c r="AZ65" s="404"/>
      <c r="BA65" s="405"/>
      <c r="BB65" s="404"/>
      <c r="BC65" s="404"/>
      <c r="BD65" s="404"/>
      <c r="BE65" s="404"/>
      <c r="BF65" s="405"/>
      <c r="BG65" s="404"/>
      <c r="BH65" s="404"/>
      <c r="BI65" s="404"/>
      <c r="BJ65" s="404"/>
      <c r="BK65" s="405"/>
      <c r="BL65" s="404"/>
      <c r="BM65" s="404"/>
      <c r="BN65" s="404"/>
      <c r="BO65" s="404"/>
      <c r="BP65" s="405"/>
      <c r="BQ65" s="404">
        <f t="shared" si="68"/>
        <v>0</v>
      </c>
      <c r="BR65" s="404">
        <f>+IF($R65&gt;L$8,"FIN",(BQ65-SUM(BS$25:BS64))*VLOOKUP($R65,$A:$Q,12,0)/VLOOKUP(L$15,$M$1:$O$4,2,0))</f>
        <v>0</v>
      </c>
      <c r="BS65" s="404">
        <f t="shared" si="31"/>
        <v>0</v>
      </c>
      <c r="BT65" s="404">
        <f t="shared" si="32"/>
        <v>0</v>
      </c>
      <c r="BU65" s="405">
        <f t="shared" si="33"/>
        <v>0</v>
      </c>
      <c r="BV65" s="404">
        <f t="shared" si="69"/>
        <v>0</v>
      </c>
      <c r="BW65" s="404">
        <f>+IF($R65&gt;M$8,"FIN",(BV65-SUM(BX$25:BX64))*VLOOKUP($R65,$A:$Q,13,0)/VLOOKUP(M$15,$M$1:$O$4,2,0))</f>
        <v>0</v>
      </c>
      <c r="BX65" s="404">
        <f t="shared" si="34"/>
        <v>0</v>
      </c>
      <c r="BY65" s="404">
        <f t="shared" si="53"/>
        <v>0</v>
      </c>
      <c r="BZ65" s="405">
        <f t="shared" si="35"/>
        <v>0</v>
      </c>
      <c r="CA65" s="404">
        <f t="shared" si="70"/>
        <v>14079.830909345501</v>
      </c>
      <c r="CB65" s="404">
        <f>+IF($R65&gt;N$8,"FIN",(CA65-SUM(CC$25:CC64))*VLOOKUP($R65,$A:$Q,14,0)/VLOOKUP(N$15,$M$1:$O$4,2,0))</f>
        <v>123.68740347445885</v>
      </c>
      <c r="CC65" s="404">
        <f t="shared" si="36"/>
        <v>391.10641414848612</v>
      </c>
      <c r="CD65" s="404">
        <f t="shared" si="54"/>
        <v>514.79381762294497</v>
      </c>
      <c r="CE65" s="405">
        <f t="shared" si="75"/>
        <v>76.520820735873798</v>
      </c>
      <c r="CF65" s="404">
        <f t="shared" si="71"/>
        <v>6893.2985731165309</v>
      </c>
      <c r="CG65" s="404">
        <f>+IF($R65&gt;O$8,"FIN",(CF65-SUM(CH$25:CH64))*VLOOKUP($R65,$A:$Q,15,0)/VLOOKUP(O$15,$M$1:$O$4,2,0))</f>
        <v>50.024284784074787</v>
      </c>
      <c r="CH65" s="404">
        <f t="shared" si="39"/>
        <v>191.48051591990364</v>
      </c>
      <c r="CI65" s="404">
        <f t="shared" si="55"/>
        <v>241.50480070397842</v>
      </c>
      <c r="CJ65" s="405">
        <f t="shared" si="76"/>
        <v>35.898149761887076</v>
      </c>
      <c r="CK65" s="404"/>
      <c r="CL65" s="404"/>
      <c r="CM65" s="404"/>
      <c r="CN65" s="404"/>
      <c r="CO65" s="405"/>
      <c r="CP65" s="397"/>
      <c r="CQ65" s="348">
        <f t="shared" si="56"/>
        <v>179.93238299331964</v>
      </c>
      <c r="CR65" s="409">
        <f t="shared" si="56"/>
        <v>606.39820178048933</v>
      </c>
      <c r="CS65" s="410">
        <f t="shared" si="57"/>
        <v>786.33058477380894</v>
      </c>
      <c r="CT65"/>
    </row>
    <row r="66" spans="1:98" ht="15" x14ac:dyDescent="0.25">
      <c r="A66" s="27">
        <f t="shared" si="43"/>
        <v>51516</v>
      </c>
      <c r="B66" s="263"/>
      <c r="C66" s="263"/>
      <c r="D66" s="263"/>
      <c r="E66" s="263"/>
      <c r="F66" s="263"/>
      <c r="G66" s="263"/>
      <c r="H66" s="263"/>
      <c r="I66" s="256"/>
      <c r="J66" s="256"/>
      <c r="K66" s="256"/>
      <c r="L66" s="256">
        <v>4.7500000000000001E-2</v>
      </c>
      <c r="M66" s="256">
        <v>4.2500000000000003E-2</v>
      </c>
      <c r="N66" s="256">
        <v>5.7500000000000002E-2</v>
      </c>
      <c r="O66" s="286">
        <v>4.7500000000000001E-2</v>
      </c>
      <c r="P66" s="259"/>
      <c r="Q66" s="2">
        <f t="shared" si="44"/>
        <v>2041</v>
      </c>
      <c r="R66" s="27">
        <f t="shared" si="45"/>
        <v>51516</v>
      </c>
      <c r="S66" s="404"/>
      <c r="T66" s="404"/>
      <c r="U66" s="404"/>
      <c r="V66" s="404"/>
      <c r="W66" s="405"/>
      <c r="X66" s="404"/>
      <c r="Y66" s="404"/>
      <c r="Z66" s="404"/>
      <c r="AA66" s="404"/>
      <c r="AB66" s="405"/>
      <c r="AC66" s="404"/>
      <c r="AD66" s="404"/>
      <c r="AE66" s="404"/>
      <c r="AF66" s="404"/>
      <c r="AG66" s="405"/>
      <c r="AH66" s="404"/>
      <c r="AI66" s="404"/>
      <c r="AJ66" s="404"/>
      <c r="AK66" s="404"/>
      <c r="AL66" s="405"/>
      <c r="AM66" s="404"/>
      <c r="AN66" s="404"/>
      <c r="AO66" s="404"/>
      <c r="AP66" s="404"/>
      <c r="AQ66" s="405"/>
      <c r="AR66" s="404"/>
      <c r="AS66" s="404"/>
      <c r="AT66" s="404"/>
      <c r="AU66" s="404"/>
      <c r="AV66" s="405"/>
      <c r="AW66" s="404"/>
      <c r="AX66" s="404"/>
      <c r="AY66" s="404"/>
      <c r="AZ66" s="404"/>
      <c r="BA66" s="405"/>
      <c r="BB66" s="404"/>
      <c r="BC66" s="404"/>
      <c r="BD66" s="404"/>
      <c r="BE66" s="404"/>
      <c r="BF66" s="405"/>
      <c r="BG66" s="404"/>
      <c r="BH66" s="404"/>
      <c r="BI66" s="404"/>
      <c r="BJ66" s="404"/>
      <c r="BK66" s="405"/>
      <c r="BL66" s="404"/>
      <c r="BM66" s="404"/>
      <c r="BN66" s="404"/>
      <c r="BO66" s="404"/>
      <c r="BP66" s="405"/>
      <c r="BQ66" s="404">
        <f t="shared" si="68"/>
        <v>0</v>
      </c>
      <c r="BR66" s="404">
        <f>+IF($R66&gt;L$8,"FIN",(BQ66-SUM(BS$25:BS65))*VLOOKUP($R66,$A:$Q,12,0)/VLOOKUP(L$15,$M$1:$O$4,2,0))</f>
        <v>0</v>
      </c>
      <c r="BS66" s="404">
        <f t="shared" si="31"/>
        <v>0</v>
      </c>
      <c r="BT66" s="404">
        <f t="shared" si="32"/>
        <v>0</v>
      </c>
      <c r="BU66" s="405">
        <f t="shared" si="33"/>
        <v>0</v>
      </c>
      <c r="BV66" s="404">
        <f t="shared" si="69"/>
        <v>0</v>
      </c>
      <c r="BW66" s="404">
        <f>+IF($R66&gt;M$8,"FIN",(BV66-SUM(BX$25:BX65))*VLOOKUP($R66,$A:$Q,13,0)/VLOOKUP(M$15,$M$1:$O$4,2,0))</f>
        <v>0</v>
      </c>
      <c r="BX66" s="404">
        <f t="shared" si="34"/>
        <v>0</v>
      </c>
      <c r="BY66" s="404">
        <f t="shared" si="53"/>
        <v>0</v>
      </c>
      <c r="BZ66" s="405">
        <f t="shared" si="35"/>
        <v>0</v>
      </c>
      <c r="CA66" s="404">
        <f t="shared" si="70"/>
        <v>14079.830909345501</v>
      </c>
      <c r="CB66" s="404">
        <f>+IF($R66&gt;N$8,"FIN",(CA66-SUM(CC$25:CC65))*VLOOKUP($R66,$A:$Q,14,0)/VLOOKUP(N$15,$M$1:$O$4,2,0))</f>
        <v>112.44309406768987</v>
      </c>
      <c r="CC66" s="404">
        <f t="shared" si="36"/>
        <v>391.10641414848612</v>
      </c>
      <c r="CD66" s="404">
        <f t="shared" si="54"/>
        <v>503.54950821617598</v>
      </c>
      <c r="CE66" s="405">
        <f t="shared" si="75"/>
        <v>71.366127318257128</v>
      </c>
      <c r="CF66" s="404">
        <f t="shared" si="71"/>
        <v>6893.2985731165309</v>
      </c>
      <c r="CG66" s="404">
        <f>+IF($R66&gt;O$8,"FIN",(CF66-SUM(CH$25:CH65))*VLOOKUP($R66,$A:$Q,15,0)/VLOOKUP(O$15,$M$1:$O$4,2,0))</f>
        <v>45.476622530977068</v>
      </c>
      <c r="CH66" s="404">
        <f t="shared" si="39"/>
        <v>191.48051591990364</v>
      </c>
      <c r="CI66" s="404">
        <f t="shared" si="55"/>
        <v>236.95713845088071</v>
      </c>
      <c r="CJ66" s="405">
        <f t="shared" si="76"/>
        <v>33.583020210985076</v>
      </c>
      <c r="CK66" s="404"/>
      <c r="CL66" s="404"/>
      <c r="CM66" s="404"/>
      <c r="CN66" s="404"/>
      <c r="CO66" s="405"/>
      <c r="CP66" s="397"/>
      <c r="CQ66" s="348">
        <f t="shared" si="56"/>
        <v>163.57489363029057</v>
      </c>
      <c r="CR66" s="409">
        <f t="shared" si="56"/>
        <v>606.39820178048933</v>
      </c>
      <c r="CS66" s="410">
        <f t="shared" si="57"/>
        <v>769.97309541077993</v>
      </c>
      <c r="CT66"/>
    </row>
    <row r="67" spans="1:98" ht="15" x14ac:dyDescent="0.25">
      <c r="A67" s="27">
        <f t="shared" si="43"/>
        <v>51697</v>
      </c>
      <c r="B67" s="263"/>
      <c r="C67" s="263"/>
      <c r="D67" s="263"/>
      <c r="E67" s="263"/>
      <c r="F67" s="263"/>
      <c r="G67" s="263"/>
      <c r="H67" s="263"/>
      <c r="I67" s="256"/>
      <c r="J67" s="256"/>
      <c r="K67" s="256"/>
      <c r="L67" s="256">
        <v>4.7500000000000001E-2</v>
      </c>
      <c r="M67" s="256">
        <v>4.2500000000000003E-2</v>
      </c>
      <c r="N67" s="256">
        <v>5.7500000000000002E-2</v>
      </c>
      <c r="O67" s="286">
        <v>4.7500000000000001E-2</v>
      </c>
      <c r="P67" s="259"/>
      <c r="Q67" s="2">
        <f t="shared" si="44"/>
        <v>2041</v>
      </c>
      <c r="R67" s="27">
        <f t="shared" si="45"/>
        <v>51697</v>
      </c>
      <c r="S67" s="404"/>
      <c r="T67" s="404"/>
      <c r="U67" s="404"/>
      <c r="V67" s="404"/>
      <c r="W67" s="405"/>
      <c r="X67" s="404"/>
      <c r="Y67" s="404"/>
      <c r="Z67" s="404"/>
      <c r="AA67" s="404"/>
      <c r="AB67" s="405"/>
      <c r="AC67" s="404"/>
      <c r="AD67" s="404"/>
      <c r="AE67" s="404"/>
      <c r="AF67" s="404"/>
      <c r="AG67" s="405"/>
      <c r="AH67" s="404"/>
      <c r="AI67" s="404"/>
      <c r="AJ67" s="404"/>
      <c r="AK67" s="404"/>
      <c r="AL67" s="405"/>
      <c r="AM67" s="404"/>
      <c r="AN67" s="404"/>
      <c r="AO67" s="404"/>
      <c r="AP67" s="404"/>
      <c r="AQ67" s="405"/>
      <c r="AR67" s="404"/>
      <c r="AS67" s="404"/>
      <c r="AT67" s="404"/>
      <c r="AU67" s="404"/>
      <c r="AV67" s="405"/>
      <c r="AW67" s="404"/>
      <c r="AX67" s="404"/>
      <c r="AY67" s="404"/>
      <c r="AZ67" s="404"/>
      <c r="BA67" s="405"/>
      <c r="BB67" s="404"/>
      <c r="BC67" s="404"/>
      <c r="BD67" s="404"/>
      <c r="BE67" s="404"/>
      <c r="BF67" s="405"/>
      <c r="BG67" s="404"/>
      <c r="BH67" s="404"/>
      <c r="BI67" s="404"/>
      <c r="BJ67" s="404"/>
      <c r="BK67" s="405"/>
      <c r="BL67" s="404"/>
      <c r="BM67" s="404"/>
      <c r="BN67" s="404"/>
      <c r="BO67" s="404"/>
      <c r="BP67" s="405"/>
      <c r="BQ67" s="404">
        <f t="shared" si="68"/>
        <v>0</v>
      </c>
      <c r="BR67" s="404">
        <f>+IF($R67&gt;L$8,"FIN",(BQ67-SUM(BS$25:BS66))*VLOOKUP($R67,$A:$Q,12,0)/VLOOKUP(L$15,$M$1:$O$4,2,0))</f>
        <v>0</v>
      </c>
      <c r="BS67" s="404">
        <f t="shared" si="31"/>
        <v>0</v>
      </c>
      <c r="BT67" s="404">
        <f t="shared" si="32"/>
        <v>0</v>
      </c>
      <c r="BU67" s="405">
        <f t="shared" si="33"/>
        <v>0</v>
      </c>
      <c r="BV67" s="404">
        <f t="shared" si="69"/>
        <v>0</v>
      </c>
      <c r="BW67" s="404">
        <f>+IF($R67&gt;M$8,"FIN",(BV67-SUM(BX$25:BX66))*VLOOKUP($R67,$A:$Q,13,0)/VLOOKUP(M$15,$M$1:$O$4,2,0))</f>
        <v>0</v>
      </c>
      <c r="BX67" s="404">
        <f t="shared" si="34"/>
        <v>0</v>
      </c>
      <c r="BY67" s="404">
        <f t="shared" si="53"/>
        <v>0</v>
      </c>
      <c r="BZ67" s="405">
        <f t="shared" si="35"/>
        <v>0</v>
      </c>
      <c r="CA67" s="404">
        <f t="shared" si="70"/>
        <v>14079.830909345501</v>
      </c>
      <c r="CB67" s="404">
        <f>+IF($R67&gt;N$8,"FIN",(CA67-SUM(CC$25:CC66))*VLOOKUP($R67,$A:$Q,14,0)/VLOOKUP(N$15,$M$1:$O$4,2,0))</f>
        <v>101.19878466092091</v>
      </c>
      <c r="CC67" s="404">
        <f t="shared" si="36"/>
        <v>391.10641414848612</v>
      </c>
      <c r="CD67" s="404">
        <f t="shared" si="54"/>
        <v>492.30519880940705</v>
      </c>
      <c r="CE67" s="405">
        <f t="shared" si="75"/>
        <v>66.525482587434084</v>
      </c>
      <c r="CF67" s="404">
        <f t="shared" si="71"/>
        <v>6893.2985731165309</v>
      </c>
      <c r="CG67" s="404">
        <f>+IF($R67&gt;O$8,"FIN",(CF67-SUM(CH$25:CH66))*VLOOKUP($R67,$A:$Q,15,0)/VLOOKUP(O$15,$M$1:$O$4,2,0))</f>
        <v>40.928960277879341</v>
      </c>
      <c r="CH67" s="404">
        <f t="shared" si="39"/>
        <v>191.48051591990364</v>
      </c>
      <c r="CI67" s="404">
        <f t="shared" si="55"/>
        <v>232.40947619778296</v>
      </c>
      <c r="CJ67" s="405">
        <f t="shared" si="76"/>
        <v>31.405625208390251</v>
      </c>
      <c r="CK67" s="404"/>
      <c r="CL67" s="404"/>
      <c r="CM67" s="404"/>
      <c r="CN67" s="404"/>
      <c r="CO67" s="405"/>
      <c r="CP67" s="397"/>
      <c r="CQ67" s="348">
        <f t="shared" si="56"/>
        <v>147.21740426726151</v>
      </c>
      <c r="CR67" s="409">
        <f t="shared" si="56"/>
        <v>606.39820178048933</v>
      </c>
      <c r="CS67" s="410">
        <f t="shared" si="57"/>
        <v>753.61560604775082</v>
      </c>
      <c r="CT67"/>
    </row>
    <row r="68" spans="1:98" ht="15" x14ac:dyDescent="0.25">
      <c r="A68" s="27">
        <f t="shared" si="43"/>
        <v>51881</v>
      </c>
      <c r="B68" s="263"/>
      <c r="C68" s="263"/>
      <c r="D68" s="263"/>
      <c r="E68" s="263"/>
      <c r="F68" s="263"/>
      <c r="G68" s="263"/>
      <c r="H68" s="263"/>
      <c r="I68" s="256"/>
      <c r="J68" s="256"/>
      <c r="K68" s="256"/>
      <c r="L68" s="256"/>
      <c r="M68" s="256"/>
      <c r="N68" s="256">
        <v>5.7500000000000002E-2</v>
      </c>
      <c r="O68" s="286">
        <v>4.7500000000000001E-2</v>
      </c>
      <c r="P68" s="259"/>
      <c r="Q68" s="2">
        <f t="shared" si="44"/>
        <v>2042</v>
      </c>
      <c r="R68" s="27">
        <f t="shared" si="45"/>
        <v>51881</v>
      </c>
      <c r="S68" s="404"/>
      <c r="T68" s="404"/>
      <c r="U68" s="404"/>
      <c r="V68" s="404"/>
      <c r="W68" s="405"/>
      <c r="X68" s="404"/>
      <c r="Y68" s="404"/>
      <c r="Z68" s="404"/>
      <c r="AA68" s="404"/>
      <c r="AB68" s="405"/>
      <c r="AC68" s="404"/>
      <c r="AD68" s="404"/>
      <c r="AE68" s="404"/>
      <c r="AF68" s="404"/>
      <c r="AG68" s="405"/>
      <c r="AH68" s="404"/>
      <c r="AI68" s="404"/>
      <c r="AJ68" s="404"/>
      <c r="AK68" s="404"/>
      <c r="AL68" s="405"/>
      <c r="AM68" s="404"/>
      <c r="AN68" s="404"/>
      <c r="AO68" s="404"/>
      <c r="AP68" s="404"/>
      <c r="AQ68" s="405"/>
      <c r="AR68" s="404"/>
      <c r="AS68" s="404"/>
      <c r="AT68" s="404"/>
      <c r="AU68" s="404"/>
      <c r="AV68" s="405"/>
      <c r="AW68" s="404"/>
      <c r="AX68" s="404"/>
      <c r="AY68" s="404"/>
      <c r="AZ68" s="404"/>
      <c r="BA68" s="405"/>
      <c r="BB68" s="404"/>
      <c r="BC68" s="404"/>
      <c r="BD68" s="404"/>
      <c r="BE68" s="404"/>
      <c r="BF68" s="405"/>
      <c r="BG68" s="404"/>
      <c r="BH68" s="404"/>
      <c r="BI68" s="404"/>
      <c r="BJ68" s="404"/>
      <c r="BK68" s="405"/>
      <c r="BL68" s="404"/>
      <c r="BM68" s="404"/>
      <c r="BN68" s="404"/>
      <c r="BO68" s="404"/>
      <c r="BP68" s="405"/>
      <c r="BQ68" s="404"/>
      <c r="BR68" s="404"/>
      <c r="BS68" s="404"/>
      <c r="BT68" s="404"/>
      <c r="BU68" s="405"/>
      <c r="BV68" s="404"/>
      <c r="BW68" s="404"/>
      <c r="BX68" s="404"/>
      <c r="BY68" s="404"/>
      <c r="BZ68" s="405"/>
      <c r="CA68" s="404">
        <f t="shared" si="70"/>
        <v>14079.830909345501</v>
      </c>
      <c r="CB68" s="404">
        <f>+IF($R68&gt;N$8,"FIN",(CA68-SUM(CC$25:CC67))*VLOOKUP($R68,$A:$Q,14,0)/VLOOKUP(N$15,$M$1:$O$4,2,0))</f>
        <v>89.954475254151944</v>
      </c>
      <c r="CC68" s="404">
        <f t="shared" si="36"/>
        <v>391.10641414848612</v>
      </c>
      <c r="CD68" s="404">
        <f t="shared" si="54"/>
        <v>481.06088940263805</v>
      </c>
      <c r="CE68" s="405">
        <f t="shared" si="75"/>
        <v>61.980820195203002</v>
      </c>
      <c r="CF68" s="404">
        <f t="shared" si="71"/>
        <v>6893.2985731165309</v>
      </c>
      <c r="CG68" s="404">
        <f>+IF($R68&gt;O$8,"FIN",(CF68-SUM(CH$25:CH67))*VLOOKUP($R68,$A:$Q,15,0)/VLOOKUP(O$15,$M$1:$O$4,2,0))</f>
        <v>36.381298024781621</v>
      </c>
      <c r="CH68" s="404">
        <f t="shared" si="39"/>
        <v>191.48051591990364</v>
      </c>
      <c r="CI68" s="404">
        <f t="shared" si="55"/>
        <v>227.86181394468525</v>
      </c>
      <c r="CJ68" s="405">
        <f t="shared" si="76"/>
        <v>29.358159082514032</v>
      </c>
      <c r="CK68" s="404"/>
      <c r="CL68" s="404"/>
      <c r="CM68" s="404"/>
      <c r="CN68" s="404"/>
      <c r="CO68" s="405"/>
      <c r="CP68" s="397"/>
      <c r="CQ68" s="348">
        <f t="shared" si="56"/>
        <v>130.85991490423248</v>
      </c>
      <c r="CR68" s="409">
        <f t="shared" si="56"/>
        <v>606.39820178048933</v>
      </c>
      <c r="CS68" s="410">
        <f t="shared" si="57"/>
        <v>737.25811668472181</v>
      </c>
      <c r="CT68"/>
    </row>
    <row r="69" spans="1:98" ht="15" x14ac:dyDescent="0.25">
      <c r="A69" s="27">
        <f t="shared" si="43"/>
        <v>52062</v>
      </c>
      <c r="B69" s="263"/>
      <c r="C69" s="263"/>
      <c r="D69" s="263"/>
      <c r="E69" s="263"/>
      <c r="F69" s="263"/>
      <c r="G69" s="263"/>
      <c r="H69" s="263"/>
      <c r="I69" s="256"/>
      <c r="J69" s="256"/>
      <c r="K69" s="256"/>
      <c r="L69" s="256"/>
      <c r="M69" s="256"/>
      <c r="N69" s="256">
        <v>5.7500000000000002E-2</v>
      </c>
      <c r="O69" s="286">
        <v>4.7500000000000001E-2</v>
      </c>
      <c r="P69" s="259"/>
      <c r="Q69" s="2">
        <f t="shared" si="44"/>
        <v>2042</v>
      </c>
      <c r="R69" s="27">
        <f t="shared" si="45"/>
        <v>52062</v>
      </c>
      <c r="S69" s="404"/>
      <c r="T69" s="404"/>
      <c r="U69" s="404"/>
      <c r="V69" s="404"/>
      <c r="W69" s="405"/>
      <c r="X69" s="404"/>
      <c r="Y69" s="404"/>
      <c r="Z69" s="404"/>
      <c r="AA69" s="404"/>
      <c r="AB69" s="405"/>
      <c r="AC69" s="404"/>
      <c r="AD69" s="404"/>
      <c r="AE69" s="404"/>
      <c r="AF69" s="404"/>
      <c r="AG69" s="405"/>
      <c r="AH69" s="404"/>
      <c r="AI69" s="404"/>
      <c r="AJ69" s="404"/>
      <c r="AK69" s="404"/>
      <c r="AL69" s="405"/>
      <c r="AM69" s="404"/>
      <c r="AN69" s="404"/>
      <c r="AO69" s="404"/>
      <c r="AP69" s="404"/>
      <c r="AQ69" s="405"/>
      <c r="AR69" s="404"/>
      <c r="AS69" s="404"/>
      <c r="AT69" s="404"/>
      <c r="AU69" s="404"/>
      <c r="AV69" s="405"/>
      <c r="AW69" s="404"/>
      <c r="AX69" s="404"/>
      <c r="AY69" s="404"/>
      <c r="AZ69" s="404"/>
      <c r="BA69" s="405"/>
      <c r="BB69" s="404"/>
      <c r="BC69" s="404"/>
      <c r="BD69" s="404"/>
      <c r="BE69" s="404"/>
      <c r="BF69" s="405"/>
      <c r="BG69" s="404"/>
      <c r="BH69" s="404"/>
      <c r="BI69" s="404"/>
      <c r="BJ69" s="404"/>
      <c r="BK69" s="405"/>
      <c r="BL69" s="404"/>
      <c r="BM69" s="404"/>
      <c r="BN69" s="404"/>
      <c r="BO69" s="404"/>
      <c r="BP69" s="405"/>
      <c r="BQ69" s="404"/>
      <c r="BR69" s="404"/>
      <c r="BS69" s="404"/>
      <c r="BT69" s="404"/>
      <c r="BU69" s="405"/>
      <c r="BV69" s="404"/>
      <c r="BW69" s="404"/>
      <c r="BX69" s="404"/>
      <c r="BY69" s="404"/>
      <c r="BZ69" s="405"/>
      <c r="CA69" s="404">
        <f t="shared" si="70"/>
        <v>14079.830909345501</v>
      </c>
      <c r="CB69" s="404">
        <f>+IF($R69&gt;N$8,"FIN",(CA69-SUM(CC$25:CC68))*VLOOKUP($R69,$A:$Q,14,0)/VLOOKUP(N$15,$M$1:$O$4,2,0))</f>
        <v>78.710165847382981</v>
      </c>
      <c r="CC69" s="404">
        <f t="shared" si="36"/>
        <v>391.10641414848612</v>
      </c>
      <c r="CD69" s="404">
        <f t="shared" si="54"/>
        <v>469.81657999586912</v>
      </c>
      <c r="CE69" s="405">
        <f t="shared" si="75"/>
        <v>57.715075170645626</v>
      </c>
      <c r="CF69" s="404">
        <f t="shared" si="71"/>
        <v>6893.2985731165309</v>
      </c>
      <c r="CG69" s="404">
        <f>+IF($R69&gt;O$8,"FIN",(CF69-SUM(CH$25:CH68))*VLOOKUP($R69,$A:$Q,15,0)/VLOOKUP(O$15,$M$1:$O$4,2,0))</f>
        <v>31.833635771683898</v>
      </c>
      <c r="CH69" s="404">
        <f t="shared" si="39"/>
        <v>191.48051591990364</v>
      </c>
      <c r="CI69" s="404">
        <f t="shared" si="55"/>
        <v>223.31415169158754</v>
      </c>
      <c r="CJ69" s="405">
        <f t="shared" si="76"/>
        <v>27.433244377331803</v>
      </c>
      <c r="CK69" s="404"/>
      <c r="CL69" s="404"/>
      <c r="CM69" s="404"/>
      <c r="CN69" s="404"/>
      <c r="CO69" s="405"/>
      <c r="CP69" s="397"/>
      <c r="CQ69" s="348">
        <f t="shared" si="56"/>
        <v>114.50242554120342</v>
      </c>
      <c r="CR69" s="409">
        <f t="shared" si="56"/>
        <v>606.39820178048933</v>
      </c>
      <c r="CS69" s="410">
        <f t="shared" si="57"/>
        <v>720.90062732169281</v>
      </c>
      <c r="CT69"/>
    </row>
    <row r="70" spans="1:98" ht="15" x14ac:dyDescent="0.25">
      <c r="A70" s="27">
        <f t="shared" si="43"/>
        <v>52246</v>
      </c>
      <c r="B70" s="263"/>
      <c r="C70" s="263"/>
      <c r="D70" s="263"/>
      <c r="E70" s="263"/>
      <c r="F70" s="263"/>
      <c r="G70" s="263"/>
      <c r="H70" s="263"/>
      <c r="I70" s="256"/>
      <c r="J70" s="256"/>
      <c r="K70" s="256"/>
      <c r="L70" s="256"/>
      <c r="M70" s="256"/>
      <c r="N70" s="256">
        <v>5.7500000000000002E-2</v>
      </c>
      <c r="O70" s="286">
        <v>4.7500000000000001E-2</v>
      </c>
      <c r="P70" s="259"/>
      <c r="Q70" s="2">
        <f t="shared" si="44"/>
        <v>2043</v>
      </c>
      <c r="R70" s="27">
        <f t="shared" si="45"/>
        <v>52246</v>
      </c>
      <c r="S70" s="404"/>
      <c r="T70" s="404"/>
      <c r="U70" s="404"/>
      <c r="V70" s="404"/>
      <c r="W70" s="405"/>
      <c r="X70" s="404"/>
      <c r="Y70" s="404"/>
      <c r="Z70" s="404"/>
      <c r="AA70" s="404"/>
      <c r="AB70" s="405"/>
      <c r="AC70" s="404"/>
      <c r="AD70" s="404"/>
      <c r="AE70" s="404"/>
      <c r="AF70" s="404"/>
      <c r="AG70" s="405"/>
      <c r="AH70" s="404"/>
      <c r="AI70" s="404"/>
      <c r="AJ70" s="404"/>
      <c r="AK70" s="404"/>
      <c r="AL70" s="405"/>
      <c r="AM70" s="404"/>
      <c r="AN70" s="404"/>
      <c r="AO70" s="404"/>
      <c r="AP70" s="404"/>
      <c r="AQ70" s="405"/>
      <c r="AR70" s="404"/>
      <c r="AS70" s="404"/>
      <c r="AT70" s="404"/>
      <c r="AU70" s="404"/>
      <c r="AV70" s="405"/>
      <c r="AW70" s="404"/>
      <c r="AX70" s="404"/>
      <c r="AY70" s="404"/>
      <c r="AZ70" s="404"/>
      <c r="BA70" s="405"/>
      <c r="BB70" s="404"/>
      <c r="BC70" s="404"/>
      <c r="BD70" s="404"/>
      <c r="BE70" s="404"/>
      <c r="BF70" s="405"/>
      <c r="BG70" s="404"/>
      <c r="BH70" s="404"/>
      <c r="BI70" s="404"/>
      <c r="BJ70" s="404"/>
      <c r="BK70" s="405"/>
      <c r="BL70" s="404"/>
      <c r="BM70" s="404"/>
      <c r="BN70" s="404"/>
      <c r="BO70" s="404"/>
      <c r="BP70" s="405"/>
      <c r="BQ70" s="404"/>
      <c r="BR70" s="404"/>
      <c r="BS70" s="404"/>
      <c r="BT70" s="404"/>
      <c r="BU70" s="405"/>
      <c r="BV70" s="404"/>
      <c r="BW70" s="404"/>
      <c r="BX70" s="404"/>
      <c r="BY70" s="404"/>
      <c r="BZ70" s="405"/>
      <c r="CA70" s="404">
        <f t="shared" si="70"/>
        <v>14079.830909345501</v>
      </c>
      <c r="CB70" s="404">
        <f>+IF($R70&gt;N$8,"FIN",(CA70-SUM(CC$25:CC69))*VLOOKUP($R70,$A:$Q,14,0)/VLOOKUP(N$15,$M$1:$O$4,2,0))</f>
        <v>67.465856440614004</v>
      </c>
      <c r="CC70" s="404">
        <f t="shared" si="36"/>
        <v>391.10641414848612</v>
      </c>
      <c r="CD70" s="404">
        <f t="shared" si="54"/>
        <v>458.57227058910013</v>
      </c>
      <c r="CE70" s="405">
        <f t="shared" si="75"/>
        <v>53.712129843958266</v>
      </c>
      <c r="CF70" s="404">
        <f t="shared" si="71"/>
        <v>6893.2985731165309</v>
      </c>
      <c r="CG70" s="404">
        <f>+IF($R70&gt;O$8,"FIN",(CF70-SUM(CH$25:CH69))*VLOOKUP($R70,$A:$Q,15,0)/VLOOKUP(O$15,$M$1:$O$4,2,0))</f>
        <v>27.285973518586179</v>
      </c>
      <c r="CH70" s="404">
        <f t="shared" si="39"/>
        <v>191.48051591990364</v>
      </c>
      <c r="CI70" s="404">
        <f t="shared" si="55"/>
        <v>218.76648943848983</v>
      </c>
      <c r="CJ70" s="405">
        <f t="shared" si="76"/>
        <v>25.623908901277527</v>
      </c>
      <c r="CK70" s="404"/>
      <c r="CL70" s="404"/>
      <c r="CM70" s="404"/>
      <c r="CN70" s="404"/>
      <c r="CO70" s="405"/>
      <c r="CP70" s="397"/>
      <c r="CQ70" s="348">
        <f t="shared" si="56"/>
        <v>98.144936178174362</v>
      </c>
      <c r="CR70" s="409">
        <f t="shared" si="56"/>
        <v>606.39820178048933</v>
      </c>
      <c r="CS70" s="410">
        <f t="shared" si="57"/>
        <v>704.54313795866369</v>
      </c>
      <c r="CT70"/>
    </row>
    <row r="71" spans="1:98" ht="15" x14ac:dyDescent="0.25">
      <c r="A71" s="27">
        <f t="shared" si="43"/>
        <v>52427</v>
      </c>
      <c r="B71" s="263"/>
      <c r="C71" s="263"/>
      <c r="D71" s="263"/>
      <c r="E71" s="263"/>
      <c r="F71" s="263"/>
      <c r="G71" s="263"/>
      <c r="H71" s="263"/>
      <c r="I71" s="256"/>
      <c r="J71" s="256"/>
      <c r="K71" s="256"/>
      <c r="L71" s="256"/>
      <c r="M71" s="256"/>
      <c r="N71" s="256">
        <v>5.7500000000000002E-2</v>
      </c>
      <c r="O71" s="286">
        <v>4.7500000000000001E-2</v>
      </c>
      <c r="P71" s="259"/>
      <c r="Q71" s="2">
        <f t="shared" si="44"/>
        <v>2043</v>
      </c>
      <c r="R71" s="27">
        <f t="shared" si="45"/>
        <v>52427</v>
      </c>
      <c r="S71" s="404"/>
      <c r="T71" s="404"/>
      <c r="U71" s="404"/>
      <c r="V71" s="404"/>
      <c r="W71" s="405"/>
      <c r="X71" s="404"/>
      <c r="Y71" s="404"/>
      <c r="Z71" s="404"/>
      <c r="AA71" s="404"/>
      <c r="AB71" s="405"/>
      <c r="AC71" s="404"/>
      <c r="AD71" s="404"/>
      <c r="AE71" s="404"/>
      <c r="AF71" s="404"/>
      <c r="AG71" s="405"/>
      <c r="AH71" s="404"/>
      <c r="AI71" s="404"/>
      <c r="AJ71" s="404"/>
      <c r="AK71" s="404"/>
      <c r="AL71" s="405"/>
      <c r="AM71" s="404"/>
      <c r="AN71" s="404"/>
      <c r="AO71" s="404"/>
      <c r="AP71" s="404"/>
      <c r="AQ71" s="405"/>
      <c r="AR71" s="404"/>
      <c r="AS71" s="404"/>
      <c r="AT71" s="404"/>
      <c r="AU71" s="404"/>
      <c r="AV71" s="405"/>
      <c r="AW71" s="404"/>
      <c r="AX71" s="404"/>
      <c r="AY71" s="404"/>
      <c r="AZ71" s="404"/>
      <c r="BA71" s="405"/>
      <c r="BB71" s="404"/>
      <c r="BC71" s="404"/>
      <c r="BD71" s="404"/>
      <c r="BE71" s="404"/>
      <c r="BF71" s="405"/>
      <c r="BG71" s="404"/>
      <c r="BH71" s="404"/>
      <c r="BI71" s="404"/>
      <c r="BJ71" s="404"/>
      <c r="BK71" s="405"/>
      <c r="BL71" s="404"/>
      <c r="BM71" s="404"/>
      <c r="BN71" s="404"/>
      <c r="BO71" s="404"/>
      <c r="BP71" s="405"/>
      <c r="BQ71" s="404"/>
      <c r="BR71" s="404"/>
      <c r="BS71" s="404"/>
      <c r="BT71" s="404"/>
      <c r="BU71" s="405"/>
      <c r="BV71" s="404"/>
      <c r="BW71" s="404"/>
      <c r="BX71" s="404"/>
      <c r="BY71" s="404"/>
      <c r="BZ71" s="405"/>
      <c r="CA71" s="404">
        <f t="shared" si="70"/>
        <v>14079.830909345501</v>
      </c>
      <c r="CB71" s="404">
        <f>+IF($R71&gt;N$8,"FIN",(CA71-SUM(CC$25:CC70))*VLOOKUP($R71,$A:$Q,14,0)/VLOOKUP(N$15,$M$1:$O$4,2,0))</f>
        <v>56.221547033845042</v>
      </c>
      <c r="CC71" s="404">
        <f t="shared" si="36"/>
        <v>391.10641414848612</v>
      </c>
      <c r="CD71" s="404">
        <f t="shared" si="54"/>
        <v>447.32796118233114</v>
      </c>
      <c r="CE71" s="405">
        <f t="shared" si="75"/>
        <v>49.956762634699402</v>
      </c>
      <c r="CF71" s="404">
        <f t="shared" si="71"/>
        <v>6893.2985731165309</v>
      </c>
      <c r="CG71" s="404">
        <f>+IF($R71&gt;O$8,"FIN",(CF71-SUM(CH$25:CH70))*VLOOKUP($R71,$A:$Q,15,0)/VLOOKUP(O$15,$M$1:$O$4,2,0))</f>
        <v>22.738311265488456</v>
      </c>
      <c r="CH71" s="404">
        <f t="shared" si="39"/>
        <v>191.48051591990364</v>
      </c>
      <c r="CI71" s="404">
        <f t="shared" si="55"/>
        <v>214.21882718539209</v>
      </c>
      <c r="CJ71" s="405">
        <f t="shared" si="76"/>
        <v>23.923563984908856</v>
      </c>
      <c r="CK71" s="404"/>
      <c r="CL71" s="404"/>
      <c r="CM71" s="404"/>
      <c r="CN71" s="404"/>
      <c r="CO71" s="405"/>
      <c r="CP71" s="397"/>
      <c r="CQ71" s="348">
        <f t="shared" si="56"/>
        <v>81.787446815145302</v>
      </c>
      <c r="CR71" s="409">
        <f t="shared" si="56"/>
        <v>606.39820178048933</v>
      </c>
      <c r="CS71" s="410">
        <f t="shared" si="57"/>
        <v>688.18564859563458</v>
      </c>
      <c r="CT71"/>
    </row>
    <row r="72" spans="1:98" ht="15" x14ac:dyDescent="0.25">
      <c r="A72" s="27">
        <f t="shared" si="43"/>
        <v>52611</v>
      </c>
      <c r="B72" s="263"/>
      <c r="C72" s="263"/>
      <c r="D72" s="263"/>
      <c r="E72" s="263"/>
      <c r="F72" s="263"/>
      <c r="G72" s="263"/>
      <c r="H72" s="263"/>
      <c r="I72" s="256"/>
      <c r="J72" s="256"/>
      <c r="K72" s="256"/>
      <c r="L72" s="256"/>
      <c r="M72" s="256"/>
      <c r="N72" s="256">
        <v>5.7500000000000002E-2</v>
      </c>
      <c r="O72" s="286">
        <v>4.7500000000000001E-2</v>
      </c>
      <c r="P72" s="259"/>
      <c r="Q72" s="2">
        <f t="shared" si="44"/>
        <v>2044</v>
      </c>
      <c r="R72" s="27">
        <f t="shared" si="45"/>
        <v>52611</v>
      </c>
      <c r="S72" s="404"/>
      <c r="T72" s="404"/>
      <c r="U72" s="404"/>
      <c r="V72" s="404"/>
      <c r="W72" s="405"/>
      <c r="X72" s="404"/>
      <c r="Y72" s="404"/>
      <c r="Z72" s="404"/>
      <c r="AA72" s="404"/>
      <c r="AB72" s="405"/>
      <c r="AC72" s="404"/>
      <c r="AD72" s="404"/>
      <c r="AE72" s="404"/>
      <c r="AF72" s="404"/>
      <c r="AG72" s="405"/>
      <c r="AH72" s="404"/>
      <c r="AI72" s="404"/>
      <c r="AJ72" s="404"/>
      <c r="AK72" s="404"/>
      <c r="AL72" s="405"/>
      <c r="AM72" s="404"/>
      <c r="AN72" s="404"/>
      <c r="AO72" s="404"/>
      <c r="AP72" s="404"/>
      <c r="AQ72" s="405"/>
      <c r="AR72" s="404"/>
      <c r="AS72" s="404"/>
      <c r="AT72" s="404"/>
      <c r="AU72" s="404"/>
      <c r="AV72" s="405"/>
      <c r="AW72" s="404"/>
      <c r="AX72" s="404"/>
      <c r="AY72" s="404"/>
      <c r="AZ72" s="404"/>
      <c r="BA72" s="405"/>
      <c r="BB72" s="404"/>
      <c r="BC72" s="404"/>
      <c r="BD72" s="404"/>
      <c r="BE72" s="404"/>
      <c r="BF72" s="405"/>
      <c r="BG72" s="404"/>
      <c r="BH72" s="404"/>
      <c r="BI72" s="404"/>
      <c r="BJ72" s="404"/>
      <c r="BK72" s="405"/>
      <c r="BL72" s="404"/>
      <c r="BM72" s="404"/>
      <c r="BN72" s="404"/>
      <c r="BO72" s="404"/>
      <c r="BP72" s="405"/>
      <c r="BQ72" s="404"/>
      <c r="BR72" s="404"/>
      <c r="BS72" s="404"/>
      <c r="BT72" s="404"/>
      <c r="BU72" s="405"/>
      <c r="BV72" s="404"/>
      <c r="BW72" s="404"/>
      <c r="BX72" s="404"/>
      <c r="BY72" s="404"/>
      <c r="BZ72" s="405"/>
      <c r="CA72" s="404">
        <f t="shared" si="70"/>
        <v>14079.830909345501</v>
      </c>
      <c r="CB72" s="404">
        <f>+IF($R72&gt;N$8,"FIN",(CA72-SUM(CC$25:CC71))*VLOOKUP($R72,$A:$Q,14,0)/VLOOKUP(N$15,$M$1:$O$4,2,0))</f>
        <v>44.977237627076079</v>
      </c>
      <c r="CC72" s="404">
        <f t="shared" si="36"/>
        <v>391.10641414848612</v>
      </c>
      <c r="CD72" s="404">
        <f t="shared" si="54"/>
        <v>436.0836517755622</v>
      </c>
      <c r="CE72" s="405">
        <f t="shared" si="75"/>
        <v>46.434599554962944</v>
      </c>
      <c r="CF72" s="404">
        <f t="shared" si="71"/>
        <v>6893.2985731165309</v>
      </c>
      <c r="CG72" s="404">
        <f>+IF($R72&gt;O$8,"FIN",(CF72-SUM(CH$25:CH71))*VLOOKUP($R72,$A:$Q,15,0)/VLOOKUP(O$15,$M$1:$O$4,2,0))</f>
        <v>18.190649012390736</v>
      </c>
      <c r="CH72" s="404">
        <f t="shared" si="39"/>
        <v>191.48051591990364</v>
      </c>
      <c r="CI72" s="404">
        <f t="shared" si="55"/>
        <v>209.67116493229437</v>
      </c>
      <c r="CJ72" s="405">
        <f t="shared" si="76"/>
        <v>22.325983884542577</v>
      </c>
      <c r="CK72" s="404"/>
      <c r="CL72" s="404"/>
      <c r="CM72" s="404"/>
      <c r="CN72" s="404"/>
      <c r="CO72" s="405"/>
      <c r="CP72" s="397"/>
      <c r="CQ72" s="348">
        <f t="shared" si="56"/>
        <v>65.429957452116255</v>
      </c>
      <c r="CR72" s="409">
        <f t="shared" si="56"/>
        <v>606.39820178048933</v>
      </c>
      <c r="CS72" s="410">
        <f t="shared" si="57"/>
        <v>671.82815923260557</v>
      </c>
      <c r="CT72"/>
    </row>
    <row r="73" spans="1:98" ht="15" x14ac:dyDescent="0.25">
      <c r="A73" s="27">
        <f t="shared" si="43"/>
        <v>52793</v>
      </c>
      <c r="B73" s="263"/>
      <c r="C73" s="263"/>
      <c r="D73" s="263"/>
      <c r="E73" s="263"/>
      <c r="F73" s="263"/>
      <c r="G73" s="263"/>
      <c r="H73" s="263"/>
      <c r="I73" s="256"/>
      <c r="J73" s="256"/>
      <c r="K73" s="256"/>
      <c r="L73" s="263"/>
      <c r="M73" s="263"/>
      <c r="N73" s="256">
        <v>5.7500000000000002E-2</v>
      </c>
      <c r="O73" s="286">
        <v>4.7500000000000001E-2</v>
      </c>
      <c r="P73" s="259"/>
      <c r="Q73" s="2">
        <f t="shared" si="44"/>
        <v>2044</v>
      </c>
      <c r="R73" s="27">
        <f t="shared" si="45"/>
        <v>52793</v>
      </c>
      <c r="S73" s="404"/>
      <c r="T73" s="404"/>
      <c r="U73" s="404"/>
      <c r="V73" s="404"/>
      <c r="W73" s="405"/>
      <c r="X73" s="404"/>
      <c r="Y73" s="404"/>
      <c r="Z73" s="404"/>
      <c r="AA73" s="404"/>
      <c r="AB73" s="405"/>
      <c r="AC73" s="404"/>
      <c r="AD73" s="404"/>
      <c r="AE73" s="404"/>
      <c r="AF73" s="404"/>
      <c r="AG73" s="405"/>
      <c r="AH73" s="404"/>
      <c r="AI73" s="404"/>
      <c r="AJ73" s="404"/>
      <c r="AK73" s="404"/>
      <c r="AL73" s="405"/>
      <c r="AM73" s="404"/>
      <c r="AN73" s="404"/>
      <c r="AO73" s="404"/>
      <c r="AP73" s="404"/>
      <c r="AQ73" s="405"/>
      <c r="AR73" s="404"/>
      <c r="AS73" s="404"/>
      <c r="AT73" s="404"/>
      <c r="AU73" s="404"/>
      <c r="AV73" s="405"/>
      <c r="AW73" s="404"/>
      <c r="AX73" s="404"/>
      <c r="AY73" s="404"/>
      <c r="AZ73" s="404"/>
      <c r="BA73" s="405"/>
      <c r="BB73" s="404"/>
      <c r="BC73" s="404"/>
      <c r="BD73" s="404"/>
      <c r="BE73" s="404"/>
      <c r="BF73" s="405"/>
      <c r="BG73" s="404"/>
      <c r="BH73" s="404"/>
      <c r="BI73" s="404"/>
      <c r="BJ73" s="404"/>
      <c r="BK73" s="405"/>
      <c r="BL73" s="404"/>
      <c r="BM73" s="404"/>
      <c r="BN73" s="404"/>
      <c r="BO73" s="404"/>
      <c r="BP73" s="405"/>
      <c r="BQ73" s="404"/>
      <c r="BR73" s="404"/>
      <c r="BS73" s="404"/>
      <c r="BT73" s="404"/>
      <c r="BU73" s="405"/>
      <c r="BV73" s="404"/>
      <c r="BW73" s="404"/>
      <c r="BX73" s="404"/>
      <c r="BY73" s="404"/>
      <c r="BZ73" s="405"/>
      <c r="CA73" s="404">
        <f t="shared" si="70"/>
        <v>14079.830909345501</v>
      </c>
      <c r="CB73" s="404">
        <f>+IF($R73&gt;N$8,"FIN",(CA73-SUM(CC$25:CC72))*VLOOKUP($R73,$A:$Q,14,0)/VLOOKUP(N$15,$M$1:$O$4,2,0))</f>
        <v>33.732928220307109</v>
      </c>
      <c r="CC73" s="404">
        <f t="shared" si="36"/>
        <v>391.10641414848612</v>
      </c>
      <c r="CD73" s="404">
        <f t="shared" si="54"/>
        <v>424.83934236879321</v>
      </c>
      <c r="CE73" s="405">
        <f t="shared" si="75"/>
        <v>43.132068285696761</v>
      </c>
      <c r="CF73" s="404">
        <f t="shared" si="71"/>
        <v>6893.2985731165309</v>
      </c>
      <c r="CG73" s="404">
        <f>+IF($R73&gt;O$8,"FIN",(CF73-SUM(CH$25:CH72))*VLOOKUP($R73,$A:$Q,15,0)/VLOOKUP(O$15,$M$1:$O$4,2,0))</f>
        <v>13.642986759293013</v>
      </c>
      <c r="CH73" s="404">
        <f t="shared" si="39"/>
        <v>191.48051591990364</v>
      </c>
      <c r="CI73" s="404">
        <f t="shared" si="55"/>
        <v>205.12350267919666</v>
      </c>
      <c r="CJ73" s="405">
        <f t="shared" si="76"/>
        <v>20.825286272287347</v>
      </c>
      <c r="CK73" s="404"/>
      <c r="CL73" s="404"/>
      <c r="CM73" s="404"/>
      <c r="CN73" s="404"/>
      <c r="CO73" s="405"/>
      <c r="CP73" s="397"/>
      <c r="CQ73" s="348">
        <f t="shared" si="56"/>
        <v>49.072468089087202</v>
      </c>
      <c r="CR73" s="409">
        <f t="shared" si="56"/>
        <v>606.39820178048933</v>
      </c>
      <c r="CS73" s="410">
        <f t="shared" si="57"/>
        <v>655.47066986957657</v>
      </c>
      <c r="CT73"/>
    </row>
    <row r="74" spans="1:98" ht="15" x14ac:dyDescent="0.25">
      <c r="A74" s="27">
        <f t="shared" si="43"/>
        <v>52977</v>
      </c>
      <c r="B74" s="263"/>
      <c r="C74" s="263"/>
      <c r="D74" s="263"/>
      <c r="E74" s="263"/>
      <c r="F74" s="263"/>
      <c r="G74" s="263"/>
      <c r="H74" s="263"/>
      <c r="I74" s="256"/>
      <c r="J74" s="256"/>
      <c r="K74" s="256"/>
      <c r="L74" s="263"/>
      <c r="M74" s="263"/>
      <c r="N74" s="256">
        <v>5.7500000000000002E-2</v>
      </c>
      <c r="O74" s="286">
        <v>4.7500000000000001E-2</v>
      </c>
      <c r="P74" s="259"/>
      <c r="Q74" s="2">
        <f t="shared" si="44"/>
        <v>2045</v>
      </c>
      <c r="R74" s="27">
        <f t="shared" si="45"/>
        <v>52977</v>
      </c>
      <c r="S74" s="404"/>
      <c r="T74" s="404"/>
      <c r="U74" s="404"/>
      <c r="V74" s="404"/>
      <c r="W74" s="405"/>
      <c r="X74" s="404"/>
      <c r="Y74" s="404"/>
      <c r="Z74" s="404"/>
      <c r="AA74" s="404"/>
      <c r="AB74" s="405"/>
      <c r="AC74" s="404"/>
      <c r="AD74" s="404"/>
      <c r="AE74" s="404"/>
      <c r="AF74" s="404"/>
      <c r="AG74" s="405"/>
      <c r="AH74" s="404"/>
      <c r="AI74" s="404"/>
      <c r="AJ74" s="404"/>
      <c r="AK74" s="404"/>
      <c r="AL74" s="405"/>
      <c r="AM74" s="404"/>
      <c r="AN74" s="404"/>
      <c r="AO74" s="404"/>
      <c r="AP74" s="404"/>
      <c r="AQ74" s="405"/>
      <c r="AR74" s="404"/>
      <c r="AS74" s="404"/>
      <c r="AT74" s="404"/>
      <c r="AU74" s="404"/>
      <c r="AV74" s="405"/>
      <c r="AW74" s="404"/>
      <c r="AX74" s="404"/>
      <c r="AY74" s="404"/>
      <c r="AZ74" s="404"/>
      <c r="BA74" s="405"/>
      <c r="BB74" s="404"/>
      <c r="BC74" s="404"/>
      <c r="BD74" s="404"/>
      <c r="BE74" s="404"/>
      <c r="BF74" s="405"/>
      <c r="BG74" s="404"/>
      <c r="BH74" s="404"/>
      <c r="BI74" s="404"/>
      <c r="BJ74" s="404"/>
      <c r="BK74" s="405"/>
      <c r="BL74" s="404"/>
      <c r="BM74" s="404"/>
      <c r="BN74" s="404"/>
      <c r="BO74" s="404"/>
      <c r="BP74" s="405"/>
      <c r="BQ74" s="404"/>
      <c r="BR74" s="404"/>
      <c r="BS74" s="404"/>
      <c r="BT74" s="404"/>
      <c r="BU74" s="405"/>
      <c r="BV74" s="404"/>
      <c r="BW74" s="404"/>
      <c r="BX74" s="404"/>
      <c r="BY74" s="404"/>
      <c r="BZ74" s="405"/>
      <c r="CA74" s="404">
        <f t="shared" si="70"/>
        <v>14079.830909345501</v>
      </c>
      <c r="CB74" s="404">
        <f>+IF($R74&gt;N$8,"FIN",(CA74-SUM(CC$25:CC73))*VLOOKUP($R74,$A:$Q,14,0)/VLOOKUP(N$15,$M$1:$O$4,2,0))</f>
        <v>22.488618813538142</v>
      </c>
      <c r="CC74" s="404">
        <f t="shared" si="36"/>
        <v>391.10641414848612</v>
      </c>
      <c r="CD74" s="404">
        <f t="shared" si="54"/>
        <v>413.59503296202428</v>
      </c>
      <c r="CE74" s="405">
        <f t="shared" si="75"/>
        <v>40.036354691702662</v>
      </c>
      <c r="CF74" s="404">
        <f t="shared" si="71"/>
        <v>6893.2985731165309</v>
      </c>
      <c r="CG74" s="404">
        <f>+IF($R74&gt;O$8,"FIN",(CF74-SUM(CH$25:CH73))*VLOOKUP($R74,$A:$Q,15,0)/VLOOKUP(O$15,$M$1:$O$4,2,0))</f>
        <v>9.0953245061952916</v>
      </c>
      <c r="CH74" s="404">
        <f t="shared" si="39"/>
        <v>191.48051591990364</v>
      </c>
      <c r="CI74" s="404">
        <f t="shared" si="55"/>
        <v>200.57584042609892</v>
      </c>
      <c r="CJ74" s="405">
        <f t="shared" si="76"/>
        <v>19.415913755963757</v>
      </c>
      <c r="CK74" s="404"/>
      <c r="CL74" s="404"/>
      <c r="CM74" s="404"/>
      <c r="CN74" s="404"/>
      <c r="CO74" s="405"/>
      <c r="CP74" s="397"/>
      <c r="CQ74" s="348">
        <f t="shared" si="56"/>
        <v>32.714978726058149</v>
      </c>
      <c r="CR74" s="409">
        <f t="shared" si="56"/>
        <v>606.39820178048933</v>
      </c>
      <c r="CS74" s="410">
        <f t="shared" si="57"/>
        <v>639.11318050654745</v>
      </c>
      <c r="CT74"/>
    </row>
    <row r="75" spans="1:98" ht="15" x14ac:dyDescent="0.25">
      <c r="A75" s="27">
        <f t="shared" si="43"/>
        <v>53158</v>
      </c>
      <c r="B75" s="263"/>
      <c r="C75" s="263"/>
      <c r="D75" s="263"/>
      <c r="E75" s="263"/>
      <c r="F75" s="263"/>
      <c r="G75" s="263"/>
      <c r="H75" s="263"/>
      <c r="I75" s="256"/>
      <c r="J75" s="256"/>
      <c r="K75" s="256"/>
      <c r="L75" s="263"/>
      <c r="M75" s="263"/>
      <c r="N75" s="256">
        <v>5.7500000000000002E-2</v>
      </c>
      <c r="O75" s="286">
        <v>4.7500000000000001E-2</v>
      </c>
      <c r="P75" s="259"/>
      <c r="Q75" s="2">
        <f t="shared" si="44"/>
        <v>2045</v>
      </c>
      <c r="R75" s="27">
        <f t="shared" si="45"/>
        <v>53158</v>
      </c>
      <c r="S75" s="404"/>
      <c r="T75" s="404"/>
      <c r="U75" s="404"/>
      <c r="V75" s="404"/>
      <c r="W75" s="405"/>
      <c r="X75" s="404"/>
      <c r="Y75" s="404"/>
      <c r="Z75" s="404"/>
      <c r="AA75" s="404"/>
      <c r="AB75" s="405"/>
      <c r="AC75" s="404"/>
      <c r="AD75" s="404"/>
      <c r="AE75" s="404"/>
      <c r="AF75" s="404"/>
      <c r="AG75" s="405"/>
      <c r="AH75" s="404"/>
      <c r="AI75" s="404"/>
      <c r="AJ75" s="404"/>
      <c r="AK75" s="404"/>
      <c r="AL75" s="405"/>
      <c r="AM75" s="404"/>
      <c r="AN75" s="404"/>
      <c r="AO75" s="404"/>
      <c r="AP75" s="404"/>
      <c r="AQ75" s="405"/>
      <c r="AR75" s="404"/>
      <c r="AS75" s="404"/>
      <c r="AT75" s="404"/>
      <c r="AU75" s="404"/>
      <c r="AV75" s="405"/>
      <c r="AW75" s="404"/>
      <c r="AX75" s="404"/>
      <c r="AY75" s="404"/>
      <c r="AZ75" s="404"/>
      <c r="BA75" s="405"/>
      <c r="BB75" s="404"/>
      <c r="BC75" s="404"/>
      <c r="BD75" s="404"/>
      <c r="BE75" s="404"/>
      <c r="BF75" s="405"/>
      <c r="BG75" s="404"/>
      <c r="BH75" s="404"/>
      <c r="BI75" s="404"/>
      <c r="BJ75" s="404"/>
      <c r="BK75" s="405"/>
      <c r="BL75" s="404"/>
      <c r="BM75" s="404"/>
      <c r="BN75" s="404"/>
      <c r="BO75" s="404"/>
      <c r="BP75" s="405"/>
      <c r="BQ75" s="404"/>
      <c r="BR75" s="404"/>
      <c r="BS75" s="404"/>
      <c r="BT75" s="404"/>
      <c r="BU75" s="405"/>
      <c r="BV75" s="404"/>
      <c r="BW75" s="404"/>
      <c r="BX75" s="404"/>
      <c r="BY75" s="404"/>
      <c r="BZ75" s="405"/>
      <c r="CA75" s="404">
        <f t="shared" si="70"/>
        <v>14079.830909345501</v>
      </c>
      <c r="CB75" s="404">
        <f>+IF($R75&gt;N$8,"FIN",(CA75-SUM(CC$25:CC74))*VLOOKUP($R75,$A:$Q,14,0)/VLOOKUP(N$15,$M$1:$O$4,2,0))</f>
        <v>11.244309406769176</v>
      </c>
      <c r="CC75" s="404">
        <f t="shared" si="36"/>
        <v>391.10641414848612</v>
      </c>
      <c r="CD75" s="404">
        <f t="shared" si="54"/>
        <v>402.35072355525529</v>
      </c>
      <c r="CE75" s="405">
        <f t="shared" si="75"/>
        <v>37.135361647796245</v>
      </c>
      <c r="CF75" s="404">
        <f t="shared" si="71"/>
        <v>6893.2985731165309</v>
      </c>
      <c r="CG75" s="404">
        <f>+IF($R75&gt;O$8,"FIN",(CF75-SUM(CH$25:CH74))*VLOOKUP($R75,$A:$Q,15,0)/VLOOKUP(O$15,$M$1:$O$4,2,0))</f>
        <v>4.5476622530975703</v>
      </c>
      <c r="CH75" s="404">
        <f t="shared" si="39"/>
        <v>191.48051591990364</v>
      </c>
      <c r="CI75" s="404">
        <f t="shared" si="55"/>
        <v>196.02817817300121</v>
      </c>
      <c r="CJ75" s="405">
        <f t="shared" si="76"/>
        <v>18.092616375308506</v>
      </c>
      <c r="CK75" s="404"/>
      <c r="CL75" s="404"/>
      <c r="CM75" s="404"/>
      <c r="CN75" s="404"/>
      <c r="CO75" s="405"/>
      <c r="CP75" s="397"/>
      <c r="CQ75" s="348">
        <f t="shared" si="56"/>
        <v>16.357489363029092</v>
      </c>
      <c r="CR75" s="409">
        <f t="shared" si="56"/>
        <v>606.39820178048933</v>
      </c>
      <c r="CS75" s="410">
        <f t="shared" si="57"/>
        <v>622.75569114351845</v>
      </c>
      <c r="CT75"/>
    </row>
    <row r="76" spans="1:98" ht="15" x14ac:dyDescent="0.25">
      <c r="A76" s="27">
        <f t="shared" si="43"/>
        <v>53342</v>
      </c>
      <c r="B76" s="263"/>
      <c r="C76" s="263"/>
      <c r="D76" s="263"/>
      <c r="E76" s="263"/>
      <c r="F76" s="263"/>
      <c r="G76" s="263"/>
      <c r="H76" s="263"/>
      <c r="I76" s="256"/>
      <c r="J76" s="256"/>
      <c r="K76" s="256"/>
      <c r="L76" s="263"/>
      <c r="M76" s="263"/>
      <c r="N76" s="256"/>
      <c r="O76" s="286"/>
      <c r="P76" s="259"/>
      <c r="Q76" s="2">
        <f t="shared" si="44"/>
        <v>2046</v>
      </c>
      <c r="R76" s="27">
        <f t="shared" si="45"/>
        <v>53342</v>
      </c>
      <c r="S76" s="404"/>
      <c r="T76" s="404"/>
      <c r="U76" s="404"/>
      <c r="V76" s="404"/>
      <c r="W76" s="405"/>
      <c r="X76" s="404"/>
      <c r="Y76" s="404"/>
      <c r="Z76" s="404"/>
      <c r="AA76" s="404"/>
      <c r="AB76" s="405"/>
      <c r="AC76" s="404"/>
      <c r="AD76" s="404"/>
      <c r="AE76" s="404"/>
      <c r="AF76" s="404"/>
      <c r="AG76" s="405"/>
      <c r="AH76" s="404"/>
      <c r="AI76" s="404"/>
      <c r="AJ76" s="404"/>
      <c r="AK76" s="404"/>
      <c r="AL76" s="405"/>
      <c r="AM76" s="404"/>
      <c r="AN76" s="404"/>
      <c r="AO76" s="404"/>
      <c r="AP76" s="404"/>
      <c r="AQ76" s="405"/>
      <c r="AR76" s="404"/>
      <c r="AS76" s="404"/>
      <c r="AT76" s="404"/>
      <c r="AU76" s="404"/>
      <c r="AV76" s="405"/>
      <c r="AW76" s="404"/>
      <c r="AX76" s="404"/>
      <c r="AY76" s="404"/>
      <c r="AZ76" s="404"/>
      <c r="BA76" s="405"/>
      <c r="BB76" s="404"/>
      <c r="BC76" s="404"/>
      <c r="BD76" s="404"/>
      <c r="BE76" s="404"/>
      <c r="BF76" s="405"/>
      <c r="BG76" s="404"/>
      <c r="BH76" s="404"/>
      <c r="BI76" s="404"/>
      <c r="BJ76" s="404"/>
      <c r="BK76" s="405"/>
      <c r="BL76" s="404"/>
      <c r="BM76" s="404"/>
      <c r="BN76" s="404"/>
      <c r="BO76" s="404"/>
      <c r="BP76" s="405"/>
      <c r="BQ76" s="404"/>
      <c r="BR76" s="404"/>
      <c r="BS76" s="404"/>
      <c r="BT76" s="404"/>
      <c r="BU76" s="405"/>
      <c r="BV76" s="404"/>
      <c r="BW76" s="404"/>
      <c r="BX76" s="404"/>
      <c r="BY76" s="404"/>
      <c r="BZ76" s="405"/>
      <c r="CA76" s="404"/>
      <c r="CB76" s="404"/>
      <c r="CC76" s="404"/>
      <c r="CD76" s="404"/>
      <c r="CE76" s="405"/>
      <c r="CF76" s="404"/>
      <c r="CG76" s="404"/>
      <c r="CH76" s="404"/>
      <c r="CI76" s="404"/>
      <c r="CJ76" s="405"/>
      <c r="CK76" s="404"/>
      <c r="CL76" s="404"/>
      <c r="CM76" s="404"/>
      <c r="CN76" s="404"/>
      <c r="CO76" s="405"/>
      <c r="CP76" s="397"/>
      <c r="CQ76" s="348">
        <f t="shared" si="56"/>
        <v>0</v>
      </c>
      <c r="CR76" s="409">
        <f t="shared" si="56"/>
        <v>0</v>
      </c>
      <c r="CS76" s="410">
        <f t="shared" si="57"/>
        <v>0</v>
      </c>
      <c r="CT76"/>
    </row>
    <row r="77" spans="1:98" ht="15" x14ac:dyDescent="0.25">
      <c r="A77" s="27">
        <f t="shared" si="43"/>
        <v>53523</v>
      </c>
      <c r="B77" s="263"/>
      <c r="C77" s="263"/>
      <c r="D77" s="263"/>
      <c r="E77" s="263"/>
      <c r="F77" s="263"/>
      <c r="G77" s="263"/>
      <c r="H77" s="263"/>
      <c r="I77" s="256"/>
      <c r="J77" s="256"/>
      <c r="K77" s="256"/>
      <c r="L77" s="263"/>
      <c r="M77" s="263"/>
      <c r="N77" s="256"/>
      <c r="O77" s="286"/>
      <c r="P77" s="259"/>
      <c r="Q77" s="2">
        <f t="shared" si="44"/>
        <v>2046</v>
      </c>
      <c r="R77" s="27">
        <f t="shared" si="45"/>
        <v>53523</v>
      </c>
      <c r="S77" s="404"/>
      <c r="T77" s="404"/>
      <c r="U77" s="404"/>
      <c r="V77" s="404"/>
      <c r="W77" s="405"/>
      <c r="X77" s="404"/>
      <c r="Y77" s="404"/>
      <c r="Z77" s="404"/>
      <c r="AA77" s="404"/>
      <c r="AB77" s="405"/>
      <c r="AC77" s="404"/>
      <c r="AD77" s="404"/>
      <c r="AE77" s="404"/>
      <c r="AF77" s="404"/>
      <c r="AG77" s="405"/>
      <c r="AH77" s="404"/>
      <c r="AI77" s="404"/>
      <c r="AJ77" s="404"/>
      <c r="AK77" s="404"/>
      <c r="AL77" s="405"/>
      <c r="AM77" s="404"/>
      <c r="AN77" s="404"/>
      <c r="AO77" s="404"/>
      <c r="AP77" s="404"/>
      <c r="AQ77" s="405"/>
      <c r="AR77" s="404"/>
      <c r="AS77" s="404"/>
      <c r="AT77" s="404"/>
      <c r="AU77" s="404"/>
      <c r="AV77" s="405"/>
      <c r="AW77" s="404"/>
      <c r="AX77" s="404"/>
      <c r="AY77" s="404"/>
      <c r="AZ77" s="404"/>
      <c r="BA77" s="405"/>
      <c r="BB77" s="404"/>
      <c r="BC77" s="404"/>
      <c r="BD77" s="404"/>
      <c r="BE77" s="404"/>
      <c r="BF77" s="405"/>
      <c r="BG77" s="404"/>
      <c r="BH77" s="404"/>
      <c r="BI77" s="404"/>
      <c r="BJ77" s="404"/>
      <c r="BK77" s="405"/>
      <c r="BL77" s="404"/>
      <c r="BM77" s="404"/>
      <c r="BN77" s="404"/>
      <c r="BO77" s="404"/>
      <c r="BP77" s="405"/>
      <c r="BQ77" s="404"/>
      <c r="BR77" s="404"/>
      <c r="BS77" s="404"/>
      <c r="BT77" s="404"/>
      <c r="BU77" s="405"/>
      <c r="BV77" s="404"/>
      <c r="BW77" s="404"/>
      <c r="BX77" s="404"/>
      <c r="BY77" s="404"/>
      <c r="BZ77" s="405"/>
      <c r="CA77" s="404"/>
      <c r="CB77" s="404"/>
      <c r="CC77" s="404"/>
      <c r="CD77" s="404"/>
      <c r="CE77" s="405"/>
      <c r="CF77" s="404"/>
      <c r="CG77" s="404"/>
      <c r="CH77" s="404"/>
      <c r="CI77" s="404"/>
      <c r="CJ77" s="405"/>
      <c r="CK77" s="404"/>
      <c r="CL77" s="404"/>
      <c r="CM77" s="404"/>
      <c r="CN77" s="404"/>
      <c r="CO77" s="405"/>
      <c r="CP77" s="397"/>
      <c r="CQ77" s="348">
        <f t="shared" si="56"/>
        <v>0</v>
      </c>
      <c r="CR77" s="409">
        <f t="shared" si="56"/>
        <v>0</v>
      </c>
      <c r="CS77" s="410">
        <f t="shared" si="57"/>
        <v>0</v>
      </c>
      <c r="CT77"/>
    </row>
    <row r="78" spans="1:98" ht="15" x14ac:dyDescent="0.25">
      <c r="A78" s="27">
        <f t="shared" si="43"/>
        <v>53707</v>
      </c>
      <c r="B78" s="263"/>
      <c r="C78" s="263"/>
      <c r="D78" s="263"/>
      <c r="E78" s="263"/>
      <c r="F78" s="263"/>
      <c r="G78" s="263"/>
      <c r="H78" s="263"/>
      <c r="I78" s="256"/>
      <c r="J78" s="256"/>
      <c r="K78" s="256"/>
      <c r="L78" s="263"/>
      <c r="M78" s="263"/>
      <c r="N78" s="256"/>
      <c r="O78" s="286"/>
      <c r="P78" s="259"/>
      <c r="Q78" s="2">
        <f t="shared" si="44"/>
        <v>2047</v>
      </c>
      <c r="R78" s="27">
        <f t="shared" si="45"/>
        <v>53707</v>
      </c>
      <c r="S78" s="404"/>
      <c r="T78" s="404"/>
      <c r="U78" s="404"/>
      <c r="V78" s="404"/>
      <c r="W78" s="405"/>
      <c r="X78" s="404"/>
      <c r="Y78" s="404"/>
      <c r="Z78" s="404"/>
      <c r="AA78" s="404"/>
      <c r="AB78" s="405"/>
      <c r="AC78" s="404"/>
      <c r="AD78" s="404"/>
      <c r="AE78" s="404"/>
      <c r="AF78" s="404"/>
      <c r="AG78" s="405"/>
      <c r="AH78" s="404"/>
      <c r="AI78" s="404"/>
      <c r="AJ78" s="404"/>
      <c r="AK78" s="404"/>
      <c r="AL78" s="405"/>
      <c r="AM78" s="404"/>
      <c r="AN78" s="404"/>
      <c r="AO78" s="404"/>
      <c r="AP78" s="404"/>
      <c r="AQ78" s="405"/>
      <c r="AR78" s="404"/>
      <c r="AS78" s="404"/>
      <c r="AT78" s="404"/>
      <c r="AU78" s="404"/>
      <c r="AV78" s="405"/>
      <c r="AW78" s="404"/>
      <c r="AX78" s="404"/>
      <c r="AY78" s="404"/>
      <c r="AZ78" s="404"/>
      <c r="BA78" s="405"/>
      <c r="BB78" s="404"/>
      <c r="BC78" s="404"/>
      <c r="BD78" s="404"/>
      <c r="BE78" s="404"/>
      <c r="BF78" s="405"/>
      <c r="BG78" s="404"/>
      <c r="BH78" s="404"/>
      <c r="BI78" s="404"/>
      <c r="BJ78" s="404"/>
      <c r="BK78" s="405"/>
      <c r="BL78" s="404"/>
      <c r="BM78" s="404"/>
      <c r="BN78" s="404"/>
      <c r="BO78" s="404"/>
      <c r="BP78" s="405"/>
      <c r="BQ78" s="404"/>
      <c r="BR78" s="404"/>
      <c r="BS78" s="404"/>
      <c r="BT78" s="404"/>
      <c r="BU78" s="405"/>
      <c r="BV78" s="404"/>
      <c r="BW78" s="404"/>
      <c r="BX78" s="404"/>
      <c r="BY78" s="404"/>
      <c r="BZ78" s="405"/>
      <c r="CA78" s="404"/>
      <c r="CB78" s="404"/>
      <c r="CC78" s="404"/>
      <c r="CD78" s="404"/>
      <c r="CE78" s="405"/>
      <c r="CF78" s="404"/>
      <c r="CG78" s="404"/>
      <c r="CH78" s="404"/>
      <c r="CI78" s="404"/>
      <c r="CJ78" s="405"/>
      <c r="CK78" s="404"/>
      <c r="CL78" s="404"/>
      <c r="CM78" s="404"/>
      <c r="CN78" s="404"/>
      <c r="CO78" s="405"/>
      <c r="CP78" s="397"/>
      <c r="CQ78" s="348">
        <f t="shared" si="56"/>
        <v>0</v>
      </c>
      <c r="CR78" s="409">
        <f t="shared" si="56"/>
        <v>0</v>
      </c>
      <c r="CS78" s="410">
        <f t="shared" si="57"/>
        <v>0</v>
      </c>
      <c r="CT78"/>
    </row>
    <row r="79" spans="1:98" ht="15" x14ac:dyDescent="0.25">
      <c r="A79" s="27">
        <f t="shared" si="43"/>
        <v>53888</v>
      </c>
      <c r="B79" s="263"/>
      <c r="C79" s="263"/>
      <c r="D79" s="263"/>
      <c r="E79" s="263"/>
      <c r="F79" s="263"/>
      <c r="G79" s="263"/>
      <c r="H79" s="263"/>
      <c r="I79" s="256"/>
      <c r="J79" s="256"/>
      <c r="K79" s="256"/>
      <c r="L79" s="263"/>
      <c r="M79" s="263"/>
      <c r="N79" s="256"/>
      <c r="O79" s="286"/>
      <c r="P79" s="259"/>
      <c r="Q79" s="2">
        <f t="shared" si="44"/>
        <v>2047</v>
      </c>
      <c r="R79" s="27">
        <f t="shared" si="45"/>
        <v>53888</v>
      </c>
      <c r="S79" s="404"/>
      <c r="T79" s="404"/>
      <c r="U79" s="404"/>
      <c r="V79" s="404"/>
      <c r="W79" s="405"/>
      <c r="X79" s="404"/>
      <c r="Y79" s="404"/>
      <c r="Z79" s="404"/>
      <c r="AA79" s="404"/>
      <c r="AB79" s="405"/>
      <c r="AC79" s="404"/>
      <c r="AD79" s="404"/>
      <c r="AE79" s="404"/>
      <c r="AF79" s="404"/>
      <c r="AG79" s="405"/>
      <c r="AH79" s="404"/>
      <c r="AI79" s="404"/>
      <c r="AJ79" s="404"/>
      <c r="AK79" s="404"/>
      <c r="AL79" s="405"/>
      <c r="AM79" s="404"/>
      <c r="AN79" s="404"/>
      <c r="AO79" s="404"/>
      <c r="AP79" s="404"/>
      <c r="AQ79" s="405"/>
      <c r="AR79" s="404"/>
      <c r="AS79" s="404"/>
      <c r="AT79" s="404"/>
      <c r="AU79" s="404"/>
      <c r="AV79" s="405"/>
      <c r="AW79" s="404"/>
      <c r="AX79" s="404"/>
      <c r="AY79" s="404"/>
      <c r="AZ79" s="404"/>
      <c r="BA79" s="405"/>
      <c r="BB79" s="404"/>
      <c r="BC79" s="404"/>
      <c r="BD79" s="404"/>
      <c r="BE79" s="404"/>
      <c r="BF79" s="405"/>
      <c r="BG79" s="404"/>
      <c r="BH79" s="404"/>
      <c r="BI79" s="404"/>
      <c r="BJ79" s="404"/>
      <c r="BK79" s="405"/>
      <c r="BL79" s="404"/>
      <c r="BM79" s="404"/>
      <c r="BN79" s="404"/>
      <c r="BO79" s="404"/>
      <c r="BP79" s="405"/>
      <c r="BQ79" s="404"/>
      <c r="BR79" s="404"/>
      <c r="BS79" s="404"/>
      <c r="BT79" s="404"/>
      <c r="BU79" s="405"/>
      <c r="BV79" s="404"/>
      <c r="BW79" s="404"/>
      <c r="BX79" s="404"/>
      <c r="BY79" s="404"/>
      <c r="BZ79" s="405"/>
      <c r="CA79" s="404"/>
      <c r="CB79" s="404"/>
      <c r="CC79" s="404"/>
      <c r="CD79" s="404"/>
      <c r="CE79" s="405"/>
      <c r="CF79" s="404"/>
      <c r="CG79" s="404"/>
      <c r="CH79" s="404"/>
      <c r="CI79" s="404"/>
      <c r="CJ79" s="405"/>
      <c r="CK79" s="404"/>
      <c r="CL79" s="404"/>
      <c r="CM79" s="404"/>
      <c r="CN79" s="404"/>
      <c r="CO79" s="405"/>
      <c r="CP79" s="397"/>
      <c r="CQ79" s="348">
        <f t="shared" si="56"/>
        <v>0</v>
      </c>
      <c r="CR79" s="409">
        <f t="shared" si="56"/>
        <v>0</v>
      </c>
      <c r="CS79" s="410">
        <f t="shared" si="57"/>
        <v>0</v>
      </c>
      <c r="CT79"/>
    </row>
    <row r="80" spans="1:98" ht="15" x14ac:dyDescent="0.25">
      <c r="A80" s="251">
        <f t="shared" si="43"/>
        <v>54072</v>
      </c>
      <c r="B80" s="264"/>
      <c r="C80" s="264"/>
      <c r="D80" s="264"/>
      <c r="E80" s="264"/>
      <c r="F80" s="264"/>
      <c r="G80" s="264"/>
      <c r="H80" s="264"/>
      <c r="I80" s="265"/>
      <c r="J80" s="265"/>
      <c r="K80" s="265"/>
      <c r="L80" s="264"/>
      <c r="M80" s="264"/>
      <c r="N80" s="265"/>
      <c r="O80" s="265"/>
      <c r="P80" s="266"/>
      <c r="Q80" s="2">
        <f t="shared" si="44"/>
        <v>2048</v>
      </c>
      <c r="R80" s="27">
        <f t="shared" si="45"/>
        <v>54072</v>
      </c>
      <c r="S80" s="404"/>
      <c r="T80" s="404"/>
      <c r="U80" s="404"/>
      <c r="V80" s="404"/>
      <c r="W80" s="405"/>
      <c r="X80" s="404"/>
      <c r="Y80" s="404"/>
      <c r="Z80" s="404"/>
      <c r="AA80" s="404"/>
      <c r="AB80" s="405"/>
      <c r="AC80" s="404"/>
      <c r="AD80" s="404"/>
      <c r="AE80" s="404"/>
      <c r="AF80" s="404"/>
      <c r="AG80" s="405"/>
      <c r="AH80" s="404"/>
      <c r="AI80" s="404"/>
      <c r="AJ80" s="404"/>
      <c r="AK80" s="404"/>
      <c r="AL80" s="405"/>
      <c r="AM80" s="404"/>
      <c r="AN80" s="404"/>
      <c r="AO80" s="404"/>
      <c r="AP80" s="404"/>
      <c r="AQ80" s="405"/>
      <c r="AR80" s="404"/>
      <c r="AS80" s="404"/>
      <c r="AT80" s="404"/>
      <c r="AU80" s="404"/>
      <c r="AV80" s="405"/>
      <c r="AW80" s="404"/>
      <c r="AX80" s="404"/>
      <c r="AY80" s="404"/>
      <c r="AZ80" s="404"/>
      <c r="BA80" s="405"/>
      <c r="BB80" s="404"/>
      <c r="BC80" s="404"/>
      <c r="BD80" s="404"/>
      <c r="BE80" s="404"/>
      <c r="BF80" s="405"/>
      <c r="BG80" s="404"/>
      <c r="BH80" s="404"/>
      <c r="BI80" s="404"/>
      <c r="BJ80" s="404"/>
      <c r="BK80" s="405"/>
      <c r="BL80" s="404"/>
      <c r="BM80" s="404"/>
      <c r="BN80" s="404"/>
      <c r="BO80" s="404"/>
      <c r="BP80" s="405"/>
      <c r="BQ80" s="404"/>
      <c r="BR80" s="404"/>
      <c r="BS80" s="404"/>
      <c r="BT80" s="404"/>
      <c r="BU80" s="405"/>
      <c r="BV80" s="404"/>
      <c r="BW80" s="404"/>
      <c r="BX80" s="404"/>
      <c r="BY80" s="404"/>
      <c r="BZ80" s="405"/>
      <c r="CA80" s="404"/>
      <c r="CB80" s="404"/>
      <c r="CC80" s="404"/>
      <c r="CD80" s="404"/>
      <c r="CE80" s="405"/>
      <c r="CF80" s="404"/>
      <c r="CG80" s="404"/>
      <c r="CH80" s="404"/>
      <c r="CI80" s="404"/>
      <c r="CJ80" s="405"/>
      <c r="CK80" s="404"/>
      <c r="CL80" s="404"/>
      <c r="CM80" s="404"/>
      <c r="CN80" s="404"/>
      <c r="CO80" s="405"/>
      <c r="CP80" s="397"/>
      <c r="CQ80" s="348">
        <f t="shared" si="56"/>
        <v>0</v>
      </c>
      <c r="CR80" s="409">
        <f t="shared" si="56"/>
        <v>0</v>
      </c>
      <c r="CS80" s="410">
        <f t="shared" si="57"/>
        <v>0</v>
      </c>
      <c r="CT80"/>
    </row>
    <row r="81" spans="1:98" ht="15" x14ac:dyDescent="0.25">
      <c r="A81" s="3"/>
      <c r="R81" s="251"/>
      <c r="S81" s="404"/>
      <c r="T81" s="404"/>
      <c r="U81" s="404"/>
      <c r="V81" s="404"/>
      <c r="W81" s="405"/>
      <c r="X81" s="404"/>
      <c r="Y81" s="404"/>
      <c r="Z81" s="404"/>
      <c r="AA81" s="404"/>
      <c r="AB81" s="405"/>
      <c r="AC81" s="404"/>
      <c r="AD81" s="404"/>
      <c r="AE81" s="404"/>
      <c r="AF81" s="404"/>
      <c r="AG81" s="405"/>
      <c r="AH81" s="404"/>
      <c r="AI81" s="404"/>
      <c r="AJ81" s="404"/>
      <c r="AK81" s="404"/>
      <c r="AL81" s="405"/>
      <c r="AM81" s="404"/>
      <c r="AN81" s="404"/>
      <c r="AO81" s="404"/>
      <c r="AP81" s="404"/>
      <c r="AQ81" s="405"/>
      <c r="AR81" s="404"/>
      <c r="AS81" s="404"/>
      <c r="AT81" s="404"/>
      <c r="AU81" s="404"/>
      <c r="AV81" s="405"/>
      <c r="AW81" s="404"/>
      <c r="AX81" s="404"/>
      <c r="AY81" s="404"/>
      <c r="AZ81" s="404"/>
      <c r="BA81" s="405"/>
      <c r="BB81" s="404"/>
      <c r="BC81" s="404"/>
      <c r="BD81" s="404"/>
      <c r="BE81" s="404"/>
      <c r="BF81" s="405"/>
      <c r="BG81" s="404"/>
      <c r="BH81" s="404"/>
      <c r="BI81" s="404"/>
      <c r="BJ81" s="404"/>
      <c r="BK81" s="405"/>
      <c r="BL81" s="404"/>
      <c r="BM81" s="404"/>
      <c r="BN81" s="404"/>
      <c r="BO81" s="404"/>
      <c r="BP81" s="405"/>
      <c r="BQ81" s="404"/>
      <c r="BR81" s="404"/>
      <c r="BS81" s="404"/>
      <c r="BT81" s="404"/>
      <c r="BU81" s="405"/>
      <c r="BV81" s="404"/>
      <c r="BW81" s="404"/>
      <c r="BX81" s="404"/>
      <c r="BY81" s="404"/>
      <c r="BZ81" s="405"/>
      <c r="CA81" s="404"/>
      <c r="CB81" s="404"/>
      <c r="CC81" s="404"/>
      <c r="CD81" s="404"/>
      <c r="CE81" s="405"/>
      <c r="CF81" s="404"/>
      <c r="CG81" s="404"/>
      <c r="CH81" s="404"/>
      <c r="CI81" s="404"/>
      <c r="CJ81" s="405"/>
      <c r="CK81" s="404"/>
      <c r="CL81" s="404"/>
      <c r="CM81" s="404"/>
      <c r="CN81" s="404"/>
      <c r="CO81" s="405"/>
      <c r="CP81" s="397"/>
      <c r="CQ81" s="411">
        <f t="shared" si="56"/>
        <v>0</v>
      </c>
      <c r="CR81" s="412">
        <f t="shared" si="56"/>
        <v>0</v>
      </c>
      <c r="CS81" s="413">
        <f t="shared" si="57"/>
        <v>0</v>
      </c>
      <c r="CT81"/>
    </row>
    <row r="82" spans="1:98" ht="15" x14ac:dyDescent="0.25">
      <c r="R82" s="56" t="s">
        <v>45</v>
      </c>
      <c r="S82" s="395"/>
      <c r="T82" s="395">
        <f t="shared" ref="T82:U82" si="77">+SUM(T25:T81)</f>
        <v>418.5</v>
      </c>
      <c r="U82" s="395">
        <f t="shared" si="77"/>
        <v>6200</v>
      </c>
      <c r="V82" s="395"/>
      <c r="W82" s="396">
        <f t="shared" ref="W82:Z82" si="78">+SUM(W25:W81)</f>
        <v>3804.0171339209619</v>
      </c>
      <c r="X82" s="395"/>
      <c r="Y82" s="395">
        <f t="shared" si="78"/>
        <v>11</v>
      </c>
      <c r="Z82" s="395">
        <f t="shared" si="78"/>
        <v>1100</v>
      </c>
      <c r="AA82" s="395"/>
      <c r="AB82" s="396">
        <f t="shared" ref="AB82" si="79">+SUM(AB25:AB81)</f>
        <v>630.10053585358071</v>
      </c>
      <c r="AC82" s="395"/>
      <c r="AD82" s="395">
        <f t="shared" ref="AD82:CJ82" si="80">+SUM(AD25:AD81)</f>
        <v>844.8</v>
      </c>
      <c r="AE82" s="395">
        <f t="shared" si="80"/>
        <v>3300</v>
      </c>
      <c r="AF82" s="395"/>
      <c r="AG82" s="396">
        <f t="shared" si="80"/>
        <v>1946.5247446984611</v>
      </c>
      <c r="AH82" s="395"/>
      <c r="AI82" s="395">
        <f t="shared" si="80"/>
        <v>290.70000000000005</v>
      </c>
      <c r="AJ82" s="395">
        <f t="shared" si="80"/>
        <v>1700.0000000000005</v>
      </c>
      <c r="AK82" s="395"/>
      <c r="AL82" s="396">
        <f t="shared" si="80"/>
        <v>911.33430231066586</v>
      </c>
      <c r="AM82" s="395"/>
      <c r="AN82" s="395">
        <f t="shared" si="80"/>
        <v>4109.7249999999995</v>
      </c>
      <c r="AO82" s="395">
        <f t="shared" si="80"/>
        <v>8600</v>
      </c>
      <c r="AP82" s="395"/>
      <c r="AQ82" s="396">
        <f t="shared" si="80"/>
        <v>4907.4427324130684</v>
      </c>
      <c r="AR82" s="395"/>
      <c r="AS82" s="395">
        <f t="shared" si="80"/>
        <v>417.30625000000009</v>
      </c>
      <c r="AT82" s="395">
        <f t="shared" si="80"/>
        <v>1150</v>
      </c>
      <c r="AU82" s="395"/>
      <c r="AV82" s="396">
        <f t="shared" si="80"/>
        <v>581.09048136077752</v>
      </c>
      <c r="AW82" s="395"/>
      <c r="AX82" s="395">
        <f t="shared" si="80"/>
        <v>5883.4750000000004</v>
      </c>
      <c r="AY82" s="395">
        <f t="shared" si="80"/>
        <v>8600.0000000000018</v>
      </c>
      <c r="AZ82" s="395"/>
      <c r="BA82" s="396">
        <f t="shared" si="80"/>
        <v>4796.6681971058706</v>
      </c>
      <c r="BB82" s="395"/>
      <c r="BC82" s="395">
        <f t="shared" si="80"/>
        <v>620.85625000000005</v>
      </c>
      <c r="BD82" s="395">
        <f t="shared" si="80"/>
        <v>1150</v>
      </c>
      <c r="BE82" s="395"/>
      <c r="BF82" s="396">
        <f t="shared" si="80"/>
        <v>557.28330019681641</v>
      </c>
      <c r="BG82" s="395"/>
      <c r="BH82" s="395">
        <f t="shared" ref="BH82:BI82" si="81">+SUM(BH25:BH81)</f>
        <v>3136.2499999999995</v>
      </c>
      <c r="BI82" s="395">
        <f t="shared" si="81"/>
        <v>5200</v>
      </c>
      <c r="BJ82" s="395"/>
      <c r="BK82" s="396">
        <f t="shared" ref="BK82" si="82">+SUM(BK25:BK81)</f>
        <v>3158.542326713201</v>
      </c>
      <c r="BL82" s="395"/>
      <c r="BM82" s="395">
        <f t="shared" ref="BM82:BN82" si="83">+SUM(BM25:BM81)</f>
        <v>2767.3250000000003</v>
      </c>
      <c r="BN82" s="395">
        <f t="shared" si="83"/>
        <v>5800.0000000000009</v>
      </c>
      <c r="BO82" s="395"/>
      <c r="BP82" s="396">
        <f t="shared" ref="BP82" si="84">+SUM(BP25:BP81)</f>
        <v>3163.1178125042179</v>
      </c>
      <c r="BQ82" s="395"/>
      <c r="BR82" s="395">
        <f t="shared" si="80"/>
        <v>0</v>
      </c>
      <c r="BS82" s="395">
        <f t="shared" si="80"/>
        <v>0</v>
      </c>
      <c r="BT82" s="395"/>
      <c r="BU82" s="396">
        <f t="shared" si="80"/>
        <v>0</v>
      </c>
      <c r="BV82" s="395"/>
      <c r="BW82" s="395">
        <f t="shared" si="80"/>
        <v>0</v>
      </c>
      <c r="BX82" s="395">
        <f t="shared" si="80"/>
        <v>0</v>
      </c>
      <c r="BY82" s="395"/>
      <c r="BZ82" s="396">
        <f t="shared" si="80"/>
        <v>0</v>
      </c>
      <c r="CA82" s="395"/>
      <c r="CB82" s="395">
        <f t="shared" si="80"/>
        <v>10881.949314060405</v>
      </c>
      <c r="CC82" s="395">
        <f t="shared" si="80"/>
        <v>14079.830909345494</v>
      </c>
      <c r="CD82" s="395"/>
      <c r="CE82" s="396">
        <f t="shared" si="80"/>
        <v>7835.803157557415</v>
      </c>
      <c r="CF82" s="395"/>
      <c r="CG82" s="395">
        <f t="shared" si="80"/>
        <v>4248.8569080047018</v>
      </c>
      <c r="CH82" s="395">
        <f t="shared" si="80"/>
        <v>6893.2985731165372</v>
      </c>
      <c r="CI82" s="395"/>
      <c r="CJ82" s="396">
        <f t="shared" si="80"/>
        <v>3338.076518001898</v>
      </c>
      <c r="CK82" s="395"/>
      <c r="CL82" s="395">
        <f t="shared" ref="CL82:CM82" si="85">+SUM(CL25:CL81)</f>
        <v>78.301047289516774</v>
      </c>
      <c r="CM82" s="395">
        <f t="shared" si="85"/>
        <v>1118.5863898502396</v>
      </c>
      <c r="CN82" s="395"/>
      <c r="CO82" s="396">
        <f t="shared" ref="CO82" si="86">+SUM(CO25:CO81)</f>
        <v>1019.0106116747322</v>
      </c>
      <c r="CP82" s="397"/>
      <c r="CQ82" s="414">
        <f>+SUM(CQ25:CQ81)</f>
        <v>34748.14811039951</v>
      </c>
      <c r="CR82" s="412">
        <f t="shared" ref="CR82:CS82" si="87">+SUM(CR25:CR81)</f>
        <v>67104.374768407069</v>
      </c>
      <c r="CS82" s="413">
        <f t="shared" si="87"/>
        <v>101852.5228788066</v>
      </c>
      <c r="CT82"/>
    </row>
  </sheetData>
  <mergeCells count="16">
    <mergeCell ref="CA23:CE23"/>
    <mergeCell ref="CF23:CJ23"/>
    <mergeCell ref="CK23:CO23"/>
    <mergeCell ref="B24:P24"/>
    <mergeCell ref="AW23:BA23"/>
    <mergeCell ref="BB23:BF23"/>
    <mergeCell ref="BG23:BK23"/>
    <mergeCell ref="BL23:BP23"/>
    <mergeCell ref="BQ23:BU23"/>
    <mergeCell ref="BV23:BZ23"/>
    <mergeCell ref="S23:W23"/>
    <mergeCell ref="X23:AB23"/>
    <mergeCell ref="AC23:AG23"/>
    <mergeCell ref="AH23:AL23"/>
    <mergeCell ref="AM23:AQ23"/>
    <mergeCell ref="AR23:AV2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3E498-4ECB-4248-A9B5-974AABDF8CE2}">
  <sheetPr codeName="Hoja16">
    <tabColor theme="9" tint="-0.499984740745262"/>
  </sheetPr>
  <dimension ref="A1:U32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88"/>
    <col min="2" max="2" width="19" style="88" bestFit="1" customWidth="1"/>
    <col min="3" max="3" width="17" style="88" bestFit="1" customWidth="1"/>
    <col min="4" max="4" width="11.7109375" style="88" bestFit="1" customWidth="1"/>
    <col min="5" max="18" width="11.140625" style="88" customWidth="1"/>
    <col min="19" max="20" width="14" style="88" customWidth="1"/>
    <col min="21" max="21" width="13.5703125" style="88" bestFit="1" customWidth="1"/>
    <col min="22" max="16384" width="11.42578125" style="88"/>
  </cols>
  <sheetData>
    <row r="1" spans="1:21" s="85" customFormat="1" ht="15" x14ac:dyDescent="0.25">
      <c r="A1" s="85" t="s">
        <v>193</v>
      </c>
      <c r="K1" s="68"/>
      <c r="S1" s="329" t="s">
        <v>215</v>
      </c>
      <c r="T1" s="402">
        <v>43999</v>
      </c>
    </row>
    <row r="2" spans="1:21" x14ac:dyDescent="0.2">
      <c r="A2" s="2" t="s">
        <v>195</v>
      </c>
      <c r="F2" s="90"/>
      <c r="G2" s="90"/>
      <c r="K2" s="8"/>
      <c r="S2" s="403" t="s">
        <v>15</v>
      </c>
      <c r="T2" s="403">
        <v>0.88939999999999997</v>
      </c>
      <c r="U2" s="269"/>
    </row>
    <row r="3" spans="1:21" ht="12.75" customHeight="1" x14ac:dyDescent="0.2">
      <c r="E3" s="472" t="s">
        <v>80</v>
      </c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4"/>
      <c r="S3" s="403" t="s">
        <v>17</v>
      </c>
      <c r="T3" s="403">
        <v>0.9486</v>
      </c>
    </row>
    <row r="4" spans="1:21" s="270" customFormat="1" x14ac:dyDescent="0.2">
      <c r="E4" s="283">
        <v>1</v>
      </c>
      <c r="F4" s="283">
        <v>1</v>
      </c>
      <c r="G4" s="283">
        <v>1</v>
      </c>
      <c r="H4" s="283">
        <v>0.99</v>
      </c>
      <c r="I4" s="283">
        <v>1</v>
      </c>
      <c r="J4" s="283">
        <v>1</v>
      </c>
      <c r="K4" s="283">
        <v>0.99</v>
      </c>
      <c r="L4" s="283">
        <v>1</v>
      </c>
      <c r="M4" s="283">
        <v>1</v>
      </c>
      <c r="N4" s="283">
        <v>1</v>
      </c>
      <c r="O4" s="283">
        <v>0.99</v>
      </c>
      <c r="P4" s="283">
        <v>1</v>
      </c>
      <c r="Q4" s="283">
        <v>1</v>
      </c>
      <c r="R4" s="283">
        <v>0.99</v>
      </c>
    </row>
    <row r="5" spans="1:21" s="93" customFormat="1" ht="27" customHeight="1" x14ac:dyDescent="0.25">
      <c r="A5" s="70" t="s">
        <v>23</v>
      </c>
      <c r="B5" s="70" t="s">
        <v>81</v>
      </c>
      <c r="C5" s="70"/>
      <c r="D5" s="70" t="s">
        <v>82</v>
      </c>
      <c r="E5" s="282" t="s">
        <v>136</v>
      </c>
      <c r="F5" s="70" t="s">
        <v>2</v>
      </c>
      <c r="G5" s="70" t="s">
        <v>138</v>
      </c>
      <c r="H5" s="70" t="s">
        <v>140</v>
      </c>
      <c r="I5" s="70" t="s">
        <v>4</v>
      </c>
      <c r="J5" s="70" t="s">
        <v>5</v>
      </c>
      <c r="K5" s="70" t="s">
        <v>142</v>
      </c>
      <c r="L5" s="70" t="s">
        <v>137</v>
      </c>
      <c r="M5" s="282" t="s">
        <v>7</v>
      </c>
      <c r="N5" s="285" t="s">
        <v>139</v>
      </c>
      <c r="O5" s="70" t="s">
        <v>141</v>
      </c>
      <c r="P5" s="70" t="s">
        <v>9</v>
      </c>
      <c r="Q5" s="70" t="s">
        <v>10</v>
      </c>
      <c r="R5" s="279" t="s">
        <v>143</v>
      </c>
      <c r="S5" s="70" t="s">
        <v>84</v>
      </c>
      <c r="T5" s="70" t="s">
        <v>85</v>
      </c>
    </row>
    <row r="6" spans="1:21" s="87" customFormat="1" ht="11.25" x14ac:dyDescent="0.15">
      <c r="A6" s="99" t="s">
        <v>24</v>
      </c>
      <c r="B6" s="100" t="s">
        <v>163</v>
      </c>
      <c r="C6" s="100" t="s">
        <v>64</v>
      </c>
      <c r="D6" s="284">
        <v>4500</v>
      </c>
      <c r="E6" s="103">
        <f>+D6*$E$4*E30</f>
        <v>3375</v>
      </c>
      <c r="F6" s="133">
        <f>+(D6-E6/$E$4)*$F$4</f>
        <v>1125</v>
      </c>
      <c r="G6" s="133"/>
      <c r="H6" s="133"/>
      <c r="I6" s="133"/>
      <c r="J6" s="133"/>
      <c r="K6" s="133"/>
      <c r="L6" s="104"/>
      <c r="M6" s="104"/>
      <c r="N6" s="104"/>
      <c r="O6" s="104"/>
      <c r="P6" s="104"/>
      <c r="Q6" s="104"/>
      <c r="R6" s="107"/>
      <c r="S6" s="284">
        <f t="shared" ref="S6:S26" si="0">+SUM(E6:R6)</f>
        <v>4500</v>
      </c>
      <c r="T6" s="284">
        <f t="shared" ref="T6:T26" si="1">+SUM(E6:K6)+SUM(L6:R6)/$T$2</f>
        <v>4500</v>
      </c>
    </row>
    <row r="7" spans="1:21" s="87" customFormat="1" ht="11.25" x14ac:dyDescent="0.15">
      <c r="A7" s="109" t="s">
        <v>24</v>
      </c>
      <c r="B7" s="110" t="s">
        <v>164</v>
      </c>
      <c r="C7" s="110" t="s">
        <v>60</v>
      </c>
      <c r="D7" s="267">
        <v>3250</v>
      </c>
      <c r="E7" s="113">
        <f>+D7*E4*E31</f>
        <v>1625</v>
      </c>
      <c r="F7" s="281">
        <f>+(D7-E7/$E$4)*$F$4</f>
        <v>1625</v>
      </c>
      <c r="G7" s="281"/>
      <c r="H7" s="281"/>
      <c r="I7" s="281"/>
      <c r="J7" s="281"/>
      <c r="K7" s="281"/>
      <c r="L7" s="280"/>
      <c r="M7" s="280"/>
      <c r="N7" s="280"/>
      <c r="O7" s="280"/>
      <c r="P7" s="280"/>
      <c r="Q7" s="280"/>
      <c r="R7" s="117"/>
      <c r="S7" s="267">
        <f t="shared" si="0"/>
        <v>3250</v>
      </c>
      <c r="T7" s="267">
        <f t="shared" si="1"/>
        <v>3250</v>
      </c>
    </row>
    <row r="8" spans="1:21" s="87" customFormat="1" ht="11.25" x14ac:dyDescent="0.15">
      <c r="A8" s="109" t="s">
        <v>24</v>
      </c>
      <c r="B8" s="110" t="s">
        <v>165</v>
      </c>
      <c r="C8" s="110" t="s">
        <v>59</v>
      </c>
      <c r="D8" s="267">
        <v>1750</v>
      </c>
      <c r="E8" s="113">
        <f>+E28-SUM(E6:E7)</f>
        <v>1200</v>
      </c>
      <c r="F8" s="281">
        <f>+(D8-E8/$E$4)*$F$4</f>
        <v>550</v>
      </c>
      <c r="G8" s="281"/>
      <c r="H8" s="281"/>
      <c r="I8" s="281"/>
      <c r="J8" s="281"/>
      <c r="K8" s="281"/>
      <c r="L8" s="280"/>
      <c r="M8" s="280"/>
      <c r="N8" s="280"/>
      <c r="O8" s="280"/>
      <c r="P8" s="280"/>
      <c r="Q8" s="280"/>
      <c r="R8" s="117"/>
      <c r="S8" s="267">
        <f t="shared" si="0"/>
        <v>1750</v>
      </c>
      <c r="T8" s="267">
        <f t="shared" si="1"/>
        <v>1750</v>
      </c>
    </row>
    <row r="9" spans="1:21" s="87" customFormat="1" ht="11.25" x14ac:dyDescent="0.15">
      <c r="A9" s="109" t="s">
        <v>17</v>
      </c>
      <c r="B9" s="110" t="s">
        <v>166</v>
      </c>
      <c r="C9" s="110" t="s">
        <v>75</v>
      </c>
      <c r="D9" s="267">
        <v>400</v>
      </c>
      <c r="E9" s="116"/>
      <c r="F9" s="280"/>
      <c r="G9" s="280"/>
      <c r="H9" s="280"/>
      <c r="I9" s="280"/>
      <c r="J9" s="280"/>
      <c r="K9" s="280"/>
      <c r="L9" s="281">
        <f>+D9*$L$4*T2/T3</f>
        <v>375.03689647902172</v>
      </c>
      <c r="M9" s="281"/>
      <c r="N9" s="281"/>
      <c r="O9" s="281"/>
      <c r="P9" s="281"/>
      <c r="Q9" s="281"/>
      <c r="R9" s="115"/>
      <c r="S9" s="267">
        <f t="shared" si="0"/>
        <v>375.03689647902172</v>
      </c>
      <c r="T9" s="267">
        <f t="shared" si="1"/>
        <v>421.67404596247104</v>
      </c>
    </row>
    <row r="10" spans="1:21" s="87" customFormat="1" ht="11.25" x14ac:dyDescent="0.15">
      <c r="A10" s="109" t="s">
        <v>15</v>
      </c>
      <c r="B10" s="110" t="s">
        <v>167</v>
      </c>
      <c r="C10" s="110" t="s">
        <v>71</v>
      </c>
      <c r="D10" s="267">
        <v>1250</v>
      </c>
      <c r="E10" s="116"/>
      <c r="F10" s="280"/>
      <c r="G10" s="280"/>
      <c r="H10" s="280"/>
      <c r="I10" s="280"/>
      <c r="J10" s="280"/>
      <c r="K10" s="280"/>
      <c r="L10" s="281">
        <f>+D10*L32</f>
        <v>625</v>
      </c>
      <c r="M10" s="281">
        <f>+(D10-L10/$L$4)*$M$4</f>
        <v>625</v>
      </c>
      <c r="N10" s="281"/>
      <c r="O10" s="281"/>
      <c r="P10" s="281"/>
      <c r="Q10" s="281"/>
      <c r="R10" s="115"/>
      <c r="S10" s="267">
        <f t="shared" si="0"/>
        <v>1250</v>
      </c>
      <c r="T10" s="267">
        <f t="shared" si="1"/>
        <v>1405.4418709242186</v>
      </c>
    </row>
    <row r="11" spans="1:21" s="87" customFormat="1" ht="11.25" x14ac:dyDescent="0.15">
      <c r="A11" s="122" t="s">
        <v>15</v>
      </c>
      <c r="B11" s="123" t="s">
        <v>168</v>
      </c>
      <c r="C11" s="123" t="s">
        <v>70</v>
      </c>
      <c r="D11" s="268">
        <v>1000</v>
      </c>
      <c r="E11" s="126"/>
      <c r="F11" s="127"/>
      <c r="G11" s="127"/>
      <c r="H11" s="127"/>
      <c r="I11" s="127"/>
      <c r="J11" s="127"/>
      <c r="K11" s="127"/>
      <c r="L11" s="139">
        <f>+L28-L9-L10</f>
        <v>99.963103520978279</v>
      </c>
      <c r="M11" s="139">
        <f>+(D11-L11/$L$4)*$M$4</f>
        <v>900.03689647902172</v>
      </c>
      <c r="N11" s="139"/>
      <c r="O11" s="139"/>
      <c r="P11" s="139"/>
      <c r="Q11" s="139"/>
      <c r="R11" s="130"/>
      <c r="S11" s="268">
        <f t="shared" si="0"/>
        <v>1000</v>
      </c>
      <c r="T11" s="268">
        <f t="shared" si="1"/>
        <v>1124.3534967393748</v>
      </c>
    </row>
    <row r="12" spans="1:21" s="87" customFormat="1" ht="11.25" x14ac:dyDescent="0.15">
      <c r="A12" s="99" t="s">
        <v>24</v>
      </c>
      <c r="B12" s="100" t="s">
        <v>169</v>
      </c>
      <c r="C12" s="100" t="s">
        <v>68</v>
      </c>
      <c r="D12" s="284">
        <v>6500</v>
      </c>
      <c r="E12" s="103"/>
      <c r="F12" s="133"/>
      <c r="G12" s="133">
        <f>+(D12-F12/$F$4)*$G$4</f>
        <v>6500</v>
      </c>
      <c r="H12" s="133"/>
      <c r="I12" s="133"/>
      <c r="J12" s="133"/>
      <c r="K12" s="133"/>
      <c r="L12" s="104"/>
      <c r="M12" s="104"/>
      <c r="N12" s="104"/>
      <c r="O12" s="104"/>
      <c r="P12" s="104"/>
      <c r="Q12" s="104"/>
      <c r="R12" s="107"/>
      <c r="S12" s="284">
        <f t="shared" si="0"/>
        <v>6500</v>
      </c>
      <c r="T12" s="284">
        <f t="shared" si="1"/>
        <v>6500</v>
      </c>
    </row>
    <row r="13" spans="1:21" s="87" customFormat="1" ht="11.25" x14ac:dyDescent="0.15">
      <c r="A13" s="109" t="s">
        <v>24</v>
      </c>
      <c r="B13" s="110" t="s">
        <v>170</v>
      </c>
      <c r="C13" s="110" t="s">
        <v>65</v>
      </c>
      <c r="D13" s="267">
        <v>3750</v>
      </c>
      <c r="E13" s="113"/>
      <c r="F13" s="281"/>
      <c r="G13" s="281">
        <f>+G28-G12</f>
        <v>2100</v>
      </c>
      <c r="H13" s="281">
        <f>+(D13-G13/$G$4)*$H$4</f>
        <v>1633.5</v>
      </c>
      <c r="I13" s="281"/>
      <c r="J13" s="281"/>
      <c r="K13" s="281"/>
      <c r="L13" s="280"/>
      <c r="M13" s="280"/>
      <c r="N13" s="280"/>
      <c r="O13" s="280"/>
      <c r="P13" s="280"/>
      <c r="Q13" s="280"/>
      <c r="R13" s="117"/>
      <c r="S13" s="267">
        <f t="shared" si="0"/>
        <v>3733.5</v>
      </c>
      <c r="T13" s="267">
        <f t="shared" si="1"/>
        <v>3733.5</v>
      </c>
    </row>
    <row r="14" spans="1:21" s="87" customFormat="1" ht="11.25" x14ac:dyDescent="0.15">
      <c r="A14" s="109" t="s">
        <v>24</v>
      </c>
      <c r="B14" s="110" t="s">
        <v>171</v>
      </c>
      <c r="C14" s="110" t="s">
        <v>61</v>
      </c>
      <c r="D14" s="267">
        <v>4250</v>
      </c>
      <c r="E14" s="113"/>
      <c r="F14" s="281"/>
      <c r="G14" s="281"/>
      <c r="H14" s="281">
        <f>+D14*H4</f>
        <v>4207.5</v>
      </c>
      <c r="I14" s="281"/>
      <c r="J14" s="281"/>
      <c r="K14" s="281"/>
      <c r="L14" s="280"/>
      <c r="M14" s="280"/>
      <c r="N14" s="280"/>
      <c r="O14" s="280"/>
      <c r="P14" s="280"/>
      <c r="Q14" s="280"/>
      <c r="R14" s="117"/>
      <c r="S14" s="267">
        <f t="shared" si="0"/>
        <v>4207.5</v>
      </c>
      <c r="T14" s="267">
        <f t="shared" si="1"/>
        <v>4207.5</v>
      </c>
    </row>
    <row r="15" spans="1:21" s="87" customFormat="1" ht="11.25" x14ac:dyDescent="0.15">
      <c r="A15" s="109" t="s">
        <v>24</v>
      </c>
      <c r="B15" s="110" t="s">
        <v>172</v>
      </c>
      <c r="C15" s="110" t="s">
        <v>62</v>
      </c>
      <c r="D15" s="267">
        <v>1000</v>
      </c>
      <c r="E15" s="113"/>
      <c r="F15" s="281"/>
      <c r="G15" s="281"/>
      <c r="H15" s="281">
        <f>+D15*H4</f>
        <v>990</v>
      </c>
      <c r="I15" s="281"/>
      <c r="J15" s="281"/>
      <c r="K15" s="281"/>
      <c r="L15" s="280"/>
      <c r="M15" s="280"/>
      <c r="N15" s="280"/>
      <c r="O15" s="280"/>
      <c r="P15" s="280"/>
      <c r="Q15" s="280"/>
      <c r="R15" s="117"/>
      <c r="S15" s="267">
        <f t="shared" si="0"/>
        <v>990</v>
      </c>
      <c r="T15" s="267">
        <f t="shared" si="1"/>
        <v>990</v>
      </c>
    </row>
    <row r="16" spans="1:21" s="87" customFormat="1" ht="11.25" x14ac:dyDescent="0.15">
      <c r="A16" s="109" t="s">
        <v>24</v>
      </c>
      <c r="B16" s="110" t="s">
        <v>173</v>
      </c>
      <c r="C16" s="110" t="s">
        <v>66</v>
      </c>
      <c r="D16" s="267">
        <v>1750</v>
      </c>
      <c r="E16" s="113"/>
      <c r="F16" s="281"/>
      <c r="G16" s="281"/>
      <c r="H16" s="281">
        <f>+D16*H4</f>
        <v>1732.5</v>
      </c>
      <c r="I16" s="281"/>
      <c r="J16" s="281"/>
      <c r="K16" s="281"/>
      <c r="L16" s="280"/>
      <c r="M16" s="280"/>
      <c r="N16" s="280"/>
      <c r="O16" s="280"/>
      <c r="P16" s="280"/>
      <c r="Q16" s="280"/>
      <c r="R16" s="117"/>
      <c r="S16" s="267">
        <f t="shared" si="0"/>
        <v>1732.5</v>
      </c>
      <c r="T16" s="267">
        <f t="shared" si="1"/>
        <v>1732.5</v>
      </c>
    </row>
    <row r="17" spans="1:20" s="87" customFormat="1" ht="11.25" x14ac:dyDescent="0.15">
      <c r="A17" s="109" t="s">
        <v>15</v>
      </c>
      <c r="B17" s="110" t="s">
        <v>174</v>
      </c>
      <c r="C17" s="110" t="s">
        <v>72</v>
      </c>
      <c r="D17" s="267">
        <v>1250</v>
      </c>
      <c r="E17" s="116"/>
      <c r="F17" s="280"/>
      <c r="G17" s="280"/>
      <c r="H17" s="280"/>
      <c r="I17" s="280"/>
      <c r="J17" s="280"/>
      <c r="K17" s="280"/>
      <c r="L17" s="281"/>
      <c r="M17" s="281">
        <f>+(($M$28-SUM(M$10:M$11))*(D17/(SUM($D$17:$D$18)+$D$22+$D$24+$D$26)))</f>
        <v>14.34170152035356</v>
      </c>
      <c r="N17" s="281">
        <f>+N28</f>
        <v>1150</v>
      </c>
      <c r="O17" s="281">
        <f>+(D17-N17/$N$4-M17/$M$4)*$O$4</f>
        <v>84.801715494849986</v>
      </c>
      <c r="P17" s="281"/>
      <c r="Q17" s="281"/>
      <c r="R17" s="115"/>
      <c r="S17" s="267">
        <f t="shared" si="0"/>
        <v>1249.1434170152036</v>
      </c>
      <c r="T17" s="267">
        <f t="shared" si="1"/>
        <v>1404.4787688500153</v>
      </c>
    </row>
    <row r="18" spans="1:20" s="87" customFormat="1" ht="11.25" x14ac:dyDescent="0.15">
      <c r="A18" s="122" t="s">
        <v>15</v>
      </c>
      <c r="B18" s="123" t="s">
        <v>175</v>
      </c>
      <c r="C18" s="123" t="s">
        <v>73</v>
      </c>
      <c r="D18" s="268">
        <v>1000</v>
      </c>
      <c r="E18" s="126"/>
      <c r="F18" s="127"/>
      <c r="G18" s="127"/>
      <c r="H18" s="127"/>
      <c r="I18" s="127"/>
      <c r="J18" s="127"/>
      <c r="K18" s="127"/>
      <c r="L18" s="139"/>
      <c r="M18" s="139">
        <f>+(($M$28-SUM(M$10:M$11))*(D18/(SUM($D$17:$D$18)+$D$22+$D$24+$D$26)))</f>
        <v>11.473361216282848</v>
      </c>
      <c r="N18" s="139"/>
      <c r="O18" s="139">
        <f>+(D18-M18/$M$4)*$O$4</f>
        <v>978.64137239588001</v>
      </c>
      <c r="P18" s="139"/>
      <c r="Q18" s="139"/>
      <c r="R18" s="130"/>
      <c r="S18" s="268">
        <f t="shared" si="0"/>
        <v>990.11473361216281</v>
      </c>
      <c r="T18" s="268">
        <f t="shared" si="1"/>
        <v>1113.2389629100098</v>
      </c>
    </row>
    <row r="19" spans="1:20" s="87" customFormat="1" ht="11.25" x14ac:dyDescent="0.15">
      <c r="A19" s="99" t="s">
        <v>24</v>
      </c>
      <c r="B19" s="100" t="s">
        <v>176</v>
      </c>
      <c r="C19" s="100" t="s">
        <v>69</v>
      </c>
      <c r="D19" s="284">
        <v>2750</v>
      </c>
      <c r="E19" s="103"/>
      <c r="F19" s="133"/>
      <c r="G19" s="133"/>
      <c r="H19" s="133">
        <f>+(($H$28-SUM(H$6:H$18))*(D19/(SUM($D$19:$D$21)+$D$23+$D$25)))</f>
        <v>5.1583026925577302</v>
      </c>
      <c r="I19" s="133"/>
      <c r="J19" s="133"/>
      <c r="K19" s="133">
        <f>+(D19-H19/$H$4)*$K$4</f>
        <v>2717.3416973074422</v>
      </c>
      <c r="L19" s="104"/>
      <c r="M19" s="104"/>
      <c r="N19" s="104"/>
      <c r="O19" s="104"/>
      <c r="P19" s="104"/>
      <c r="Q19" s="104"/>
      <c r="R19" s="107"/>
      <c r="S19" s="284">
        <f t="shared" si="0"/>
        <v>2722.5</v>
      </c>
      <c r="T19" s="284">
        <f t="shared" si="1"/>
        <v>2722.5</v>
      </c>
    </row>
    <row r="20" spans="1:20" s="87" customFormat="1" ht="11.25" x14ac:dyDescent="0.15">
      <c r="A20" s="109" t="s">
        <v>24</v>
      </c>
      <c r="B20" s="110" t="s">
        <v>177</v>
      </c>
      <c r="C20" s="110" t="s">
        <v>63</v>
      </c>
      <c r="D20" s="267">
        <v>3000</v>
      </c>
      <c r="E20" s="113"/>
      <c r="F20" s="281"/>
      <c r="G20" s="281"/>
      <c r="H20" s="281">
        <f>+(($H$28-SUM(H$6:H$18))*(D20/(SUM($D$19:$D$21)+$D$23+$D$25)))</f>
        <v>5.6272393009720698</v>
      </c>
      <c r="I20" s="281"/>
      <c r="J20" s="281"/>
      <c r="K20" s="281">
        <f>+(D20-H20/$H$4)*$K$4</f>
        <v>2964.3727606990278</v>
      </c>
      <c r="L20" s="280"/>
      <c r="M20" s="280"/>
      <c r="N20" s="280"/>
      <c r="O20" s="280"/>
      <c r="P20" s="280"/>
      <c r="Q20" s="280"/>
      <c r="R20" s="117"/>
      <c r="S20" s="267">
        <f t="shared" si="0"/>
        <v>2970</v>
      </c>
      <c r="T20" s="267">
        <f t="shared" si="1"/>
        <v>2970</v>
      </c>
    </row>
    <row r="21" spans="1:20" s="87" customFormat="1" ht="11.25" x14ac:dyDescent="0.15">
      <c r="A21" s="109" t="s">
        <v>24</v>
      </c>
      <c r="B21" s="110" t="s">
        <v>178</v>
      </c>
      <c r="C21" s="110" t="s">
        <v>67</v>
      </c>
      <c r="D21" s="267">
        <v>2750</v>
      </c>
      <c r="E21" s="113"/>
      <c r="F21" s="281"/>
      <c r="G21" s="281"/>
      <c r="H21" s="281">
        <f>+(($H$28-SUM(H$6:H$18))*(D21/(SUM($D$19:$D$21)+$D$23+$D$25)))</f>
        <v>5.1583026925577302</v>
      </c>
      <c r="I21" s="281"/>
      <c r="J21" s="281"/>
      <c r="K21" s="281">
        <f>+(D21-H21/$H$4)*$K$4</f>
        <v>2717.3416973074422</v>
      </c>
      <c r="L21" s="280"/>
      <c r="M21" s="280"/>
      <c r="N21" s="280"/>
      <c r="O21" s="280"/>
      <c r="P21" s="280"/>
      <c r="Q21" s="280"/>
      <c r="R21" s="117"/>
      <c r="S21" s="267">
        <f t="shared" si="0"/>
        <v>2722.5</v>
      </c>
      <c r="T21" s="267">
        <f t="shared" si="1"/>
        <v>2722.5</v>
      </c>
    </row>
    <row r="22" spans="1:20" s="87" customFormat="1" ht="11.25" x14ac:dyDescent="0.15">
      <c r="A22" s="122" t="s">
        <v>15</v>
      </c>
      <c r="B22" s="123" t="s">
        <v>179</v>
      </c>
      <c r="C22" s="123" t="s">
        <v>74</v>
      </c>
      <c r="D22" s="268">
        <v>750</v>
      </c>
      <c r="E22" s="126"/>
      <c r="F22" s="127"/>
      <c r="G22" s="127"/>
      <c r="H22" s="127"/>
      <c r="I22" s="127"/>
      <c r="J22" s="127"/>
      <c r="K22" s="127"/>
      <c r="L22" s="139"/>
      <c r="M22" s="139">
        <f>+(($M$28-SUM(M$10:M$11))*(D22/(SUM($D$17:$D$18)+$D$22+$D$24+$D$26)))</f>
        <v>8.6050209122121366</v>
      </c>
      <c r="N22" s="139"/>
      <c r="O22" s="139">
        <f>+(($O$28-SUM(O$6:O$18))*(D22/($D$22+$D$26)))</f>
        <v>8.9873569182609252</v>
      </c>
      <c r="P22" s="139">
        <f>+(($P$28-$P$24)*(D22/($D$22+$D$26)))</f>
        <v>9.3437555206595899</v>
      </c>
      <c r="Q22" s="139"/>
      <c r="R22" s="130">
        <f>+(D22-M22/$M$4-O22/$O$4-P22/$P$4)*$R$4</f>
        <v>715.74335441319613</v>
      </c>
      <c r="S22" s="268">
        <f t="shared" si="0"/>
        <v>742.67948776432877</v>
      </c>
      <c r="T22" s="268">
        <f t="shared" si="1"/>
        <v>835.03427902443082</v>
      </c>
    </row>
    <row r="23" spans="1:20" s="87" customFormat="1" ht="11.25" x14ac:dyDescent="0.15">
      <c r="A23" s="99" t="s">
        <v>24</v>
      </c>
      <c r="B23" s="100" t="s">
        <v>77</v>
      </c>
      <c r="C23" s="100" t="s">
        <v>77</v>
      </c>
      <c r="D23" s="284">
        <v>5565.2917364499999</v>
      </c>
      <c r="E23" s="103"/>
      <c r="F23" s="133"/>
      <c r="G23" s="133"/>
      <c r="H23" s="133">
        <f>+(($H$28-SUM(H$6:H$18))*(D23/(SUM($D$19:$D$21)+$D$23+$D$25)))</f>
        <v>10.439076126908844</v>
      </c>
      <c r="I23" s="133">
        <f>+I28</f>
        <v>5200</v>
      </c>
      <c r="J23" s="133"/>
      <c r="K23" s="133">
        <f>+(D23-I23/$I$4-H23/$H$4)*$K$4</f>
        <v>351.19974295859106</v>
      </c>
      <c r="L23" s="104"/>
      <c r="M23" s="104"/>
      <c r="N23" s="104"/>
      <c r="O23" s="104"/>
      <c r="P23" s="104"/>
      <c r="Q23" s="104"/>
      <c r="R23" s="107"/>
      <c r="S23" s="284">
        <f t="shared" si="0"/>
        <v>5561.6388190854996</v>
      </c>
      <c r="T23" s="284">
        <f t="shared" si="1"/>
        <v>5561.6388190854996</v>
      </c>
    </row>
    <row r="24" spans="1:20" s="87" customFormat="1" ht="11.25" x14ac:dyDescent="0.15">
      <c r="A24" s="122" t="s">
        <v>15</v>
      </c>
      <c r="B24" s="123" t="s">
        <v>76</v>
      </c>
      <c r="C24" s="123" t="s">
        <v>76</v>
      </c>
      <c r="D24" s="268">
        <v>5776.2840187699994</v>
      </c>
      <c r="E24" s="126"/>
      <c r="F24" s="127"/>
      <c r="G24" s="127"/>
      <c r="H24" s="127"/>
      <c r="I24" s="127"/>
      <c r="J24" s="127"/>
      <c r="K24" s="127"/>
      <c r="L24" s="139"/>
      <c r="M24" s="139">
        <f>+(($M$28-SUM(M$10:M$11))*(D24/(SUM($D$17:$D$18)+$D$22+$D$24+$D$26)))</f>
        <v>66.273393035190139</v>
      </c>
      <c r="N24" s="139"/>
      <c r="O24" s="139"/>
      <c r="P24" s="139">
        <f>+(D24-M24/$M$4)*$P$4</f>
        <v>5710.0106257348089</v>
      </c>
      <c r="Q24" s="139"/>
      <c r="R24" s="130"/>
      <c r="S24" s="268">
        <f t="shared" si="0"/>
        <v>5776.2840187699994</v>
      </c>
      <c r="T24" s="268">
        <f t="shared" si="1"/>
        <v>6494.5851346638183</v>
      </c>
    </row>
    <row r="25" spans="1:20" s="87" customFormat="1" ht="11.25" x14ac:dyDescent="0.15">
      <c r="A25" s="109" t="s">
        <v>24</v>
      </c>
      <c r="B25" s="110" t="s">
        <v>79</v>
      </c>
      <c r="C25" s="110" t="s">
        <v>79</v>
      </c>
      <c r="D25" s="267">
        <v>5393.6283739999999</v>
      </c>
      <c r="E25" s="113"/>
      <c r="F25" s="281"/>
      <c r="G25" s="281"/>
      <c r="H25" s="281">
        <f>+(($H$28-SUM(H$6:H$18))*(D25/(SUM($D$19:$D$21)+$D$23+$D$25)))</f>
        <v>10.117079187003627</v>
      </c>
      <c r="I25" s="281"/>
      <c r="J25" s="281"/>
      <c r="K25" s="281">
        <f>+(D25-H25/$H$4)*$K$4</f>
        <v>5329.5750110729969</v>
      </c>
      <c r="L25" s="280"/>
      <c r="M25" s="280"/>
      <c r="N25" s="280"/>
      <c r="O25" s="280"/>
      <c r="P25" s="280"/>
      <c r="Q25" s="280"/>
      <c r="R25" s="117"/>
      <c r="S25" s="267">
        <f t="shared" si="0"/>
        <v>5339.6920902600004</v>
      </c>
      <c r="T25" s="267">
        <f t="shared" si="1"/>
        <v>5339.6920902600004</v>
      </c>
    </row>
    <row r="26" spans="1:20" s="87" customFormat="1" ht="11.25" x14ac:dyDescent="0.15">
      <c r="A26" s="122" t="s">
        <v>15</v>
      </c>
      <c r="B26" s="123" t="s">
        <v>78</v>
      </c>
      <c r="C26" s="123" t="s">
        <v>78</v>
      </c>
      <c r="D26" s="268">
        <v>6473.2230979999995</v>
      </c>
      <c r="E26" s="126"/>
      <c r="F26" s="127"/>
      <c r="G26" s="127"/>
      <c r="H26" s="127"/>
      <c r="I26" s="127"/>
      <c r="J26" s="127"/>
      <c r="K26" s="127"/>
      <c r="L26" s="139"/>
      <c r="M26" s="139">
        <f>+(($M$28-SUM(M$10:M$11))*(D26/(SUM($D$17:$D$18)+$D$22+$D$24+$D$26)))</f>
        <v>74.269626836939494</v>
      </c>
      <c r="N26" s="139"/>
      <c r="O26" s="139">
        <f>+(($O$28-SUM(O$6:O$18))*(D26/($D$22+$D$26)))</f>
        <v>77.569555191008959</v>
      </c>
      <c r="P26" s="139">
        <f>+(($P$28-$P$24)*(D26/($D$22+$D$26)))</f>
        <v>80.645618744531561</v>
      </c>
      <c r="Q26" s="139"/>
      <c r="R26" s="130">
        <f>+(D26-M26/$M$4-O26/$O$4-P26/$P$4)*$R$4</f>
        <v>6177.5552187033345</v>
      </c>
      <c r="S26" s="268">
        <f t="shared" si="0"/>
        <v>6410.0400194758149</v>
      </c>
      <c r="T26" s="268">
        <f t="shared" si="1"/>
        <v>7207.1509101369629</v>
      </c>
    </row>
    <row r="27" spans="1:20" s="271" customFormat="1" ht="18" customHeight="1" x14ac:dyDescent="0.15">
      <c r="A27" s="487" t="s">
        <v>45</v>
      </c>
      <c r="B27" s="488"/>
      <c r="C27" s="488"/>
      <c r="D27" s="489"/>
      <c r="E27" s="141">
        <f t="shared" ref="E27:R27" si="2">+SUM(E6:E26)</f>
        <v>6200</v>
      </c>
      <c r="F27" s="141">
        <f t="shared" si="2"/>
        <v>3300</v>
      </c>
      <c r="G27" s="141">
        <f t="shared" si="2"/>
        <v>8600</v>
      </c>
      <c r="H27" s="141">
        <f t="shared" si="2"/>
        <v>8600.0000000000018</v>
      </c>
      <c r="I27" s="141">
        <f t="shared" si="2"/>
        <v>5200</v>
      </c>
      <c r="J27" s="141">
        <f t="shared" si="2"/>
        <v>0</v>
      </c>
      <c r="K27" s="141">
        <f t="shared" si="2"/>
        <v>14079.830909345501</v>
      </c>
      <c r="L27" s="141">
        <f t="shared" si="2"/>
        <v>1100</v>
      </c>
      <c r="M27" s="141">
        <f t="shared" si="2"/>
        <v>1700.0000000000002</v>
      </c>
      <c r="N27" s="141">
        <f t="shared" si="2"/>
        <v>1150</v>
      </c>
      <c r="O27" s="141">
        <f t="shared" si="2"/>
        <v>1150</v>
      </c>
      <c r="P27" s="141">
        <f t="shared" si="2"/>
        <v>5800</v>
      </c>
      <c r="Q27" s="141">
        <f t="shared" si="2"/>
        <v>0</v>
      </c>
      <c r="R27" s="141">
        <f t="shared" si="2"/>
        <v>6893.2985731165309</v>
      </c>
      <c r="S27" s="140"/>
      <c r="T27" s="140">
        <f>+SUM(T6:T26)</f>
        <v>65985.788378556812</v>
      </c>
    </row>
    <row r="28" spans="1:20" s="272" customFormat="1" ht="18" customHeight="1" x14ac:dyDescent="0.2">
      <c r="A28" s="490" t="s">
        <v>87</v>
      </c>
      <c r="B28" s="491"/>
      <c r="C28" s="491"/>
      <c r="D28" s="492"/>
      <c r="E28" s="144">
        <v>6200</v>
      </c>
      <c r="F28" s="144">
        <v>3400</v>
      </c>
      <c r="G28" s="144">
        <v>8600</v>
      </c>
      <c r="H28" s="144">
        <v>8600</v>
      </c>
      <c r="I28" s="144">
        <v>5200</v>
      </c>
      <c r="J28" s="144">
        <v>5200</v>
      </c>
      <c r="K28" s="144"/>
      <c r="L28" s="144">
        <v>1100</v>
      </c>
      <c r="M28" s="144">
        <v>1700</v>
      </c>
      <c r="N28" s="144">
        <v>1150</v>
      </c>
      <c r="O28" s="144">
        <v>1150</v>
      </c>
      <c r="P28" s="144">
        <v>5800</v>
      </c>
      <c r="Q28" s="144">
        <v>6500</v>
      </c>
      <c r="R28" s="144"/>
      <c r="S28" s="144"/>
      <c r="T28" s="144"/>
    </row>
    <row r="29" spans="1:20" ht="18.75" x14ac:dyDescent="0.2">
      <c r="A29" s="146" t="s">
        <v>88</v>
      </c>
      <c r="D29" s="86"/>
      <c r="E29" s="8"/>
      <c r="F29" s="8"/>
      <c r="N29" s="218"/>
      <c r="O29" s="218"/>
    </row>
    <row r="30" spans="1:20" x14ac:dyDescent="0.2">
      <c r="D30" s="424" t="s">
        <v>64</v>
      </c>
      <c r="E30" s="331">
        <v>0.75</v>
      </c>
      <c r="F30" s="331">
        <v>0.25</v>
      </c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2"/>
    </row>
    <row r="31" spans="1:20" x14ac:dyDescent="0.2">
      <c r="D31" s="425" t="s">
        <v>60</v>
      </c>
      <c r="E31" s="334">
        <v>0.5</v>
      </c>
      <c r="F31" s="334">
        <v>0.5</v>
      </c>
      <c r="G31" s="334"/>
      <c r="H31" s="334"/>
      <c r="I31" s="334"/>
      <c r="J31" s="334"/>
      <c r="K31" s="334"/>
      <c r="L31" s="334"/>
      <c r="M31" s="334"/>
      <c r="N31" s="334"/>
      <c r="O31" s="334"/>
      <c r="P31" s="334"/>
      <c r="Q31" s="334"/>
      <c r="R31" s="335"/>
    </row>
    <row r="32" spans="1:20" x14ac:dyDescent="0.2">
      <c r="D32" s="426" t="s">
        <v>71</v>
      </c>
      <c r="E32" s="337"/>
      <c r="F32" s="337"/>
      <c r="G32" s="337"/>
      <c r="H32" s="337"/>
      <c r="I32" s="337"/>
      <c r="J32" s="337"/>
      <c r="K32" s="337"/>
      <c r="L32" s="337">
        <v>0.5</v>
      </c>
      <c r="M32" s="337"/>
      <c r="N32" s="337"/>
      <c r="O32" s="337"/>
      <c r="P32" s="337"/>
      <c r="Q32" s="337"/>
      <c r="R32" s="338"/>
    </row>
  </sheetData>
  <mergeCells count="3">
    <mergeCell ref="E3:R3"/>
    <mergeCell ref="A27:D27"/>
    <mergeCell ref="A28:D28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210B5-C009-4614-8996-608C55C1BB71}">
  <sheetPr codeName="Hoja17">
    <tabColor theme="9" tint="-0.499984740745262"/>
  </sheetPr>
  <dimension ref="A1:M28"/>
  <sheetViews>
    <sheetView showGridLines="0" zoomScale="90" zoomScaleNormal="90" workbookViewId="0"/>
  </sheetViews>
  <sheetFormatPr baseColWidth="10" defaultColWidth="11.42578125" defaultRowHeight="15" x14ac:dyDescent="0.25"/>
  <cols>
    <col min="1" max="1" width="17" bestFit="1" customWidth="1"/>
    <col min="2" max="2" width="17" style="308" customWidth="1"/>
  </cols>
  <sheetData>
    <row r="1" spans="1:13" s="155" customFormat="1" x14ac:dyDescent="0.2">
      <c r="A1" s="155" t="s">
        <v>187</v>
      </c>
      <c r="B1" s="305"/>
    </row>
    <row r="2" spans="1:13" ht="15.75" x14ac:dyDescent="0.25">
      <c r="A2" s="2" t="s">
        <v>13</v>
      </c>
      <c r="B2" s="305"/>
    </row>
    <row r="3" spans="1:13" ht="22.5" x14ac:dyDescent="0.25">
      <c r="A3" s="156" t="s">
        <v>51</v>
      </c>
      <c r="B3" s="300" t="s">
        <v>89</v>
      </c>
      <c r="C3" s="156" t="s">
        <v>180</v>
      </c>
      <c r="D3" s="156" t="s">
        <v>136</v>
      </c>
      <c r="E3" s="156" t="s">
        <v>2</v>
      </c>
      <c r="F3" s="156" t="s">
        <v>138</v>
      </c>
      <c r="G3" s="156" t="s">
        <v>140</v>
      </c>
      <c r="H3" s="156" t="s">
        <v>4</v>
      </c>
      <c r="I3" s="156" t="s">
        <v>5</v>
      </c>
      <c r="J3" s="156" t="s">
        <v>142</v>
      </c>
      <c r="L3" s="245" t="s">
        <v>91</v>
      </c>
      <c r="M3" s="246" t="s">
        <v>92</v>
      </c>
    </row>
    <row r="4" spans="1:13" ht="15" customHeight="1" x14ac:dyDescent="0.25">
      <c r="A4" s="175" t="s">
        <v>64</v>
      </c>
      <c r="B4" s="301">
        <f>+C4/2+C4/2/100*$M$11+D4*$M$4+E4*$M$5+F4*$M$6+G4*$M$7+H4*$M$8+I4*$M$9+J4*$M$10</f>
        <v>65.56175251314184</v>
      </c>
      <c r="C4" s="273">
        <f>+VLOOKUP(A4,'Intereses corridos'!$A$5:$G$25,7,0)*100</f>
        <v>5.0225694444444446</v>
      </c>
      <c r="D4" s="273">
        <f>+VLOOKUP($A4,'AHBG-EBG Canje optimo'!$C$6:$R$26,3,FALSE)/VLOOKUP($A4,'AHBG-EBG Canje optimo'!$C$6:$S$26,17,FALSE)</f>
        <v>0.75</v>
      </c>
      <c r="E4" s="273">
        <f>+VLOOKUP($A4,'AHBG-EBG Canje optimo'!$C$6:$R$26,4,FALSE)/VLOOKUP($A4,'AHBG-EBG Canje optimo'!$C$6:$S$26,17,FALSE)</f>
        <v>0.25</v>
      </c>
      <c r="F4" s="273">
        <f>+VLOOKUP($A4,'AHBG-EBG Canje optimo'!$C$6:$R$26,5,FALSE)/VLOOKUP($A4,'AHBG-EBG Canje optimo'!$C$6:$S$26,17,FALSE)</f>
        <v>0</v>
      </c>
      <c r="G4" s="273">
        <f>+VLOOKUP($A4,'AHBG-EBG Canje optimo'!$C$6:$R$26,6,FALSE)/VLOOKUP($A4,'AHBG-EBG Canje optimo'!$C$6:$S$26,17,FALSE)</f>
        <v>0</v>
      </c>
      <c r="H4" s="273">
        <f>+VLOOKUP($A4,'AHBG-EBG Canje optimo'!$C$6:$R$26,7,FALSE)/VLOOKUP($A4,'AHBG-EBG Canje optimo'!$C$6:$S$26,17,FALSE)</f>
        <v>0</v>
      </c>
      <c r="I4" s="273">
        <f>+VLOOKUP($A4,'AHBG-EBG Canje optimo'!$C$6:$R$26,8,FALSE)/VLOOKUP($A4,'AHBG-EBG Canje optimo'!$C$6:$S$26,17,FALSE)</f>
        <v>0</v>
      </c>
      <c r="J4" s="273">
        <f>+VLOOKUP($A4,'AHBG-EBG Canje optimo'!$C$6:$R$26,9,FALSE)/VLOOKUP($A4,'AHBG-EBG Canje optimo'!$C$6:$S$26,17,FALSE)</f>
        <v>0</v>
      </c>
      <c r="L4" s="163" t="s">
        <v>136</v>
      </c>
      <c r="M4" s="164">
        <f>+HLOOKUP(L4,'AHBG-EBG Nuevos Bonos 100VN'!$B$6:$P$20,15,0)</f>
        <v>61.355115063241328</v>
      </c>
    </row>
    <row r="5" spans="1:13" x14ac:dyDescent="0.25">
      <c r="A5" s="175" t="s">
        <v>60</v>
      </c>
      <c r="B5" s="302">
        <f t="shared" ref="B5:B16" si="0">+C5/2+C5/2/100*$M$11+D5*$M$4+E5*$M$5+F5*$M$6+G5*$M$7+H5*$M$8+I5*$M$9+J5*$M$10</f>
        <v>62.693448398288467</v>
      </c>
      <c r="C5" s="274">
        <f>+VLOOKUP(A5,'Intereses corridos'!$A$5:$G$25,7,0)*100</f>
        <v>2.640625</v>
      </c>
      <c r="D5" s="274">
        <f>+VLOOKUP($A5,'AHBG-EBG Canje optimo'!$C$6:$R$26,3,FALSE)/VLOOKUP($A5,'AHBG-EBG Canje optimo'!$C$6:$S$26,17,FALSE)</f>
        <v>0.5</v>
      </c>
      <c r="E5" s="274">
        <f>+VLOOKUP($A5,'AHBG-EBG Canje optimo'!$C$6:$R$26,4,FALSE)/VLOOKUP($A5,'AHBG-EBG Canje optimo'!$C$6:$S$26,17,FALSE)</f>
        <v>0.5</v>
      </c>
      <c r="F5" s="274">
        <f>+VLOOKUP($A5,'AHBG-EBG Canje optimo'!$C$6:$R$26,5,FALSE)/VLOOKUP($A5,'AHBG-EBG Canje optimo'!$C$6:$S$26,17,FALSE)</f>
        <v>0</v>
      </c>
      <c r="G5" s="274">
        <f>+VLOOKUP($A5,'AHBG-EBG Canje optimo'!$C$6:$R$26,6,FALSE)/VLOOKUP($A5,'AHBG-EBG Canje optimo'!$C$6:$S$26,17,FALSE)</f>
        <v>0</v>
      </c>
      <c r="H5" s="274">
        <f>+VLOOKUP($A5,'AHBG-EBG Canje optimo'!$C$6:$R$26,7,FALSE)/VLOOKUP($A5,'AHBG-EBG Canje optimo'!$C$6:$S$26,17,FALSE)</f>
        <v>0</v>
      </c>
      <c r="I5" s="274">
        <f>+VLOOKUP($A5,'AHBG-EBG Canje optimo'!$C$6:$R$26,8,FALSE)/VLOOKUP($A5,'AHBG-EBG Canje optimo'!$C$6:$S$26,17,FALSE)</f>
        <v>0</v>
      </c>
      <c r="J5" s="274">
        <f>+VLOOKUP($A5,'AHBG-EBG Canje optimo'!$C$6:$R$26,9,FALSE)/VLOOKUP($A5,'AHBG-EBG Canje optimo'!$C$6:$S$26,17,FALSE)</f>
        <v>0</v>
      </c>
      <c r="L5" s="163" t="s">
        <v>2</v>
      </c>
      <c r="M5" s="164">
        <f>+HLOOKUP(L5,'AHBG-EBG Nuevos Bonos 100VN'!$B$6:$P$20,15,0)</f>
        <v>58.985598324195792</v>
      </c>
    </row>
    <row r="6" spans="1:13" x14ac:dyDescent="0.25">
      <c r="A6" s="175" t="s">
        <v>59</v>
      </c>
      <c r="B6" s="302">
        <f t="shared" si="0"/>
        <v>62.869082823399353</v>
      </c>
      <c r="C6" s="274">
        <f>+VLOOKUP(A6,'Intereses corridos'!$A$5:$G$25,7,0)*100</f>
        <v>2.3638888888888889</v>
      </c>
      <c r="D6" s="274">
        <f>+VLOOKUP($A6,'AHBG-EBG Canje optimo'!$C$6:$R$26,3,FALSE)/VLOOKUP($A6,'AHBG-EBG Canje optimo'!$C$6:$S$26,17,FALSE)</f>
        <v>0.68571428571428572</v>
      </c>
      <c r="E6" s="274">
        <f>+VLOOKUP($A6,'AHBG-EBG Canje optimo'!$C$6:$R$26,4,FALSE)/VLOOKUP($A6,'AHBG-EBG Canje optimo'!$C$6:$S$26,17,FALSE)</f>
        <v>0.31428571428571428</v>
      </c>
      <c r="F6" s="274">
        <f>+VLOOKUP($A6,'AHBG-EBG Canje optimo'!$C$6:$R$26,5,FALSE)/VLOOKUP($A6,'AHBG-EBG Canje optimo'!$C$6:$S$26,17,FALSE)</f>
        <v>0</v>
      </c>
      <c r="G6" s="274">
        <f>+VLOOKUP($A6,'AHBG-EBG Canje optimo'!$C$6:$R$26,6,FALSE)/VLOOKUP($A6,'AHBG-EBG Canje optimo'!$C$6:$S$26,17,FALSE)</f>
        <v>0</v>
      </c>
      <c r="H6" s="274">
        <f>+VLOOKUP($A6,'AHBG-EBG Canje optimo'!$C$6:$R$26,7,FALSE)/VLOOKUP($A6,'AHBG-EBG Canje optimo'!$C$6:$S$26,17,FALSE)</f>
        <v>0</v>
      </c>
      <c r="I6" s="274">
        <f>+VLOOKUP($A6,'AHBG-EBG Canje optimo'!$C$6:$R$26,8,FALSE)/VLOOKUP($A6,'AHBG-EBG Canje optimo'!$C$6:$S$26,17,FALSE)</f>
        <v>0</v>
      </c>
      <c r="J6" s="274">
        <f>+VLOOKUP($A6,'AHBG-EBG Canje optimo'!$C$6:$R$26,9,FALSE)/VLOOKUP($A6,'AHBG-EBG Canje optimo'!$C$6:$S$26,17,FALSE)</f>
        <v>0</v>
      </c>
      <c r="L6" s="163" t="s">
        <v>138</v>
      </c>
      <c r="M6" s="164">
        <f>+HLOOKUP(L6,'AHBG-EBG Nuevos Bonos 100VN'!$B$6:$P$20,15,0)</f>
        <v>57.063287586198477</v>
      </c>
    </row>
    <row r="7" spans="1:13" x14ac:dyDescent="0.25">
      <c r="A7" s="175" t="s">
        <v>68</v>
      </c>
      <c r="B7" s="302">
        <f t="shared" si="0"/>
        <v>62.29857846037509</v>
      </c>
      <c r="C7" s="274">
        <f>+VLOOKUP(A7,'Intereses corridos'!$A$5:$G$25,7,0)*100</f>
        <v>5.4791666666666661</v>
      </c>
      <c r="D7" s="274">
        <f>+VLOOKUP($A7,'AHBG-EBG Canje optimo'!$C$6:$R$26,3,FALSE)/VLOOKUP($A7,'AHBG-EBG Canje optimo'!$C$6:$S$26,17,FALSE)</f>
        <v>0</v>
      </c>
      <c r="E7" s="274">
        <f>+VLOOKUP($A7,'AHBG-EBG Canje optimo'!$C$6:$R$26,4,FALSE)/VLOOKUP($A7,'AHBG-EBG Canje optimo'!$C$6:$S$26,17,FALSE)</f>
        <v>0</v>
      </c>
      <c r="F7" s="274">
        <f>+VLOOKUP($A7,'AHBG-EBG Canje optimo'!$C$6:$R$26,5,FALSE)/VLOOKUP($A7,'AHBG-EBG Canje optimo'!$C$6:$S$26,17,FALSE)</f>
        <v>1</v>
      </c>
      <c r="G7" s="274">
        <f>+VLOOKUP($A7,'AHBG-EBG Canje optimo'!$C$6:$R$26,6,FALSE)/VLOOKUP($A7,'AHBG-EBG Canje optimo'!$C$6:$S$26,17,FALSE)</f>
        <v>0</v>
      </c>
      <c r="H7" s="274">
        <f>+VLOOKUP($A7,'AHBG-EBG Canje optimo'!$C$6:$R$26,7,FALSE)/VLOOKUP($A7,'AHBG-EBG Canje optimo'!$C$6:$S$26,17,FALSE)</f>
        <v>0</v>
      </c>
      <c r="I7" s="274">
        <f>+VLOOKUP($A7,'AHBG-EBG Canje optimo'!$C$6:$R$26,8,FALSE)/VLOOKUP($A7,'AHBG-EBG Canje optimo'!$C$6:$S$26,17,FALSE)</f>
        <v>0</v>
      </c>
      <c r="J7" s="274">
        <f>+VLOOKUP($A7,'AHBG-EBG Canje optimo'!$C$6:$R$26,9,FALSE)/VLOOKUP($A7,'AHBG-EBG Canje optimo'!$C$6:$S$26,17,FALSE)</f>
        <v>0</v>
      </c>
      <c r="L7" s="163" t="s">
        <v>140</v>
      </c>
      <c r="M7" s="164">
        <f>+HLOOKUP(L7,'AHBG-EBG Nuevos Bonos 100VN'!$B$6:$P$20,15,0)</f>
        <v>55.21745947831176</v>
      </c>
    </row>
    <row r="8" spans="1:13" x14ac:dyDescent="0.25">
      <c r="A8" s="175" t="s">
        <v>65</v>
      </c>
      <c r="B8" s="302">
        <f t="shared" si="0"/>
        <v>59.339470189386809</v>
      </c>
      <c r="C8" s="274">
        <f>+VLOOKUP(A8,'Intereses corridos'!$A$5:$G$25,7,0)*100</f>
        <v>3.2274305555555558</v>
      </c>
      <c r="D8" s="274">
        <f>+VLOOKUP($A8,'AHBG-EBG Canje optimo'!$C$6:$R$26,3,FALSE)/VLOOKUP($A8,'AHBG-EBG Canje optimo'!$C$6:$S$26,17,FALSE)</f>
        <v>0</v>
      </c>
      <c r="E8" s="274">
        <f>+VLOOKUP($A8,'AHBG-EBG Canje optimo'!$C$6:$R$26,4,FALSE)/VLOOKUP($A8,'AHBG-EBG Canje optimo'!$C$6:$S$26,17,FALSE)</f>
        <v>0</v>
      </c>
      <c r="F8" s="274">
        <f>+VLOOKUP($A8,'AHBG-EBG Canje optimo'!$C$6:$R$26,5,FALSE)/VLOOKUP($A8,'AHBG-EBG Canje optimo'!$C$6:$S$26,17,FALSE)</f>
        <v>0.56247488951386104</v>
      </c>
      <c r="G8" s="274">
        <f>+VLOOKUP($A8,'AHBG-EBG Canje optimo'!$C$6:$R$26,6,FALSE)/VLOOKUP($A8,'AHBG-EBG Canje optimo'!$C$6:$S$26,17,FALSE)</f>
        <v>0.43752511048613901</v>
      </c>
      <c r="H8" s="274">
        <f>+VLOOKUP($A8,'AHBG-EBG Canje optimo'!$C$6:$R$26,7,FALSE)/VLOOKUP($A8,'AHBG-EBG Canje optimo'!$C$6:$S$26,17,FALSE)</f>
        <v>0</v>
      </c>
      <c r="I8" s="274">
        <f>+VLOOKUP($A8,'AHBG-EBG Canje optimo'!$C$6:$R$26,8,FALSE)/VLOOKUP($A8,'AHBG-EBG Canje optimo'!$C$6:$S$26,17,FALSE)</f>
        <v>0</v>
      </c>
      <c r="J8" s="274">
        <f>+VLOOKUP($A8,'AHBG-EBG Canje optimo'!$C$6:$R$26,9,FALSE)/VLOOKUP($A8,'AHBG-EBG Canje optimo'!$C$6:$S$26,17,FALSE)</f>
        <v>0</v>
      </c>
      <c r="L8" s="163" t="s">
        <v>4</v>
      </c>
      <c r="M8" s="164">
        <f>+HLOOKUP(L8,'AHBG-EBG Nuevos Bonos 100VN'!$B$6:$P$20,15,0)</f>
        <v>60.741198590638483</v>
      </c>
    </row>
    <row r="9" spans="1:13" x14ac:dyDescent="0.25">
      <c r="A9" s="175" t="s">
        <v>61</v>
      </c>
      <c r="B9" s="302">
        <f t="shared" si="0"/>
        <v>58.086584667150753</v>
      </c>
      <c r="C9" s="274">
        <f>+VLOOKUP(A9,'Intereses corridos'!$A$5:$G$25,7,0)*100</f>
        <v>3.0027777777777773</v>
      </c>
      <c r="D9" s="274">
        <f>+VLOOKUP($A9,'AHBG-EBG Canje optimo'!$C$6:$R$26,3,FALSE)/VLOOKUP($A9,'AHBG-EBG Canje optimo'!$C$6:$S$26,17,FALSE)</f>
        <v>0</v>
      </c>
      <c r="E9" s="274">
        <f>+VLOOKUP($A9,'AHBG-EBG Canje optimo'!$C$6:$R$26,4,FALSE)/VLOOKUP($A9,'AHBG-EBG Canje optimo'!$C$6:$S$26,17,FALSE)</f>
        <v>0</v>
      </c>
      <c r="F9" s="274">
        <f>+VLOOKUP($A9,'AHBG-EBG Canje optimo'!$C$6:$R$26,5,FALSE)/VLOOKUP($A9,'AHBG-EBG Canje optimo'!$C$6:$S$26,17,FALSE)</f>
        <v>0</v>
      </c>
      <c r="G9" s="274">
        <f>+VLOOKUP($A9,'AHBG-EBG Canje optimo'!$C$6:$R$26,6,FALSE)/VLOOKUP($A9,'AHBG-EBG Canje optimo'!$C$6:$S$26,17,FALSE)</f>
        <v>1</v>
      </c>
      <c r="H9" s="274">
        <f>+VLOOKUP($A9,'AHBG-EBG Canje optimo'!$C$6:$R$26,7,FALSE)/VLOOKUP($A9,'AHBG-EBG Canje optimo'!$C$6:$S$26,17,FALSE)</f>
        <v>0</v>
      </c>
      <c r="I9" s="274">
        <f>+VLOOKUP($A9,'AHBG-EBG Canje optimo'!$C$6:$R$26,8,FALSE)/VLOOKUP($A9,'AHBG-EBG Canje optimo'!$C$6:$S$26,17,FALSE)</f>
        <v>0</v>
      </c>
      <c r="J9" s="274">
        <f>+VLOOKUP($A9,'AHBG-EBG Canje optimo'!$C$6:$R$26,9,FALSE)/VLOOKUP($A9,'AHBG-EBG Canje optimo'!$C$6:$S$26,17,FALSE)</f>
        <v>0</v>
      </c>
      <c r="L9" s="163" t="s">
        <v>5</v>
      </c>
      <c r="M9" s="164">
        <f>+HLOOKUP(L9,'AHBG-EBG Nuevos Bonos 100VN'!$B$6:$P$20,15,0)</f>
        <v>51.585668576914657</v>
      </c>
    </row>
    <row r="10" spans="1:13" x14ac:dyDescent="0.25">
      <c r="A10" s="175" t="s">
        <v>62</v>
      </c>
      <c r="B10" s="302">
        <f t="shared" si="0"/>
        <v>58.540774350721591</v>
      </c>
      <c r="C10" s="274">
        <f>+VLOOKUP(A10,'Intereses corridos'!$A$5:$G$25,7,0)*100</f>
        <v>3.4781249999999999</v>
      </c>
      <c r="D10" s="274">
        <f>+VLOOKUP($A10,'AHBG-EBG Canje optimo'!$C$6:$R$26,3,FALSE)/VLOOKUP($A10,'AHBG-EBG Canje optimo'!$C$6:$S$26,17,FALSE)</f>
        <v>0</v>
      </c>
      <c r="E10" s="274">
        <f>+VLOOKUP($A10,'AHBG-EBG Canje optimo'!$C$6:$R$26,4,FALSE)/VLOOKUP($A10,'AHBG-EBG Canje optimo'!$C$6:$S$26,17,FALSE)</f>
        <v>0</v>
      </c>
      <c r="F10" s="274">
        <f>+VLOOKUP($A10,'AHBG-EBG Canje optimo'!$C$6:$R$26,5,FALSE)/VLOOKUP($A10,'AHBG-EBG Canje optimo'!$C$6:$S$26,17,FALSE)</f>
        <v>0</v>
      </c>
      <c r="G10" s="274">
        <f>+VLOOKUP($A10,'AHBG-EBG Canje optimo'!$C$6:$R$26,6,FALSE)/VLOOKUP($A10,'AHBG-EBG Canje optimo'!$C$6:$S$26,17,FALSE)</f>
        <v>1</v>
      </c>
      <c r="H10" s="274">
        <f>+VLOOKUP($A10,'AHBG-EBG Canje optimo'!$C$6:$R$26,7,FALSE)/VLOOKUP($A10,'AHBG-EBG Canje optimo'!$C$6:$S$26,17,FALSE)</f>
        <v>0</v>
      </c>
      <c r="I10" s="274">
        <f>+VLOOKUP($A10,'AHBG-EBG Canje optimo'!$C$6:$R$26,8,FALSE)/VLOOKUP($A10,'AHBG-EBG Canje optimo'!$C$6:$S$26,17,FALSE)</f>
        <v>0</v>
      </c>
      <c r="J10" s="274">
        <f>+VLOOKUP($A10,'AHBG-EBG Canje optimo'!$C$6:$R$26,9,FALSE)/VLOOKUP($A10,'AHBG-EBG Canje optimo'!$C$6:$S$26,17,FALSE)</f>
        <v>0</v>
      </c>
      <c r="L10" s="163" t="s">
        <v>142</v>
      </c>
      <c r="M10" s="164">
        <f>+HLOOKUP(L10,'AHBG-EBG Nuevos Bonos 100VN'!$B$6:$P$20,15,0)</f>
        <v>55.096152616668341</v>
      </c>
    </row>
    <row r="11" spans="1:13" x14ac:dyDescent="0.25">
      <c r="A11" s="175" t="s">
        <v>66</v>
      </c>
      <c r="B11" s="302">
        <f t="shared" si="0"/>
        <v>58.791590567507235</v>
      </c>
      <c r="C11" s="274">
        <f>+VLOOKUP(A11,'Intereses corridos'!$A$5:$G$25,7,0)*100</f>
        <v>3.7406249999999996</v>
      </c>
      <c r="D11" s="274">
        <f>+VLOOKUP($A11,'AHBG-EBG Canje optimo'!$C$6:$R$26,3,FALSE)/VLOOKUP($A11,'AHBG-EBG Canje optimo'!$C$6:$S$26,17,FALSE)</f>
        <v>0</v>
      </c>
      <c r="E11" s="274">
        <f>+VLOOKUP($A11,'AHBG-EBG Canje optimo'!$C$6:$R$26,4,FALSE)/VLOOKUP($A11,'AHBG-EBG Canje optimo'!$C$6:$S$26,17,FALSE)</f>
        <v>0</v>
      </c>
      <c r="F11" s="274">
        <f>+VLOOKUP($A11,'AHBG-EBG Canje optimo'!$C$6:$R$26,5,FALSE)/VLOOKUP($A11,'AHBG-EBG Canje optimo'!$C$6:$S$26,17,FALSE)</f>
        <v>0</v>
      </c>
      <c r="G11" s="274">
        <f>+VLOOKUP($A11,'AHBG-EBG Canje optimo'!$C$6:$R$26,6,FALSE)/VLOOKUP($A11,'AHBG-EBG Canje optimo'!$C$6:$S$26,17,FALSE)</f>
        <v>1</v>
      </c>
      <c r="H11" s="274">
        <f>+VLOOKUP($A11,'AHBG-EBG Canje optimo'!$C$6:$R$26,7,FALSE)/VLOOKUP($A11,'AHBG-EBG Canje optimo'!$C$6:$S$26,17,FALSE)</f>
        <v>0</v>
      </c>
      <c r="I11" s="274">
        <f>+VLOOKUP($A11,'AHBG-EBG Canje optimo'!$C$6:$R$26,8,FALSE)/VLOOKUP($A11,'AHBG-EBG Canje optimo'!$C$6:$S$26,17,FALSE)</f>
        <v>0</v>
      </c>
      <c r="J11" s="274">
        <f>+VLOOKUP($A11,'AHBG-EBG Canje optimo'!$C$6:$R$26,9,FALSE)/VLOOKUP($A11,'AHBG-EBG Canje optimo'!$C$6:$S$26,17,FALSE)</f>
        <v>0</v>
      </c>
      <c r="L11" s="158" t="s">
        <v>181</v>
      </c>
      <c r="M11" s="176">
        <f>+HLOOKUP(L11,'AHBG-EBG Nuevos Bonos 100VN'!$B$6:$P$20,15,0)</f>
        <v>91.098069931921941</v>
      </c>
    </row>
    <row r="12" spans="1:13" x14ac:dyDescent="0.25">
      <c r="A12" s="175" t="s">
        <v>69</v>
      </c>
      <c r="B12" s="302">
        <f t="shared" si="0"/>
        <v>60.41892817805406</v>
      </c>
      <c r="C12" s="274">
        <f>+VLOOKUP(A12,'Intereses corridos'!$A$5:$G$25,7,0)*100</f>
        <v>5.5704861111111112</v>
      </c>
      <c r="D12" s="274">
        <f>+VLOOKUP($A12,'AHBG-EBG Canje optimo'!$C$6:$R$26,3,FALSE)/VLOOKUP($A12,'AHBG-EBG Canje optimo'!$C$6:$S$26,17,FALSE)</f>
        <v>0</v>
      </c>
      <c r="E12" s="274">
        <f>+VLOOKUP($A12,'AHBG-EBG Canje optimo'!$C$6:$R$26,4,FALSE)/VLOOKUP($A12,'AHBG-EBG Canje optimo'!$C$6:$S$26,17,FALSE)</f>
        <v>0</v>
      </c>
      <c r="F12" s="274">
        <f>+VLOOKUP($A12,'AHBG-EBG Canje optimo'!$C$6:$R$26,5,FALSE)/VLOOKUP($A12,'AHBG-EBG Canje optimo'!$C$6:$S$26,17,FALSE)</f>
        <v>0</v>
      </c>
      <c r="G12" s="274">
        <f>+VLOOKUP($A12,'AHBG-EBG Canje optimo'!$C$6:$R$26,6,FALSE)/VLOOKUP($A12,'AHBG-EBG Canje optimo'!$C$6:$S$26,17,FALSE)</f>
        <v>1.8946933673306631E-3</v>
      </c>
      <c r="H12" s="274">
        <f>+VLOOKUP($A12,'AHBG-EBG Canje optimo'!$C$6:$R$26,7,FALSE)/VLOOKUP($A12,'AHBG-EBG Canje optimo'!$C$6:$S$26,17,FALSE)</f>
        <v>0</v>
      </c>
      <c r="I12" s="274">
        <f>+VLOOKUP($A12,'AHBG-EBG Canje optimo'!$C$6:$R$26,8,FALSE)/VLOOKUP($A12,'AHBG-EBG Canje optimo'!$C$6:$S$26,17,FALSE)</f>
        <v>0</v>
      </c>
      <c r="J12" s="274">
        <f>+VLOOKUP($A12,'AHBG-EBG Canje optimo'!$C$6:$R$26,9,FALSE)/VLOOKUP($A12,'AHBG-EBG Canje optimo'!$C$6:$S$26,17,FALSE)</f>
        <v>0.99810530663266928</v>
      </c>
      <c r="L12" s="168"/>
      <c r="M12" s="87"/>
    </row>
    <row r="13" spans="1:13" x14ac:dyDescent="0.25">
      <c r="A13" s="175" t="s">
        <v>63</v>
      </c>
      <c r="B13" s="302">
        <f t="shared" si="0"/>
        <v>58.453869379083969</v>
      </c>
      <c r="C13" s="274">
        <f>+VLOOKUP(A13,'Intereses corridos'!$A$5:$G$25,7,0)*100</f>
        <v>3.5138888888888893</v>
      </c>
      <c r="D13" s="274">
        <f>+VLOOKUP($A13,'AHBG-EBG Canje optimo'!$C$6:$R$26,3,FALSE)/VLOOKUP($A13,'AHBG-EBG Canje optimo'!$C$6:$S$26,17,FALSE)</f>
        <v>0</v>
      </c>
      <c r="E13" s="274">
        <f>+VLOOKUP($A13,'AHBG-EBG Canje optimo'!$C$6:$R$26,4,FALSE)/VLOOKUP($A13,'AHBG-EBG Canje optimo'!$C$6:$S$26,17,FALSE)</f>
        <v>0</v>
      </c>
      <c r="F13" s="274">
        <f>+VLOOKUP($A13,'AHBG-EBG Canje optimo'!$C$6:$R$26,5,FALSE)/VLOOKUP($A13,'AHBG-EBG Canje optimo'!$C$6:$S$26,17,FALSE)</f>
        <v>0</v>
      </c>
      <c r="G13" s="274">
        <f>+VLOOKUP($A13,'AHBG-EBG Canje optimo'!$C$6:$R$26,6,FALSE)/VLOOKUP($A13,'AHBG-EBG Canje optimo'!$C$6:$S$26,17,FALSE)</f>
        <v>1.8946933673306633E-3</v>
      </c>
      <c r="H13" s="274">
        <f>+VLOOKUP($A13,'AHBG-EBG Canje optimo'!$C$6:$R$26,7,FALSE)/VLOOKUP($A13,'AHBG-EBG Canje optimo'!$C$6:$S$26,17,FALSE)</f>
        <v>0</v>
      </c>
      <c r="I13" s="274">
        <f>+VLOOKUP($A13,'AHBG-EBG Canje optimo'!$C$6:$R$26,8,FALSE)/VLOOKUP($A13,'AHBG-EBG Canje optimo'!$C$6:$S$26,17,FALSE)</f>
        <v>0</v>
      </c>
      <c r="J13" s="274">
        <f>+VLOOKUP($A13,'AHBG-EBG Canje optimo'!$C$6:$R$26,9,FALSE)/VLOOKUP($A13,'AHBG-EBG Canje optimo'!$C$6:$S$26,17,FALSE)</f>
        <v>0.99810530663266928</v>
      </c>
      <c r="L13" s="168"/>
      <c r="M13" s="87"/>
    </row>
    <row r="14" spans="1:13" x14ac:dyDescent="0.25">
      <c r="A14" s="175" t="s">
        <v>67</v>
      </c>
      <c r="B14" s="302">
        <f t="shared" si="0"/>
        <v>58.821799517199416</v>
      </c>
      <c r="C14" s="274">
        <f>+VLOOKUP(A14,'Intereses corridos'!$A$5:$G$25,7,0)*100</f>
        <v>3.8989583333333329</v>
      </c>
      <c r="D14" s="274">
        <f>+VLOOKUP($A14,'AHBG-EBG Canje optimo'!$C$6:$R$26,3,FALSE)/VLOOKUP($A14,'AHBG-EBG Canje optimo'!$C$6:$S$26,17,FALSE)</f>
        <v>0</v>
      </c>
      <c r="E14" s="274">
        <f>+VLOOKUP($A14,'AHBG-EBG Canje optimo'!$C$6:$R$26,4,FALSE)/VLOOKUP($A14,'AHBG-EBG Canje optimo'!$C$6:$S$26,17,FALSE)</f>
        <v>0</v>
      </c>
      <c r="F14" s="274">
        <f>+VLOOKUP($A14,'AHBG-EBG Canje optimo'!$C$6:$R$26,5,FALSE)/VLOOKUP($A14,'AHBG-EBG Canje optimo'!$C$6:$S$26,17,FALSE)</f>
        <v>0</v>
      </c>
      <c r="G14" s="274">
        <f>+VLOOKUP($A14,'AHBG-EBG Canje optimo'!$C$6:$R$26,6,FALSE)/VLOOKUP($A14,'AHBG-EBG Canje optimo'!$C$6:$S$26,17,FALSE)</f>
        <v>1.8946933673306631E-3</v>
      </c>
      <c r="H14" s="274">
        <f>+VLOOKUP($A14,'AHBG-EBG Canje optimo'!$C$6:$R$26,7,FALSE)/VLOOKUP($A14,'AHBG-EBG Canje optimo'!$C$6:$S$26,17,FALSE)</f>
        <v>0</v>
      </c>
      <c r="I14" s="274">
        <f>+VLOOKUP($A14,'AHBG-EBG Canje optimo'!$C$6:$R$26,8,FALSE)/VLOOKUP($A14,'AHBG-EBG Canje optimo'!$C$6:$S$26,17,FALSE)</f>
        <v>0</v>
      </c>
      <c r="J14" s="274">
        <f>+VLOOKUP($A14,'AHBG-EBG Canje optimo'!$C$6:$R$26,9,FALSE)/VLOOKUP($A14,'AHBG-EBG Canje optimo'!$C$6:$S$26,17,FALSE)</f>
        <v>0.99810530663266928</v>
      </c>
      <c r="L14" s="168"/>
      <c r="M14" s="87"/>
    </row>
    <row r="15" spans="1:13" x14ac:dyDescent="0.25">
      <c r="A15" s="175" t="s">
        <v>77</v>
      </c>
      <c r="B15" s="302">
        <f t="shared" si="0"/>
        <v>64.659738231049033</v>
      </c>
      <c r="C15" s="274">
        <f>+VLOOKUP(A15,'Intereses corridos'!$A$5:$G$25,7,0)*100</f>
        <v>4.4850000000000003</v>
      </c>
      <c r="D15" s="274">
        <f>+VLOOKUP($A15,'AHBG-EBG Canje optimo'!$C$6:$R$26,3,FALSE)/VLOOKUP($A15,'AHBG-EBG Canje optimo'!$C$6:$S$26,17,FALSE)</f>
        <v>0</v>
      </c>
      <c r="E15" s="274">
        <f>+VLOOKUP($A15,'AHBG-EBG Canje optimo'!$C$6:$R$26,4,FALSE)/VLOOKUP($A15,'AHBG-EBG Canje optimo'!$C$6:$S$26,17,FALSE)</f>
        <v>0</v>
      </c>
      <c r="F15" s="274">
        <f>+VLOOKUP($A15,'AHBG-EBG Canje optimo'!$C$6:$R$26,5,FALSE)/VLOOKUP($A15,'AHBG-EBG Canje optimo'!$C$6:$S$26,17,FALSE)</f>
        <v>0</v>
      </c>
      <c r="G15" s="274">
        <f>+VLOOKUP($A15,'AHBG-EBG Canje optimo'!$C$6:$R$26,6,FALSE)/VLOOKUP($A15,'AHBG-EBG Canje optimo'!$C$6:$S$26,17,FALSE)</f>
        <v>1.8769784350407246E-3</v>
      </c>
      <c r="H15" s="274">
        <f>+VLOOKUP($A15,'AHBG-EBG Canje optimo'!$C$6:$R$26,7,FALSE)/VLOOKUP($A15,'AHBG-EBG Canje optimo'!$C$6:$S$26,17,FALSE)</f>
        <v>0.93497621279460141</v>
      </c>
      <c r="I15" s="274">
        <f>+VLOOKUP($A15,'AHBG-EBG Canje optimo'!$C$6:$R$26,8,FALSE)/VLOOKUP($A15,'AHBG-EBG Canje optimo'!$C$6:$S$26,17,FALSE)</f>
        <v>0</v>
      </c>
      <c r="J15" s="274">
        <f>+VLOOKUP($A15,'AHBG-EBG Canje optimo'!$C$6:$R$26,9,FALSE)/VLOOKUP($A15,'AHBG-EBG Canje optimo'!$C$6:$S$26,17,FALSE)</f>
        <v>6.3146808770357873E-2</v>
      </c>
      <c r="L15" s="168"/>
      <c r="M15" s="87"/>
    </row>
    <row r="16" spans="1:13" x14ac:dyDescent="0.25">
      <c r="A16" s="177" t="s">
        <v>79</v>
      </c>
      <c r="B16" s="303">
        <f t="shared" si="0"/>
        <v>56.141450025914708</v>
      </c>
      <c r="C16" s="275">
        <f>+VLOOKUP(A16,'Intereses corridos'!$A$5:$G$25,7,0)*100</f>
        <v>1.09375</v>
      </c>
      <c r="D16" s="275">
        <f>+VLOOKUP($A16,'AHBG-EBG Canje optimo'!$C$6:$R$26,3,FALSE)/VLOOKUP($A16,'AHBG-EBG Canje optimo'!$C$6:$S$26,17,FALSE)</f>
        <v>0</v>
      </c>
      <c r="E16" s="275">
        <f>+VLOOKUP($A16,'AHBG-EBG Canje optimo'!$C$6:$R$26,4,FALSE)/VLOOKUP($A16,'AHBG-EBG Canje optimo'!$C$6:$S$26,17,FALSE)</f>
        <v>0</v>
      </c>
      <c r="F16" s="275">
        <f>+VLOOKUP($A16,'AHBG-EBG Canje optimo'!$C$6:$R$26,5,FALSE)/VLOOKUP($A16,'AHBG-EBG Canje optimo'!$C$6:$S$26,17,FALSE)</f>
        <v>0</v>
      </c>
      <c r="G16" s="275">
        <f>+VLOOKUP($A16,'AHBG-EBG Canje optimo'!$C$6:$R$26,6,FALSE)/VLOOKUP($A16,'AHBG-EBG Canje optimo'!$C$6:$S$26,17,FALSE)</f>
        <v>1.8946933673306631E-3</v>
      </c>
      <c r="H16" s="275">
        <f>+VLOOKUP($A16,'AHBG-EBG Canje optimo'!$C$6:$R$26,7,FALSE)/VLOOKUP($A16,'AHBG-EBG Canje optimo'!$C$6:$S$26,17,FALSE)</f>
        <v>0</v>
      </c>
      <c r="I16" s="275">
        <f>+VLOOKUP($A16,'AHBG-EBG Canje optimo'!$C$6:$R$26,8,FALSE)/VLOOKUP($A16,'AHBG-EBG Canje optimo'!$C$6:$S$26,17,FALSE)</f>
        <v>0</v>
      </c>
      <c r="J16" s="275">
        <f>+VLOOKUP($A16,'AHBG-EBG Canje optimo'!$C$6:$R$26,9,FALSE)/VLOOKUP($A16,'AHBG-EBG Canje optimo'!$C$6:$S$26,17,FALSE)</f>
        <v>0.99810530663266939</v>
      </c>
      <c r="L16" s="168"/>
      <c r="M16" s="87"/>
    </row>
    <row r="17" spans="1:13" x14ac:dyDescent="0.25">
      <c r="A17" s="70" t="s">
        <v>93</v>
      </c>
      <c r="B17" s="306">
        <f>+AVERAGE(B4:B16)</f>
        <v>60.51362056163633</v>
      </c>
      <c r="L17" s="168"/>
      <c r="M17" s="87"/>
    </row>
    <row r="18" spans="1:13" x14ac:dyDescent="0.25">
      <c r="L18" s="168"/>
      <c r="M18" s="87"/>
    </row>
    <row r="19" spans="1:13" ht="22.5" x14ac:dyDescent="0.25">
      <c r="A19" s="156"/>
      <c r="B19" s="300" t="s">
        <v>89</v>
      </c>
      <c r="C19" s="156" t="s">
        <v>180</v>
      </c>
      <c r="D19" s="156" t="s">
        <v>137</v>
      </c>
      <c r="E19" s="156" t="s">
        <v>7</v>
      </c>
      <c r="F19" s="156" t="s">
        <v>139</v>
      </c>
      <c r="G19" s="156" t="s">
        <v>141</v>
      </c>
      <c r="H19" s="156" t="s">
        <v>9</v>
      </c>
      <c r="I19" s="156" t="s">
        <v>10</v>
      </c>
      <c r="J19" s="156" t="s">
        <v>143</v>
      </c>
      <c r="L19" s="245" t="s">
        <v>91</v>
      </c>
      <c r="M19" s="246" t="s">
        <v>92</v>
      </c>
    </row>
    <row r="20" spans="1:13" x14ac:dyDescent="0.25">
      <c r="A20" s="175" t="s">
        <v>71</v>
      </c>
      <c r="B20" s="301">
        <f t="shared" ref="B20:B27" si="1">+C20/2+C20/2/100*$M$27+D20*$M$20+E20*$M$21+F20*$M$22+G20*$M$23+H20*$M$24+I20*$M$25+J20*$M$26</f>
        <v>57.198540180013602</v>
      </c>
      <c r="C20" s="273">
        <f>+VLOOKUP(A20,'Intereses corridos'!$A$5:$G$25,7,0)*100</f>
        <v>1.9375</v>
      </c>
      <c r="D20" s="273">
        <f>+VLOOKUP($A20,'AHBG-EBG Canje optimo'!$C$6:$R$26,10,FALSE)/VLOOKUP($A20,'AHBG-EBG Canje optimo'!$C$6:$S$26,17,FALSE)</f>
        <v>0.5</v>
      </c>
      <c r="E20" s="273">
        <f>+VLOOKUP($A20,'AHBG-EBG Canje optimo'!$C$6:$R$26,11,FALSE)/VLOOKUP($A20,'AHBG-EBG Canje optimo'!$C$6:$S$26,17,FALSE)</f>
        <v>0.5</v>
      </c>
      <c r="F20" s="273">
        <f>+VLOOKUP($A20,'AHBG-EBG Canje optimo'!$C$6:$R$26,12,FALSE)/VLOOKUP($A20,'AHBG-EBG Canje optimo'!$C$6:$S$26,17,FALSE)</f>
        <v>0</v>
      </c>
      <c r="G20" s="273">
        <f>+VLOOKUP($A20,'AHBG-EBG Canje optimo'!$C$6:$R$26,13,FALSE)/VLOOKUP($A20,'AHBG-EBG Canje optimo'!$C$6:$S$26,17,FALSE)</f>
        <v>0</v>
      </c>
      <c r="H20" s="273">
        <f>+VLOOKUP($A20,'AHBG-EBG Canje optimo'!$C$6:$R$26,14,FALSE)/VLOOKUP($A20,'AHBG-EBG Canje optimo'!$C$6:$S$26,17,FALSE)</f>
        <v>0</v>
      </c>
      <c r="I20" s="273">
        <f>+VLOOKUP($A20,'AHBG-EBG Canje optimo'!$C$6:$R$26,15,FALSE)/VLOOKUP($A20,'AHBG-EBG Canje optimo'!$C$6:$S$26,17,FALSE)</f>
        <v>0</v>
      </c>
      <c r="J20" s="273">
        <f>+VLOOKUP($A20,'AHBG-EBG Canje optimo'!$C$6:$R$26,16,FALSE)/VLOOKUP($A20,'AHBG-EBG Canje optimo'!$C$6:$S$26,17,FALSE)</f>
        <v>0</v>
      </c>
      <c r="L20" s="163" t="s">
        <v>137</v>
      </c>
      <c r="M20" s="164">
        <f>+HLOOKUP(L20,'AHBG-EBG Nuevos Bonos 100VN'!$B$6:$P$20,15,0)</f>
        <v>57.281866895780063</v>
      </c>
    </row>
    <row r="21" spans="1:13" x14ac:dyDescent="0.25">
      <c r="A21" s="175" t="s">
        <v>70</v>
      </c>
      <c r="B21" s="302">
        <f t="shared" si="1"/>
        <v>55.502539640385891</v>
      </c>
      <c r="C21" s="274">
        <f>+VLOOKUP(A21,'Intereses corridos'!$A$5:$G$25,7,0)*100</f>
        <v>1.6875</v>
      </c>
      <c r="D21" s="274">
        <f>+VLOOKUP($A21,'AHBG-EBG Canje optimo'!$C$6:$R$26,10,FALSE)/VLOOKUP($A21,'AHBG-EBG Canje optimo'!$C$6:$S$26,17,FALSE)</f>
        <v>9.9963103520978286E-2</v>
      </c>
      <c r="E21" s="274">
        <f>+VLOOKUP($A21,'AHBG-EBG Canje optimo'!$C$6:$R$26,11,FALSE)/VLOOKUP($A21,'AHBG-EBG Canje optimo'!$C$6:$S$26,17,FALSE)</f>
        <v>0.90003689647902174</v>
      </c>
      <c r="F21" s="274">
        <f>+VLOOKUP($A21,'AHBG-EBG Canje optimo'!$C$6:$R$26,12,FALSE)/VLOOKUP($A21,'AHBG-EBG Canje optimo'!$C$6:$S$26,17,FALSE)</f>
        <v>0</v>
      </c>
      <c r="G21" s="274">
        <f>+VLOOKUP($A21,'AHBG-EBG Canje optimo'!$C$6:$R$26,13,FALSE)/VLOOKUP($A21,'AHBG-EBG Canje optimo'!$C$6:$S$26,17,FALSE)</f>
        <v>0</v>
      </c>
      <c r="H21" s="274">
        <f>+VLOOKUP($A21,'AHBG-EBG Canje optimo'!$C$6:$R$26,14,FALSE)/VLOOKUP($A21,'AHBG-EBG Canje optimo'!$C$6:$S$26,17,FALSE)</f>
        <v>0</v>
      </c>
      <c r="I21" s="274">
        <f>+VLOOKUP($A21,'AHBG-EBG Canje optimo'!$C$6:$R$26,15,FALSE)/VLOOKUP($A21,'AHBG-EBG Canje optimo'!$C$6:$S$26,17,FALSE)</f>
        <v>0</v>
      </c>
      <c r="J21" s="274">
        <f>+VLOOKUP($A21,'AHBG-EBG Canje optimo'!$C$6:$R$26,16,FALSE)/VLOOKUP($A21,'AHBG-EBG Canje optimo'!$C$6:$S$26,17,FALSE)</f>
        <v>0</v>
      </c>
      <c r="L21" s="163" t="s">
        <v>7</v>
      </c>
      <c r="M21" s="164">
        <f>+HLOOKUP(L21,'AHBG-EBG Nuevos Bonos 100VN'!$B$6:$P$20,15,0)</f>
        <v>53.607900135921518</v>
      </c>
    </row>
    <row r="22" spans="1:13" x14ac:dyDescent="0.25">
      <c r="A22" s="175" t="s">
        <v>72</v>
      </c>
      <c r="B22" s="302">
        <f t="shared" si="1"/>
        <v>52.654293560865121</v>
      </c>
      <c r="C22" s="274">
        <f>+VLOOKUP(A22,'Intereses corridos'!$A$5:$G$25,7,0)*100</f>
        <v>2.5</v>
      </c>
      <c r="D22" s="274">
        <f>+VLOOKUP($A22,'AHBG-EBG Canje optimo'!$C$6:$R$26,10,FALSE)/VLOOKUP($A22,'AHBG-EBG Canje optimo'!$C$6:$S$26,17,FALSE)</f>
        <v>0</v>
      </c>
      <c r="E22" s="274">
        <f>+VLOOKUP($A22,'AHBG-EBG Canje optimo'!$C$6:$R$26,11,FALSE)/VLOOKUP($A22,'AHBG-EBG Canje optimo'!$C$6:$S$26,17,FALSE)</f>
        <v>1.1481228916550424E-2</v>
      </c>
      <c r="F22" s="274">
        <f>+VLOOKUP($A22,'AHBG-EBG Canje optimo'!$C$6:$R$26,12,FALSE)/VLOOKUP($A22,'AHBG-EBG Canje optimo'!$C$6:$S$26,17,FALSE)</f>
        <v>0.92063087739588445</v>
      </c>
      <c r="G22" s="274">
        <f>+VLOOKUP($A22,'AHBG-EBG Canje optimo'!$C$6:$R$26,13,FALSE)/VLOOKUP($A22,'AHBG-EBG Canje optimo'!$C$6:$S$26,17,FALSE)</f>
        <v>6.7887893687565135E-2</v>
      </c>
      <c r="H22" s="274">
        <f>+VLOOKUP($A22,'AHBG-EBG Canje optimo'!$C$6:$R$26,14,FALSE)/VLOOKUP($A22,'AHBG-EBG Canje optimo'!$C$6:$S$26,17,FALSE)</f>
        <v>0</v>
      </c>
      <c r="I22" s="274">
        <f>+VLOOKUP($A22,'AHBG-EBG Canje optimo'!$C$6:$R$26,15,FALSE)/VLOOKUP($A22,'AHBG-EBG Canje optimo'!$C$6:$S$26,17,FALSE)</f>
        <v>0</v>
      </c>
      <c r="J22" s="274">
        <f>+VLOOKUP($A22,'AHBG-EBG Canje optimo'!$C$6:$R$26,16,FALSE)/VLOOKUP($A22,'AHBG-EBG Canje optimo'!$C$6:$S$26,17,FALSE)</f>
        <v>0</v>
      </c>
      <c r="L22" s="163" t="s">
        <v>139</v>
      </c>
      <c r="M22" s="164">
        <f>+HLOOKUP(L22,'AHBG-EBG Nuevos Bonos 100VN'!$B$6:$P$20,15,0)</f>
        <v>50.529607074850226</v>
      </c>
    </row>
    <row r="23" spans="1:13" x14ac:dyDescent="0.25">
      <c r="A23" s="175" t="s">
        <v>73</v>
      </c>
      <c r="B23" s="302">
        <f t="shared" si="1"/>
        <v>50.416020759099396</v>
      </c>
      <c r="C23" s="274">
        <f>+VLOOKUP(A23,'Intereses corridos'!$A$5:$G$25,7,0)*100</f>
        <v>2.625</v>
      </c>
      <c r="D23" s="274">
        <f>+VLOOKUP($A23,'AHBG-EBG Canje optimo'!$C$6:$R$26,10,FALSE)/VLOOKUP($A23,'AHBG-EBG Canje optimo'!$C$6:$S$26,17,FALSE)</f>
        <v>0</v>
      </c>
      <c r="E23" s="274">
        <f>+VLOOKUP($A23,'AHBG-EBG Canje optimo'!$C$6:$R$26,11,FALSE)/VLOOKUP($A23,'AHBG-EBG Canje optimo'!$C$6:$S$26,17,FALSE)</f>
        <v>1.1587910801433515E-2</v>
      </c>
      <c r="F23" s="274">
        <f>+VLOOKUP($A23,'AHBG-EBG Canje optimo'!$C$6:$R$26,12,FALSE)/VLOOKUP($A23,'AHBG-EBG Canje optimo'!$C$6:$S$26,17,FALSE)</f>
        <v>0</v>
      </c>
      <c r="G23" s="274">
        <f>+VLOOKUP($A23,'AHBG-EBG Canje optimo'!$C$6:$R$26,13,FALSE)/VLOOKUP($A23,'AHBG-EBG Canje optimo'!$C$6:$S$26,17,FALSE)</f>
        <v>0.98841208919856649</v>
      </c>
      <c r="H23" s="274">
        <f>+VLOOKUP($A23,'AHBG-EBG Canje optimo'!$C$6:$R$26,14,FALSE)/VLOOKUP($A23,'AHBG-EBG Canje optimo'!$C$6:$S$26,17,FALSE)</f>
        <v>0</v>
      </c>
      <c r="I23" s="274">
        <f>+VLOOKUP($A23,'AHBG-EBG Canje optimo'!$C$6:$R$26,15,FALSE)/VLOOKUP($A23,'AHBG-EBG Canje optimo'!$C$6:$S$26,17,FALSE)</f>
        <v>0</v>
      </c>
      <c r="J23" s="274">
        <f>+VLOOKUP($A23,'AHBG-EBG Canje optimo'!$C$6:$R$26,16,FALSE)/VLOOKUP($A23,'AHBG-EBG Canje optimo'!$C$6:$S$26,17,FALSE)</f>
        <v>0</v>
      </c>
      <c r="L23" s="163" t="s">
        <v>141</v>
      </c>
      <c r="M23" s="164">
        <f>+HLOOKUP(L23,'AHBG-EBG Nuevos Bonos 100VN'!$B$6:$P$20,15,0)</f>
        <v>47.974823234334643</v>
      </c>
    </row>
    <row r="24" spans="1:13" x14ac:dyDescent="0.25">
      <c r="A24" s="175" t="s">
        <v>74</v>
      </c>
      <c r="B24" s="302">
        <f t="shared" si="1"/>
        <v>51.955348109367812</v>
      </c>
      <c r="C24" s="274">
        <f>+VLOOKUP(A24,'Intereses corridos'!$A$5:$G$25,7,0)*100</f>
        <v>4.270833333333333</v>
      </c>
      <c r="D24" s="274">
        <f>+VLOOKUP($A24,'AHBG-EBG Canje optimo'!$C$6:$R$26,10,FALSE)/VLOOKUP($A24,'AHBG-EBG Canje optimo'!$C$6:$S$26,17,FALSE)</f>
        <v>0</v>
      </c>
      <c r="E24" s="274">
        <f>+VLOOKUP($A24,'AHBG-EBG Canje optimo'!$C$6:$R$26,11,FALSE)/VLOOKUP($A24,'AHBG-EBG Canje optimo'!$C$6:$S$26,17,FALSE)</f>
        <v>1.1586452910010529E-2</v>
      </c>
      <c r="F24" s="274">
        <f>+VLOOKUP($A24,'AHBG-EBG Canje optimo'!$C$6:$R$26,12,FALSE)/VLOOKUP($A24,'AHBG-EBG Canje optimo'!$C$6:$S$26,17,FALSE)</f>
        <v>0</v>
      </c>
      <c r="G24" s="274">
        <f>+VLOOKUP($A24,'AHBG-EBG Canje optimo'!$C$6:$R$26,13,FALSE)/VLOOKUP($A24,'AHBG-EBG Canje optimo'!$C$6:$S$26,17,FALSE)</f>
        <v>1.2101259111538629E-2</v>
      </c>
      <c r="H24" s="274">
        <f>+VLOOKUP($A24,'AHBG-EBG Canje optimo'!$C$6:$R$26,14,FALSE)/VLOOKUP($A24,'AHBG-EBG Canje optimo'!$C$6:$S$26,17,FALSE)</f>
        <v>1.2581141225250324E-2</v>
      </c>
      <c r="I24" s="274">
        <f>+VLOOKUP($A24,'AHBG-EBG Canje optimo'!$C$6:$R$26,15,FALSE)/VLOOKUP($A24,'AHBG-EBG Canje optimo'!$C$6:$S$26,17,FALSE)</f>
        <v>0</v>
      </c>
      <c r="J24" s="274">
        <f>+VLOOKUP($A24,'AHBG-EBG Canje optimo'!$C$6:$R$26,16,FALSE)/VLOOKUP($A24,'AHBG-EBG Canje optimo'!$C$6:$S$26,17,FALSE)</f>
        <v>0.96373114675320048</v>
      </c>
      <c r="L24" s="163" t="s">
        <v>9</v>
      </c>
      <c r="M24" s="164">
        <f>+HLOOKUP(L24,'AHBG-EBG Nuevos Bonos 100VN'!$B$6:$P$20,15,0)</f>
        <v>54.536514008693416</v>
      </c>
    </row>
    <row r="25" spans="1:13" x14ac:dyDescent="0.25">
      <c r="A25" s="175" t="s">
        <v>75</v>
      </c>
      <c r="B25" s="302">
        <f t="shared" si="1"/>
        <v>59.453821715769699</v>
      </c>
      <c r="C25" s="274">
        <f>+VLOOKUP(A25,'Intereses corridos'!$A$5:$G$25,7,0)*100*'AHBG-EBG Nuevos Bonos 100VN'!$U$2/'AHBG-EBG Nuevos Bonos 100VN'!$U$3</f>
        <v>2.3996501423149903</v>
      </c>
      <c r="D25" s="274">
        <f>+VLOOKUP($A25,'AHBG-EBG Canje optimo'!$C$6:$R$26,10,FALSE)/VLOOKUP($A25,'AHBG-EBG Canje optimo'!$C$6:$S$26,17,FALSE)</f>
        <v>1</v>
      </c>
      <c r="E25" s="274">
        <f>+VLOOKUP($A25,'AHBG-EBG Canje optimo'!$C$6:$R$26,11,FALSE)/VLOOKUP($A25,'AHBG-EBG Canje optimo'!$C$6:$S$26,17,FALSE)</f>
        <v>0</v>
      </c>
      <c r="F25" s="274">
        <f>+VLOOKUP($A25,'AHBG-EBG Canje optimo'!$C$6:$R$26,12,FALSE)/VLOOKUP($A25,'AHBG-EBG Canje optimo'!$C$6:$S$26,17,FALSE)</f>
        <v>0</v>
      </c>
      <c r="G25" s="274">
        <f>+VLOOKUP($A25,'AHBG-EBG Canje optimo'!$C$6:$R$26,13,FALSE)/VLOOKUP($A25,'AHBG-EBG Canje optimo'!$C$6:$S$26,17,FALSE)</f>
        <v>0</v>
      </c>
      <c r="H25" s="274">
        <f>+VLOOKUP($A25,'AHBG-EBG Canje optimo'!$C$6:$R$26,14,FALSE)/VLOOKUP($A25,'AHBG-EBG Canje optimo'!$C$6:$S$26,17,FALSE)</f>
        <v>0</v>
      </c>
      <c r="I25" s="274">
        <f>+VLOOKUP($A25,'AHBG-EBG Canje optimo'!$C$6:$R$26,15,FALSE)/VLOOKUP($A25,'AHBG-EBG Canje optimo'!$C$6:$S$26,17,FALSE)</f>
        <v>0</v>
      </c>
      <c r="J25" s="274">
        <f>+VLOOKUP($A25,'AHBG-EBG Canje optimo'!$C$6:$R$26,16,FALSE)/VLOOKUP($A25,'AHBG-EBG Canje optimo'!$C$6:$S$26,17,FALSE)</f>
        <v>0</v>
      </c>
      <c r="L25" s="163" t="s">
        <v>10</v>
      </c>
      <c r="M25" s="164">
        <f>+HLOOKUP(L25,'AHBG-EBG Nuevos Bonos 100VN'!$B$6:$P$20,15,0)</f>
        <v>46.898007346284778</v>
      </c>
    </row>
    <row r="26" spans="1:13" x14ac:dyDescent="0.25">
      <c r="A26" s="175" t="s">
        <v>76</v>
      </c>
      <c r="B26" s="302">
        <f t="shared" si="1"/>
        <v>58.359767997672499</v>
      </c>
      <c r="C26" s="274">
        <f>+VLOOKUP(A26,'Intereses corridos'!$A$5:$G$25,7,0)*100</f>
        <v>4.2358333333333338</v>
      </c>
      <c r="D26" s="274">
        <f>+VLOOKUP($A26,'AHBG-EBG Canje optimo'!$C$6:$R$26,10,FALSE)/VLOOKUP($A26,'AHBG-EBG Canje optimo'!$C$6:$S$26,17,FALSE)</f>
        <v>0</v>
      </c>
      <c r="E26" s="274">
        <f>+VLOOKUP($A26,'AHBG-EBG Canje optimo'!$C$6:$R$26,11,FALSE)/VLOOKUP($A26,'AHBG-EBG Canje optimo'!$C$6:$S$26,17,FALSE)</f>
        <v>1.1473361216282849E-2</v>
      </c>
      <c r="F26" s="274">
        <f>+VLOOKUP($A26,'AHBG-EBG Canje optimo'!$C$6:$R$26,12,FALSE)/VLOOKUP($A26,'AHBG-EBG Canje optimo'!$C$6:$S$26,17,FALSE)</f>
        <v>0</v>
      </c>
      <c r="G26" s="274">
        <f>+VLOOKUP($A26,'AHBG-EBG Canje optimo'!$C$6:$R$26,13,FALSE)/VLOOKUP($A26,'AHBG-EBG Canje optimo'!$C$6:$S$26,17,FALSE)</f>
        <v>0</v>
      </c>
      <c r="H26" s="274">
        <f>+VLOOKUP($A26,'AHBG-EBG Canje optimo'!$C$6:$R$26,14,FALSE)/VLOOKUP($A26,'AHBG-EBG Canje optimo'!$C$6:$S$26,17,FALSE)</f>
        <v>0.98852663878371705</v>
      </c>
      <c r="I26" s="274">
        <f>+VLOOKUP($A26,'AHBG-EBG Canje optimo'!$C$6:$R$26,15,FALSE)/VLOOKUP($A26,'AHBG-EBG Canje optimo'!$C$6:$S$26,17,FALSE)</f>
        <v>0</v>
      </c>
      <c r="J26" s="274">
        <f>+VLOOKUP($A26,'AHBG-EBG Canje optimo'!$C$6:$R$26,16,FALSE)/VLOOKUP($A26,'AHBG-EBG Canje optimo'!$C$6:$S$26,17,FALSE)</f>
        <v>0</v>
      </c>
      <c r="L26" s="163" t="s">
        <v>143</v>
      </c>
      <c r="M26" s="164">
        <f>+HLOOKUP(L26,'AHBG-EBG Nuevos Bonos 100VN'!$B$6:$P$20,15,0)</f>
        <v>47.940702375927856</v>
      </c>
    </row>
    <row r="27" spans="1:13" x14ac:dyDescent="0.25">
      <c r="A27" s="177" t="s">
        <v>78</v>
      </c>
      <c r="B27" s="303">
        <f t="shared" si="1"/>
        <v>48.982051520064672</v>
      </c>
      <c r="C27" s="275">
        <f>+VLOOKUP(A27,'Intereses corridos'!$A$5:$G$25,7,0)*100</f>
        <v>0.98583333333333323</v>
      </c>
      <c r="D27" s="275">
        <f>+VLOOKUP($A27,'AHBG-EBG Canje optimo'!$C$6:$R$26,10,FALSE)/VLOOKUP($A27,'AHBG-EBG Canje optimo'!$C$6:$S$26,17,FALSE)</f>
        <v>0</v>
      </c>
      <c r="E27" s="275">
        <f>+VLOOKUP($A27,'AHBG-EBG Canje optimo'!$C$6:$R$26,11,FALSE)/VLOOKUP($A27,'AHBG-EBG Canje optimo'!$C$6:$S$26,17,FALSE)</f>
        <v>1.1586452910010528E-2</v>
      </c>
      <c r="F27" s="275">
        <f>+VLOOKUP($A27,'AHBG-EBG Canje optimo'!$C$6:$R$26,12,FALSE)/VLOOKUP($A27,'AHBG-EBG Canje optimo'!$C$6:$S$26,17,FALSE)</f>
        <v>0</v>
      </c>
      <c r="G27" s="275">
        <f>+VLOOKUP($A27,'AHBG-EBG Canje optimo'!$C$6:$R$26,13,FALSE)/VLOOKUP($A27,'AHBG-EBG Canje optimo'!$C$6:$S$26,17,FALSE)</f>
        <v>1.2101259111538629E-2</v>
      </c>
      <c r="H27" s="275">
        <f>+VLOOKUP($A27,'AHBG-EBG Canje optimo'!$C$6:$R$26,14,FALSE)/VLOOKUP($A27,'AHBG-EBG Canje optimo'!$C$6:$S$26,17,FALSE)</f>
        <v>1.2581141225250324E-2</v>
      </c>
      <c r="I27" s="275">
        <f>+VLOOKUP($A27,'AHBG-EBG Canje optimo'!$C$6:$R$26,15,FALSE)/VLOOKUP($A27,'AHBG-EBG Canje optimo'!$C$6:$S$26,17,FALSE)</f>
        <v>0</v>
      </c>
      <c r="J27" s="275">
        <f>+VLOOKUP($A27,'AHBG-EBG Canje optimo'!$C$6:$R$26,16,FALSE)/VLOOKUP($A27,'AHBG-EBG Canje optimo'!$C$6:$S$26,17,FALSE)</f>
        <v>0.96373114675320048</v>
      </c>
      <c r="L27" s="158" t="s">
        <v>181</v>
      </c>
      <c r="M27" s="176">
        <f>+HLOOKUP(L27,'AHBG-EBG Nuevos Bonos 100VN'!$B$6:$P$20,15,0)*'AHBG-EBG Nuevos Bonos 100VN'!$U$2</f>
        <v>81.022623397451369</v>
      </c>
    </row>
    <row r="28" spans="1:13" x14ac:dyDescent="0.25">
      <c r="A28" s="70" t="s">
        <v>93</v>
      </c>
      <c r="B28" s="306">
        <f>+AVERAGE(B20:B27)</f>
        <v>54.315297935404843</v>
      </c>
    </row>
  </sheetData>
  <conditionalFormatting sqref="A4:A1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0:A2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ignoredErrors>
    <ignoredError sqref="C25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AFC74-A699-410C-BD01-149DF5B743E9}">
  <sheetPr codeName="Hoja9">
    <tabColor rgb="FFFFC000"/>
  </sheetPr>
  <dimension ref="A1:CE80"/>
  <sheetViews>
    <sheetView showGridLines="0" zoomScaleNormal="100" workbookViewId="0"/>
  </sheetViews>
  <sheetFormatPr baseColWidth="10" defaultColWidth="11.42578125" defaultRowHeight="11.25" x14ac:dyDescent="0.25"/>
  <cols>
    <col min="1" max="1" width="25.7109375" style="2" customWidth="1"/>
    <col min="2" max="13" width="11.28515625" style="2" customWidth="1"/>
    <col min="14" max="14" width="4.7109375" style="2" customWidth="1"/>
    <col min="15" max="15" width="12" style="2" customWidth="1"/>
    <col min="16" max="60" width="10" style="4" customWidth="1"/>
    <col min="61" max="61" width="11.42578125" style="2"/>
    <col min="62" max="62" width="12.42578125" style="2" bestFit="1" customWidth="1"/>
    <col min="63" max="16384" width="11.42578125" style="2"/>
  </cols>
  <sheetData>
    <row r="1" spans="1:83" s="68" customFormat="1" ht="15" x14ac:dyDescent="0.2">
      <c r="A1" s="85" t="s">
        <v>188</v>
      </c>
      <c r="B1" s="85"/>
      <c r="C1" s="85"/>
      <c r="J1" s="155"/>
      <c r="K1" s="330" t="s">
        <v>12</v>
      </c>
      <c r="L1" s="331">
        <v>12</v>
      </c>
      <c r="M1" s="332">
        <v>1</v>
      </c>
      <c r="P1" s="339" t="s">
        <v>215</v>
      </c>
      <c r="Q1" s="340">
        <v>43999</v>
      </c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3"/>
      <c r="AL1" s="313"/>
      <c r="AM1" s="313"/>
      <c r="AN1" s="313"/>
      <c r="AO1" s="313"/>
      <c r="AP1" s="313"/>
      <c r="AQ1" s="313"/>
      <c r="AR1" s="313"/>
      <c r="AS1" s="313"/>
      <c r="AT1" s="313"/>
      <c r="AU1" s="313"/>
      <c r="AV1" s="313"/>
      <c r="AW1" s="313"/>
      <c r="AX1" s="313"/>
      <c r="AY1" s="313"/>
      <c r="AZ1" s="313"/>
      <c r="BA1" s="313"/>
      <c r="BB1" s="313"/>
      <c r="BC1" s="313"/>
      <c r="BD1" s="313"/>
      <c r="BE1" s="313"/>
      <c r="BF1" s="313"/>
      <c r="BG1" s="313"/>
      <c r="BH1" s="313"/>
    </row>
    <row r="2" spans="1:83" x14ac:dyDescent="0.25">
      <c r="A2" s="2" t="s">
        <v>13</v>
      </c>
      <c r="K2" s="333" t="s">
        <v>14</v>
      </c>
      <c r="L2" s="334">
        <v>4</v>
      </c>
      <c r="M2" s="335">
        <v>3</v>
      </c>
      <c r="P2" s="330" t="s">
        <v>15</v>
      </c>
      <c r="Q2" s="341">
        <v>0.88939999999999997</v>
      </c>
    </row>
    <row r="3" spans="1:83" x14ac:dyDescent="0.25">
      <c r="A3" s="2" t="s">
        <v>16</v>
      </c>
      <c r="K3" s="333" t="s">
        <v>1</v>
      </c>
      <c r="L3" s="334">
        <v>2</v>
      </c>
      <c r="M3" s="335">
        <v>6</v>
      </c>
      <c r="P3" s="336" t="s">
        <v>17</v>
      </c>
      <c r="Q3" s="342">
        <v>0.9486</v>
      </c>
    </row>
    <row r="4" spans="1:83" x14ac:dyDescent="0.25">
      <c r="K4" s="336" t="s">
        <v>18</v>
      </c>
      <c r="L4" s="337">
        <v>1</v>
      </c>
      <c r="M4" s="338">
        <v>12</v>
      </c>
    </row>
    <row r="5" spans="1:83" ht="15" customHeight="1" x14ac:dyDescent="0.25">
      <c r="A5" s="6" t="s">
        <v>19</v>
      </c>
      <c r="B5" s="399">
        <v>0.1</v>
      </c>
      <c r="C5" s="7"/>
      <c r="P5" s="8"/>
      <c r="Q5" s="9"/>
      <c r="R5" s="9"/>
      <c r="S5" s="9"/>
      <c r="T5" s="9"/>
      <c r="U5" s="9"/>
      <c r="V5" s="9"/>
      <c r="W5" s="9"/>
      <c r="X5" s="8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8"/>
      <c r="BX5" s="8"/>
      <c r="BY5" s="8"/>
      <c r="BZ5" s="8"/>
      <c r="CA5" s="8"/>
      <c r="CB5" s="8"/>
      <c r="CC5" s="8"/>
      <c r="CD5" s="8"/>
      <c r="CE5" s="8"/>
    </row>
    <row r="6" spans="1:83" s="14" customFormat="1" ht="24.75" customHeight="1" x14ac:dyDescent="0.25">
      <c r="A6" s="10" t="s">
        <v>20</v>
      </c>
      <c r="B6" s="11" t="s">
        <v>135</v>
      </c>
      <c r="C6" s="11" t="s">
        <v>182</v>
      </c>
      <c r="D6" s="12" t="s">
        <v>2</v>
      </c>
      <c r="E6" s="12" t="s">
        <v>7</v>
      </c>
      <c r="F6" s="12" t="s">
        <v>3</v>
      </c>
      <c r="G6" s="12" t="s">
        <v>8</v>
      </c>
      <c r="H6" s="12" t="s">
        <v>4</v>
      </c>
      <c r="I6" s="12" t="s">
        <v>9</v>
      </c>
      <c r="J6" s="12" t="s">
        <v>5</v>
      </c>
      <c r="K6" s="12" t="s">
        <v>10</v>
      </c>
      <c r="L6" s="12" t="s">
        <v>6</v>
      </c>
      <c r="M6" s="12" t="s">
        <v>11</v>
      </c>
      <c r="N6" s="13"/>
      <c r="O6" s="2"/>
    </row>
    <row r="7" spans="1:83" x14ac:dyDescent="0.25">
      <c r="A7" s="15" t="s">
        <v>21</v>
      </c>
      <c r="B7" s="292">
        <v>44027</v>
      </c>
      <c r="C7" s="292">
        <v>44027</v>
      </c>
      <c r="D7" s="292">
        <v>44027</v>
      </c>
      <c r="E7" s="292">
        <v>44027</v>
      </c>
      <c r="F7" s="292">
        <v>44027</v>
      </c>
      <c r="G7" s="292">
        <v>44027</v>
      </c>
      <c r="H7" s="292">
        <v>44027</v>
      </c>
      <c r="I7" s="292">
        <v>44027</v>
      </c>
      <c r="J7" s="292">
        <v>44027</v>
      </c>
      <c r="K7" s="292">
        <v>44027</v>
      </c>
      <c r="L7" s="292">
        <v>44027</v>
      </c>
      <c r="M7" s="292">
        <v>44027</v>
      </c>
      <c r="N7" s="13"/>
    </row>
    <row r="8" spans="1:83" x14ac:dyDescent="0.25">
      <c r="A8" s="15" t="s">
        <v>22</v>
      </c>
      <c r="B8" s="292">
        <v>47498</v>
      </c>
      <c r="C8" s="292">
        <v>47498</v>
      </c>
      <c r="D8" s="292">
        <v>47679</v>
      </c>
      <c r="E8" s="292">
        <v>47679</v>
      </c>
      <c r="F8" s="292">
        <v>49505</v>
      </c>
      <c r="G8" s="292">
        <v>49505</v>
      </c>
      <c r="H8" s="292">
        <v>50601</v>
      </c>
      <c r="I8" s="292">
        <v>50601</v>
      </c>
      <c r="J8" s="292">
        <v>51697</v>
      </c>
      <c r="K8" s="292">
        <v>51697</v>
      </c>
      <c r="L8" s="292">
        <v>53523</v>
      </c>
      <c r="M8" s="292">
        <v>53523</v>
      </c>
      <c r="N8" s="13"/>
    </row>
    <row r="9" spans="1:83" x14ac:dyDescent="0.25">
      <c r="A9" s="15" t="s">
        <v>23</v>
      </c>
      <c r="B9" s="292" t="s">
        <v>24</v>
      </c>
      <c r="C9" s="292" t="s">
        <v>15</v>
      </c>
      <c r="D9" s="292" t="s">
        <v>24</v>
      </c>
      <c r="E9" s="292" t="s">
        <v>15</v>
      </c>
      <c r="F9" s="292" t="s">
        <v>24</v>
      </c>
      <c r="G9" s="292" t="s">
        <v>15</v>
      </c>
      <c r="H9" s="292" t="s">
        <v>24</v>
      </c>
      <c r="I9" s="292" t="s">
        <v>15</v>
      </c>
      <c r="J9" s="292" t="s">
        <v>24</v>
      </c>
      <c r="K9" s="292" t="s">
        <v>15</v>
      </c>
      <c r="L9" s="292" t="s">
        <v>24</v>
      </c>
      <c r="M9" s="292" t="s">
        <v>15</v>
      </c>
      <c r="N9" s="13"/>
    </row>
    <row r="10" spans="1:83" x14ac:dyDescent="0.25">
      <c r="A10" s="15" t="s">
        <v>25</v>
      </c>
      <c r="B10" s="293">
        <f>+YEARFRAC(B7,B8)</f>
        <v>9.5</v>
      </c>
      <c r="C10" s="293">
        <f>+YEARFRAC(C7,C8)</f>
        <v>9.5</v>
      </c>
      <c r="D10" s="293">
        <f>+YEARFRAC(D7,D8)</f>
        <v>10</v>
      </c>
      <c r="E10" s="293">
        <f t="shared" ref="E10:M10" si="0">+YEARFRAC(E7,E8)</f>
        <v>10</v>
      </c>
      <c r="F10" s="293">
        <f t="shared" si="0"/>
        <v>15</v>
      </c>
      <c r="G10" s="293">
        <f t="shared" si="0"/>
        <v>15</v>
      </c>
      <c r="H10" s="293">
        <f t="shared" si="0"/>
        <v>18</v>
      </c>
      <c r="I10" s="293">
        <f t="shared" si="0"/>
        <v>18</v>
      </c>
      <c r="J10" s="293">
        <f t="shared" si="0"/>
        <v>21</v>
      </c>
      <c r="K10" s="293">
        <f t="shared" si="0"/>
        <v>21</v>
      </c>
      <c r="L10" s="293">
        <f t="shared" si="0"/>
        <v>26</v>
      </c>
      <c r="M10" s="293">
        <f t="shared" si="0"/>
        <v>26</v>
      </c>
      <c r="N10" s="13"/>
    </row>
    <row r="11" spans="1:83" x14ac:dyDescent="0.25">
      <c r="A11" s="15" t="s">
        <v>26</v>
      </c>
      <c r="B11" s="293">
        <f>+YEARFRAC(B7,B12)</f>
        <v>0</v>
      </c>
      <c r="C11" s="293">
        <f>+YEARFRAC(C7,C12)</f>
        <v>0</v>
      </c>
      <c r="D11" s="293">
        <f>+YEARFRAC(D7,D12)</f>
        <v>0</v>
      </c>
      <c r="E11" s="293">
        <f t="shared" ref="E11:M11" si="1">+YEARFRAC(E7,E12)</f>
        <v>0</v>
      </c>
      <c r="F11" s="293">
        <f t="shared" si="1"/>
        <v>0</v>
      </c>
      <c r="G11" s="293">
        <f t="shared" si="1"/>
        <v>0</v>
      </c>
      <c r="H11" s="293">
        <f t="shared" si="1"/>
        <v>0</v>
      </c>
      <c r="I11" s="293">
        <f t="shared" si="1"/>
        <v>0</v>
      </c>
      <c r="J11" s="293">
        <f t="shared" si="1"/>
        <v>0</v>
      </c>
      <c r="K11" s="293">
        <f t="shared" si="1"/>
        <v>0</v>
      </c>
      <c r="L11" s="293">
        <f t="shared" si="1"/>
        <v>0</v>
      </c>
      <c r="M11" s="293">
        <f t="shared" si="1"/>
        <v>0</v>
      </c>
      <c r="N11" s="13"/>
    </row>
    <row r="12" spans="1:83" x14ac:dyDescent="0.25">
      <c r="A12" s="15" t="s">
        <v>27</v>
      </c>
      <c r="B12" s="292">
        <v>44027</v>
      </c>
      <c r="C12" s="292">
        <v>44027</v>
      </c>
      <c r="D12" s="292">
        <v>44027</v>
      </c>
      <c r="E12" s="292">
        <v>44027</v>
      </c>
      <c r="F12" s="292">
        <v>44027</v>
      </c>
      <c r="G12" s="292">
        <v>44027</v>
      </c>
      <c r="H12" s="292">
        <v>44027</v>
      </c>
      <c r="I12" s="292">
        <v>44027</v>
      </c>
      <c r="J12" s="292">
        <v>44027</v>
      </c>
      <c r="K12" s="292">
        <v>44027</v>
      </c>
      <c r="L12" s="292">
        <v>44027</v>
      </c>
      <c r="M12" s="292">
        <v>44027</v>
      </c>
      <c r="N12" s="13"/>
    </row>
    <row r="13" spans="1:83" x14ac:dyDescent="0.25">
      <c r="A13" s="15" t="s">
        <v>28</v>
      </c>
      <c r="B13" s="292">
        <f>DATE(YEAR(B$12),MONTH(B$12)+VLOOKUP(B$15,$K$1:$M$4,3,0),DAY(B$12))</f>
        <v>44211</v>
      </c>
      <c r="C13" s="292">
        <f>DATE(YEAR(C$12),MONTH(C$12)+VLOOKUP(C$15,$K$1:$M$4,3,0),DAY(C$12))</f>
        <v>44211</v>
      </c>
      <c r="D13" s="292">
        <f>DATE(YEAR(D$12),MONTH(D$12)+VLOOKUP(D$15,$K$1:$M$4,3,0),DAY(D$12))</f>
        <v>44211</v>
      </c>
      <c r="E13" s="292">
        <f t="shared" ref="E13:M13" si="2">DATE(YEAR(E$12),MONTH(E$12)+VLOOKUP(E$15,$K$1:$M$4,3,0),DAY(E$12))</f>
        <v>44211</v>
      </c>
      <c r="F13" s="292">
        <f t="shared" si="2"/>
        <v>44211</v>
      </c>
      <c r="G13" s="292">
        <f t="shared" si="2"/>
        <v>44211</v>
      </c>
      <c r="H13" s="292">
        <f t="shared" si="2"/>
        <v>44211</v>
      </c>
      <c r="I13" s="292">
        <f t="shared" si="2"/>
        <v>44211</v>
      </c>
      <c r="J13" s="292">
        <f t="shared" si="2"/>
        <v>44211</v>
      </c>
      <c r="K13" s="292">
        <f t="shared" si="2"/>
        <v>44211</v>
      </c>
      <c r="L13" s="292">
        <f t="shared" si="2"/>
        <v>44211</v>
      </c>
      <c r="M13" s="292">
        <f t="shared" si="2"/>
        <v>44211</v>
      </c>
      <c r="N13" s="13"/>
    </row>
    <row r="14" spans="1:83" x14ac:dyDescent="0.25">
      <c r="A14" s="15" t="s">
        <v>29</v>
      </c>
      <c r="B14" s="294" t="s">
        <v>30</v>
      </c>
      <c r="C14" s="294" t="s">
        <v>30</v>
      </c>
      <c r="D14" s="294" t="s">
        <v>30</v>
      </c>
      <c r="E14" s="294" t="s">
        <v>30</v>
      </c>
      <c r="F14" s="294" t="s">
        <v>30</v>
      </c>
      <c r="G14" s="294" t="s">
        <v>30</v>
      </c>
      <c r="H14" s="294" t="s">
        <v>30</v>
      </c>
      <c r="I14" s="294" t="s">
        <v>30</v>
      </c>
      <c r="J14" s="294" t="s">
        <v>30</v>
      </c>
      <c r="K14" s="294" t="s">
        <v>30</v>
      </c>
      <c r="L14" s="294" t="s">
        <v>30</v>
      </c>
      <c r="M14" s="294" t="s">
        <v>30</v>
      </c>
      <c r="N14" s="13"/>
    </row>
    <row r="15" spans="1:83" x14ac:dyDescent="0.25">
      <c r="A15" s="15" t="s">
        <v>31</v>
      </c>
      <c r="B15" s="292" t="s">
        <v>1</v>
      </c>
      <c r="C15" s="292" t="s">
        <v>1</v>
      </c>
      <c r="D15" s="292" t="s">
        <v>1</v>
      </c>
      <c r="E15" s="292" t="s">
        <v>1</v>
      </c>
      <c r="F15" s="292" t="s">
        <v>1</v>
      </c>
      <c r="G15" s="292" t="s">
        <v>1</v>
      </c>
      <c r="H15" s="292" t="s">
        <v>1</v>
      </c>
      <c r="I15" s="292" t="s">
        <v>1</v>
      </c>
      <c r="J15" s="292" t="s">
        <v>1</v>
      </c>
      <c r="K15" s="292" t="s">
        <v>1</v>
      </c>
      <c r="L15" s="292" t="s">
        <v>1</v>
      </c>
      <c r="M15" s="292" t="s">
        <v>1</v>
      </c>
      <c r="N15" s="13"/>
      <c r="O15" s="16"/>
    </row>
    <row r="16" spans="1:83" x14ac:dyDescent="0.25">
      <c r="A16" s="15" t="s">
        <v>32</v>
      </c>
      <c r="B16" s="295">
        <v>8</v>
      </c>
      <c r="C16" s="295">
        <v>8</v>
      </c>
      <c r="D16" s="295">
        <v>12</v>
      </c>
      <c r="E16" s="295">
        <v>12</v>
      </c>
      <c r="F16" s="295">
        <v>10</v>
      </c>
      <c r="G16" s="295">
        <v>10</v>
      </c>
      <c r="H16" s="295">
        <v>22</v>
      </c>
      <c r="I16" s="295">
        <v>22</v>
      </c>
      <c r="J16" s="295">
        <v>30</v>
      </c>
      <c r="K16" s="295">
        <v>30</v>
      </c>
      <c r="L16" s="295">
        <v>44</v>
      </c>
      <c r="M16" s="295">
        <v>44</v>
      </c>
      <c r="N16" s="13"/>
      <c r="O16" s="16"/>
    </row>
    <row r="17" spans="1:83" x14ac:dyDescent="0.25">
      <c r="A17" s="15" t="s">
        <v>33</v>
      </c>
      <c r="B17" s="292">
        <v>46218</v>
      </c>
      <c r="C17" s="292">
        <v>46218</v>
      </c>
      <c r="D17" s="292">
        <v>45672</v>
      </c>
      <c r="E17" s="292">
        <v>45672</v>
      </c>
      <c r="F17" s="292">
        <v>47863</v>
      </c>
      <c r="G17" s="292">
        <v>47863</v>
      </c>
      <c r="H17" s="292">
        <v>46767</v>
      </c>
      <c r="I17" s="292">
        <v>46767</v>
      </c>
      <c r="J17" s="292">
        <v>46402</v>
      </c>
      <c r="K17" s="292">
        <v>46402</v>
      </c>
      <c r="L17" s="292">
        <v>45672</v>
      </c>
      <c r="M17" s="292">
        <v>45672</v>
      </c>
      <c r="N17" s="13"/>
      <c r="O17" s="16"/>
    </row>
    <row r="18" spans="1:83" x14ac:dyDescent="0.25">
      <c r="A18" s="17" t="s">
        <v>34</v>
      </c>
      <c r="B18" s="353">
        <v>100</v>
      </c>
      <c r="C18" s="353">
        <v>100</v>
      </c>
      <c r="D18" s="353">
        <v>99</v>
      </c>
      <c r="E18" s="353">
        <v>99</v>
      </c>
      <c r="F18" s="353">
        <v>99</v>
      </c>
      <c r="G18" s="353">
        <v>99</v>
      </c>
      <c r="H18" s="353">
        <v>100</v>
      </c>
      <c r="I18" s="353">
        <v>100</v>
      </c>
      <c r="J18" s="353">
        <v>100</v>
      </c>
      <c r="K18" s="353">
        <v>100</v>
      </c>
      <c r="L18" s="353">
        <v>99</v>
      </c>
      <c r="M18" s="353">
        <v>99</v>
      </c>
      <c r="N18" s="13"/>
      <c r="O18" s="16"/>
    </row>
    <row r="19" spans="1:83" x14ac:dyDescent="0.25">
      <c r="A19" s="18" t="s">
        <v>35</v>
      </c>
      <c r="B19" s="351">
        <f t="shared" ref="B19:M19" si="3">+B$18*(IF(B$14="no",1,(1+B$14/VLOOKUP(B$15,$K$1:$L$4,2,0))^(VLOOKUP(B$15,$K$1:$L$4,2,0)*B$11)))</f>
        <v>100</v>
      </c>
      <c r="C19" s="351">
        <f t="shared" si="3"/>
        <v>100</v>
      </c>
      <c r="D19" s="351">
        <f t="shared" si="3"/>
        <v>99</v>
      </c>
      <c r="E19" s="351">
        <f t="shared" si="3"/>
        <v>99</v>
      </c>
      <c r="F19" s="351">
        <f t="shared" si="3"/>
        <v>99</v>
      </c>
      <c r="G19" s="351">
        <f t="shared" si="3"/>
        <v>99</v>
      </c>
      <c r="H19" s="351">
        <f t="shared" si="3"/>
        <v>100</v>
      </c>
      <c r="I19" s="351">
        <f t="shared" si="3"/>
        <v>100</v>
      </c>
      <c r="J19" s="351">
        <f t="shared" si="3"/>
        <v>100</v>
      </c>
      <c r="K19" s="351">
        <f t="shared" si="3"/>
        <v>100</v>
      </c>
      <c r="L19" s="351">
        <f t="shared" si="3"/>
        <v>99</v>
      </c>
      <c r="M19" s="351">
        <f t="shared" si="3"/>
        <v>99</v>
      </c>
      <c r="N19" s="13"/>
    </row>
    <row r="20" spans="1:83" s="4" customFormat="1" ht="21" customHeight="1" x14ac:dyDescent="0.25">
      <c r="A20" s="12" t="s">
        <v>36</v>
      </c>
      <c r="B20" s="19">
        <f>$S$80</f>
        <v>53.381625391905992</v>
      </c>
      <c r="C20" s="19">
        <f>$W$80</f>
        <v>53.381625391905992</v>
      </c>
      <c r="D20" s="19">
        <f>$AA$80</f>
        <v>53.439748862916602</v>
      </c>
      <c r="E20" s="19">
        <f>$AE$80</f>
        <v>50.904266464631199</v>
      </c>
      <c r="F20" s="19">
        <f>$AI$80</f>
        <v>52.434367948375325</v>
      </c>
      <c r="G20" s="19">
        <f>$AM$80</f>
        <v>48.189374920467586</v>
      </c>
      <c r="H20" s="19">
        <f>$AQ$80</f>
        <v>56.039008461167128</v>
      </c>
      <c r="I20" s="19">
        <f>$AU$80</f>
        <v>51.821494851259068</v>
      </c>
      <c r="J20" s="19">
        <f>$AY$80</f>
        <v>51.789501722709737</v>
      </c>
      <c r="K20" s="19">
        <f>$BC$80</f>
        <v>48.242321614788835</v>
      </c>
      <c r="L20" s="19">
        <f>$BG$80</f>
        <v>51.547292379089953</v>
      </c>
      <c r="M20" s="19">
        <f>$BK$80</f>
        <v>47.361942471558109</v>
      </c>
      <c r="N20" s="13"/>
      <c r="O20" s="2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</row>
    <row r="21" spans="1:83" s="4" customFormat="1" ht="21" customHeight="1" x14ac:dyDescent="0.25">
      <c r="A21" s="12" t="s">
        <v>37</v>
      </c>
      <c r="B21" s="20">
        <f t="shared" ref="B21:M21" si="4">+B20/IF(B$9="USD",1,$Q$2)</f>
        <v>53.381625391905992</v>
      </c>
      <c r="C21" s="20">
        <f t="shared" si="4"/>
        <v>60.019817171020904</v>
      </c>
      <c r="D21" s="20">
        <f t="shared" si="4"/>
        <v>53.439748862916602</v>
      </c>
      <c r="E21" s="20">
        <f t="shared" si="4"/>
        <v>57.234389998460983</v>
      </c>
      <c r="F21" s="20">
        <f t="shared" si="4"/>
        <v>52.434367948375325</v>
      </c>
      <c r="G21" s="20">
        <f t="shared" si="4"/>
        <v>54.181892197512468</v>
      </c>
      <c r="H21" s="20">
        <f t="shared" si="4"/>
        <v>56.039008461167128</v>
      </c>
      <c r="I21" s="20">
        <f t="shared" si="4"/>
        <v>58.265678942274647</v>
      </c>
      <c r="J21" s="20">
        <f t="shared" si="4"/>
        <v>51.789501722709737</v>
      </c>
      <c r="K21" s="20">
        <f t="shared" si="4"/>
        <v>54.241422998413356</v>
      </c>
      <c r="L21" s="20">
        <f t="shared" si="4"/>
        <v>51.547292379089953</v>
      </c>
      <c r="M21" s="20">
        <f t="shared" si="4"/>
        <v>53.251565630265475</v>
      </c>
      <c r="N21" s="13"/>
      <c r="O21" s="2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</row>
    <row r="22" spans="1:83" x14ac:dyDescent="0.25">
      <c r="A22" s="4"/>
      <c r="B22" s="4"/>
      <c r="C22" s="4"/>
    </row>
    <row r="23" spans="1:83" x14ac:dyDescent="0.25">
      <c r="A23" s="21"/>
      <c r="B23" s="21"/>
      <c r="C23" s="21"/>
      <c r="D23" s="21"/>
      <c r="E23" s="22"/>
      <c r="F23" s="22"/>
      <c r="G23" s="22"/>
      <c r="H23" s="22"/>
      <c r="I23" s="22"/>
      <c r="J23" s="22"/>
      <c r="K23" s="22"/>
      <c r="L23" s="22"/>
      <c r="M23" s="22"/>
      <c r="P23" s="471" t="s">
        <v>135</v>
      </c>
      <c r="Q23" s="466"/>
      <c r="R23" s="466"/>
      <c r="S23" s="467"/>
      <c r="T23" s="471" t="s">
        <v>182</v>
      </c>
      <c r="U23" s="466"/>
      <c r="V23" s="466"/>
      <c r="W23" s="467"/>
      <c r="X23" s="471" t="str">
        <f>D6</f>
        <v>USD 2030</v>
      </c>
      <c r="Y23" s="466"/>
      <c r="Z23" s="466"/>
      <c r="AA23" s="467"/>
      <c r="AB23" s="466" t="str">
        <f>E6</f>
        <v>EUR 2030</v>
      </c>
      <c r="AC23" s="466"/>
      <c r="AD23" s="466"/>
      <c r="AE23" s="467"/>
      <c r="AF23" s="466" t="str">
        <f>F6</f>
        <v>USD 2035</v>
      </c>
      <c r="AG23" s="466"/>
      <c r="AH23" s="466"/>
      <c r="AI23" s="467"/>
      <c r="AJ23" s="466" t="str">
        <f>G6</f>
        <v>EUR 2035</v>
      </c>
      <c r="AK23" s="466"/>
      <c r="AL23" s="466"/>
      <c r="AM23" s="467"/>
      <c r="AN23" s="466" t="str">
        <f>H6</f>
        <v>USD 2038</v>
      </c>
      <c r="AO23" s="466"/>
      <c r="AP23" s="466"/>
      <c r="AQ23" s="467"/>
      <c r="AR23" s="466" t="str">
        <f>I6</f>
        <v>EUR 2038</v>
      </c>
      <c r="AS23" s="466"/>
      <c r="AT23" s="466"/>
      <c r="AU23" s="467"/>
      <c r="AV23" s="466" t="str">
        <f>J6</f>
        <v>USD 2041</v>
      </c>
      <c r="AW23" s="466"/>
      <c r="AX23" s="466"/>
      <c r="AY23" s="467"/>
      <c r="AZ23" s="466" t="str">
        <f>K6</f>
        <v>EUR 2041</v>
      </c>
      <c r="BA23" s="466"/>
      <c r="BB23" s="466"/>
      <c r="BC23" s="467"/>
      <c r="BD23" s="466" t="str">
        <f>L6</f>
        <v>USD 2046</v>
      </c>
      <c r="BE23" s="466"/>
      <c r="BF23" s="466"/>
      <c r="BG23" s="467"/>
      <c r="BH23" s="466" t="str">
        <f>M6</f>
        <v>EUR 2046</v>
      </c>
      <c r="BI23" s="466"/>
      <c r="BJ23" s="466"/>
      <c r="BK23" s="467"/>
      <c r="BL23" s="4"/>
    </row>
    <row r="24" spans="1:83" ht="22.5" x14ac:dyDescent="0.25">
      <c r="A24" s="23" t="s">
        <v>38</v>
      </c>
      <c r="B24" s="468" t="s">
        <v>39</v>
      </c>
      <c r="C24" s="469"/>
      <c r="D24" s="469"/>
      <c r="E24" s="469"/>
      <c r="F24" s="469"/>
      <c r="G24" s="469"/>
      <c r="H24" s="469"/>
      <c r="I24" s="469"/>
      <c r="J24" s="469"/>
      <c r="K24" s="469"/>
      <c r="L24" s="469"/>
      <c r="M24" s="470"/>
      <c r="O24" s="24" t="s">
        <v>40</v>
      </c>
      <c r="P24" s="24" t="s">
        <v>41</v>
      </c>
      <c r="Q24" s="25" t="s">
        <v>42</v>
      </c>
      <c r="R24" s="25" t="s">
        <v>43</v>
      </c>
      <c r="S24" s="26" t="s">
        <v>44</v>
      </c>
      <c r="T24" s="24" t="s">
        <v>41</v>
      </c>
      <c r="U24" s="25" t="s">
        <v>42</v>
      </c>
      <c r="V24" s="25" t="s">
        <v>43</v>
      </c>
      <c r="W24" s="26" t="s">
        <v>44</v>
      </c>
      <c r="X24" s="24" t="s">
        <v>41</v>
      </c>
      <c r="Y24" s="25" t="s">
        <v>42</v>
      </c>
      <c r="Z24" s="25" t="s">
        <v>43</v>
      </c>
      <c r="AA24" s="26" t="s">
        <v>44</v>
      </c>
      <c r="AB24" s="24" t="s">
        <v>41</v>
      </c>
      <c r="AC24" s="25" t="s">
        <v>42</v>
      </c>
      <c r="AD24" s="25" t="s">
        <v>43</v>
      </c>
      <c r="AE24" s="26" t="s">
        <v>44</v>
      </c>
      <c r="AF24" s="24" t="s">
        <v>41</v>
      </c>
      <c r="AG24" s="25" t="s">
        <v>42</v>
      </c>
      <c r="AH24" s="25" t="s">
        <v>43</v>
      </c>
      <c r="AI24" s="26" t="s">
        <v>44</v>
      </c>
      <c r="AJ24" s="24" t="s">
        <v>41</v>
      </c>
      <c r="AK24" s="25" t="s">
        <v>42</v>
      </c>
      <c r="AL24" s="25" t="s">
        <v>43</v>
      </c>
      <c r="AM24" s="26" t="s">
        <v>44</v>
      </c>
      <c r="AN24" s="24" t="s">
        <v>41</v>
      </c>
      <c r="AO24" s="25" t="s">
        <v>42</v>
      </c>
      <c r="AP24" s="25" t="s">
        <v>43</v>
      </c>
      <c r="AQ24" s="26" t="s">
        <v>44</v>
      </c>
      <c r="AR24" s="24" t="s">
        <v>41</v>
      </c>
      <c r="AS24" s="25" t="s">
        <v>42</v>
      </c>
      <c r="AT24" s="25" t="s">
        <v>43</v>
      </c>
      <c r="AU24" s="26" t="s">
        <v>44</v>
      </c>
      <c r="AV24" s="24" t="s">
        <v>41</v>
      </c>
      <c r="AW24" s="25" t="s">
        <v>42</v>
      </c>
      <c r="AX24" s="25" t="s">
        <v>43</v>
      </c>
      <c r="AY24" s="26" t="s">
        <v>44</v>
      </c>
      <c r="AZ24" s="24" t="s">
        <v>41</v>
      </c>
      <c r="BA24" s="25" t="s">
        <v>42</v>
      </c>
      <c r="BB24" s="25" t="s">
        <v>43</v>
      </c>
      <c r="BC24" s="26" t="s">
        <v>44</v>
      </c>
      <c r="BD24" s="24" t="s">
        <v>41</v>
      </c>
      <c r="BE24" s="25" t="s">
        <v>42</v>
      </c>
      <c r="BF24" s="25" t="s">
        <v>43</v>
      </c>
      <c r="BG24" s="26" t="s">
        <v>44</v>
      </c>
      <c r="BH24" s="24" t="s">
        <v>41</v>
      </c>
      <c r="BI24" s="25" t="s">
        <v>42</v>
      </c>
      <c r="BJ24" s="25" t="s">
        <v>43</v>
      </c>
      <c r="BK24" s="26" t="s">
        <v>44</v>
      </c>
      <c r="BL24" s="4"/>
    </row>
    <row r="25" spans="1:83" x14ac:dyDescent="0.25">
      <c r="A25" s="27">
        <f>+D7</f>
        <v>44027</v>
      </c>
      <c r="B25" s="28">
        <v>0</v>
      </c>
      <c r="C25" s="29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1">
        <v>0</v>
      </c>
      <c r="O25" s="32">
        <f>+D7</f>
        <v>44027</v>
      </c>
      <c r="P25" s="178"/>
      <c r="Q25" s="179">
        <f>+IF($O25&gt;$B$8,"FIN",IF($O25&lt;$B$17,0,$B$19/$B$16))</f>
        <v>0</v>
      </c>
      <c r="R25" s="180">
        <f t="shared" ref="R25:R44" si="5">+SUM(P25:Q25)</f>
        <v>0</v>
      </c>
      <c r="S25" s="181">
        <f t="shared" ref="S25" si="6">R25/(1+$B$5)^(YEARFRAC($O$25,$O25))</f>
        <v>0</v>
      </c>
      <c r="T25" s="178"/>
      <c r="U25" s="179">
        <f>+IF($O25&gt;$C$8,"FIN",IF($O25&lt;$C$17,0,$C$19/$C$16))</f>
        <v>0</v>
      </c>
      <c r="V25" s="180">
        <f t="shared" ref="V25:V44" si="7">+SUM(T25:U25)</f>
        <v>0</v>
      </c>
      <c r="W25" s="181">
        <f t="shared" ref="W25" si="8">V25/(1+$B$5)^(YEARFRAC($O$25,$O25))</f>
        <v>0</v>
      </c>
      <c r="X25" s="182"/>
      <c r="Y25" s="179">
        <f>+IF($O25&gt;$D$8,"FIN",IF($O25&lt;$D$17,0,$D$19/$D$16))</f>
        <v>0</v>
      </c>
      <c r="Z25" s="180">
        <f t="shared" ref="Z25:Z45" si="9">+SUM(X25:Y25)</f>
        <v>0</v>
      </c>
      <c r="AA25" s="181">
        <f t="shared" ref="AA25" si="10">Z25/(1+$B$5)^(YEARFRAC($O$25,$O25))</f>
        <v>0</v>
      </c>
      <c r="AB25" s="180"/>
      <c r="AC25" s="179">
        <f>+IF($O25&gt;$E$8,"FIN",IF($O25&lt;$E$17,0,$E$19/$E$16))</f>
        <v>0</v>
      </c>
      <c r="AD25" s="180">
        <f t="shared" ref="AD25:AD45" si="11">+SUM(AB25:AC25)</f>
        <v>0</v>
      </c>
      <c r="AE25" s="181">
        <f t="shared" ref="AE25" si="12">AD25/(1+$B$5)^(YEARFRAC($O$25,$O25))</f>
        <v>0</v>
      </c>
      <c r="AF25" s="180"/>
      <c r="AG25" s="179">
        <f>+IF($O25&gt;$F$8,"FIN",IF($O25&lt;$F$17,0,$F$19/$F$16))</f>
        <v>0</v>
      </c>
      <c r="AH25" s="180">
        <f t="shared" ref="AH25:AH55" si="13">+SUM(AF25:AG25)</f>
        <v>0</v>
      </c>
      <c r="AI25" s="181">
        <f t="shared" ref="AI25" si="14">AH25/(1+$B$5)^(YEARFRAC($O$25,$O25))</f>
        <v>0</v>
      </c>
      <c r="AJ25" s="180"/>
      <c r="AK25" s="179">
        <f>+IF($O25&gt;$G$8,"FIN",IF($O25&lt;$G$17,0,$G$19/$G$16))</f>
        <v>0</v>
      </c>
      <c r="AL25" s="180">
        <f t="shared" ref="AL25:AL55" si="15">+SUM(AJ25:AK25)</f>
        <v>0</v>
      </c>
      <c r="AM25" s="181">
        <f t="shared" ref="AM25" si="16">AL25/(1+$B$5)^(YEARFRAC($O$25,$O25))</f>
        <v>0</v>
      </c>
      <c r="AN25" s="180"/>
      <c r="AO25" s="179">
        <f>+IF($O25&gt;$H$8,"FIN",IF($O25&lt;$H$17,0,$H$19/$H$16))</f>
        <v>0</v>
      </c>
      <c r="AP25" s="180">
        <f t="shared" ref="AP25:AP61" si="17">+SUM(AN25:AO25)</f>
        <v>0</v>
      </c>
      <c r="AQ25" s="181">
        <f t="shared" ref="AQ25" si="18">AP25/(1+$B$5)^(YEARFRAC($O$25,$O25))</f>
        <v>0</v>
      </c>
      <c r="AR25" s="180"/>
      <c r="AS25" s="179">
        <f>+IF($O25&gt;$I$8,"FIN",IF($O25&lt;$I$17,0,$I$19/$I$16))</f>
        <v>0</v>
      </c>
      <c r="AT25" s="180">
        <f t="shared" ref="AT25:AT61" si="19">+SUM(AR25:AS25)</f>
        <v>0</v>
      </c>
      <c r="AU25" s="181">
        <f t="shared" ref="AU25" si="20">AT25/(1+$B$5)^(YEARFRAC($O$25,$O25))</f>
        <v>0</v>
      </c>
      <c r="AV25" s="180"/>
      <c r="AW25" s="179">
        <f>+IF($O25&gt;$J$8,"FIN",IF($O25&lt;$J$17,0,$J$19/$J$16))</f>
        <v>0</v>
      </c>
      <c r="AX25" s="180">
        <f t="shared" ref="AX25:AX67" si="21">+SUM(AV25:AW25)</f>
        <v>0</v>
      </c>
      <c r="AY25" s="181">
        <f t="shared" ref="AY25" si="22">AX25/(1+$B$5)^(YEARFRAC($O$25,$O25))</f>
        <v>0</v>
      </c>
      <c r="AZ25" s="180"/>
      <c r="BA25" s="179">
        <f>+IF($O25&gt;$K$8,"FIN",IF($O25&lt;$K$17,0,$K$19/$K$16))</f>
        <v>0</v>
      </c>
      <c r="BB25" s="180">
        <f t="shared" ref="BB25:BB67" si="23">+SUM(AZ25:BA25)</f>
        <v>0</v>
      </c>
      <c r="BC25" s="181">
        <f t="shared" ref="BC25" si="24">BB25/(1+$B$5)^(YEARFRAC($O$25,$O25))</f>
        <v>0</v>
      </c>
      <c r="BD25" s="180"/>
      <c r="BE25" s="179">
        <f>+IF($O25&gt;$L$8,"FIN",IF($O25&lt;$L$17,0,$L$19/$L$16))</f>
        <v>0</v>
      </c>
      <c r="BF25" s="180">
        <f t="shared" ref="BF25:BF77" si="25">+SUM(BD25:BE25)</f>
        <v>0</v>
      </c>
      <c r="BG25" s="181">
        <f t="shared" ref="BG25" si="26">BF25/(1+$B$5)^(YEARFRAC($O$25,$O25))</f>
        <v>0</v>
      </c>
      <c r="BH25" s="180"/>
      <c r="BI25" s="179">
        <f>+IF($O25&gt;$M$8,"FIN",IF($O25&lt;$M$17,0,$M$19/$M$16))</f>
        <v>0</v>
      </c>
      <c r="BJ25" s="180">
        <f t="shared" ref="BJ25:BJ77" si="27">+SUM(BH25:BI25)</f>
        <v>0</v>
      </c>
      <c r="BK25" s="181">
        <f t="shared" ref="BK25" si="28">BJ25/(1+$B$5)^(YEARFRAC($O$25,$O25))</f>
        <v>0</v>
      </c>
      <c r="BL25" s="4"/>
    </row>
    <row r="26" spans="1:83" x14ac:dyDescent="0.25">
      <c r="A26" s="27">
        <f t="shared" ref="A26:A78" si="29">DATE(YEAR(A25),MONTH(A25)+VLOOKUP($D$15,$K$1:$M$4,3,0),DAY(A25))</f>
        <v>44211</v>
      </c>
      <c r="B26" s="38">
        <v>0.01</v>
      </c>
      <c r="C26" s="39">
        <v>0.01</v>
      </c>
      <c r="D26" s="40">
        <v>1.25E-3</v>
      </c>
      <c r="E26" s="40">
        <v>1.25E-3</v>
      </c>
      <c r="F26" s="40">
        <v>1.25E-3</v>
      </c>
      <c r="G26" s="40">
        <v>1.25E-3</v>
      </c>
      <c r="H26" s="40">
        <v>1.25E-3</v>
      </c>
      <c r="I26" s="40">
        <v>1.25E-3</v>
      </c>
      <c r="J26" s="40">
        <v>1.25E-3</v>
      </c>
      <c r="K26" s="40">
        <v>1.25E-3</v>
      </c>
      <c r="L26" s="40">
        <v>1.25E-3</v>
      </c>
      <c r="M26" s="41">
        <v>1.25E-3</v>
      </c>
      <c r="O26" s="32">
        <f t="shared" ref="O26:O79" si="30">+DATE(YEAR(O25),MONTH(O25)+VLOOKUP(D$15,$K$1:$M$4,3,0),DAY(O25))</f>
        <v>44211</v>
      </c>
      <c r="P26" s="35">
        <f>+IF($O26&gt;B$8,"FIN",(B$19-SUM(Q$25:Q25))*VLOOKUP($O26,$A:$N,2,0)/VLOOKUP(B$15,$K$1:$M$4,2,0))</f>
        <v>0.5</v>
      </c>
      <c r="Q26" s="42">
        <f t="shared" ref="Q26:Q44" si="31">+IF($O26&gt;$B$8,"FIN",IF($O26&lt;$B$17,0,$B$19/$B$16))</f>
        <v>0</v>
      </c>
      <c r="R26" s="33">
        <f t="shared" si="5"/>
        <v>0.5</v>
      </c>
      <c r="S26" s="34">
        <f>R26/(1+$B$5)^(YEARFRAC($O$25,$O26))</f>
        <v>0.47673129462279612</v>
      </c>
      <c r="T26" s="35">
        <f>+IF($O26&gt;C$8,"FIN",(C$19-SUM(U$25:U25))*VLOOKUP($O26,$A:$N,3,0)/VLOOKUP(C$15,$K$1:$M$4,2,0))</f>
        <v>0.5</v>
      </c>
      <c r="U26" s="42">
        <f t="shared" ref="U26:U44" si="32">+IF($O26&gt;$C$8,"FIN",IF($O26&lt;$C$17,0,$C$19/$C$16))</f>
        <v>0</v>
      </c>
      <c r="V26" s="33">
        <f t="shared" si="7"/>
        <v>0.5</v>
      </c>
      <c r="W26" s="34">
        <f>V26/(1+$B$5)^(YEARFRAC($O$25,$O26))</f>
        <v>0.47673129462279612</v>
      </c>
      <c r="X26" s="35">
        <f>+IF($O26&gt;D$8,"FIN",(D$19-SUM(Y$25:Y25))*VLOOKUP($O26,$A:$N,4,0)/VLOOKUP(D$15,$K$1:$M$4,2,0))</f>
        <v>6.1874999999999999E-2</v>
      </c>
      <c r="Y26" s="42">
        <f t="shared" ref="Y26:Y45" si="33">+IF($O26&gt;$D$8,"FIN",IF($O26&lt;$D$17,0,$D$19/$D$16))</f>
        <v>0</v>
      </c>
      <c r="Z26" s="33">
        <f t="shared" si="9"/>
        <v>6.1874999999999999E-2</v>
      </c>
      <c r="AA26" s="34">
        <f>Z26/(1+$B$5)^(YEARFRAC($O$25,$O26))</f>
        <v>5.8995497709571021E-2</v>
      </c>
      <c r="AB26" s="35">
        <f>+IF($O26&gt;E$8,"FIN",(E$19-SUM(AC$25:AC25))*VLOOKUP($O26,$A:$N,5,0)/VLOOKUP(E$15,$K$1:$M$4,2,0))</f>
        <v>6.1874999999999999E-2</v>
      </c>
      <c r="AC26" s="33">
        <f t="shared" ref="AC26:AC45" si="34">+IF($O26&gt;$E$8,"FIN",IF($O26&lt;$E$17,0,$E$19/$E$16))</f>
        <v>0</v>
      </c>
      <c r="AD26" s="33">
        <f t="shared" si="11"/>
        <v>6.1874999999999999E-2</v>
      </c>
      <c r="AE26" s="34">
        <f>AD26/(1+$B$5)^(YEARFRAC($O$25,$O26))</f>
        <v>5.8995497709571021E-2</v>
      </c>
      <c r="AF26" s="35">
        <f>+IF($O26&gt;F$8,"FIN",(F$19-SUM(AG$25:AG25))*VLOOKUP($O26,$A:$N,6,0)/VLOOKUP(F$15,$K$1:$M$4,2,0))</f>
        <v>6.1874999999999999E-2</v>
      </c>
      <c r="AG26" s="42">
        <f t="shared" ref="AG26:AG55" si="35">+IF($O26&gt;$F$8,"FIN",IF($O26&lt;$F$17,0,$F$19/$F$16))</f>
        <v>0</v>
      </c>
      <c r="AH26" s="36">
        <f t="shared" si="13"/>
        <v>6.1874999999999999E-2</v>
      </c>
      <c r="AI26" s="34">
        <f>AH26/(1+$B$5)^(YEARFRAC($O$25,$O26))</f>
        <v>5.8995497709571021E-2</v>
      </c>
      <c r="AJ26" s="35">
        <f>+IF($O26&gt;G$8,"FIN",(G$19-SUM(AK$25:AK25))*VLOOKUP($O26,$A:$N,7,0)/VLOOKUP(G$15,$K$1:$M$4,2,0))</f>
        <v>6.1874999999999999E-2</v>
      </c>
      <c r="AK26" s="33">
        <f t="shared" ref="AK26:AK55" si="36">+IF($O26&gt;$G$8,"FIN",IF($O26&lt;$G$17,0,$G$19/$G$16))</f>
        <v>0</v>
      </c>
      <c r="AL26" s="36">
        <f t="shared" si="15"/>
        <v>6.1874999999999999E-2</v>
      </c>
      <c r="AM26" s="34">
        <f>AL26/(1+$B$5)^(YEARFRAC($O$25,$O26))</f>
        <v>5.8995497709571021E-2</v>
      </c>
      <c r="AN26" s="35">
        <f>+IF($O26&gt;H$8,"FIN",(H$19-SUM(AO$25:AO25))*VLOOKUP($O26,$A:$N,8,0)/VLOOKUP(H$15,$K$1:$M$4,2,0))</f>
        <v>6.25E-2</v>
      </c>
      <c r="AO26" s="36">
        <f t="shared" ref="AO26:AO61" si="37">+IF($O26&gt;$H$8,"FIN",IF($O26&lt;$H$17,0,$H$19/$H$16))</f>
        <v>0</v>
      </c>
      <c r="AP26" s="36">
        <f t="shared" si="17"/>
        <v>6.25E-2</v>
      </c>
      <c r="AQ26" s="34">
        <f>AP26/(1+$B$5)^(YEARFRAC($O$25,$O26))</f>
        <v>5.9591411827849515E-2</v>
      </c>
      <c r="AR26" s="35">
        <f>+IF($O26&gt;I$8,"FIN",(I$19-SUM(AS$25:AS25))*VLOOKUP($O26,$A:$N,9,0)/VLOOKUP(I$15,$K$1:$M$4,2,0))</f>
        <v>6.25E-2</v>
      </c>
      <c r="AS26" s="36">
        <f t="shared" ref="AS26:AS61" si="38">+IF($O26&gt;$I$8,"FIN",IF($O26&lt;$I$17,0,$I$19/$I$16))</f>
        <v>0</v>
      </c>
      <c r="AT26" s="36">
        <f t="shared" si="19"/>
        <v>6.25E-2</v>
      </c>
      <c r="AU26" s="34">
        <f>AT26/(1+$B$5)^(YEARFRAC($O$25,$O26))</f>
        <v>5.9591411827849515E-2</v>
      </c>
      <c r="AV26" s="35">
        <f>+IF($O26&gt;J$8,"FIN",(J$19-SUM(AW$25:AW25))*VLOOKUP($O26,$A:$N,10,0)/VLOOKUP(J$15,$K$1:$M$4,2,0))</f>
        <v>6.25E-2</v>
      </c>
      <c r="AW26" s="33">
        <f t="shared" ref="AW26:AW67" si="39">+IF($O26&gt;$J$8,"FIN",IF($O26&lt;$J$17,0,$J$19/$J$16))</f>
        <v>0</v>
      </c>
      <c r="AX26" s="36">
        <f t="shared" si="21"/>
        <v>6.25E-2</v>
      </c>
      <c r="AY26" s="34">
        <f>AX26/(1+$B$5)^(YEARFRAC($O$25,$O26))</f>
        <v>5.9591411827849515E-2</v>
      </c>
      <c r="AZ26" s="35">
        <f>+IF($O26&gt;K$8,"FIN",(K$19-SUM(BA$25:BA25))*VLOOKUP($O26,$A:$N,11,0)/VLOOKUP(K$15,$K$1:$M$4,2,0))</f>
        <v>6.25E-2</v>
      </c>
      <c r="BA26" s="36">
        <f t="shared" ref="BA26:BA67" si="40">+IF($O26&gt;$K$8,"FIN",IF($O26&lt;$K$17,0,$K$19/$K$16))</f>
        <v>0</v>
      </c>
      <c r="BB26" s="36">
        <f t="shared" si="23"/>
        <v>6.25E-2</v>
      </c>
      <c r="BC26" s="34">
        <f>BB26/(1+$B$5)^(YEARFRAC($O$25,$O26))</f>
        <v>5.9591411827849515E-2</v>
      </c>
      <c r="BD26" s="35">
        <f>+IF($O26&gt;L$8,"FIN",(L$19-SUM(BE$25:BE25))*VLOOKUP($O26,$A:$N,12,0)/VLOOKUP(L$15,$K$1:$M$4,2,0))</f>
        <v>6.1874999999999999E-2</v>
      </c>
      <c r="BE26" s="42">
        <f t="shared" ref="BE26:BE77" si="41">+IF($O26&gt;$L$8,"FIN",IF($O26&lt;$L$17,0,$L$19/$L$16))</f>
        <v>0</v>
      </c>
      <c r="BF26" s="36">
        <f t="shared" si="25"/>
        <v>6.1874999999999999E-2</v>
      </c>
      <c r="BG26" s="34">
        <f>BF26/(1+$B$5)^(YEARFRAC($O$25,$O26))</f>
        <v>5.8995497709571021E-2</v>
      </c>
      <c r="BH26" s="35">
        <f>+IF($O26&gt;M$8,"FIN",(M$19-SUM(BI$25:BI25))*VLOOKUP($O26,$A:$N,13,0)/VLOOKUP(M$15,$K$1:$M$4,2,0))</f>
        <v>6.1874999999999999E-2</v>
      </c>
      <c r="BI26" s="36">
        <f t="shared" ref="BI26:BI77" si="42">+IF($O26&gt;$M$8,"FIN",IF($O26&lt;$M$17,0,$M$19/$M$16))</f>
        <v>0</v>
      </c>
      <c r="BJ26" s="36">
        <f t="shared" si="27"/>
        <v>6.1874999999999999E-2</v>
      </c>
      <c r="BK26" s="34">
        <f>BJ26/(1+$B$5)^(YEARFRAC($O$25,$O26))</f>
        <v>5.8995497709571021E-2</v>
      </c>
      <c r="BL26" s="4"/>
      <c r="BM26" s="43"/>
    </row>
    <row r="27" spans="1:83" x14ac:dyDescent="0.25">
      <c r="A27" s="27">
        <f t="shared" si="29"/>
        <v>44392</v>
      </c>
      <c r="B27" s="38">
        <v>0.01</v>
      </c>
      <c r="C27" s="39">
        <v>0.01</v>
      </c>
      <c r="D27" s="40">
        <v>1.25E-3</v>
      </c>
      <c r="E27" s="40">
        <v>1.25E-3</v>
      </c>
      <c r="F27" s="40">
        <v>1.25E-3</v>
      </c>
      <c r="G27" s="40">
        <v>1.25E-3</v>
      </c>
      <c r="H27" s="40">
        <v>1.25E-3</v>
      </c>
      <c r="I27" s="40">
        <v>1.25E-3</v>
      </c>
      <c r="J27" s="40">
        <v>1.25E-3</v>
      </c>
      <c r="K27" s="40">
        <v>1.25E-3</v>
      </c>
      <c r="L27" s="40">
        <v>1.25E-3</v>
      </c>
      <c r="M27" s="41">
        <v>1.25E-3</v>
      </c>
      <c r="O27" s="32">
        <f t="shared" si="30"/>
        <v>44392</v>
      </c>
      <c r="P27" s="35">
        <f>+IF($O27&gt;B$8,"FIN",(B$19-SUM(Q$25:Q26))*VLOOKUP($O27,$A:$N,2,0)/VLOOKUP(B$15,$K$1:$M$4,2,0))</f>
        <v>0.5</v>
      </c>
      <c r="Q27" s="42">
        <f t="shared" si="31"/>
        <v>0</v>
      </c>
      <c r="R27" s="33">
        <f t="shared" si="5"/>
        <v>0.5</v>
      </c>
      <c r="S27" s="34">
        <f t="shared" ref="S27:S44" si="43">R27/(1+$B$5)^(YEARFRAC($O$25,$O27))</f>
        <v>0.45454545454545453</v>
      </c>
      <c r="T27" s="35">
        <f>+IF($O27&gt;C$8,"FIN",(C$19-SUM(U$25:U26))*VLOOKUP($O27,$A:$N,3,0)/VLOOKUP(C$15,$K$1:$M$4,2,0))</f>
        <v>0.5</v>
      </c>
      <c r="U27" s="42">
        <f t="shared" si="32"/>
        <v>0</v>
      </c>
      <c r="V27" s="33">
        <f t="shared" si="7"/>
        <v>0.5</v>
      </c>
      <c r="W27" s="34">
        <f t="shared" ref="W27:W44" si="44">V27/(1+$B$5)^(YEARFRAC($O$25,$O27))</f>
        <v>0.45454545454545453</v>
      </c>
      <c r="X27" s="35">
        <f>+IF($O27&gt;D$8,"FIN",(D$19-SUM(Y$25:Y26))*VLOOKUP($O27,$A:$N,4,0)/VLOOKUP(D$15,$K$1:$M$4,2,0))</f>
        <v>6.1874999999999999E-2</v>
      </c>
      <c r="Y27" s="42">
        <f t="shared" si="33"/>
        <v>0</v>
      </c>
      <c r="Z27" s="33">
        <f t="shared" si="9"/>
        <v>6.1874999999999999E-2</v>
      </c>
      <c r="AA27" s="34">
        <f t="shared" ref="AA27:AA45" si="45">Z27/(1+$B$5)^(YEARFRAC($O$25,$O27))</f>
        <v>5.6249999999999994E-2</v>
      </c>
      <c r="AB27" s="35">
        <f>+IF($O27&gt;E$8,"FIN",(E$19-SUM(AC$25:AC26))*VLOOKUP($O27,$A:$N,5,0)/VLOOKUP(E$15,$K$1:$M$4,2,0))</f>
        <v>6.1874999999999999E-2</v>
      </c>
      <c r="AC27" s="33">
        <f t="shared" si="34"/>
        <v>0</v>
      </c>
      <c r="AD27" s="33">
        <f t="shared" si="11"/>
        <v>6.1874999999999999E-2</v>
      </c>
      <c r="AE27" s="34">
        <f t="shared" ref="AE27:AE45" si="46">AD27/(1+$B$5)^(YEARFRAC($O$25,$O27))</f>
        <v>5.6249999999999994E-2</v>
      </c>
      <c r="AF27" s="35">
        <f>+IF($O27&gt;F$8,"FIN",(F$19-SUM(AG$25:AG26))*VLOOKUP($O27,$A:$N,6,0)/VLOOKUP(F$15,$K$1:$M$4,2,0))</f>
        <v>6.1874999999999999E-2</v>
      </c>
      <c r="AG27" s="42">
        <f t="shared" si="35"/>
        <v>0</v>
      </c>
      <c r="AH27" s="36">
        <f t="shared" si="13"/>
        <v>6.1874999999999999E-2</v>
      </c>
      <c r="AI27" s="34">
        <f t="shared" ref="AI27:AI55" si="47">AH27/(1+$B$5)^(YEARFRAC($O$25,$O27))</f>
        <v>5.6249999999999994E-2</v>
      </c>
      <c r="AJ27" s="35">
        <f>+IF($O27&gt;G$8,"FIN",(G$19-SUM(AK$25:AK26))*VLOOKUP($O27,$A:$N,7,0)/VLOOKUP(G$15,$K$1:$M$4,2,0))</f>
        <v>6.1874999999999999E-2</v>
      </c>
      <c r="AK27" s="33">
        <f t="shared" si="36"/>
        <v>0</v>
      </c>
      <c r="AL27" s="36">
        <f t="shared" si="15"/>
        <v>6.1874999999999999E-2</v>
      </c>
      <c r="AM27" s="34">
        <f t="shared" ref="AM27:AM55" si="48">AL27/(1+$B$5)^(YEARFRAC($O$25,$O27))</f>
        <v>5.6249999999999994E-2</v>
      </c>
      <c r="AN27" s="35">
        <f>+IF($O27&gt;H$8,"FIN",(H$19-SUM(AO$25:AO26))*VLOOKUP($O27,$A:$N,8,0)/VLOOKUP(H$15,$K$1:$M$4,2,0))</f>
        <v>6.25E-2</v>
      </c>
      <c r="AO27" s="36">
        <f t="shared" si="37"/>
        <v>0</v>
      </c>
      <c r="AP27" s="36">
        <f t="shared" si="17"/>
        <v>6.25E-2</v>
      </c>
      <c r="AQ27" s="34">
        <f t="shared" ref="AQ27:AQ61" si="49">AP27/(1+$B$5)^(YEARFRAC($O$25,$O27))</f>
        <v>5.6818181818181816E-2</v>
      </c>
      <c r="AR27" s="35">
        <f>+IF($O27&gt;I$8,"FIN",(I$19-SUM(AS$25:AS26))*VLOOKUP($O27,$A:$N,9,0)/VLOOKUP(I$15,$K$1:$M$4,2,0))</f>
        <v>6.25E-2</v>
      </c>
      <c r="AS27" s="33">
        <f t="shared" si="38"/>
        <v>0</v>
      </c>
      <c r="AT27" s="33">
        <f t="shared" si="19"/>
        <v>6.25E-2</v>
      </c>
      <c r="AU27" s="37">
        <f t="shared" ref="AU27:AU61" si="50">AT27/(1+$B$5)^(YEARFRAC($O$25,$O27))</f>
        <v>5.6818181818181816E-2</v>
      </c>
      <c r="AV27" s="35">
        <f>+IF($O27&gt;J$8,"FIN",(J$19-SUM(AW$25:AW26))*VLOOKUP($O27,$A:$N,10,0)/VLOOKUP(J$15,$K$1:$M$4,2,0))</f>
        <v>6.25E-2</v>
      </c>
      <c r="AW27" s="33">
        <f t="shared" si="39"/>
        <v>0</v>
      </c>
      <c r="AX27" s="36">
        <f t="shared" si="21"/>
        <v>6.25E-2</v>
      </c>
      <c r="AY27" s="34">
        <f t="shared" ref="AY27:AY67" si="51">AX27/(1+$B$5)^(YEARFRAC($O$25,$O27))</f>
        <v>5.6818181818181816E-2</v>
      </c>
      <c r="AZ27" s="35">
        <f>+IF($O27&gt;K$8,"FIN",(K$19-SUM(BA$25:BA26))*VLOOKUP($O27,$A:$N,11,0)/VLOOKUP(K$15,$K$1:$M$4,2,0))</f>
        <v>6.25E-2</v>
      </c>
      <c r="BA27" s="33">
        <f t="shared" si="40"/>
        <v>0</v>
      </c>
      <c r="BB27" s="33">
        <f t="shared" si="23"/>
        <v>6.25E-2</v>
      </c>
      <c r="BC27" s="37">
        <f t="shared" ref="BC27:BC67" si="52">BB27/(1+$B$5)^(YEARFRAC($O$25,$O27))</f>
        <v>5.6818181818181816E-2</v>
      </c>
      <c r="BD27" s="35">
        <f>+IF($O27&gt;L$8,"FIN",(L$19-SUM(BE$25:BE26))*VLOOKUP($O27,$A:$N,12,0)/VLOOKUP(L$15,$K$1:$M$4,2,0))</f>
        <v>6.1874999999999999E-2</v>
      </c>
      <c r="BE27" s="42">
        <f t="shared" si="41"/>
        <v>0</v>
      </c>
      <c r="BF27" s="36">
        <f t="shared" si="25"/>
        <v>6.1874999999999999E-2</v>
      </c>
      <c r="BG27" s="34">
        <f t="shared" ref="BG27:BG77" si="53">BF27/(1+$B$5)^(YEARFRAC($O$25,$O27))</f>
        <v>5.6249999999999994E-2</v>
      </c>
      <c r="BH27" s="35">
        <f>+IF($O27&gt;M$8,"FIN",(M$19-SUM(BI$25:BI26))*VLOOKUP($O27,$A:$N,13,0)/VLOOKUP(M$15,$K$1:$M$4,2,0))</f>
        <v>6.1874999999999999E-2</v>
      </c>
      <c r="BI27" s="33">
        <f t="shared" si="42"/>
        <v>0</v>
      </c>
      <c r="BJ27" s="33">
        <f t="shared" si="27"/>
        <v>6.1874999999999999E-2</v>
      </c>
      <c r="BK27" s="37">
        <f t="shared" ref="BK27:BK77" si="54">BJ27/(1+$B$5)^(YEARFRAC($O$25,$O27))</f>
        <v>5.6249999999999994E-2</v>
      </c>
      <c r="BL27" s="4"/>
      <c r="BM27" s="43"/>
    </row>
    <row r="28" spans="1:83" x14ac:dyDescent="0.25">
      <c r="A28" s="27">
        <f t="shared" si="29"/>
        <v>44576</v>
      </c>
      <c r="B28" s="38">
        <v>0.01</v>
      </c>
      <c r="C28" s="39">
        <v>0.01</v>
      </c>
      <c r="D28" s="40">
        <v>5.0000000000000001E-3</v>
      </c>
      <c r="E28" s="40">
        <v>1.25E-3</v>
      </c>
      <c r="F28" s="40">
        <v>1.125E-2</v>
      </c>
      <c r="G28" s="40">
        <v>7.4999999999999997E-3</v>
      </c>
      <c r="H28" s="40">
        <v>1.6250000000000001E-2</v>
      </c>
      <c r="I28" s="40">
        <v>8.7500000000000008E-3</v>
      </c>
      <c r="J28" s="40">
        <v>1.6250000000000001E-2</v>
      </c>
      <c r="K28" s="40">
        <v>8.7500000000000008E-3</v>
      </c>
      <c r="L28" s="40">
        <v>1.125E-2</v>
      </c>
      <c r="M28" s="41">
        <v>7.4999999999999997E-3</v>
      </c>
      <c r="N28" s="44"/>
      <c r="O28" s="32">
        <f t="shared" si="30"/>
        <v>44576</v>
      </c>
      <c r="P28" s="35">
        <f>+IF($O28&gt;B$8,"FIN",(B$19-SUM(Q$25:Q27))*VLOOKUP($O28,$A:$N,2,0)/VLOOKUP(B$15,$K$1:$M$4,2,0))</f>
        <v>0.5</v>
      </c>
      <c r="Q28" s="33">
        <f t="shared" si="31"/>
        <v>0</v>
      </c>
      <c r="R28" s="33">
        <f t="shared" si="5"/>
        <v>0.5</v>
      </c>
      <c r="S28" s="34">
        <f t="shared" si="43"/>
        <v>0.43339208602072371</v>
      </c>
      <c r="T28" s="35">
        <f>+IF($O28&gt;C$8,"FIN",(C$19-SUM(U$25:U27))*VLOOKUP($O28,$A:$N,3,0)/VLOOKUP(C$15,$K$1:$M$4,2,0))</f>
        <v>0.5</v>
      </c>
      <c r="U28" s="33">
        <f t="shared" si="32"/>
        <v>0</v>
      </c>
      <c r="V28" s="33">
        <f t="shared" si="7"/>
        <v>0.5</v>
      </c>
      <c r="W28" s="34">
        <f t="shared" si="44"/>
        <v>0.43339208602072371</v>
      </c>
      <c r="X28" s="35">
        <f>+IF($O28&gt;D$8,"FIN",(D$19-SUM(Y$25:Y27))*VLOOKUP($O28,$A:$N,4,0)/VLOOKUP(D$15,$K$1:$M$4,2,0))</f>
        <v>0.2475</v>
      </c>
      <c r="Y28" s="33">
        <f t="shared" si="33"/>
        <v>0</v>
      </c>
      <c r="Z28" s="33">
        <f t="shared" si="9"/>
        <v>0.2475</v>
      </c>
      <c r="AA28" s="34">
        <f t="shared" si="45"/>
        <v>0.21452908258025824</v>
      </c>
      <c r="AB28" s="35">
        <f>+IF($O28&gt;E$8,"FIN",(E$19-SUM(AC$25:AC27))*VLOOKUP($O28,$A:$N,5,0)/VLOOKUP(E$15,$K$1:$M$4,2,0))</f>
        <v>6.1874999999999999E-2</v>
      </c>
      <c r="AC28" s="33">
        <f t="shared" si="34"/>
        <v>0</v>
      </c>
      <c r="AD28" s="33">
        <f t="shared" si="11"/>
        <v>6.1874999999999999E-2</v>
      </c>
      <c r="AE28" s="34">
        <f t="shared" si="46"/>
        <v>5.363227064506456E-2</v>
      </c>
      <c r="AF28" s="35">
        <f>+IF($O28&gt;F$8,"FIN",(F$19-SUM(AG$25:AG27))*VLOOKUP($O28,$A:$N,6,0)/VLOOKUP(F$15,$K$1:$M$4,2,0))</f>
        <v>0.55687500000000001</v>
      </c>
      <c r="AG28" s="33">
        <f t="shared" si="35"/>
        <v>0</v>
      </c>
      <c r="AH28" s="36">
        <f t="shared" si="13"/>
        <v>0.55687500000000001</v>
      </c>
      <c r="AI28" s="34">
        <f t="shared" si="47"/>
        <v>0.48269043580558102</v>
      </c>
      <c r="AJ28" s="35">
        <f>+IF($O28&gt;G$8,"FIN",(G$19-SUM(AK$25:AK27))*VLOOKUP($O28,$A:$N,7,0)/VLOOKUP(G$15,$K$1:$M$4,2,0))</f>
        <v>0.37124999999999997</v>
      </c>
      <c r="AK28" s="33">
        <f t="shared" si="36"/>
        <v>0</v>
      </c>
      <c r="AL28" s="36">
        <f t="shared" si="15"/>
        <v>0.37124999999999997</v>
      </c>
      <c r="AM28" s="34">
        <f t="shared" si="48"/>
        <v>0.32179362387038729</v>
      </c>
      <c r="AN28" s="35">
        <f>+IF($O28&gt;H$8,"FIN",(H$19-SUM(AO$25:AO27))*VLOOKUP($O28,$A:$N,8,0)/VLOOKUP(H$15,$K$1:$M$4,2,0))</f>
        <v>0.8125</v>
      </c>
      <c r="AO28" s="36">
        <f t="shared" si="37"/>
        <v>0</v>
      </c>
      <c r="AP28" s="36">
        <f t="shared" si="17"/>
        <v>0.8125</v>
      </c>
      <c r="AQ28" s="34">
        <f t="shared" si="49"/>
        <v>0.70426213978367602</v>
      </c>
      <c r="AR28" s="35">
        <f>+IF($O28&gt;I$8,"FIN",(I$19-SUM(AS$25:AS27))*VLOOKUP($O28,$A:$N,9,0)/VLOOKUP(I$15,$K$1:$M$4,2,0))</f>
        <v>0.43750000000000006</v>
      </c>
      <c r="AS28" s="33">
        <f t="shared" si="38"/>
        <v>0</v>
      </c>
      <c r="AT28" s="36">
        <f t="shared" si="19"/>
        <v>0.43750000000000006</v>
      </c>
      <c r="AU28" s="34">
        <f t="shared" si="50"/>
        <v>0.37921807526813328</v>
      </c>
      <c r="AV28" s="35">
        <f>+IF($O28&gt;J$8,"FIN",(J$19-SUM(AW$25:AW27))*VLOOKUP($O28,$A:$N,10,0)/VLOOKUP(J$15,$K$1:$M$4,2,0))</f>
        <v>0.8125</v>
      </c>
      <c r="AW28" s="33">
        <f t="shared" si="39"/>
        <v>0</v>
      </c>
      <c r="AX28" s="36">
        <f t="shared" si="21"/>
        <v>0.8125</v>
      </c>
      <c r="AY28" s="34">
        <f t="shared" si="51"/>
        <v>0.70426213978367602</v>
      </c>
      <c r="AZ28" s="35">
        <f>+IF($O28&gt;K$8,"FIN",(K$19-SUM(BA$25:BA27))*VLOOKUP($O28,$A:$N,11,0)/VLOOKUP(K$15,$K$1:$M$4,2,0))</f>
        <v>0.43750000000000006</v>
      </c>
      <c r="BA28" s="33">
        <f t="shared" si="40"/>
        <v>0</v>
      </c>
      <c r="BB28" s="33">
        <f t="shared" si="23"/>
        <v>0.43750000000000006</v>
      </c>
      <c r="BC28" s="34">
        <f t="shared" si="52"/>
        <v>0.37921807526813328</v>
      </c>
      <c r="BD28" s="35">
        <f>+IF($O28&gt;L$8,"FIN",(L$19-SUM(BE$25:BE27))*VLOOKUP($O28,$A:$N,12,0)/VLOOKUP(L$15,$K$1:$M$4,2,0))</f>
        <v>0.55687500000000001</v>
      </c>
      <c r="BE28" s="33">
        <f t="shared" si="41"/>
        <v>0</v>
      </c>
      <c r="BF28" s="36">
        <f t="shared" si="25"/>
        <v>0.55687500000000001</v>
      </c>
      <c r="BG28" s="34">
        <f t="shared" si="53"/>
        <v>0.48269043580558102</v>
      </c>
      <c r="BH28" s="35">
        <f>+IF($O28&gt;M$8,"FIN",(M$19-SUM(BI$25:BI27))*VLOOKUP($O28,$A:$N,13,0)/VLOOKUP(M$15,$K$1:$M$4,2,0))</f>
        <v>0.37124999999999997</v>
      </c>
      <c r="BI28" s="36">
        <f t="shared" si="42"/>
        <v>0</v>
      </c>
      <c r="BJ28" s="36">
        <f t="shared" si="27"/>
        <v>0.37124999999999997</v>
      </c>
      <c r="BK28" s="34">
        <f t="shared" si="54"/>
        <v>0.32179362387038729</v>
      </c>
      <c r="BL28" s="4"/>
      <c r="BM28" s="43"/>
    </row>
    <row r="29" spans="1:83" x14ac:dyDescent="0.25">
      <c r="A29" s="27">
        <f t="shared" si="29"/>
        <v>44757</v>
      </c>
      <c r="B29" s="38">
        <v>0.01</v>
      </c>
      <c r="C29" s="39">
        <v>0.01</v>
      </c>
      <c r="D29" s="40">
        <v>5.0000000000000001E-3</v>
      </c>
      <c r="E29" s="40">
        <v>1.25E-3</v>
      </c>
      <c r="F29" s="40">
        <v>1.125E-2</v>
      </c>
      <c r="G29" s="40">
        <v>7.4999999999999997E-3</v>
      </c>
      <c r="H29" s="40">
        <v>1.6250000000000001E-2</v>
      </c>
      <c r="I29" s="40">
        <v>8.7500000000000008E-3</v>
      </c>
      <c r="J29" s="40">
        <v>1.6250000000000001E-2</v>
      </c>
      <c r="K29" s="40">
        <v>8.7500000000000008E-3</v>
      </c>
      <c r="L29" s="40">
        <v>1.125E-2</v>
      </c>
      <c r="M29" s="41">
        <v>7.4999999999999997E-3</v>
      </c>
      <c r="N29" s="44"/>
      <c r="O29" s="32">
        <f t="shared" si="30"/>
        <v>44757</v>
      </c>
      <c r="P29" s="35">
        <f>+IF($O29&gt;B$8,"FIN",(B$19-SUM(Q$25:Q28))*VLOOKUP($O29,$A:$N,2,0)/VLOOKUP(B$15,$K$1:$M$4,2,0))</f>
        <v>0.5</v>
      </c>
      <c r="Q29" s="36">
        <f t="shared" si="31"/>
        <v>0</v>
      </c>
      <c r="R29" s="36">
        <f t="shared" si="5"/>
        <v>0.5</v>
      </c>
      <c r="S29" s="34">
        <f t="shared" si="43"/>
        <v>0.41322314049586772</v>
      </c>
      <c r="T29" s="35">
        <f>+IF($O29&gt;C$8,"FIN",(C$19-SUM(U$25:U28))*VLOOKUP($O29,$A:$N,3,0)/VLOOKUP(C$15,$K$1:$M$4,2,0))</f>
        <v>0.5</v>
      </c>
      <c r="U29" s="36">
        <f t="shared" si="32"/>
        <v>0</v>
      </c>
      <c r="V29" s="36">
        <f t="shared" si="7"/>
        <v>0.5</v>
      </c>
      <c r="W29" s="34">
        <f t="shared" si="44"/>
        <v>0.41322314049586772</v>
      </c>
      <c r="X29" s="35">
        <f>+IF($O29&gt;D$8,"FIN",(D$19-SUM(Y$25:Y28))*VLOOKUP($O29,$A:$N,4,0)/VLOOKUP(D$15,$K$1:$M$4,2,0))</f>
        <v>0.2475</v>
      </c>
      <c r="Y29" s="36">
        <f t="shared" si="33"/>
        <v>0</v>
      </c>
      <c r="Z29" s="36">
        <f t="shared" si="9"/>
        <v>0.2475</v>
      </c>
      <c r="AA29" s="34">
        <f t="shared" si="45"/>
        <v>0.2045454545454545</v>
      </c>
      <c r="AB29" s="35">
        <f>+IF($O29&gt;E$8,"FIN",(E$19-SUM(AC$25:AC28))*VLOOKUP($O29,$A:$N,5,0)/VLOOKUP(E$15,$K$1:$M$4,2,0))</f>
        <v>6.1874999999999999E-2</v>
      </c>
      <c r="AC29" s="36">
        <f t="shared" si="34"/>
        <v>0</v>
      </c>
      <c r="AD29" s="36">
        <f t="shared" si="11"/>
        <v>6.1874999999999999E-2</v>
      </c>
      <c r="AE29" s="34">
        <f t="shared" si="46"/>
        <v>5.1136363636363626E-2</v>
      </c>
      <c r="AF29" s="35">
        <f>+IF($O29&gt;F$8,"FIN",(F$19-SUM(AG$25:AG28))*VLOOKUP($O29,$A:$N,6,0)/VLOOKUP(F$15,$K$1:$M$4,2,0))</f>
        <v>0.55687500000000001</v>
      </c>
      <c r="AG29" s="36">
        <f t="shared" si="35"/>
        <v>0</v>
      </c>
      <c r="AH29" s="36">
        <f t="shared" si="13"/>
        <v>0.55687500000000001</v>
      </c>
      <c r="AI29" s="34">
        <f t="shared" si="47"/>
        <v>0.46022727272727265</v>
      </c>
      <c r="AJ29" s="35">
        <f>+IF($O29&gt;G$8,"FIN",(G$19-SUM(AK$25:AK28))*VLOOKUP($O29,$A:$N,7,0)/VLOOKUP(G$15,$K$1:$M$4,2,0))</f>
        <v>0.37124999999999997</v>
      </c>
      <c r="AK29" s="36">
        <f t="shared" si="36"/>
        <v>0</v>
      </c>
      <c r="AL29" s="36">
        <f t="shared" si="15"/>
        <v>0.37124999999999997</v>
      </c>
      <c r="AM29" s="34">
        <f t="shared" si="48"/>
        <v>0.30681818181818177</v>
      </c>
      <c r="AN29" s="35">
        <f>+IF($O29&gt;H$8,"FIN",(H$19-SUM(AO$25:AO28))*VLOOKUP($O29,$A:$N,8,0)/VLOOKUP(H$15,$K$1:$M$4,2,0))</f>
        <v>0.8125</v>
      </c>
      <c r="AO29" s="36">
        <f t="shared" si="37"/>
        <v>0</v>
      </c>
      <c r="AP29" s="36">
        <f t="shared" si="17"/>
        <v>0.8125</v>
      </c>
      <c r="AQ29" s="34">
        <f t="shared" si="49"/>
        <v>0.67148760330578505</v>
      </c>
      <c r="AR29" s="35">
        <f>+IF($O29&gt;I$8,"FIN",(I$19-SUM(AS$25:AS28))*VLOOKUP($O29,$A:$N,9,0)/VLOOKUP(I$15,$K$1:$M$4,2,0))</f>
        <v>0.43750000000000006</v>
      </c>
      <c r="AS29" s="36">
        <f t="shared" si="38"/>
        <v>0</v>
      </c>
      <c r="AT29" s="36">
        <f t="shared" si="19"/>
        <v>0.43750000000000006</v>
      </c>
      <c r="AU29" s="34">
        <f t="shared" si="50"/>
        <v>0.36157024793388431</v>
      </c>
      <c r="AV29" s="35">
        <f>+IF($O29&gt;J$8,"FIN",(J$19-SUM(AW$25:AW28))*VLOOKUP($O29,$A:$N,10,0)/VLOOKUP(J$15,$K$1:$M$4,2,0))</f>
        <v>0.8125</v>
      </c>
      <c r="AW29" s="36">
        <f t="shared" si="39"/>
        <v>0</v>
      </c>
      <c r="AX29" s="36">
        <f t="shared" si="21"/>
        <v>0.8125</v>
      </c>
      <c r="AY29" s="34">
        <f t="shared" si="51"/>
        <v>0.67148760330578505</v>
      </c>
      <c r="AZ29" s="35">
        <f>+IF($O29&gt;K$8,"FIN",(K$19-SUM(BA$25:BA28))*VLOOKUP($O29,$A:$N,11,0)/VLOOKUP(K$15,$K$1:$M$4,2,0))</f>
        <v>0.43750000000000006</v>
      </c>
      <c r="BA29" s="36">
        <f t="shared" si="40"/>
        <v>0</v>
      </c>
      <c r="BB29" s="36">
        <f t="shared" si="23"/>
        <v>0.43750000000000006</v>
      </c>
      <c r="BC29" s="34">
        <f t="shared" si="52"/>
        <v>0.36157024793388431</v>
      </c>
      <c r="BD29" s="35">
        <f>+IF($O29&gt;L$8,"FIN",(L$19-SUM(BE$25:BE28))*VLOOKUP($O29,$A:$N,12,0)/VLOOKUP(L$15,$K$1:$M$4,2,0))</f>
        <v>0.55687500000000001</v>
      </c>
      <c r="BE29" s="36">
        <f t="shared" si="41"/>
        <v>0</v>
      </c>
      <c r="BF29" s="36">
        <f t="shared" si="25"/>
        <v>0.55687500000000001</v>
      </c>
      <c r="BG29" s="34">
        <f t="shared" si="53"/>
        <v>0.46022727272727265</v>
      </c>
      <c r="BH29" s="35">
        <f>+IF($O29&gt;M$8,"FIN",(M$19-SUM(BI$25:BI28))*VLOOKUP($O29,$A:$N,13,0)/VLOOKUP(M$15,$K$1:$M$4,2,0))</f>
        <v>0.37124999999999997</v>
      </c>
      <c r="BI29" s="36">
        <f t="shared" si="42"/>
        <v>0</v>
      </c>
      <c r="BJ29" s="36">
        <f t="shared" si="27"/>
        <v>0.37124999999999997</v>
      </c>
      <c r="BK29" s="34">
        <f t="shared" si="54"/>
        <v>0.30681818181818177</v>
      </c>
      <c r="BL29" s="4"/>
      <c r="BM29" s="43"/>
    </row>
    <row r="30" spans="1:83" x14ac:dyDescent="0.25">
      <c r="A30" s="27">
        <f t="shared" si="29"/>
        <v>44941</v>
      </c>
      <c r="B30" s="38">
        <v>0.01</v>
      </c>
      <c r="C30" s="39">
        <v>0.01</v>
      </c>
      <c r="D30" s="40">
        <v>5.0000000000000001E-3</v>
      </c>
      <c r="E30" s="40">
        <v>1.25E-3</v>
      </c>
      <c r="F30" s="40">
        <v>1.4999999999999999E-2</v>
      </c>
      <c r="G30" s="40">
        <v>8.7500000000000008E-3</v>
      </c>
      <c r="H30" s="40">
        <v>3.125E-2</v>
      </c>
      <c r="I30" s="40">
        <v>2.2499999999999999E-2</v>
      </c>
      <c r="J30" s="40">
        <v>0.03</v>
      </c>
      <c r="K30" s="40">
        <v>0.02</v>
      </c>
      <c r="L30" s="40">
        <v>1.4999999999999999E-2</v>
      </c>
      <c r="M30" s="41">
        <v>8.7500000000000008E-3</v>
      </c>
      <c r="N30" s="44"/>
      <c r="O30" s="32">
        <f t="shared" si="30"/>
        <v>44941</v>
      </c>
      <c r="P30" s="35">
        <f>+IF($O30&gt;B$8,"FIN",(B$19-SUM(Q$25:Q29))*VLOOKUP($O30,$A:$N,2,0)/VLOOKUP(B$15,$K$1:$M$4,2,0))</f>
        <v>0.5</v>
      </c>
      <c r="Q30" s="36">
        <f t="shared" si="31"/>
        <v>0</v>
      </c>
      <c r="R30" s="36">
        <f t="shared" si="5"/>
        <v>0.5</v>
      </c>
      <c r="S30" s="34">
        <f t="shared" si="43"/>
        <v>0.39399280547338517</v>
      </c>
      <c r="T30" s="35">
        <f>+IF($O30&gt;C$8,"FIN",(C$19-SUM(U$25:U29))*VLOOKUP($O30,$A:$N,3,0)/VLOOKUP(C$15,$K$1:$M$4,2,0))</f>
        <v>0.5</v>
      </c>
      <c r="U30" s="36">
        <f t="shared" si="32"/>
        <v>0</v>
      </c>
      <c r="V30" s="36">
        <f t="shared" si="7"/>
        <v>0.5</v>
      </c>
      <c r="W30" s="34">
        <f t="shared" si="44"/>
        <v>0.39399280547338517</v>
      </c>
      <c r="X30" s="35">
        <f>+IF($O30&gt;D$8,"FIN",(D$19-SUM(Y$25:Y29))*VLOOKUP($O30,$A:$N,4,0)/VLOOKUP(D$15,$K$1:$M$4,2,0))</f>
        <v>0.2475</v>
      </c>
      <c r="Y30" s="36">
        <f t="shared" si="33"/>
        <v>0</v>
      </c>
      <c r="Z30" s="36">
        <f t="shared" si="9"/>
        <v>0.2475</v>
      </c>
      <c r="AA30" s="34">
        <f t="shared" si="45"/>
        <v>0.19502643870932568</v>
      </c>
      <c r="AB30" s="35">
        <f>+IF($O30&gt;E$8,"FIN",(E$19-SUM(AC$25:AC29))*VLOOKUP($O30,$A:$N,5,0)/VLOOKUP(E$15,$K$1:$M$4,2,0))</f>
        <v>6.1874999999999999E-2</v>
      </c>
      <c r="AC30" s="36">
        <f t="shared" si="34"/>
        <v>0</v>
      </c>
      <c r="AD30" s="36">
        <f t="shared" si="11"/>
        <v>6.1874999999999999E-2</v>
      </c>
      <c r="AE30" s="34">
        <f t="shared" si="46"/>
        <v>4.8756609677331419E-2</v>
      </c>
      <c r="AF30" s="35">
        <f>+IF($O30&gt;F$8,"FIN",(F$19-SUM(AG$25:AG29))*VLOOKUP($O30,$A:$N,6,0)/VLOOKUP(F$15,$K$1:$M$4,2,0))</f>
        <v>0.74249999999999994</v>
      </c>
      <c r="AG30" s="36">
        <f t="shared" si="35"/>
        <v>0</v>
      </c>
      <c r="AH30" s="36">
        <f t="shared" si="13"/>
        <v>0.74249999999999994</v>
      </c>
      <c r="AI30" s="34">
        <f t="shared" si="47"/>
        <v>0.58507931612797692</v>
      </c>
      <c r="AJ30" s="35">
        <f>+IF($O30&gt;G$8,"FIN",(G$19-SUM(AK$25:AK29))*VLOOKUP($O30,$A:$N,7,0)/VLOOKUP(G$15,$K$1:$M$4,2,0))</f>
        <v>0.43312500000000004</v>
      </c>
      <c r="AK30" s="36">
        <f t="shared" si="36"/>
        <v>0</v>
      </c>
      <c r="AL30" s="36">
        <f t="shared" si="15"/>
        <v>0.43312500000000004</v>
      </c>
      <c r="AM30" s="34">
        <f t="shared" si="48"/>
        <v>0.34129626774131994</v>
      </c>
      <c r="AN30" s="35">
        <f>+IF($O30&gt;H$8,"FIN",(H$19-SUM(AO$25:AO29))*VLOOKUP($O30,$A:$N,8,0)/VLOOKUP(H$15,$K$1:$M$4,2,0))</f>
        <v>1.5625</v>
      </c>
      <c r="AO30" s="36">
        <f t="shared" si="37"/>
        <v>0</v>
      </c>
      <c r="AP30" s="36">
        <f t="shared" si="17"/>
        <v>1.5625</v>
      </c>
      <c r="AQ30" s="34">
        <f t="shared" si="49"/>
        <v>1.2312275171043288</v>
      </c>
      <c r="AR30" s="35">
        <f>+IF($O30&gt;I$8,"FIN",(I$19-SUM(AS$25:AS29))*VLOOKUP($O30,$A:$N,9,0)/VLOOKUP(I$15,$K$1:$M$4,2,0))</f>
        <v>1.125</v>
      </c>
      <c r="AS30" s="36">
        <f t="shared" si="38"/>
        <v>0</v>
      </c>
      <c r="AT30" s="36">
        <f t="shared" si="19"/>
        <v>1.125</v>
      </c>
      <c r="AU30" s="34">
        <f t="shared" si="50"/>
        <v>0.88648381231511664</v>
      </c>
      <c r="AV30" s="35">
        <f>+IF($O30&gt;J$8,"FIN",(J$19-SUM(AW$25:AW29))*VLOOKUP($O30,$A:$N,10,0)/VLOOKUP(J$15,$K$1:$M$4,2,0))</f>
        <v>1.5</v>
      </c>
      <c r="AW30" s="36">
        <f t="shared" si="39"/>
        <v>0</v>
      </c>
      <c r="AX30" s="36">
        <f t="shared" si="21"/>
        <v>1.5</v>
      </c>
      <c r="AY30" s="34">
        <f t="shared" si="51"/>
        <v>1.1819784164201557</v>
      </c>
      <c r="AZ30" s="35">
        <f>+IF($O30&gt;K$8,"FIN",(K$19-SUM(BA$25:BA29))*VLOOKUP($O30,$A:$N,11,0)/VLOOKUP(K$15,$K$1:$M$4,2,0))</f>
        <v>1</v>
      </c>
      <c r="BA30" s="36">
        <f t="shared" si="40"/>
        <v>0</v>
      </c>
      <c r="BB30" s="36">
        <f t="shared" si="23"/>
        <v>1</v>
      </c>
      <c r="BC30" s="34">
        <f t="shared" si="52"/>
        <v>0.78798561094677033</v>
      </c>
      <c r="BD30" s="35">
        <f>+IF($O30&gt;L$8,"FIN",(L$19-SUM(BE$25:BE29))*VLOOKUP($O30,$A:$N,12,0)/VLOOKUP(L$15,$K$1:$M$4,2,0))</f>
        <v>0.74249999999999994</v>
      </c>
      <c r="BE30" s="36">
        <f t="shared" si="41"/>
        <v>0</v>
      </c>
      <c r="BF30" s="36">
        <f t="shared" si="25"/>
        <v>0.74249999999999994</v>
      </c>
      <c r="BG30" s="34">
        <f t="shared" si="53"/>
        <v>0.58507931612797692</v>
      </c>
      <c r="BH30" s="35">
        <f>+IF($O30&gt;M$8,"FIN",(M$19-SUM(BI$25:BI29))*VLOOKUP($O30,$A:$N,13,0)/VLOOKUP(M$15,$K$1:$M$4,2,0))</f>
        <v>0.43312500000000004</v>
      </c>
      <c r="BI30" s="36">
        <f t="shared" si="42"/>
        <v>0</v>
      </c>
      <c r="BJ30" s="36">
        <f t="shared" si="27"/>
        <v>0.43312500000000004</v>
      </c>
      <c r="BK30" s="34">
        <f t="shared" si="54"/>
        <v>0.34129626774131994</v>
      </c>
      <c r="BL30" s="4"/>
      <c r="BM30" s="43"/>
    </row>
    <row r="31" spans="1:83" x14ac:dyDescent="0.25">
      <c r="A31" s="27">
        <f t="shared" si="29"/>
        <v>45122</v>
      </c>
      <c r="B31" s="38">
        <v>0.01</v>
      </c>
      <c r="C31" s="39">
        <v>0.01</v>
      </c>
      <c r="D31" s="40">
        <v>5.0000000000000001E-3</v>
      </c>
      <c r="E31" s="40">
        <v>1.25E-3</v>
      </c>
      <c r="F31" s="40">
        <v>1.4999999999999999E-2</v>
      </c>
      <c r="G31" s="40">
        <v>8.7500000000000008E-3</v>
      </c>
      <c r="H31" s="40">
        <v>3.125E-2</v>
      </c>
      <c r="I31" s="40">
        <v>2.2499999999999999E-2</v>
      </c>
      <c r="J31" s="40">
        <v>0.03</v>
      </c>
      <c r="K31" s="40">
        <v>0.02</v>
      </c>
      <c r="L31" s="40">
        <v>1.4999999999999999E-2</v>
      </c>
      <c r="M31" s="41">
        <v>8.7500000000000008E-3</v>
      </c>
      <c r="N31" s="44"/>
      <c r="O31" s="32">
        <f t="shared" si="30"/>
        <v>45122</v>
      </c>
      <c r="P31" s="35">
        <f>+IF($O31&gt;B$8,"FIN",(B$19-SUM(Q$25:Q30))*VLOOKUP($O31,$A:$N,2,0)/VLOOKUP(B$15,$K$1:$M$4,2,0))</f>
        <v>0.5</v>
      </c>
      <c r="Q31" s="36">
        <f t="shared" si="31"/>
        <v>0</v>
      </c>
      <c r="R31" s="36">
        <f t="shared" si="5"/>
        <v>0.5</v>
      </c>
      <c r="S31" s="34">
        <f t="shared" si="43"/>
        <v>0.37565740045078877</v>
      </c>
      <c r="T31" s="35">
        <f>+IF($O31&gt;C$8,"FIN",(C$19-SUM(U$25:U30))*VLOOKUP($O31,$A:$N,3,0)/VLOOKUP(C$15,$K$1:$M$4,2,0))</f>
        <v>0.5</v>
      </c>
      <c r="U31" s="36">
        <f t="shared" si="32"/>
        <v>0</v>
      </c>
      <c r="V31" s="36">
        <f t="shared" si="7"/>
        <v>0.5</v>
      </c>
      <c r="W31" s="34">
        <f t="shared" si="44"/>
        <v>0.37565740045078877</v>
      </c>
      <c r="X31" s="35">
        <f>+IF($O31&gt;D$8,"FIN",(D$19-SUM(Y$25:Y30))*VLOOKUP($O31,$A:$N,4,0)/VLOOKUP(D$15,$K$1:$M$4,2,0))</f>
        <v>0.2475</v>
      </c>
      <c r="Y31" s="36">
        <f t="shared" si="33"/>
        <v>0</v>
      </c>
      <c r="Z31" s="36">
        <f t="shared" si="9"/>
        <v>0.2475</v>
      </c>
      <c r="AA31" s="34">
        <f t="shared" si="45"/>
        <v>0.18595041322314043</v>
      </c>
      <c r="AB31" s="35">
        <f>+IF($O31&gt;E$8,"FIN",(E$19-SUM(AC$25:AC30))*VLOOKUP($O31,$A:$N,5,0)/VLOOKUP(E$15,$K$1:$M$4,2,0))</f>
        <v>6.1874999999999999E-2</v>
      </c>
      <c r="AC31" s="36">
        <f t="shared" si="34"/>
        <v>0</v>
      </c>
      <c r="AD31" s="36">
        <f t="shared" si="11"/>
        <v>6.1874999999999999E-2</v>
      </c>
      <c r="AE31" s="34">
        <f t="shared" si="46"/>
        <v>4.6487603305785108E-2</v>
      </c>
      <c r="AF31" s="35">
        <f>+IF($O31&gt;F$8,"FIN",(F$19-SUM(AG$25:AG30))*VLOOKUP($O31,$A:$N,6,0)/VLOOKUP(F$15,$K$1:$M$4,2,0))</f>
        <v>0.74249999999999994</v>
      </c>
      <c r="AG31" s="36">
        <f t="shared" si="35"/>
        <v>0</v>
      </c>
      <c r="AH31" s="36">
        <f t="shared" si="13"/>
        <v>0.74249999999999994</v>
      </c>
      <c r="AI31" s="34">
        <f t="shared" si="47"/>
        <v>0.55785123966942129</v>
      </c>
      <c r="AJ31" s="35">
        <f>+IF($O31&gt;G$8,"FIN",(G$19-SUM(AK$25:AK30))*VLOOKUP($O31,$A:$N,7,0)/VLOOKUP(G$15,$K$1:$M$4,2,0))</f>
        <v>0.43312500000000004</v>
      </c>
      <c r="AK31" s="36">
        <f t="shared" si="36"/>
        <v>0</v>
      </c>
      <c r="AL31" s="36">
        <f t="shared" si="15"/>
        <v>0.43312500000000004</v>
      </c>
      <c r="AM31" s="34">
        <f t="shared" si="48"/>
        <v>0.32541322314049581</v>
      </c>
      <c r="AN31" s="35">
        <f>+IF($O31&gt;H$8,"FIN",(H$19-SUM(AO$25:AO30))*VLOOKUP($O31,$A:$N,8,0)/VLOOKUP(H$15,$K$1:$M$4,2,0))</f>
        <v>1.5625</v>
      </c>
      <c r="AO31" s="36">
        <f t="shared" si="37"/>
        <v>0</v>
      </c>
      <c r="AP31" s="36">
        <f t="shared" si="17"/>
        <v>1.5625</v>
      </c>
      <c r="AQ31" s="34">
        <f t="shared" si="49"/>
        <v>1.1739293764087149</v>
      </c>
      <c r="AR31" s="35">
        <f>+IF($O31&gt;I$8,"FIN",(I$19-SUM(AS$25:AS30))*VLOOKUP($O31,$A:$N,9,0)/VLOOKUP(I$15,$K$1:$M$4,2,0))</f>
        <v>1.125</v>
      </c>
      <c r="AS31" s="36">
        <f t="shared" si="38"/>
        <v>0</v>
      </c>
      <c r="AT31" s="36">
        <f t="shared" si="19"/>
        <v>1.125</v>
      </c>
      <c r="AU31" s="34">
        <f t="shared" si="50"/>
        <v>0.84522915101427476</v>
      </c>
      <c r="AV31" s="35">
        <f>+IF($O31&gt;J$8,"FIN",(J$19-SUM(AW$25:AW30))*VLOOKUP($O31,$A:$N,10,0)/VLOOKUP(J$15,$K$1:$M$4,2,0))</f>
        <v>1.5</v>
      </c>
      <c r="AW31" s="36">
        <f t="shared" si="39"/>
        <v>0</v>
      </c>
      <c r="AX31" s="36">
        <f t="shared" si="21"/>
        <v>1.5</v>
      </c>
      <c r="AY31" s="34">
        <f t="shared" si="51"/>
        <v>1.1269722013523662</v>
      </c>
      <c r="AZ31" s="35">
        <f>+IF($O31&gt;K$8,"FIN",(K$19-SUM(BA$25:BA30))*VLOOKUP($O31,$A:$N,11,0)/VLOOKUP(K$15,$K$1:$M$4,2,0))</f>
        <v>1</v>
      </c>
      <c r="BA31" s="36">
        <f t="shared" si="40"/>
        <v>0</v>
      </c>
      <c r="BB31" s="36">
        <f t="shared" si="23"/>
        <v>1</v>
      </c>
      <c r="BC31" s="34">
        <f t="shared" si="52"/>
        <v>0.75131480090157754</v>
      </c>
      <c r="BD31" s="35">
        <f>+IF($O31&gt;L$8,"FIN",(L$19-SUM(BE$25:BE30))*VLOOKUP($O31,$A:$N,12,0)/VLOOKUP(L$15,$K$1:$M$4,2,0))</f>
        <v>0.74249999999999994</v>
      </c>
      <c r="BE31" s="36">
        <f t="shared" si="41"/>
        <v>0</v>
      </c>
      <c r="BF31" s="36">
        <f t="shared" si="25"/>
        <v>0.74249999999999994</v>
      </c>
      <c r="BG31" s="34">
        <f t="shared" si="53"/>
        <v>0.55785123966942129</v>
      </c>
      <c r="BH31" s="35">
        <f>+IF($O31&gt;M$8,"FIN",(M$19-SUM(BI$25:BI30))*VLOOKUP($O31,$A:$N,13,0)/VLOOKUP(M$15,$K$1:$M$4,2,0))</f>
        <v>0.43312500000000004</v>
      </c>
      <c r="BI31" s="36">
        <f t="shared" si="42"/>
        <v>0</v>
      </c>
      <c r="BJ31" s="36">
        <f t="shared" si="27"/>
        <v>0.43312500000000004</v>
      </c>
      <c r="BK31" s="34">
        <f t="shared" si="54"/>
        <v>0.32541322314049581</v>
      </c>
      <c r="BL31" s="4"/>
      <c r="BM31" s="43"/>
    </row>
    <row r="32" spans="1:83" x14ac:dyDescent="0.25">
      <c r="A32" s="27">
        <f t="shared" si="29"/>
        <v>45306</v>
      </c>
      <c r="B32" s="38">
        <v>0.01</v>
      </c>
      <c r="C32" s="39">
        <v>0.01</v>
      </c>
      <c r="D32" s="40">
        <v>7.4999999999999997E-3</v>
      </c>
      <c r="E32" s="40">
        <v>1.25E-3</v>
      </c>
      <c r="F32" s="40">
        <v>3.6249999999999998E-2</v>
      </c>
      <c r="G32" s="40">
        <v>2.5000000000000001E-2</v>
      </c>
      <c r="H32" s="40">
        <v>3.7499999999999999E-2</v>
      </c>
      <c r="I32" s="40">
        <v>3.2500000000000001E-2</v>
      </c>
      <c r="J32" s="40">
        <v>3.5000000000000003E-2</v>
      </c>
      <c r="K32" s="40">
        <v>0.03</v>
      </c>
      <c r="L32" s="40">
        <v>3.6249999999999998E-2</v>
      </c>
      <c r="M32" s="41">
        <v>2.5000000000000001E-2</v>
      </c>
      <c r="N32" s="44"/>
      <c r="O32" s="32">
        <f t="shared" si="30"/>
        <v>45306</v>
      </c>
      <c r="P32" s="35">
        <f>+IF($O32&gt;B$8,"FIN",(B$19-SUM(Q$25:Q31))*VLOOKUP($O32,$A:$N,2,0)/VLOOKUP(B$15,$K$1:$M$4,2,0))</f>
        <v>0.5</v>
      </c>
      <c r="Q32" s="36">
        <f t="shared" si="31"/>
        <v>0</v>
      </c>
      <c r="R32" s="36">
        <f t="shared" si="5"/>
        <v>0.5</v>
      </c>
      <c r="S32" s="34">
        <f t="shared" si="43"/>
        <v>0.35817527770307744</v>
      </c>
      <c r="T32" s="35">
        <f>+IF($O32&gt;C$8,"FIN",(C$19-SUM(U$25:U31))*VLOOKUP($O32,$A:$N,3,0)/VLOOKUP(C$15,$K$1:$M$4,2,0))</f>
        <v>0.5</v>
      </c>
      <c r="U32" s="36">
        <f t="shared" si="32"/>
        <v>0</v>
      </c>
      <c r="V32" s="36">
        <f t="shared" si="7"/>
        <v>0.5</v>
      </c>
      <c r="W32" s="34">
        <f t="shared" si="44"/>
        <v>0.35817527770307744</v>
      </c>
      <c r="X32" s="35">
        <f>+IF($O32&gt;D$8,"FIN",(D$19-SUM(Y$25:Y31))*VLOOKUP($O32,$A:$N,4,0)/VLOOKUP(D$15,$K$1:$M$4,2,0))</f>
        <v>0.37124999999999997</v>
      </c>
      <c r="Y32" s="36">
        <f t="shared" si="33"/>
        <v>0</v>
      </c>
      <c r="Z32" s="36">
        <f t="shared" si="9"/>
        <v>0.37124999999999997</v>
      </c>
      <c r="AA32" s="34">
        <f t="shared" si="45"/>
        <v>0.26594514369453498</v>
      </c>
      <c r="AB32" s="35">
        <f>+IF($O32&gt;E$8,"FIN",(E$19-SUM(AC$25:AC31))*VLOOKUP($O32,$A:$N,5,0)/VLOOKUP(E$15,$K$1:$M$4,2,0))</f>
        <v>6.1874999999999999E-2</v>
      </c>
      <c r="AC32" s="36">
        <f t="shared" si="34"/>
        <v>0</v>
      </c>
      <c r="AD32" s="36">
        <f t="shared" si="11"/>
        <v>6.1874999999999999E-2</v>
      </c>
      <c r="AE32" s="34">
        <f t="shared" si="46"/>
        <v>4.4324190615755835E-2</v>
      </c>
      <c r="AF32" s="35">
        <f>+IF($O32&gt;F$8,"FIN",(F$19-SUM(AG$25:AG31))*VLOOKUP($O32,$A:$N,6,0)/VLOOKUP(F$15,$K$1:$M$4,2,0))</f>
        <v>1.7943749999999998</v>
      </c>
      <c r="AG32" s="36">
        <f t="shared" si="35"/>
        <v>0</v>
      </c>
      <c r="AH32" s="36">
        <f t="shared" si="13"/>
        <v>1.7943749999999998</v>
      </c>
      <c r="AI32" s="34">
        <f t="shared" si="47"/>
        <v>1.2854015278569191</v>
      </c>
      <c r="AJ32" s="35">
        <f>+IF($O32&gt;G$8,"FIN",(G$19-SUM(AK$25:AK31))*VLOOKUP($O32,$A:$N,7,0)/VLOOKUP(G$15,$K$1:$M$4,2,0))</f>
        <v>1.2375</v>
      </c>
      <c r="AK32" s="36">
        <f t="shared" si="36"/>
        <v>0</v>
      </c>
      <c r="AL32" s="36">
        <f t="shared" si="15"/>
        <v>1.2375</v>
      </c>
      <c r="AM32" s="34">
        <f t="shared" si="48"/>
        <v>0.88648381231511675</v>
      </c>
      <c r="AN32" s="35">
        <f>+IF($O32&gt;H$8,"FIN",(H$19-SUM(AO$25:AO31))*VLOOKUP($O32,$A:$N,8,0)/VLOOKUP(H$15,$K$1:$M$4,2,0))</f>
        <v>1.875</v>
      </c>
      <c r="AO32" s="36">
        <f t="shared" si="37"/>
        <v>0</v>
      </c>
      <c r="AP32" s="36">
        <f t="shared" si="17"/>
        <v>1.875</v>
      </c>
      <c r="AQ32" s="34">
        <f t="shared" si="49"/>
        <v>1.3431572913865404</v>
      </c>
      <c r="AR32" s="35">
        <f>+IF($O32&gt;I$8,"FIN",(I$19-SUM(AS$25:AS31))*VLOOKUP($O32,$A:$N,9,0)/VLOOKUP(I$15,$K$1:$M$4,2,0))</f>
        <v>1.625</v>
      </c>
      <c r="AS32" s="36">
        <f t="shared" si="38"/>
        <v>0</v>
      </c>
      <c r="AT32" s="36">
        <f t="shared" si="19"/>
        <v>1.625</v>
      </c>
      <c r="AU32" s="34">
        <f t="shared" si="50"/>
        <v>1.1640696525350016</v>
      </c>
      <c r="AV32" s="35">
        <f>+IF($O32&gt;J$8,"FIN",(J$19-SUM(AW$25:AW31))*VLOOKUP($O32,$A:$N,10,0)/VLOOKUP(J$15,$K$1:$M$4,2,0))</f>
        <v>1.7500000000000002</v>
      </c>
      <c r="AW32" s="36">
        <f t="shared" si="39"/>
        <v>0</v>
      </c>
      <c r="AX32" s="36">
        <f t="shared" si="21"/>
        <v>1.7500000000000002</v>
      </c>
      <c r="AY32" s="34">
        <f t="shared" si="51"/>
        <v>1.2536134719607712</v>
      </c>
      <c r="AZ32" s="35">
        <f>+IF($O32&gt;K$8,"FIN",(K$19-SUM(BA$25:BA31))*VLOOKUP($O32,$A:$N,11,0)/VLOOKUP(K$15,$K$1:$M$4,2,0))</f>
        <v>1.5</v>
      </c>
      <c r="BA32" s="36">
        <f t="shared" si="40"/>
        <v>0</v>
      </c>
      <c r="BB32" s="36">
        <f t="shared" si="23"/>
        <v>1.5</v>
      </c>
      <c r="BC32" s="34">
        <f t="shared" si="52"/>
        <v>1.0745258331092322</v>
      </c>
      <c r="BD32" s="35">
        <f>+IF($O32&gt;L$8,"FIN",(L$19-SUM(BE$25:BE31))*VLOOKUP($O32,$A:$N,12,0)/VLOOKUP(L$15,$K$1:$M$4,2,0))</f>
        <v>1.7943749999999998</v>
      </c>
      <c r="BE32" s="36">
        <f t="shared" si="41"/>
        <v>0</v>
      </c>
      <c r="BF32" s="36">
        <f t="shared" si="25"/>
        <v>1.7943749999999998</v>
      </c>
      <c r="BG32" s="34">
        <f t="shared" si="53"/>
        <v>1.2854015278569191</v>
      </c>
      <c r="BH32" s="35">
        <f>+IF($O32&gt;M$8,"FIN",(M$19-SUM(BI$25:BI31))*VLOOKUP($O32,$A:$N,13,0)/VLOOKUP(M$15,$K$1:$M$4,2,0))</f>
        <v>1.2375</v>
      </c>
      <c r="BI32" s="36">
        <f t="shared" si="42"/>
        <v>0</v>
      </c>
      <c r="BJ32" s="36">
        <f t="shared" si="27"/>
        <v>1.2375</v>
      </c>
      <c r="BK32" s="34">
        <f t="shared" si="54"/>
        <v>0.88648381231511675</v>
      </c>
      <c r="BL32" s="4"/>
      <c r="BM32" s="43"/>
    </row>
    <row r="33" spans="1:65" x14ac:dyDescent="0.25">
      <c r="A33" s="27">
        <f t="shared" si="29"/>
        <v>45488</v>
      </c>
      <c r="B33" s="38">
        <v>0.01</v>
      </c>
      <c r="C33" s="39">
        <v>0.01</v>
      </c>
      <c r="D33" s="40">
        <v>7.4999999999999997E-3</v>
      </c>
      <c r="E33" s="40">
        <v>1.25E-3</v>
      </c>
      <c r="F33" s="40">
        <v>3.6249999999999998E-2</v>
      </c>
      <c r="G33" s="40">
        <v>2.5000000000000001E-2</v>
      </c>
      <c r="H33" s="40">
        <v>3.7499999999999999E-2</v>
      </c>
      <c r="I33" s="40">
        <v>3.2500000000000001E-2</v>
      </c>
      <c r="J33" s="40">
        <v>3.5000000000000003E-2</v>
      </c>
      <c r="K33" s="40">
        <v>0.03</v>
      </c>
      <c r="L33" s="40">
        <v>3.6249999999999998E-2</v>
      </c>
      <c r="M33" s="41">
        <v>2.5000000000000001E-2</v>
      </c>
      <c r="N33" s="44"/>
      <c r="O33" s="32">
        <f t="shared" si="30"/>
        <v>45488</v>
      </c>
      <c r="P33" s="35">
        <f>+IF($O33&gt;B$8,"FIN",(B$19-SUM(Q$25:Q32))*VLOOKUP($O33,$A:$N,2,0)/VLOOKUP(B$15,$K$1:$M$4,2,0))</f>
        <v>0.5</v>
      </c>
      <c r="Q33" s="36">
        <f t="shared" si="31"/>
        <v>0</v>
      </c>
      <c r="R33" s="36">
        <f t="shared" si="5"/>
        <v>0.5</v>
      </c>
      <c r="S33" s="34">
        <f t="shared" si="43"/>
        <v>0.34150672768253526</v>
      </c>
      <c r="T33" s="35">
        <f>+IF($O33&gt;C$8,"FIN",(C$19-SUM(U$25:U32))*VLOOKUP($O33,$A:$N,3,0)/VLOOKUP(C$15,$K$1:$M$4,2,0))</f>
        <v>0.5</v>
      </c>
      <c r="U33" s="36">
        <f t="shared" si="32"/>
        <v>0</v>
      </c>
      <c r="V33" s="36">
        <f t="shared" si="7"/>
        <v>0.5</v>
      </c>
      <c r="W33" s="34">
        <f t="shared" si="44"/>
        <v>0.34150672768253526</v>
      </c>
      <c r="X33" s="35">
        <f>+IF($O33&gt;D$8,"FIN",(D$19-SUM(Y$25:Y32))*VLOOKUP($O33,$A:$N,4,0)/VLOOKUP(D$15,$K$1:$M$4,2,0))</f>
        <v>0.37124999999999997</v>
      </c>
      <c r="Y33" s="36">
        <f t="shared" si="33"/>
        <v>0</v>
      </c>
      <c r="Z33" s="36">
        <f t="shared" si="9"/>
        <v>0.37124999999999997</v>
      </c>
      <c r="AA33" s="34">
        <f t="shared" si="45"/>
        <v>0.25356874530428242</v>
      </c>
      <c r="AB33" s="35">
        <f>+IF($O33&gt;E$8,"FIN",(E$19-SUM(AC$25:AC32))*VLOOKUP($O33,$A:$N,5,0)/VLOOKUP(E$15,$K$1:$M$4,2,0))</f>
        <v>6.1874999999999999E-2</v>
      </c>
      <c r="AC33" s="36">
        <f t="shared" si="34"/>
        <v>0</v>
      </c>
      <c r="AD33" s="36">
        <f t="shared" si="11"/>
        <v>6.1874999999999999E-2</v>
      </c>
      <c r="AE33" s="34">
        <f t="shared" si="46"/>
        <v>4.2261457550713734E-2</v>
      </c>
      <c r="AF33" s="35">
        <f>+IF($O33&gt;F$8,"FIN",(F$19-SUM(AG$25:AG32))*VLOOKUP($O33,$A:$N,6,0)/VLOOKUP(F$15,$K$1:$M$4,2,0))</f>
        <v>1.7943749999999998</v>
      </c>
      <c r="AG33" s="36">
        <f t="shared" si="35"/>
        <v>0</v>
      </c>
      <c r="AH33" s="36">
        <f t="shared" si="13"/>
        <v>1.7943749999999998</v>
      </c>
      <c r="AI33" s="34">
        <f t="shared" si="47"/>
        <v>1.2255822689706983</v>
      </c>
      <c r="AJ33" s="35">
        <f>+IF($O33&gt;G$8,"FIN",(G$19-SUM(AK$25:AK32))*VLOOKUP($O33,$A:$N,7,0)/VLOOKUP(G$15,$K$1:$M$4,2,0))</f>
        <v>1.2375</v>
      </c>
      <c r="AK33" s="36">
        <f t="shared" si="36"/>
        <v>0</v>
      </c>
      <c r="AL33" s="36">
        <f t="shared" si="15"/>
        <v>1.2375</v>
      </c>
      <c r="AM33" s="34">
        <f t="shared" si="48"/>
        <v>0.84522915101427476</v>
      </c>
      <c r="AN33" s="35">
        <f>+IF($O33&gt;H$8,"FIN",(H$19-SUM(AO$25:AO32))*VLOOKUP($O33,$A:$N,8,0)/VLOOKUP(H$15,$K$1:$M$4,2,0))</f>
        <v>1.875</v>
      </c>
      <c r="AO33" s="36">
        <f t="shared" si="37"/>
        <v>0</v>
      </c>
      <c r="AP33" s="36">
        <f t="shared" si="17"/>
        <v>1.875</v>
      </c>
      <c r="AQ33" s="34">
        <f t="shared" si="49"/>
        <v>1.2806502288095072</v>
      </c>
      <c r="AR33" s="35">
        <f>+IF($O33&gt;I$8,"FIN",(I$19-SUM(AS$25:AS32))*VLOOKUP($O33,$A:$N,9,0)/VLOOKUP(I$15,$K$1:$M$4,2,0))</f>
        <v>1.625</v>
      </c>
      <c r="AS33" s="36">
        <f t="shared" si="38"/>
        <v>0</v>
      </c>
      <c r="AT33" s="36">
        <f t="shared" si="19"/>
        <v>1.625</v>
      </c>
      <c r="AU33" s="34">
        <f t="shared" si="50"/>
        <v>1.1098968649682395</v>
      </c>
      <c r="AV33" s="35">
        <f>+IF($O33&gt;J$8,"FIN",(J$19-SUM(AW$25:AW32))*VLOOKUP($O33,$A:$N,10,0)/VLOOKUP(J$15,$K$1:$M$4,2,0))</f>
        <v>1.7500000000000002</v>
      </c>
      <c r="AW33" s="36">
        <f t="shared" si="39"/>
        <v>0</v>
      </c>
      <c r="AX33" s="36">
        <f t="shared" si="21"/>
        <v>1.7500000000000002</v>
      </c>
      <c r="AY33" s="34">
        <f t="shared" si="51"/>
        <v>1.1952735468888736</v>
      </c>
      <c r="AZ33" s="35">
        <f>+IF($O33&gt;K$8,"FIN",(K$19-SUM(BA$25:BA32))*VLOOKUP($O33,$A:$N,11,0)/VLOOKUP(K$15,$K$1:$M$4,2,0))</f>
        <v>1.5</v>
      </c>
      <c r="BA33" s="36">
        <f t="shared" si="40"/>
        <v>0</v>
      </c>
      <c r="BB33" s="36">
        <f t="shared" si="23"/>
        <v>1.5</v>
      </c>
      <c r="BC33" s="34">
        <f t="shared" si="52"/>
        <v>1.0245201830476058</v>
      </c>
      <c r="BD33" s="35">
        <f>+IF($O33&gt;L$8,"FIN",(L$19-SUM(BE$25:BE32))*VLOOKUP($O33,$A:$N,12,0)/VLOOKUP(L$15,$K$1:$M$4,2,0))</f>
        <v>1.7943749999999998</v>
      </c>
      <c r="BE33" s="36">
        <f t="shared" si="41"/>
        <v>0</v>
      </c>
      <c r="BF33" s="36">
        <f t="shared" si="25"/>
        <v>1.7943749999999998</v>
      </c>
      <c r="BG33" s="34">
        <f t="shared" si="53"/>
        <v>1.2255822689706983</v>
      </c>
      <c r="BH33" s="35">
        <f>+IF($O33&gt;M$8,"FIN",(M$19-SUM(BI$25:BI32))*VLOOKUP($O33,$A:$N,13,0)/VLOOKUP(M$15,$K$1:$M$4,2,0))</f>
        <v>1.2375</v>
      </c>
      <c r="BI33" s="36">
        <f t="shared" si="42"/>
        <v>0</v>
      </c>
      <c r="BJ33" s="36">
        <f t="shared" si="27"/>
        <v>1.2375</v>
      </c>
      <c r="BK33" s="34">
        <f t="shared" si="54"/>
        <v>0.84522915101427476</v>
      </c>
      <c r="BL33" s="4"/>
      <c r="BM33" s="43"/>
    </row>
    <row r="34" spans="1:65" x14ac:dyDescent="0.25">
      <c r="A34" s="27">
        <f t="shared" si="29"/>
        <v>45672</v>
      </c>
      <c r="B34" s="38">
        <v>0.01</v>
      </c>
      <c r="C34" s="39">
        <v>0.01</v>
      </c>
      <c r="D34" s="40">
        <v>7.4999999999999997E-3</v>
      </c>
      <c r="E34" s="40">
        <v>1.25E-3</v>
      </c>
      <c r="F34" s="40">
        <v>4.3749999999999997E-2</v>
      </c>
      <c r="G34" s="40">
        <v>3.7499999999999999E-2</v>
      </c>
      <c r="H34" s="40">
        <v>4.4999999999999998E-2</v>
      </c>
      <c r="I34" s="40">
        <v>0.04</v>
      </c>
      <c r="J34" s="40">
        <v>3.5000000000000003E-2</v>
      </c>
      <c r="K34" s="40">
        <v>0.03</v>
      </c>
      <c r="L34" s="40">
        <v>4.3749999999999997E-2</v>
      </c>
      <c r="M34" s="41">
        <v>3.7499999999999999E-2</v>
      </c>
      <c r="N34" s="44"/>
      <c r="O34" s="32">
        <f t="shared" si="30"/>
        <v>45672</v>
      </c>
      <c r="P34" s="35">
        <f>+IF($O34&gt;B$8,"FIN",(B$19-SUM(Q$25:Q33))*VLOOKUP($O34,$A:$N,2,0)/VLOOKUP(B$15,$K$1:$M$4,2,0))</f>
        <v>0.5</v>
      </c>
      <c r="Q34" s="36">
        <f t="shared" si="31"/>
        <v>0</v>
      </c>
      <c r="R34" s="36">
        <f t="shared" si="5"/>
        <v>0.5</v>
      </c>
      <c r="S34" s="34">
        <f t="shared" si="43"/>
        <v>0.32561388882097941</v>
      </c>
      <c r="T34" s="35">
        <f>+IF($O34&gt;C$8,"FIN",(C$19-SUM(U$25:U33))*VLOOKUP($O34,$A:$N,3,0)/VLOOKUP(C$15,$K$1:$M$4,2,0))</f>
        <v>0.5</v>
      </c>
      <c r="U34" s="36">
        <f t="shared" si="32"/>
        <v>0</v>
      </c>
      <c r="V34" s="36">
        <f t="shared" si="7"/>
        <v>0.5</v>
      </c>
      <c r="W34" s="34">
        <f t="shared" si="44"/>
        <v>0.32561388882097941</v>
      </c>
      <c r="X34" s="35">
        <f>+IF($O34&gt;D$8,"FIN",(D$19-SUM(Y$25:Y33))*VLOOKUP($O34,$A:$N,4,0)/VLOOKUP(D$15,$K$1:$M$4,2,0))</f>
        <v>0.37124999999999997</v>
      </c>
      <c r="Y34" s="36">
        <f t="shared" si="33"/>
        <v>8.25</v>
      </c>
      <c r="Z34" s="36">
        <f t="shared" si="9"/>
        <v>8.6212499999999999</v>
      </c>
      <c r="AA34" s="34">
        <f t="shared" si="45"/>
        <v>5.6143974779957375</v>
      </c>
      <c r="AB34" s="35">
        <f>+IF($O34&gt;E$8,"FIN",(E$19-SUM(AC$25:AC33))*VLOOKUP($O34,$A:$N,5,0)/VLOOKUP(E$15,$K$1:$M$4,2,0))</f>
        <v>6.1874999999999999E-2</v>
      </c>
      <c r="AC34" s="36">
        <f t="shared" si="34"/>
        <v>8.25</v>
      </c>
      <c r="AD34" s="36">
        <f t="shared" si="11"/>
        <v>8.3118750000000006</v>
      </c>
      <c r="AE34" s="34">
        <f t="shared" si="46"/>
        <v>5.4129238842877569</v>
      </c>
      <c r="AF34" s="35">
        <f>+IF($O34&gt;F$8,"FIN",(F$19-SUM(AG$25:AG33))*VLOOKUP($O34,$A:$N,6,0)/VLOOKUP(F$15,$K$1:$M$4,2,0))</f>
        <v>2.1656249999999999</v>
      </c>
      <c r="AG34" s="36">
        <f t="shared" si="35"/>
        <v>0</v>
      </c>
      <c r="AH34" s="36">
        <f t="shared" si="13"/>
        <v>2.1656249999999999</v>
      </c>
      <c r="AI34" s="34">
        <f t="shared" si="47"/>
        <v>1.4103151559558671</v>
      </c>
      <c r="AJ34" s="35">
        <f>+IF($O34&gt;G$8,"FIN",(G$19-SUM(AK$25:AK33))*VLOOKUP($O34,$A:$N,7,0)/VLOOKUP(G$15,$K$1:$M$4,2,0))</f>
        <v>1.85625</v>
      </c>
      <c r="AK34" s="36">
        <f t="shared" si="36"/>
        <v>0</v>
      </c>
      <c r="AL34" s="36">
        <f t="shared" si="15"/>
        <v>1.85625</v>
      </c>
      <c r="AM34" s="34">
        <f t="shared" si="48"/>
        <v>1.2088415622478861</v>
      </c>
      <c r="AN34" s="35">
        <f>+IF($O34&gt;H$8,"FIN",(H$19-SUM(AO$25:AO33))*VLOOKUP($O34,$A:$N,8,0)/VLOOKUP(H$15,$K$1:$M$4,2,0))</f>
        <v>2.25</v>
      </c>
      <c r="AO34" s="36">
        <f t="shared" si="37"/>
        <v>0</v>
      </c>
      <c r="AP34" s="36">
        <f t="shared" si="17"/>
        <v>2.25</v>
      </c>
      <c r="AQ34" s="34">
        <f t="shared" si="49"/>
        <v>1.4652624996944075</v>
      </c>
      <c r="AR34" s="35">
        <f>+IF($O34&gt;I$8,"FIN",(I$19-SUM(AS$25:AS33))*VLOOKUP($O34,$A:$N,9,0)/VLOOKUP(I$15,$K$1:$M$4,2,0))</f>
        <v>2</v>
      </c>
      <c r="AS34" s="36">
        <f t="shared" si="38"/>
        <v>0</v>
      </c>
      <c r="AT34" s="36">
        <f t="shared" si="19"/>
        <v>2</v>
      </c>
      <c r="AU34" s="34">
        <f t="shared" si="50"/>
        <v>1.3024555552839177</v>
      </c>
      <c r="AV34" s="35">
        <f>+IF($O34&gt;J$8,"FIN",(J$19-SUM(AW$25:AW33))*VLOOKUP($O34,$A:$N,10,0)/VLOOKUP(J$15,$K$1:$M$4,2,0))</f>
        <v>1.7500000000000002</v>
      </c>
      <c r="AW34" s="36">
        <f t="shared" si="39"/>
        <v>0</v>
      </c>
      <c r="AX34" s="36">
        <f t="shared" si="21"/>
        <v>1.7500000000000002</v>
      </c>
      <c r="AY34" s="34">
        <f t="shared" si="51"/>
        <v>1.1396486108734281</v>
      </c>
      <c r="AZ34" s="35">
        <f>+IF($O34&gt;K$8,"FIN",(K$19-SUM(BA$25:BA33))*VLOOKUP($O34,$A:$N,11,0)/VLOOKUP(K$15,$K$1:$M$4,2,0))</f>
        <v>1.5</v>
      </c>
      <c r="BA34" s="36">
        <f t="shared" si="40"/>
        <v>0</v>
      </c>
      <c r="BB34" s="36">
        <f t="shared" si="23"/>
        <v>1.5</v>
      </c>
      <c r="BC34" s="34">
        <f t="shared" si="52"/>
        <v>0.97684166646293835</v>
      </c>
      <c r="BD34" s="35">
        <f>+IF($O34&gt;L$8,"FIN",(L$19-SUM(BE$25:BE33))*VLOOKUP($O34,$A:$N,12,0)/VLOOKUP(L$15,$K$1:$M$4,2,0))</f>
        <v>2.1656249999999999</v>
      </c>
      <c r="BE34" s="36">
        <f t="shared" si="41"/>
        <v>2.25</v>
      </c>
      <c r="BF34" s="36">
        <f t="shared" si="25"/>
        <v>4.4156250000000004</v>
      </c>
      <c r="BG34" s="34">
        <f t="shared" si="53"/>
        <v>2.8755776556502748</v>
      </c>
      <c r="BH34" s="35">
        <f>+IF($O34&gt;M$8,"FIN",(M$19-SUM(BI$25:BI33))*VLOOKUP($O34,$A:$N,13,0)/VLOOKUP(M$15,$K$1:$M$4,2,0))</f>
        <v>1.85625</v>
      </c>
      <c r="BI34" s="36">
        <f t="shared" si="42"/>
        <v>2.25</v>
      </c>
      <c r="BJ34" s="36">
        <f t="shared" si="27"/>
        <v>4.1062500000000002</v>
      </c>
      <c r="BK34" s="34">
        <f t="shared" si="54"/>
        <v>2.6741040619422938</v>
      </c>
      <c r="BL34" s="4"/>
      <c r="BM34" s="43"/>
    </row>
    <row r="35" spans="1:65" x14ac:dyDescent="0.25">
      <c r="A35" s="27">
        <f t="shared" si="29"/>
        <v>45853</v>
      </c>
      <c r="B35" s="38">
        <v>0.01</v>
      </c>
      <c r="C35" s="39">
        <v>0.01</v>
      </c>
      <c r="D35" s="40">
        <v>7.4999999999999997E-3</v>
      </c>
      <c r="E35" s="40">
        <v>1.25E-3</v>
      </c>
      <c r="F35" s="40">
        <v>4.3749999999999997E-2</v>
      </c>
      <c r="G35" s="40">
        <v>3.7499999999999999E-2</v>
      </c>
      <c r="H35" s="40">
        <v>4.4999999999999998E-2</v>
      </c>
      <c r="I35" s="40">
        <v>0.04</v>
      </c>
      <c r="J35" s="40">
        <v>3.5000000000000003E-2</v>
      </c>
      <c r="K35" s="40">
        <v>0.03</v>
      </c>
      <c r="L35" s="40">
        <v>4.3749999999999997E-2</v>
      </c>
      <c r="M35" s="41">
        <v>3.7499999999999999E-2</v>
      </c>
      <c r="N35" s="44"/>
      <c r="O35" s="32">
        <f t="shared" si="30"/>
        <v>45853</v>
      </c>
      <c r="P35" s="35">
        <f>+IF($O35&gt;B$8,"FIN",(B$19-SUM(Q$25:Q34))*VLOOKUP($O35,$A:$N,2,0)/VLOOKUP(B$15,$K$1:$M$4,2,0))</f>
        <v>0.5</v>
      </c>
      <c r="Q35" s="36">
        <f t="shared" si="31"/>
        <v>0</v>
      </c>
      <c r="R35" s="36">
        <f t="shared" si="5"/>
        <v>0.5</v>
      </c>
      <c r="S35" s="34">
        <f t="shared" si="43"/>
        <v>0.31046066152957746</v>
      </c>
      <c r="T35" s="35">
        <f>+IF($O35&gt;C$8,"FIN",(C$19-SUM(U$25:U34))*VLOOKUP($O35,$A:$N,3,0)/VLOOKUP(C$15,$K$1:$M$4,2,0))</f>
        <v>0.5</v>
      </c>
      <c r="U35" s="36">
        <f t="shared" si="32"/>
        <v>0</v>
      </c>
      <c r="V35" s="36">
        <f t="shared" si="7"/>
        <v>0.5</v>
      </c>
      <c r="W35" s="34">
        <f t="shared" si="44"/>
        <v>0.31046066152957746</v>
      </c>
      <c r="X35" s="35">
        <f>+IF($O35&gt;D$8,"FIN",(D$19-SUM(Y$25:Y34))*VLOOKUP($O35,$A:$N,4,0)/VLOOKUP(D$15,$K$1:$M$4,2,0))</f>
        <v>0.34031249999999996</v>
      </c>
      <c r="Y35" s="36">
        <f t="shared" si="33"/>
        <v>8.25</v>
      </c>
      <c r="Z35" s="36">
        <f t="shared" si="9"/>
        <v>8.5903124999999996</v>
      </c>
      <c r="AA35" s="34">
        <f t="shared" si="45"/>
        <v>5.333908202991597</v>
      </c>
      <c r="AB35" s="35">
        <f>+IF($O35&gt;E$8,"FIN",(E$19-SUM(AC$25:AC34))*VLOOKUP($O35,$A:$N,5,0)/VLOOKUP(E$15,$K$1:$M$4,2,0))</f>
        <v>5.6718749999999998E-2</v>
      </c>
      <c r="AC35" s="36">
        <f t="shared" si="34"/>
        <v>8.25</v>
      </c>
      <c r="AD35" s="36">
        <f t="shared" si="11"/>
        <v>8.3067187499999999</v>
      </c>
      <c r="AE35" s="34">
        <f t="shared" si="46"/>
        <v>5.1578187965302895</v>
      </c>
      <c r="AF35" s="35">
        <f>+IF($O35&gt;F$8,"FIN",(F$19-SUM(AG$25:AG34))*VLOOKUP($O35,$A:$N,6,0)/VLOOKUP(F$15,$K$1:$M$4,2,0))</f>
        <v>2.1656249999999999</v>
      </c>
      <c r="AG35" s="36">
        <f t="shared" si="35"/>
        <v>0</v>
      </c>
      <c r="AH35" s="36">
        <f t="shared" si="13"/>
        <v>2.1656249999999999</v>
      </c>
      <c r="AI35" s="34">
        <f t="shared" si="47"/>
        <v>1.3446827402499824</v>
      </c>
      <c r="AJ35" s="35">
        <f>+IF($O35&gt;G$8,"FIN",(G$19-SUM(AK$25:AK34))*VLOOKUP($O35,$A:$N,7,0)/VLOOKUP(G$15,$K$1:$M$4,2,0))</f>
        <v>1.85625</v>
      </c>
      <c r="AK35" s="36">
        <f t="shared" si="36"/>
        <v>0</v>
      </c>
      <c r="AL35" s="36">
        <f t="shared" si="15"/>
        <v>1.85625</v>
      </c>
      <c r="AM35" s="34">
        <f t="shared" si="48"/>
        <v>1.1525852059285564</v>
      </c>
      <c r="AN35" s="35">
        <f>+IF($O35&gt;H$8,"FIN",(H$19-SUM(AO$25:AO34))*VLOOKUP($O35,$A:$N,8,0)/VLOOKUP(H$15,$K$1:$M$4,2,0))</f>
        <v>2.25</v>
      </c>
      <c r="AO35" s="36">
        <f t="shared" si="37"/>
        <v>0</v>
      </c>
      <c r="AP35" s="36">
        <f t="shared" si="17"/>
        <v>2.25</v>
      </c>
      <c r="AQ35" s="34">
        <f t="shared" si="49"/>
        <v>1.3970729768830987</v>
      </c>
      <c r="AR35" s="35">
        <f>+IF($O35&gt;I$8,"FIN",(I$19-SUM(AS$25:AS34))*VLOOKUP($O35,$A:$N,9,0)/VLOOKUP(I$15,$K$1:$M$4,2,0))</f>
        <v>2</v>
      </c>
      <c r="AS35" s="36">
        <f t="shared" si="38"/>
        <v>0</v>
      </c>
      <c r="AT35" s="36">
        <f t="shared" si="19"/>
        <v>2</v>
      </c>
      <c r="AU35" s="34">
        <f t="shared" si="50"/>
        <v>1.2418426461183099</v>
      </c>
      <c r="AV35" s="35">
        <f>+IF($O35&gt;J$8,"FIN",(J$19-SUM(AW$25:AW34))*VLOOKUP($O35,$A:$N,10,0)/VLOOKUP(J$15,$K$1:$M$4,2,0))</f>
        <v>1.7500000000000002</v>
      </c>
      <c r="AW35" s="36">
        <f t="shared" si="39"/>
        <v>0</v>
      </c>
      <c r="AX35" s="36">
        <f t="shared" si="21"/>
        <v>1.7500000000000002</v>
      </c>
      <c r="AY35" s="34">
        <f t="shared" si="51"/>
        <v>1.0866123153535214</v>
      </c>
      <c r="AZ35" s="35">
        <f>+IF($O35&gt;K$8,"FIN",(K$19-SUM(BA$25:BA34))*VLOOKUP($O35,$A:$N,11,0)/VLOOKUP(K$15,$K$1:$M$4,2,0))</f>
        <v>1.5</v>
      </c>
      <c r="BA35" s="36">
        <f t="shared" si="40"/>
        <v>0</v>
      </c>
      <c r="BB35" s="36">
        <f t="shared" si="23"/>
        <v>1.5</v>
      </c>
      <c r="BC35" s="34">
        <f t="shared" si="52"/>
        <v>0.93138198458873245</v>
      </c>
      <c r="BD35" s="35">
        <f>+IF($O35&gt;L$8,"FIN",(L$19-SUM(BE$25:BE34))*VLOOKUP($O35,$A:$N,12,0)/VLOOKUP(L$15,$K$1:$M$4,2,0))</f>
        <v>2.1164062499999998</v>
      </c>
      <c r="BE35" s="36">
        <f t="shared" si="41"/>
        <v>2.25</v>
      </c>
      <c r="BF35" s="36">
        <f t="shared" si="25"/>
        <v>4.3664062499999998</v>
      </c>
      <c r="BG35" s="34">
        <f t="shared" si="53"/>
        <v>2.7111947457637631</v>
      </c>
      <c r="BH35" s="35">
        <f>+IF($O35&gt;M$8,"FIN",(M$19-SUM(BI$25:BI34))*VLOOKUP($O35,$A:$N,13,0)/VLOOKUP(M$15,$K$1:$M$4,2,0))</f>
        <v>1.8140624999999999</v>
      </c>
      <c r="BI35" s="36">
        <f t="shared" si="42"/>
        <v>2.25</v>
      </c>
      <c r="BJ35" s="36">
        <f t="shared" si="27"/>
        <v>4.0640625000000004</v>
      </c>
      <c r="BK35" s="34">
        <f t="shared" si="54"/>
        <v>2.5234630644950973</v>
      </c>
      <c r="BL35" s="4"/>
      <c r="BM35" s="43"/>
    </row>
    <row r="36" spans="1:65" x14ac:dyDescent="0.25">
      <c r="A36" s="27">
        <f t="shared" si="29"/>
        <v>46037</v>
      </c>
      <c r="B36" s="38">
        <v>0.01</v>
      </c>
      <c r="C36" s="39">
        <v>0.01</v>
      </c>
      <c r="D36" s="40">
        <v>7.4999999999999997E-3</v>
      </c>
      <c r="E36" s="40">
        <v>1.25E-3</v>
      </c>
      <c r="F36" s="40">
        <v>4.3749999999999997E-2</v>
      </c>
      <c r="G36" s="40">
        <v>0.04</v>
      </c>
      <c r="H36" s="40">
        <v>4.4999999999999998E-2</v>
      </c>
      <c r="I36" s="40">
        <v>0.04</v>
      </c>
      <c r="J36" s="40">
        <v>3.5000000000000003E-2</v>
      </c>
      <c r="K36" s="40">
        <v>0.03</v>
      </c>
      <c r="L36" s="40">
        <v>4.3749999999999997E-2</v>
      </c>
      <c r="M36" s="41">
        <v>0.04</v>
      </c>
      <c r="N36" s="44"/>
      <c r="O36" s="32">
        <f t="shared" si="30"/>
        <v>46037</v>
      </c>
      <c r="P36" s="35">
        <f>+IF($O36&gt;B$8,"FIN",(B$19-SUM(Q$25:Q35))*VLOOKUP($O36,$A:$N,2,0)/VLOOKUP(B$15,$K$1:$M$4,2,0))</f>
        <v>0.5</v>
      </c>
      <c r="Q36" s="36">
        <f t="shared" si="31"/>
        <v>0</v>
      </c>
      <c r="R36" s="36">
        <f t="shared" si="5"/>
        <v>0.5</v>
      </c>
      <c r="S36" s="34">
        <f t="shared" si="43"/>
        <v>0.29601262620089042</v>
      </c>
      <c r="T36" s="35">
        <f>+IF($O36&gt;C$8,"FIN",(C$19-SUM(U$25:U35))*VLOOKUP($O36,$A:$N,3,0)/VLOOKUP(C$15,$K$1:$M$4,2,0))</f>
        <v>0.5</v>
      </c>
      <c r="U36" s="36">
        <f t="shared" si="32"/>
        <v>0</v>
      </c>
      <c r="V36" s="36">
        <f t="shared" si="7"/>
        <v>0.5</v>
      </c>
      <c r="W36" s="34">
        <f t="shared" si="44"/>
        <v>0.29601262620089042</v>
      </c>
      <c r="X36" s="35">
        <f>+IF($O36&gt;D$8,"FIN",(D$19-SUM(Y$25:Y35))*VLOOKUP($O36,$A:$N,4,0)/VLOOKUP(D$15,$K$1:$M$4,2,0))</f>
        <v>0.30937500000000001</v>
      </c>
      <c r="Y36" s="36">
        <f t="shared" si="33"/>
        <v>8.25</v>
      </c>
      <c r="Z36" s="36">
        <f t="shared" si="9"/>
        <v>8.5593749999999993</v>
      </c>
      <c r="AA36" s="34">
        <f t="shared" si="45"/>
        <v>5.0673661447764919</v>
      </c>
      <c r="AB36" s="35">
        <f>+IF($O36&gt;E$8,"FIN",(E$19-SUM(AC$25:AC35))*VLOOKUP($O36,$A:$N,5,0)/VLOOKUP(E$15,$K$1:$M$4,2,0))</f>
        <v>5.1562500000000004E-2</v>
      </c>
      <c r="AC36" s="36">
        <f t="shared" si="34"/>
        <v>8.25</v>
      </c>
      <c r="AD36" s="36">
        <f t="shared" si="11"/>
        <v>8.3015624999999993</v>
      </c>
      <c r="AE36" s="34">
        <f t="shared" si="46"/>
        <v>4.9147346343916585</v>
      </c>
      <c r="AF36" s="35">
        <f>+IF($O36&gt;F$8,"FIN",(F$19-SUM(AG$25:AG35))*VLOOKUP($O36,$A:$N,6,0)/VLOOKUP(F$15,$K$1:$M$4,2,0))</f>
        <v>2.1656249999999999</v>
      </c>
      <c r="AG36" s="36">
        <f t="shared" si="35"/>
        <v>0</v>
      </c>
      <c r="AH36" s="36">
        <f t="shared" si="13"/>
        <v>2.1656249999999999</v>
      </c>
      <c r="AI36" s="34">
        <f t="shared" si="47"/>
        <v>1.2821046872326065</v>
      </c>
      <c r="AJ36" s="35">
        <f>+IF($O36&gt;G$8,"FIN",(G$19-SUM(AK$25:AK35))*VLOOKUP($O36,$A:$N,7,0)/VLOOKUP(G$15,$K$1:$M$4,2,0))</f>
        <v>1.98</v>
      </c>
      <c r="AK36" s="36">
        <f t="shared" si="36"/>
        <v>0</v>
      </c>
      <c r="AL36" s="36">
        <f t="shared" si="15"/>
        <v>1.98</v>
      </c>
      <c r="AM36" s="34">
        <f t="shared" si="48"/>
        <v>1.172209999755526</v>
      </c>
      <c r="AN36" s="35">
        <f>+IF($O36&gt;H$8,"FIN",(H$19-SUM(AO$25:AO35))*VLOOKUP($O36,$A:$N,8,0)/VLOOKUP(H$15,$K$1:$M$4,2,0))</f>
        <v>2.25</v>
      </c>
      <c r="AO36" s="36">
        <f t="shared" si="37"/>
        <v>0</v>
      </c>
      <c r="AP36" s="36">
        <f t="shared" si="17"/>
        <v>2.25</v>
      </c>
      <c r="AQ36" s="34">
        <f t="shared" si="49"/>
        <v>1.3320568179040069</v>
      </c>
      <c r="AR36" s="35">
        <f>+IF($O36&gt;I$8,"FIN",(I$19-SUM(AS$25:AS35))*VLOOKUP($O36,$A:$N,9,0)/VLOOKUP(I$15,$K$1:$M$4,2,0))</f>
        <v>2</v>
      </c>
      <c r="AS36" s="36">
        <f t="shared" si="38"/>
        <v>0</v>
      </c>
      <c r="AT36" s="36">
        <f t="shared" si="19"/>
        <v>2</v>
      </c>
      <c r="AU36" s="34">
        <f t="shared" si="50"/>
        <v>1.1840505048035617</v>
      </c>
      <c r="AV36" s="35">
        <f>+IF($O36&gt;J$8,"FIN",(J$19-SUM(AW$25:AW35))*VLOOKUP($O36,$A:$N,10,0)/VLOOKUP(J$15,$K$1:$M$4,2,0))</f>
        <v>1.7500000000000002</v>
      </c>
      <c r="AW36" s="36">
        <f t="shared" si="39"/>
        <v>0</v>
      </c>
      <c r="AX36" s="36">
        <f t="shared" si="21"/>
        <v>1.7500000000000002</v>
      </c>
      <c r="AY36" s="34">
        <f t="shared" si="51"/>
        <v>1.0360441917031165</v>
      </c>
      <c r="AZ36" s="35">
        <f>+IF($O36&gt;K$8,"FIN",(K$19-SUM(BA$25:BA35))*VLOOKUP($O36,$A:$N,11,0)/VLOOKUP(K$15,$K$1:$M$4,2,0))</f>
        <v>1.5</v>
      </c>
      <c r="BA36" s="36">
        <f t="shared" si="40"/>
        <v>0</v>
      </c>
      <c r="BB36" s="36">
        <f t="shared" si="23"/>
        <v>1.5</v>
      </c>
      <c r="BC36" s="34">
        <f t="shared" si="52"/>
        <v>0.88803787860267125</v>
      </c>
      <c r="BD36" s="35">
        <f>+IF($O36&gt;L$8,"FIN",(L$19-SUM(BE$25:BE35))*VLOOKUP($O36,$A:$N,12,0)/VLOOKUP(L$15,$K$1:$M$4,2,0))</f>
        <v>2.0671874999999997</v>
      </c>
      <c r="BE36" s="36">
        <f t="shared" si="41"/>
        <v>2.25</v>
      </c>
      <c r="BF36" s="36">
        <f t="shared" si="25"/>
        <v>4.3171874999999993</v>
      </c>
      <c r="BG36" s="34">
        <f t="shared" si="53"/>
        <v>2.5558840193533126</v>
      </c>
      <c r="BH36" s="35">
        <f>+IF($O36&gt;M$8,"FIN",(M$19-SUM(BI$25:BI35))*VLOOKUP($O36,$A:$N,13,0)/VLOOKUP(M$15,$K$1:$M$4,2,0))</f>
        <v>1.8900000000000001</v>
      </c>
      <c r="BI36" s="36">
        <f t="shared" si="42"/>
        <v>2.25</v>
      </c>
      <c r="BJ36" s="36">
        <f t="shared" si="27"/>
        <v>4.1400000000000006</v>
      </c>
      <c r="BK36" s="34">
        <f t="shared" si="54"/>
        <v>2.4509845449433727</v>
      </c>
      <c r="BL36" s="4"/>
      <c r="BM36" s="43"/>
    </row>
    <row r="37" spans="1:65" x14ac:dyDescent="0.25">
      <c r="A37" s="27">
        <f t="shared" si="29"/>
        <v>46218</v>
      </c>
      <c r="B37" s="38">
        <v>0.01</v>
      </c>
      <c r="C37" s="39">
        <v>0.01</v>
      </c>
      <c r="D37" s="40">
        <v>7.4999999999999997E-3</v>
      </c>
      <c r="E37" s="40">
        <v>1.25E-3</v>
      </c>
      <c r="F37" s="40">
        <v>4.3749999999999997E-2</v>
      </c>
      <c r="G37" s="40">
        <v>0.04</v>
      </c>
      <c r="H37" s="40">
        <v>4.4999999999999998E-2</v>
      </c>
      <c r="I37" s="40">
        <v>0.04</v>
      </c>
      <c r="J37" s="40">
        <v>3.5000000000000003E-2</v>
      </c>
      <c r="K37" s="40">
        <v>0.03</v>
      </c>
      <c r="L37" s="40">
        <v>4.3749999999999997E-2</v>
      </c>
      <c r="M37" s="41">
        <v>0.04</v>
      </c>
      <c r="N37" s="44"/>
      <c r="O37" s="32">
        <f t="shared" si="30"/>
        <v>46218</v>
      </c>
      <c r="P37" s="35">
        <f>+IF($O37&gt;B$8,"FIN",(B$19-SUM(Q$25:Q36))*VLOOKUP($O37,$A:$N,2,0)/VLOOKUP(B$15,$K$1:$M$4,2,0))</f>
        <v>0.5</v>
      </c>
      <c r="Q37" s="36">
        <f t="shared" si="31"/>
        <v>12.5</v>
      </c>
      <c r="R37" s="36">
        <f t="shared" si="5"/>
        <v>13</v>
      </c>
      <c r="S37" s="34">
        <f t="shared" si="43"/>
        <v>7.3381610906991028</v>
      </c>
      <c r="T37" s="35">
        <f>+IF($O37&gt;C$8,"FIN",(C$19-SUM(U$25:U36))*VLOOKUP($O37,$A:$N,3,0)/VLOOKUP(C$15,$K$1:$M$4,2,0))</f>
        <v>0.5</v>
      </c>
      <c r="U37" s="36">
        <f t="shared" si="32"/>
        <v>12.5</v>
      </c>
      <c r="V37" s="36">
        <f t="shared" si="7"/>
        <v>13</v>
      </c>
      <c r="W37" s="34">
        <f t="shared" si="44"/>
        <v>7.3381610906991028</v>
      </c>
      <c r="X37" s="35">
        <f>+IF($O37&gt;D$8,"FIN",(D$19-SUM(Y$25:Y36))*VLOOKUP($O37,$A:$N,4,0)/VLOOKUP(D$15,$K$1:$M$4,2,0))</f>
        <v>0.2784375</v>
      </c>
      <c r="Y37" s="36">
        <f t="shared" si="33"/>
        <v>8.25</v>
      </c>
      <c r="Z37" s="36">
        <f t="shared" si="9"/>
        <v>8.5284375000000008</v>
      </c>
      <c r="AA37" s="34">
        <f t="shared" si="45"/>
        <v>4.8140806328430106</v>
      </c>
      <c r="AB37" s="35">
        <f>+IF($O37&gt;E$8,"FIN",(E$19-SUM(AC$25:AC36))*VLOOKUP($O37,$A:$N,5,0)/VLOOKUP(E$15,$K$1:$M$4,2,0))</f>
        <v>4.6406250000000003E-2</v>
      </c>
      <c r="AC37" s="36">
        <f t="shared" si="34"/>
        <v>8.25</v>
      </c>
      <c r="AD37" s="36">
        <f t="shared" si="11"/>
        <v>8.2964062500000004</v>
      </c>
      <c r="AE37" s="34">
        <f t="shared" si="46"/>
        <v>4.6831050412602195</v>
      </c>
      <c r="AF37" s="35">
        <f>+IF($O37&gt;F$8,"FIN",(F$19-SUM(AG$25:AG36))*VLOOKUP($O37,$A:$N,6,0)/VLOOKUP(F$15,$K$1:$M$4,2,0))</f>
        <v>2.1656249999999999</v>
      </c>
      <c r="AG37" s="36">
        <f t="shared" si="35"/>
        <v>0</v>
      </c>
      <c r="AH37" s="36">
        <f t="shared" si="13"/>
        <v>2.1656249999999999</v>
      </c>
      <c r="AI37" s="34">
        <f t="shared" si="47"/>
        <v>1.2224388547727112</v>
      </c>
      <c r="AJ37" s="35">
        <f>+IF($O37&gt;G$8,"FIN",(G$19-SUM(AK$25:AK36))*VLOOKUP($O37,$A:$N,7,0)/VLOOKUP(G$15,$K$1:$M$4,2,0))</f>
        <v>1.98</v>
      </c>
      <c r="AK37" s="36">
        <f t="shared" si="36"/>
        <v>0</v>
      </c>
      <c r="AL37" s="36">
        <f t="shared" si="15"/>
        <v>1.98</v>
      </c>
      <c r="AM37" s="34">
        <f t="shared" si="48"/>
        <v>1.1176583815064787</v>
      </c>
      <c r="AN37" s="35">
        <f>+IF($O37&gt;H$8,"FIN",(H$19-SUM(AO$25:AO36))*VLOOKUP($O37,$A:$N,8,0)/VLOOKUP(H$15,$K$1:$M$4,2,0))</f>
        <v>2.25</v>
      </c>
      <c r="AO37" s="36">
        <f t="shared" si="37"/>
        <v>0</v>
      </c>
      <c r="AP37" s="36">
        <f t="shared" si="17"/>
        <v>2.25</v>
      </c>
      <c r="AQ37" s="34">
        <f t="shared" si="49"/>
        <v>1.2700663426209986</v>
      </c>
      <c r="AR37" s="35">
        <f>+IF($O37&gt;I$8,"FIN",(I$19-SUM(AS$25:AS36))*VLOOKUP($O37,$A:$N,9,0)/VLOOKUP(I$15,$K$1:$M$4,2,0))</f>
        <v>2</v>
      </c>
      <c r="AS37" s="36">
        <f t="shared" si="38"/>
        <v>0</v>
      </c>
      <c r="AT37" s="36">
        <f t="shared" si="19"/>
        <v>2</v>
      </c>
      <c r="AU37" s="34">
        <f t="shared" si="50"/>
        <v>1.1289478601075544</v>
      </c>
      <c r="AV37" s="35">
        <f>+IF($O37&gt;J$8,"FIN",(J$19-SUM(AW$25:AW36))*VLOOKUP($O37,$A:$N,10,0)/VLOOKUP(J$15,$K$1:$M$4,2,0))</f>
        <v>1.7500000000000002</v>
      </c>
      <c r="AW37" s="36">
        <f t="shared" si="39"/>
        <v>0</v>
      </c>
      <c r="AX37" s="36">
        <f t="shared" si="21"/>
        <v>1.7500000000000002</v>
      </c>
      <c r="AY37" s="34">
        <f t="shared" si="51"/>
        <v>0.98782937759411016</v>
      </c>
      <c r="AZ37" s="35">
        <f>+IF($O37&gt;K$8,"FIN",(K$19-SUM(BA$25:BA36))*VLOOKUP($O37,$A:$N,11,0)/VLOOKUP(K$15,$K$1:$M$4,2,0))</f>
        <v>1.5</v>
      </c>
      <c r="BA37" s="36">
        <f t="shared" si="40"/>
        <v>0</v>
      </c>
      <c r="BB37" s="36">
        <f t="shared" si="23"/>
        <v>1.5</v>
      </c>
      <c r="BC37" s="34">
        <f t="shared" si="52"/>
        <v>0.84671089508066577</v>
      </c>
      <c r="BD37" s="35">
        <f>+IF($O37&gt;L$8,"FIN",(L$19-SUM(BE$25:BE36))*VLOOKUP($O37,$A:$N,12,0)/VLOOKUP(L$15,$K$1:$M$4,2,0))</f>
        <v>2.0179687500000001</v>
      </c>
      <c r="BE37" s="36">
        <f t="shared" si="41"/>
        <v>2.25</v>
      </c>
      <c r="BF37" s="36">
        <f t="shared" si="25"/>
        <v>4.2679687499999996</v>
      </c>
      <c r="BG37" s="34">
        <f t="shared" si="53"/>
        <v>2.4091570936592066</v>
      </c>
      <c r="BH37" s="35">
        <f>+IF($O37&gt;M$8,"FIN",(M$19-SUM(BI$25:BI36))*VLOOKUP($O37,$A:$N,13,0)/VLOOKUP(M$15,$K$1:$M$4,2,0))</f>
        <v>1.845</v>
      </c>
      <c r="BI37" s="36">
        <f t="shared" si="42"/>
        <v>2.25</v>
      </c>
      <c r="BJ37" s="36">
        <f t="shared" si="27"/>
        <v>4.0949999999999998</v>
      </c>
      <c r="BK37" s="34">
        <f t="shared" si="54"/>
        <v>2.3115207435702172</v>
      </c>
      <c r="BL37" s="4"/>
      <c r="BM37" s="43"/>
    </row>
    <row r="38" spans="1:65" x14ac:dyDescent="0.25">
      <c r="A38" s="27">
        <f t="shared" si="29"/>
        <v>46402</v>
      </c>
      <c r="B38" s="38">
        <v>0.01</v>
      </c>
      <c r="C38" s="39">
        <v>0.01</v>
      </c>
      <c r="D38" s="40">
        <v>7.4999999999999997E-3</v>
      </c>
      <c r="E38" s="40">
        <v>1.25E-3</v>
      </c>
      <c r="F38" s="40">
        <v>4.3749999999999997E-2</v>
      </c>
      <c r="G38" s="40">
        <v>0.04</v>
      </c>
      <c r="H38" s="40">
        <v>0.05</v>
      </c>
      <c r="I38" s="40">
        <v>4.2500000000000003E-2</v>
      </c>
      <c r="J38" s="40">
        <v>3.5000000000000003E-2</v>
      </c>
      <c r="K38" s="40">
        <v>0.03</v>
      </c>
      <c r="L38" s="40">
        <v>4.3749999999999997E-2</v>
      </c>
      <c r="M38" s="41">
        <v>4.1250000000000002E-2</v>
      </c>
      <c r="N38" s="44"/>
      <c r="O38" s="32">
        <f t="shared" si="30"/>
        <v>46402</v>
      </c>
      <c r="P38" s="35">
        <f>+IF($O38&gt;B$8,"FIN",(B$19-SUM(Q$25:Q37))*VLOOKUP($O38,$A:$N,2,0)/VLOOKUP(B$15,$K$1:$M$4,2,0))</f>
        <v>0.4375</v>
      </c>
      <c r="Q38" s="36">
        <f t="shared" si="31"/>
        <v>12.5</v>
      </c>
      <c r="R38" s="36">
        <f t="shared" si="5"/>
        <v>12.9375</v>
      </c>
      <c r="S38" s="34">
        <f t="shared" si="43"/>
        <v>6.9630242754073075</v>
      </c>
      <c r="T38" s="35">
        <f>+IF($O38&gt;C$8,"FIN",(C$19-SUM(U$25:U37))*VLOOKUP($O38,$A:$N,3,0)/VLOOKUP(C$15,$K$1:$M$4,2,0))</f>
        <v>0.4375</v>
      </c>
      <c r="U38" s="36">
        <f t="shared" si="32"/>
        <v>12.5</v>
      </c>
      <c r="V38" s="36">
        <f t="shared" si="7"/>
        <v>12.9375</v>
      </c>
      <c r="W38" s="34">
        <f t="shared" si="44"/>
        <v>6.9630242754073075</v>
      </c>
      <c r="X38" s="35">
        <f>+IF($O38&gt;D$8,"FIN",(D$19-SUM(Y$25:Y37))*VLOOKUP($O38,$A:$N,4,0)/VLOOKUP(D$15,$K$1:$M$4,2,0))</f>
        <v>0.2475</v>
      </c>
      <c r="Y38" s="36">
        <f t="shared" si="33"/>
        <v>8.25</v>
      </c>
      <c r="Z38" s="36">
        <f t="shared" si="9"/>
        <v>8.4975000000000005</v>
      </c>
      <c r="AA38" s="34">
        <f t="shared" si="45"/>
        <v>4.5733950748037566</v>
      </c>
      <c r="AB38" s="35">
        <f>+IF($O38&gt;E$8,"FIN",(E$19-SUM(AC$25:AC37))*VLOOKUP($O38,$A:$N,5,0)/VLOOKUP(E$15,$K$1:$M$4,2,0))</f>
        <v>4.1250000000000002E-2</v>
      </c>
      <c r="AC38" s="36">
        <f t="shared" si="34"/>
        <v>8.25</v>
      </c>
      <c r="AD38" s="36">
        <f t="shared" si="11"/>
        <v>8.2912499999999998</v>
      </c>
      <c r="AE38" s="34">
        <f t="shared" si="46"/>
        <v>4.4623903399784224</v>
      </c>
      <c r="AF38" s="35">
        <f>+IF($O38&gt;F$8,"FIN",(F$19-SUM(AG$25:AG37))*VLOOKUP($O38,$A:$N,6,0)/VLOOKUP(F$15,$K$1:$M$4,2,0))</f>
        <v>2.1656249999999999</v>
      </c>
      <c r="AG38" s="36">
        <f t="shared" si="35"/>
        <v>0</v>
      </c>
      <c r="AH38" s="36">
        <f t="shared" si="13"/>
        <v>2.1656249999999999</v>
      </c>
      <c r="AI38" s="34">
        <f t="shared" si="47"/>
        <v>1.1655497156660057</v>
      </c>
      <c r="AJ38" s="35">
        <f>+IF($O38&gt;G$8,"FIN",(G$19-SUM(AK$25:AK37))*VLOOKUP($O38,$A:$N,7,0)/VLOOKUP(G$15,$K$1:$M$4,2,0))</f>
        <v>1.98</v>
      </c>
      <c r="AK38" s="36">
        <f t="shared" si="36"/>
        <v>0</v>
      </c>
      <c r="AL38" s="36">
        <f t="shared" si="15"/>
        <v>1.98</v>
      </c>
      <c r="AM38" s="34">
        <f t="shared" si="48"/>
        <v>1.0656454543232052</v>
      </c>
      <c r="AN38" s="35">
        <f>+IF($O38&gt;H$8,"FIN",(H$19-SUM(AO$25:AO37))*VLOOKUP($O38,$A:$N,8,0)/VLOOKUP(H$15,$K$1:$M$4,2,0))</f>
        <v>2.5</v>
      </c>
      <c r="AO38" s="36">
        <f t="shared" si="37"/>
        <v>0</v>
      </c>
      <c r="AP38" s="36">
        <f t="shared" si="17"/>
        <v>2.5</v>
      </c>
      <c r="AQ38" s="34">
        <f t="shared" si="49"/>
        <v>1.3455119372767743</v>
      </c>
      <c r="AR38" s="35">
        <f>+IF($O38&gt;I$8,"FIN",(I$19-SUM(AS$25:AS37))*VLOOKUP($O38,$A:$N,9,0)/VLOOKUP(I$15,$K$1:$M$4,2,0))</f>
        <v>2.125</v>
      </c>
      <c r="AS38" s="36">
        <f t="shared" si="38"/>
        <v>0</v>
      </c>
      <c r="AT38" s="36">
        <f t="shared" si="19"/>
        <v>2.125</v>
      </c>
      <c r="AU38" s="34">
        <f t="shared" si="50"/>
        <v>1.1436851466852582</v>
      </c>
      <c r="AV38" s="35">
        <f>+IF($O38&gt;J$8,"FIN",(J$19-SUM(AW$25:AW37))*VLOOKUP($O38,$A:$N,10,0)/VLOOKUP(J$15,$K$1:$M$4,2,0))</f>
        <v>1.7500000000000002</v>
      </c>
      <c r="AW38" s="36">
        <f t="shared" si="39"/>
        <v>3.3333333333333335</v>
      </c>
      <c r="AX38" s="36">
        <f t="shared" si="21"/>
        <v>5.0833333333333339</v>
      </c>
      <c r="AY38" s="34">
        <f t="shared" si="51"/>
        <v>2.7358742724627749</v>
      </c>
      <c r="AZ38" s="35">
        <f>+IF($O38&gt;K$8,"FIN",(K$19-SUM(BA$25:BA37))*VLOOKUP($O38,$A:$N,11,0)/VLOOKUP(K$15,$K$1:$M$4,2,0))</f>
        <v>1.5</v>
      </c>
      <c r="BA38" s="36">
        <f t="shared" si="40"/>
        <v>3.3333333333333335</v>
      </c>
      <c r="BB38" s="36">
        <f t="shared" si="23"/>
        <v>4.8333333333333339</v>
      </c>
      <c r="BC38" s="34">
        <f t="shared" si="52"/>
        <v>2.6013230787350974</v>
      </c>
      <c r="BD38" s="35">
        <f>+IF($O38&gt;L$8,"FIN",(L$19-SUM(BE$25:BE37))*VLOOKUP($O38,$A:$N,12,0)/VLOOKUP(L$15,$K$1:$M$4,2,0))</f>
        <v>1.9687499999999998</v>
      </c>
      <c r="BE38" s="36">
        <f t="shared" si="41"/>
        <v>2.25</v>
      </c>
      <c r="BF38" s="36">
        <f t="shared" si="25"/>
        <v>4.21875</v>
      </c>
      <c r="BG38" s="34">
        <f t="shared" si="53"/>
        <v>2.2705513941545568</v>
      </c>
      <c r="BH38" s="35">
        <f>+IF($O38&gt;M$8,"FIN",(M$19-SUM(BI$25:BI37))*VLOOKUP($O38,$A:$N,13,0)/VLOOKUP(M$15,$K$1:$M$4,2,0))</f>
        <v>1.8562500000000002</v>
      </c>
      <c r="BI38" s="36">
        <f t="shared" si="42"/>
        <v>2.25</v>
      </c>
      <c r="BJ38" s="36">
        <f t="shared" si="27"/>
        <v>4.1062500000000002</v>
      </c>
      <c r="BK38" s="34">
        <f t="shared" si="54"/>
        <v>2.210003356977102</v>
      </c>
      <c r="BL38" s="4"/>
      <c r="BM38" s="43"/>
    </row>
    <row r="39" spans="1:65" x14ac:dyDescent="0.25">
      <c r="A39" s="27">
        <f t="shared" si="29"/>
        <v>46583</v>
      </c>
      <c r="B39" s="38">
        <v>0.01</v>
      </c>
      <c r="C39" s="39">
        <v>0.01</v>
      </c>
      <c r="D39" s="40">
        <v>7.4999999999999997E-3</v>
      </c>
      <c r="E39" s="40">
        <v>1.25E-3</v>
      </c>
      <c r="F39" s="40">
        <v>4.3749999999999997E-2</v>
      </c>
      <c r="G39" s="40">
        <v>0.04</v>
      </c>
      <c r="H39" s="40">
        <v>0.05</v>
      </c>
      <c r="I39" s="40">
        <v>4.2500000000000003E-2</v>
      </c>
      <c r="J39" s="40">
        <v>3.5000000000000003E-2</v>
      </c>
      <c r="K39" s="40">
        <v>0.03</v>
      </c>
      <c r="L39" s="40">
        <v>4.3749999999999997E-2</v>
      </c>
      <c r="M39" s="41">
        <v>4.1250000000000002E-2</v>
      </c>
      <c r="N39" s="44"/>
      <c r="O39" s="32">
        <f t="shared" si="30"/>
        <v>46583</v>
      </c>
      <c r="P39" s="35">
        <f>+IF($O39&gt;B$8,"FIN",(B$19-SUM(Q$25:Q38))*VLOOKUP($O39,$A:$N,2,0)/VLOOKUP(B$15,$K$1:$M$4,2,0))</f>
        <v>0.375</v>
      </c>
      <c r="Q39" s="36">
        <f t="shared" si="31"/>
        <v>12.5</v>
      </c>
      <c r="R39" s="36">
        <f t="shared" si="5"/>
        <v>12.875</v>
      </c>
      <c r="S39" s="34">
        <f>R39/(1+$B$5)^(YEARFRAC($O$25,$O39))</f>
        <v>6.6069107722203455</v>
      </c>
      <c r="T39" s="35">
        <f>+IF($O39&gt;C$8,"FIN",(C$19-SUM(U$25:U38))*VLOOKUP($O39,$A:$N,3,0)/VLOOKUP(C$15,$K$1:$M$4,2,0))</f>
        <v>0.375</v>
      </c>
      <c r="U39" s="36">
        <f t="shared" si="32"/>
        <v>12.5</v>
      </c>
      <c r="V39" s="36">
        <f t="shared" si="7"/>
        <v>12.875</v>
      </c>
      <c r="W39" s="34">
        <f t="shared" si="44"/>
        <v>6.6069107722203455</v>
      </c>
      <c r="X39" s="35">
        <f>+IF($O39&gt;D$8,"FIN",(D$19-SUM(Y$25:Y38))*VLOOKUP($O39,$A:$N,4,0)/VLOOKUP(D$15,$K$1:$M$4,2,0))</f>
        <v>0.21656249999999999</v>
      </c>
      <c r="Y39" s="36">
        <f t="shared" si="33"/>
        <v>8.25</v>
      </c>
      <c r="Z39" s="36">
        <f t="shared" si="9"/>
        <v>8.4665625000000002</v>
      </c>
      <c r="AA39" s="34">
        <f t="shared" si="45"/>
        <v>4.3446852803826657</v>
      </c>
      <c r="AB39" s="35">
        <f>+IF($O39&gt;E$8,"FIN",(E$19-SUM(AC$25:AC38))*VLOOKUP($O39,$A:$N,5,0)/VLOOKUP(E$15,$K$1:$M$4,2,0))</f>
        <v>3.6093750000000001E-2</v>
      </c>
      <c r="AC39" s="36">
        <f t="shared" si="34"/>
        <v>8.25</v>
      </c>
      <c r="AD39" s="36">
        <f t="shared" si="11"/>
        <v>8.2860937499999991</v>
      </c>
      <c r="AE39" s="34">
        <f t="shared" si="46"/>
        <v>4.2520762762332174</v>
      </c>
      <c r="AF39" s="35">
        <f>+IF($O39&gt;F$8,"FIN",(F$19-SUM(AG$25:AG38))*VLOOKUP($O39,$A:$N,6,0)/VLOOKUP(F$15,$K$1:$M$4,2,0))</f>
        <v>2.1656249999999999</v>
      </c>
      <c r="AG39" s="36">
        <f t="shared" si="35"/>
        <v>0</v>
      </c>
      <c r="AH39" s="36">
        <f t="shared" si="13"/>
        <v>2.1656249999999999</v>
      </c>
      <c r="AI39" s="34">
        <f t="shared" si="47"/>
        <v>1.1113080497933736</v>
      </c>
      <c r="AJ39" s="35">
        <f>+IF($O39&gt;G$8,"FIN",(G$19-SUM(AK$25:AK38))*VLOOKUP($O39,$A:$N,7,0)/VLOOKUP(G$15,$K$1:$M$4,2,0))</f>
        <v>1.98</v>
      </c>
      <c r="AK39" s="36">
        <f t="shared" si="36"/>
        <v>0</v>
      </c>
      <c r="AL39" s="36">
        <f t="shared" si="15"/>
        <v>1.98</v>
      </c>
      <c r="AM39" s="34">
        <f t="shared" si="48"/>
        <v>1.0160530740967988</v>
      </c>
      <c r="AN39" s="35">
        <f>+IF($O39&gt;H$8,"FIN",(H$19-SUM(AO$25:AO38))*VLOOKUP($O39,$A:$N,8,0)/VLOOKUP(H$15,$K$1:$M$4,2,0))</f>
        <v>2.5</v>
      </c>
      <c r="AO39" s="36">
        <f t="shared" si="37"/>
        <v>0</v>
      </c>
      <c r="AP39" s="36">
        <f t="shared" si="17"/>
        <v>2.5</v>
      </c>
      <c r="AQ39" s="34">
        <f t="shared" si="49"/>
        <v>1.2828952955767661</v>
      </c>
      <c r="AR39" s="35">
        <f>+IF($O39&gt;I$8,"FIN",(I$19-SUM(AS$25:AS38))*VLOOKUP($O39,$A:$N,9,0)/VLOOKUP(I$15,$K$1:$M$4,2,0))</f>
        <v>2.125</v>
      </c>
      <c r="AS39" s="36">
        <f t="shared" si="38"/>
        <v>0</v>
      </c>
      <c r="AT39" s="36">
        <f t="shared" si="19"/>
        <v>2.125</v>
      </c>
      <c r="AU39" s="34">
        <f t="shared" si="50"/>
        <v>1.0904610012402511</v>
      </c>
      <c r="AV39" s="35">
        <f>+IF($O39&gt;J$8,"FIN",(J$19-SUM(AW$25:AW38))*VLOOKUP($O39,$A:$N,10,0)/VLOOKUP(J$15,$K$1:$M$4,2,0))</f>
        <v>1.6916666666666669</v>
      </c>
      <c r="AW39" s="36">
        <f t="shared" si="39"/>
        <v>3.3333333333333335</v>
      </c>
      <c r="AX39" s="36">
        <f t="shared" si="21"/>
        <v>5.0250000000000004</v>
      </c>
      <c r="AY39" s="34">
        <f t="shared" si="51"/>
        <v>2.5786195441093001</v>
      </c>
      <c r="AZ39" s="35">
        <f>+IF($O39&gt;K$8,"FIN",(K$19-SUM(BA$25:BA38))*VLOOKUP($O39,$A:$N,11,0)/VLOOKUP(K$15,$K$1:$M$4,2,0))</f>
        <v>1.45</v>
      </c>
      <c r="BA39" s="36">
        <f t="shared" si="40"/>
        <v>3.3333333333333335</v>
      </c>
      <c r="BB39" s="36">
        <f t="shared" si="23"/>
        <v>4.7833333333333332</v>
      </c>
      <c r="BC39" s="34">
        <f t="shared" si="52"/>
        <v>2.4546063322035456</v>
      </c>
      <c r="BD39" s="35">
        <f>+IF($O39&gt;L$8,"FIN",(L$19-SUM(BE$25:BE38))*VLOOKUP($O39,$A:$N,12,0)/VLOOKUP(L$15,$K$1:$M$4,2,0))</f>
        <v>1.9195312499999999</v>
      </c>
      <c r="BE39" s="36">
        <f t="shared" si="41"/>
        <v>2.25</v>
      </c>
      <c r="BF39" s="36">
        <f t="shared" si="25"/>
        <v>4.1695312500000004</v>
      </c>
      <c r="BG39" s="34">
        <f t="shared" si="53"/>
        <v>2.1396288101541252</v>
      </c>
      <c r="BH39" s="35">
        <f>+IF($O39&gt;M$8,"FIN",(M$19-SUM(BI$25:BI38))*VLOOKUP($O39,$A:$N,13,0)/VLOOKUP(M$15,$K$1:$M$4,2,0))</f>
        <v>1.8098437500000002</v>
      </c>
      <c r="BI39" s="36">
        <f t="shared" si="42"/>
        <v>2.25</v>
      </c>
      <c r="BJ39" s="36">
        <f t="shared" si="27"/>
        <v>4.0598437500000006</v>
      </c>
      <c r="BK39" s="34">
        <f t="shared" si="54"/>
        <v>2.083341779060695</v>
      </c>
      <c r="BL39" s="4"/>
      <c r="BM39" s="43"/>
    </row>
    <row r="40" spans="1:65" x14ac:dyDescent="0.25">
      <c r="A40" s="27">
        <f t="shared" si="29"/>
        <v>46767</v>
      </c>
      <c r="B40" s="38">
        <v>0.01</v>
      </c>
      <c r="C40" s="39">
        <v>0.01</v>
      </c>
      <c r="D40" s="40">
        <v>1.7500000000000002E-2</v>
      </c>
      <c r="E40" s="40">
        <v>1.25E-3</v>
      </c>
      <c r="F40" s="40">
        <v>4.3749999999999997E-2</v>
      </c>
      <c r="G40" s="40">
        <v>0.04</v>
      </c>
      <c r="H40" s="40">
        <v>0.05</v>
      </c>
      <c r="I40" s="40">
        <v>4.2500000000000003E-2</v>
      </c>
      <c r="J40" s="40">
        <v>3.5000000000000003E-2</v>
      </c>
      <c r="K40" s="40">
        <v>0.03</v>
      </c>
      <c r="L40" s="40">
        <v>4.3749999999999997E-2</v>
      </c>
      <c r="M40" s="41">
        <v>4.1250000000000002E-2</v>
      </c>
      <c r="N40" s="44"/>
      <c r="O40" s="32">
        <f t="shared" si="30"/>
        <v>46767</v>
      </c>
      <c r="P40" s="35">
        <f>+IF($O40&gt;B$8,"FIN",(B$19-SUM(Q$25:Q39))*VLOOKUP($O40,$A:$N,2,0)/VLOOKUP(B$15,$K$1:$M$4,2,0))</f>
        <v>0.3125</v>
      </c>
      <c r="Q40" s="36">
        <f t="shared" si="31"/>
        <v>12.5</v>
      </c>
      <c r="R40" s="36">
        <f t="shared" si="5"/>
        <v>12.8125</v>
      </c>
      <c r="S40" s="34">
        <f t="shared" si="43"/>
        <v>6.2688624350395159</v>
      </c>
      <c r="T40" s="35">
        <f>+IF($O40&gt;C$8,"FIN",(C$19-SUM(U$25:U39))*VLOOKUP($O40,$A:$N,3,0)/VLOOKUP(C$15,$K$1:$M$4,2,0))</f>
        <v>0.3125</v>
      </c>
      <c r="U40" s="36">
        <f t="shared" si="32"/>
        <v>12.5</v>
      </c>
      <c r="V40" s="36">
        <f t="shared" si="7"/>
        <v>12.8125</v>
      </c>
      <c r="W40" s="34">
        <f t="shared" si="44"/>
        <v>6.2688624350395159</v>
      </c>
      <c r="X40" s="35">
        <f>+IF($O40&gt;D$8,"FIN",(D$19-SUM(Y$25:Y39))*VLOOKUP($O40,$A:$N,4,0)/VLOOKUP(D$15,$K$1:$M$4,2,0))</f>
        <v>0.43312500000000004</v>
      </c>
      <c r="Y40" s="36">
        <f t="shared" si="33"/>
        <v>8.25</v>
      </c>
      <c r="Z40" s="36">
        <f t="shared" si="9"/>
        <v>8.6831250000000004</v>
      </c>
      <c r="AA40" s="34">
        <f t="shared" si="45"/>
        <v>4.2484539419514142</v>
      </c>
      <c r="AB40" s="35">
        <f>+IF($O40&gt;E$8,"FIN",(E$19-SUM(AC$25:AC39))*VLOOKUP($O40,$A:$N,5,0)/VLOOKUP(E$15,$K$1:$M$4,2,0))</f>
        <v>3.09375E-2</v>
      </c>
      <c r="AC40" s="36">
        <f t="shared" si="34"/>
        <v>8.25</v>
      </c>
      <c r="AD40" s="36">
        <f t="shared" si="11"/>
        <v>8.2809375000000003</v>
      </c>
      <c r="AE40" s="34">
        <f t="shared" si="46"/>
        <v>4.0516728211246864</v>
      </c>
      <c r="AF40" s="35">
        <f>+IF($O40&gt;F$8,"FIN",(F$19-SUM(AG$25:AG39))*VLOOKUP($O40,$A:$N,6,0)/VLOOKUP(F$15,$K$1:$M$4,2,0))</f>
        <v>2.1656249999999999</v>
      </c>
      <c r="AG40" s="36">
        <f t="shared" si="35"/>
        <v>0</v>
      </c>
      <c r="AH40" s="36">
        <f t="shared" si="13"/>
        <v>2.1656249999999999</v>
      </c>
      <c r="AI40" s="34">
        <f t="shared" si="47"/>
        <v>1.0595906506054595</v>
      </c>
      <c r="AJ40" s="35">
        <f>+IF($O40&gt;G$8,"FIN",(G$19-SUM(AK$25:AK39))*VLOOKUP($O40,$A:$N,7,0)/VLOOKUP(G$15,$K$1:$M$4,2,0))</f>
        <v>1.98</v>
      </c>
      <c r="AK40" s="36">
        <f t="shared" si="36"/>
        <v>0</v>
      </c>
      <c r="AL40" s="36">
        <f t="shared" si="15"/>
        <v>1.98</v>
      </c>
      <c r="AM40" s="34">
        <f t="shared" si="48"/>
        <v>0.96876859483927735</v>
      </c>
      <c r="AN40" s="35">
        <f>+IF($O40&gt;H$8,"FIN",(H$19-SUM(AO$25:AO39))*VLOOKUP($O40,$A:$N,8,0)/VLOOKUP(H$15,$K$1:$M$4,2,0))</f>
        <v>2.5</v>
      </c>
      <c r="AO40" s="36">
        <f t="shared" si="37"/>
        <v>4.5454545454545459</v>
      </c>
      <c r="AP40" s="36">
        <f t="shared" si="17"/>
        <v>7.0454545454545459</v>
      </c>
      <c r="AQ40" s="34">
        <f t="shared" si="49"/>
        <v>3.447179343436364</v>
      </c>
      <c r="AR40" s="35">
        <f>+IF($O40&gt;I$8,"FIN",(I$19-SUM(AS$25:AS39))*VLOOKUP($O40,$A:$N,9,0)/VLOOKUP(I$15,$K$1:$M$4,2,0))</f>
        <v>2.125</v>
      </c>
      <c r="AS40" s="36">
        <f t="shared" si="38"/>
        <v>4.5454545454545459</v>
      </c>
      <c r="AT40" s="36">
        <f t="shared" si="19"/>
        <v>6.6704545454545459</v>
      </c>
      <c r="AU40" s="34">
        <f t="shared" si="50"/>
        <v>3.2637004428986218</v>
      </c>
      <c r="AV40" s="35">
        <f>+IF($O40&gt;J$8,"FIN",(J$19-SUM(AW$25:AW39))*VLOOKUP($O40,$A:$N,10,0)/VLOOKUP(J$15,$K$1:$M$4,2,0))</f>
        <v>1.6333333333333333</v>
      </c>
      <c r="AW40" s="36">
        <f t="shared" si="39"/>
        <v>3.3333333333333335</v>
      </c>
      <c r="AX40" s="36">
        <f t="shared" si="21"/>
        <v>4.9666666666666668</v>
      </c>
      <c r="AY40" s="34">
        <f t="shared" si="51"/>
        <v>2.4300761048998711</v>
      </c>
      <c r="AZ40" s="35">
        <f>+IF($O40&gt;K$8,"FIN",(K$19-SUM(BA$25:BA39))*VLOOKUP($O40,$A:$N,11,0)/VLOOKUP(K$15,$K$1:$M$4,2,0))</f>
        <v>1.4</v>
      </c>
      <c r="BA40" s="36">
        <f t="shared" si="40"/>
        <v>3.3333333333333335</v>
      </c>
      <c r="BB40" s="36">
        <f t="shared" si="23"/>
        <v>4.7333333333333334</v>
      </c>
      <c r="BC40" s="34">
        <f t="shared" si="52"/>
        <v>2.3159114556763871</v>
      </c>
      <c r="BD40" s="35">
        <f>+IF($O40&gt;L$8,"FIN",(L$19-SUM(BE$25:BE39))*VLOOKUP($O40,$A:$N,12,0)/VLOOKUP(L$15,$K$1:$M$4,2,0))</f>
        <v>1.8703124999999998</v>
      </c>
      <c r="BE40" s="36">
        <f t="shared" si="41"/>
        <v>2.25</v>
      </c>
      <c r="BF40" s="36">
        <f t="shared" si="25"/>
        <v>4.1203124999999998</v>
      </c>
      <c r="BG40" s="34">
        <f t="shared" si="53"/>
        <v>2.0159744196584395</v>
      </c>
      <c r="BH40" s="35">
        <f>+IF($O40&gt;M$8,"FIN",(M$19-SUM(BI$25:BI39))*VLOOKUP($O40,$A:$N,13,0)/VLOOKUP(M$15,$K$1:$M$4,2,0))</f>
        <v>1.7634375</v>
      </c>
      <c r="BI40" s="36">
        <f t="shared" si="42"/>
        <v>2.25</v>
      </c>
      <c r="BJ40" s="36">
        <f t="shared" si="27"/>
        <v>4.0134375000000002</v>
      </c>
      <c r="BK40" s="34">
        <f t="shared" si="54"/>
        <v>1.963682933005183</v>
      </c>
      <c r="BL40" s="4"/>
      <c r="BM40" s="43"/>
    </row>
    <row r="41" spans="1:65" x14ac:dyDescent="0.25">
      <c r="A41" s="27">
        <f t="shared" si="29"/>
        <v>46949</v>
      </c>
      <c r="B41" s="38">
        <v>0.01</v>
      </c>
      <c r="C41" s="39">
        <v>0.01</v>
      </c>
      <c r="D41" s="40">
        <v>1.7500000000000002E-2</v>
      </c>
      <c r="E41" s="40">
        <v>1.25E-3</v>
      </c>
      <c r="F41" s="40">
        <v>4.3749999999999997E-2</v>
      </c>
      <c r="G41" s="40">
        <v>0.04</v>
      </c>
      <c r="H41" s="40">
        <v>0.05</v>
      </c>
      <c r="I41" s="40">
        <v>4.2500000000000003E-2</v>
      </c>
      <c r="J41" s="40">
        <v>3.5000000000000003E-2</v>
      </c>
      <c r="K41" s="40">
        <v>0.03</v>
      </c>
      <c r="L41" s="40">
        <v>4.3749999999999997E-2</v>
      </c>
      <c r="M41" s="41">
        <v>4.1250000000000002E-2</v>
      </c>
      <c r="N41" s="44"/>
      <c r="O41" s="32">
        <f t="shared" si="30"/>
        <v>46949</v>
      </c>
      <c r="P41" s="35">
        <f>+IF($O41&gt;B$8,"FIN",(B$19-SUM(Q$25:Q40))*VLOOKUP($O41,$A:$N,2,0)/VLOOKUP(B$15,$K$1:$M$4,2,0))</f>
        <v>0.25</v>
      </c>
      <c r="Q41" s="36">
        <f t="shared" si="31"/>
        <v>12.5</v>
      </c>
      <c r="R41" s="36">
        <f t="shared" si="5"/>
        <v>12.75</v>
      </c>
      <c r="S41" s="34">
        <f t="shared" si="43"/>
        <v>5.9479690976740978</v>
      </c>
      <c r="T41" s="35">
        <f>+IF($O41&gt;C$8,"FIN",(C$19-SUM(U$25:U40))*VLOOKUP($O41,$A:$N,3,0)/VLOOKUP(C$15,$K$1:$M$4,2,0))</f>
        <v>0.25</v>
      </c>
      <c r="U41" s="36">
        <f t="shared" si="32"/>
        <v>12.5</v>
      </c>
      <c r="V41" s="36">
        <f t="shared" si="7"/>
        <v>12.75</v>
      </c>
      <c r="W41" s="34">
        <f t="shared" si="44"/>
        <v>5.9479690976740978</v>
      </c>
      <c r="X41" s="35">
        <f>+IF($O41&gt;D$8,"FIN",(D$19-SUM(Y$25:Y40))*VLOOKUP($O41,$A:$N,4,0)/VLOOKUP(D$15,$K$1:$M$4,2,0))</f>
        <v>0.36093750000000002</v>
      </c>
      <c r="Y41" s="36">
        <f t="shared" si="33"/>
        <v>8.25</v>
      </c>
      <c r="Z41" s="36">
        <f t="shared" si="9"/>
        <v>8.6109375000000004</v>
      </c>
      <c r="AA41" s="34">
        <f t="shared" si="45"/>
        <v>4.017065894274749</v>
      </c>
      <c r="AB41" s="35">
        <f>+IF($O41&gt;E$8,"FIN",(E$19-SUM(AC$25:AC40))*VLOOKUP($O41,$A:$N,5,0)/VLOOKUP(E$15,$K$1:$M$4,2,0))</f>
        <v>2.5781250000000002E-2</v>
      </c>
      <c r="AC41" s="36">
        <f t="shared" si="34"/>
        <v>8.25</v>
      </c>
      <c r="AD41" s="36">
        <f t="shared" si="11"/>
        <v>8.2757812499999996</v>
      </c>
      <c r="AE41" s="34">
        <f t="shared" si="46"/>
        <v>3.8607130301263308</v>
      </c>
      <c r="AF41" s="35">
        <f>+IF($O41&gt;F$8,"FIN",(F$19-SUM(AG$25:AG40))*VLOOKUP($O41,$A:$N,6,0)/VLOOKUP(F$15,$K$1:$M$4,2,0))</f>
        <v>2.1656249999999999</v>
      </c>
      <c r="AG41" s="36">
        <f t="shared" si="35"/>
        <v>0</v>
      </c>
      <c r="AH41" s="36">
        <f t="shared" si="13"/>
        <v>2.1656249999999999</v>
      </c>
      <c r="AI41" s="34">
        <f t="shared" si="47"/>
        <v>1.0102800452667033</v>
      </c>
      <c r="AJ41" s="35">
        <f>+IF($O41&gt;G$8,"FIN",(G$19-SUM(AK$25:AK40))*VLOOKUP($O41,$A:$N,7,0)/VLOOKUP(G$15,$K$1:$M$4,2,0))</f>
        <v>1.98</v>
      </c>
      <c r="AK41" s="36">
        <f t="shared" si="36"/>
        <v>0</v>
      </c>
      <c r="AL41" s="36">
        <f t="shared" si="15"/>
        <v>1.98</v>
      </c>
      <c r="AM41" s="34">
        <f t="shared" si="48"/>
        <v>0.9236846128152717</v>
      </c>
      <c r="AN41" s="35">
        <f>+IF($O41&gt;H$8,"FIN",(H$19-SUM(AO$25:AO40))*VLOOKUP($O41,$A:$N,8,0)/VLOOKUP(H$15,$K$1:$M$4,2,0))</f>
        <v>2.3863636363636362</v>
      </c>
      <c r="AO41" s="36">
        <f t="shared" si="37"/>
        <v>4.5454545454545459</v>
      </c>
      <c r="AP41" s="36">
        <f t="shared" si="17"/>
        <v>6.9318181818181817</v>
      </c>
      <c r="AQ41" s="34">
        <f t="shared" si="49"/>
        <v>3.2337443400901957</v>
      </c>
      <c r="AR41" s="35">
        <f>+IF($O41&gt;I$8,"FIN",(I$19-SUM(AS$25:AS40))*VLOOKUP($O41,$A:$N,9,0)/VLOOKUP(I$15,$K$1:$M$4,2,0))</f>
        <v>2.0284090909090908</v>
      </c>
      <c r="AS41" s="36">
        <f t="shared" si="38"/>
        <v>4.5454545454545459</v>
      </c>
      <c r="AT41" s="36">
        <f t="shared" si="19"/>
        <v>6.5738636363636367</v>
      </c>
      <c r="AU41" s="34">
        <f t="shared" si="50"/>
        <v>3.0667559028560301</v>
      </c>
      <c r="AV41" s="35">
        <f>+IF($O41&gt;J$8,"FIN",(J$19-SUM(AW$25:AW40))*VLOOKUP($O41,$A:$N,10,0)/VLOOKUP(J$15,$K$1:$M$4,2,0))</f>
        <v>1.5750000000000002</v>
      </c>
      <c r="AW41" s="36">
        <f t="shared" si="39"/>
        <v>3.3333333333333335</v>
      </c>
      <c r="AX41" s="36">
        <f t="shared" si="21"/>
        <v>4.9083333333333332</v>
      </c>
      <c r="AY41" s="34">
        <f t="shared" si="51"/>
        <v>2.2897737245294403</v>
      </c>
      <c r="AZ41" s="35">
        <f>+IF($O41&gt;K$8,"FIN",(K$19-SUM(BA$25:BA40))*VLOOKUP($O41,$A:$N,11,0)/VLOOKUP(K$15,$K$1:$M$4,2,0))</f>
        <v>1.3499999999999999</v>
      </c>
      <c r="BA41" s="36">
        <f t="shared" si="40"/>
        <v>3.3333333333333335</v>
      </c>
      <c r="BB41" s="36">
        <f t="shared" si="23"/>
        <v>4.6833333333333336</v>
      </c>
      <c r="BC41" s="34">
        <f t="shared" si="52"/>
        <v>2.1848095639822507</v>
      </c>
      <c r="BD41" s="35">
        <f>+IF($O41&gt;L$8,"FIN",(L$19-SUM(BE$25:BE40))*VLOOKUP($O41,$A:$N,12,0)/VLOOKUP(L$15,$K$1:$M$4,2,0))</f>
        <v>1.82109375</v>
      </c>
      <c r="BE41" s="36">
        <f t="shared" si="41"/>
        <v>2.25</v>
      </c>
      <c r="BF41" s="36">
        <f t="shared" si="25"/>
        <v>4.0710937500000002</v>
      </c>
      <c r="BG41" s="34">
        <f t="shared" si="53"/>
        <v>1.8991952799007186</v>
      </c>
      <c r="BH41" s="35">
        <f>+IF($O41&gt;M$8,"FIN",(M$19-SUM(BI$25:BI40))*VLOOKUP($O41,$A:$N,13,0)/VLOOKUP(M$15,$K$1:$M$4,2,0))</f>
        <v>1.71703125</v>
      </c>
      <c r="BI41" s="36">
        <f t="shared" si="42"/>
        <v>2.25</v>
      </c>
      <c r="BJ41" s="36">
        <f t="shared" si="27"/>
        <v>3.9670312499999998</v>
      </c>
      <c r="BK41" s="34">
        <f t="shared" si="54"/>
        <v>1.8506493556476429</v>
      </c>
      <c r="BL41" s="4"/>
      <c r="BM41" s="43"/>
    </row>
    <row r="42" spans="1:65" x14ac:dyDescent="0.25">
      <c r="A42" s="27">
        <f t="shared" si="29"/>
        <v>47133</v>
      </c>
      <c r="B42" s="38">
        <v>0.01</v>
      </c>
      <c r="C42" s="39">
        <v>0.01</v>
      </c>
      <c r="D42" s="40">
        <v>1.7500000000000002E-2</v>
      </c>
      <c r="E42" s="40">
        <v>1.25E-3</v>
      </c>
      <c r="F42" s="40">
        <v>0.05</v>
      </c>
      <c r="G42" s="40">
        <v>0.04</v>
      </c>
      <c r="H42" s="40">
        <v>0.05</v>
      </c>
      <c r="I42" s="40">
        <v>4.2500000000000003E-2</v>
      </c>
      <c r="J42" s="40">
        <v>3.5000000000000003E-2</v>
      </c>
      <c r="K42" s="40">
        <v>0.03</v>
      </c>
      <c r="L42" s="40">
        <v>0.05</v>
      </c>
      <c r="M42" s="41">
        <v>4.1250000000000002E-2</v>
      </c>
      <c r="N42" s="44"/>
      <c r="O42" s="32">
        <f t="shared" si="30"/>
        <v>47133</v>
      </c>
      <c r="P42" s="35">
        <f>+IF($O42&gt;B$8,"FIN",(B$19-SUM(Q$25:Q41))*VLOOKUP($O42,$A:$N,2,0)/VLOOKUP(B$15,$K$1:$M$4,2,0))</f>
        <v>0.1875</v>
      </c>
      <c r="Q42" s="36">
        <f t="shared" si="31"/>
        <v>12.5</v>
      </c>
      <c r="R42" s="36">
        <f t="shared" si="5"/>
        <v>12.6875</v>
      </c>
      <c r="S42" s="34">
        <f t="shared" si="43"/>
        <v>5.6433661832063047</v>
      </c>
      <c r="T42" s="35">
        <f>+IF($O42&gt;C$8,"FIN",(C$19-SUM(U$25:U41))*VLOOKUP($O42,$A:$N,3,0)/VLOOKUP(C$15,$K$1:$M$4,2,0))</f>
        <v>0.1875</v>
      </c>
      <c r="U42" s="36">
        <f t="shared" si="32"/>
        <v>12.5</v>
      </c>
      <c r="V42" s="36">
        <f t="shared" si="7"/>
        <v>12.6875</v>
      </c>
      <c r="W42" s="34">
        <f t="shared" si="44"/>
        <v>5.6433661832063047</v>
      </c>
      <c r="X42" s="35">
        <f>+IF($O42&gt;D$8,"FIN",(D$19-SUM(Y$25:Y41))*VLOOKUP($O42,$A:$N,4,0)/VLOOKUP(D$15,$K$1:$M$4,2,0))</f>
        <v>0.28875000000000001</v>
      </c>
      <c r="Y42" s="36">
        <f t="shared" si="33"/>
        <v>8.25</v>
      </c>
      <c r="Z42" s="36">
        <f t="shared" si="9"/>
        <v>8.5387500000000003</v>
      </c>
      <c r="AA42" s="34">
        <f t="shared" si="45"/>
        <v>3.7980132411312577</v>
      </c>
      <c r="AB42" s="35">
        <f>+IF($O42&gt;E$8,"FIN",(E$19-SUM(AC$25:AC41))*VLOOKUP($O42,$A:$N,5,0)/VLOOKUP(E$15,$K$1:$M$4,2,0))</f>
        <v>2.0625000000000001E-2</v>
      </c>
      <c r="AC42" s="36">
        <f t="shared" si="34"/>
        <v>8.25</v>
      </c>
      <c r="AD42" s="36">
        <f t="shared" si="11"/>
        <v>8.2706250000000008</v>
      </c>
      <c r="AE42" s="34">
        <f t="shared" si="46"/>
        <v>3.6787519557817259</v>
      </c>
      <c r="AF42" s="35">
        <f>+IF($O42&gt;F$8,"FIN",(F$19-SUM(AG$25:AG41))*VLOOKUP($O42,$A:$N,6,0)/VLOOKUP(F$15,$K$1:$M$4,2,0))</f>
        <v>2.4750000000000001</v>
      </c>
      <c r="AG42" s="36">
        <f t="shared" si="35"/>
        <v>0</v>
      </c>
      <c r="AH42" s="36">
        <f t="shared" si="13"/>
        <v>2.4750000000000001</v>
      </c>
      <c r="AI42" s="34">
        <f t="shared" si="47"/>
        <v>1.1008734032264516</v>
      </c>
      <c r="AJ42" s="35">
        <f>+IF($O42&gt;G$8,"FIN",(G$19-SUM(AK$25:AK41))*VLOOKUP($O42,$A:$N,7,0)/VLOOKUP(G$15,$K$1:$M$4,2,0))</f>
        <v>1.98</v>
      </c>
      <c r="AK42" s="36">
        <f t="shared" si="36"/>
        <v>0</v>
      </c>
      <c r="AL42" s="36">
        <f t="shared" si="15"/>
        <v>1.98</v>
      </c>
      <c r="AM42" s="34">
        <f t="shared" si="48"/>
        <v>0.88069872258116122</v>
      </c>
      <c r="AN42" s="35">
        <f>+IF($O42&gt;H$8,"FIN",(H$19-SUM(AO$25:AO41))*VLOOKUP($O42,$A:$N,8,0)/VLOOKUP(H$15,$K$1:$M$4,2,0))</f>
        <v>2.2727272727272729</v>
      </c>
      <c r="AO42" s="36">
        <f t="shared" si="37"/>
        <v>4.5454545454545459</v>
      </c>
      <c r="AP42" s="36">
        <f t="shared" si="17"/>
        <v>6.8181818181818183</v>
      </c>
      <c r="AQ42" s="34">
        <f t="shared" si="49"/>
        <v>3.0327090997973869</v>
      </c>
      <c r="AR42" s="35">
        <f>+IF($O42&gt;I$8,"FIN",(I$19-SUM(AS$25:AS41))*VLOOKUP($O42,$A:$N,9,0)/VLOOKUP(I$15,$K$1:$M$4,2,0))</f>
        <v>1.9318181818181819</v>
      </c>
      <c r="AS42" s="36">
        <f t="shared" si="38"/>
        <v>4.5454545454545459</v>
      </c>
      <c r="AT42" s="36">
        <f t="shared" si="19"/>
        <v>6.4772727272727275</v>
      </c>
      <c r="AU42" s="34">
        <f t="shared" si="50"/>
        <v>2.8810736448075178</v>
      </c>
      <c r="AV42" s="35">
        <f>+IF($O42&gt;J$8,"FIN",(J$19-SUM(AW$25:AW41))*VLOOKUP($O42,$A:$N,10,0)/VLOOKUP(J$15,$K$1:$M$4,2,0))</f>
        <v>1.5166666666666668</v>
      </c>
      <c r="AW42" s="36">
        <f t="shared" si="39"/>
        <v>3.3333333333333335</v>
      </c>
      <c r="AX42" s="36">
        <f t="shared" si="21"/>
        <v>4.8500000000000005</v>
      </c>
      <c r="AY42" s="34">
        <f t="shared" si="51"/>
        <v>2.1572670729892081</v>
      </c>
      <c r="AZ42" s="35">
        <f>+IF($O42&gt;K$8,"FIN",(K$19-SUM(BA$25:BA41))*VLOOKUP($O42,$A:$N,11,0)/VLOOKUP(K$15,$K$1:$M$4,2,0))</f>
        <v>1.3</v>
      </c>
      <c r="BA42" s="36">
        <f t="shared" si="40"/>
        <v>3.3333333333333335</v>
      </c>
      <c r="BB42" s="36">
        <f t="shared" si="23"/>
        <v>4.6333333333333337</v>
      </c>
      <c r="BC42" s="34">
        <f t="shared" si="52"/>
        <v>2.0608943171512024</v>
      </c>
      <c r="BD42" s="35">
        <f>+IF($O42&gt;L$8,"FIN",(L$19-SUM(BE$25:BE41))*VLOOKUP($O42,$A:$N,12,0)/VLOOKUP(L$15,$K$1:$M$4,2,0))</f>
        <v>2.0249999999999999</v>
      </c>
      <c r="BE42" s="36">
        <f t="shared" si="41"/>
        <v>2.25</v>
      </c>
      <c r="BF42" s="36">
        <f t="shared" si="25"/>
        <v>4.2750000000000004</v>
      </c>
      <c r="BG42" s="34">
        <f t="shared" si="53"/>
        <v>1.9015086055729618</v>
      </c>
      <c r="BH42" s="35">
        <f>+IF($O42&gt;M$8,"FIN",(M$19-SUM(BI$25:BI41))*VLOOKUP($O42,$A:$N,13,0)/VLOOKUP(M$15,$K$1:$M$4,2,0))</f>
        <v>1.670625</v>
      </c>
      <c r="BI42" s="36">
        <f t="shared" si="42"/>
        <v>2.25</v>
      </c>
      <c r="BJ42" s="36">
        <f t="shared" si="27"/>
        <v>3.9206250000000002</v>
      </c>
      <c r="BK42" s="34">
        <f t="shared" si="54"/>
        <v>1.7438835501109926</v>
      </c>
      <c r="BL42" s="4"/>
      <c r="BM42" s="43"/>
    </row>
    <row r="43" spans="1:65" x14ac:dyDescent="0.25">
      <c r="A43" s="27">
        <f t="shared" si="29"/>
        <v>47314</v>
      </c>
      <c r="B43" s="38">
        <v>0.01</v>
      </c>
      <c r="C43" s="39">
        <v>0.01</v>
      </c>
      <c r="D43" s="40">
        <v>1.7500000000000002E-2</v>
      </c>
      <c r="E43" s="40">
        <v>1.25E-3</v>
      </c>
      <c r="F43" s="40">
        <v>0.05</v>
      </c>
      <c r="G43" s="40">
        <v>0.04</v>
      </c>
      <c r="H43" s="40">
        <v>0.05</v>
      </c>
      <c r="I43" s="40">
        <v>4.2500000000000003E-2</v>
      </c>
      <c r="J43" s="40">
        <v>4.8750000000000002E-2</v>
      </c>
      <c r="K43" s="40">
        <v>4.4999999999999998E-2</v>
      </c>
      <c r="L43" s="40">
        <v>0.05</v>
      </c>
      <c r="M43" s="41">
        <v>4.1250000000000002E-2</v>
      </c>
      <c r="N43" s="44"/>
      <c r="O43" s="32">
        <f t="shared" si="30"/>
        <v>47314</v>
      </c>
      <c r="P43" s="35">
        <f>+IF($O43&gt;B$8,"FIN",(B$19-SUM(Q$25:Q42))*VLOOKUP($O43,$A:$N,2,0)/VLOOKUP(B$15,$K$1:$M$4,2,0))</f>
        <v>0.125</v>
      </c>
      <c r="Q43" s="36">
        <f t="shared" si="31"/>
        <v>12.5</v>
      </c>
      <c r="R43" s="36">
        <f t="shared" si="5"/>
        <v>12.625</v>
      </c>
      <c r="S43" s="34">
        <f t="shared" si="43"/>
        <v>5.3542324319526191</v>
      </c>
      <c r="T43" s="35">
        <f>+IF($O43&gt;C$8,"FIN",(C$19-SUM(U$25:U42))*VLOOKUP($O43,$A:$N,3,0)/VLOOKUP(C$15,$K$1:$M$4,2,0))</f>
        <v>0.125</v>
      </c>
      <c r="U43" s="36">
        <f t="shared" si="32"/>
        <v>12.5</v>
      </c>
      <c r="V43" s="36">
        <f t="shared" si="7"/>
        <v>12.625</v>
      </c>
      <c r="W43" s="34">
        <f t="shared" si="44"/>
        <v>5.3542324319526191</v>
      </c>
      <c r="X43" s="35">
        <f>+IF($O43&gt;D$8,"FIN",(D$19-SUM(Y$25:Y42))*VLOOKUP($O43,$A:$N,4,0)/VLOOKUP(D$15,$K$1:$M$4,2,0))</f>
        <v>0.21656250000000002</v>
      </c>
      <c r="Y43" s="36">
        <f t="shared" si="33"/>
        <v>8.25</v>
      </c>
      <c r="Z43" s="36">
        <f t="shared" si="9"/>
        <v>8.4665625000000002</v>
      </c>
      <c r="AA43" s="34">
        <f t="shared" si="45"/>
        <v>3.5906489920517899</v>
      </c>
      <c r="AB43" s="35">
        <f>+IF($O43&gt;E$8,"FIN",(E$19-SUM(AC$25:AC42))*VLOOKUP($O43,$A:$N,5,0)/VLOOKUP(E$15,$K$1:$M$4,2,0))</f>
        <v>1.546875E-2</v>
      </c>
      <c r="AC43" s="36">
        <f t="shared" si="34"/>
        <v>8.25</v>
      </c>
      <c r="AD43" s="36">
        <f t="shared" si="11"/>
        <v>8.2654687500000001</v>
      </c>
      <c r="AE43" s="34">
        <f t="shared" si="46"/>
        <v>3.5053656116071981</v>
      </c>
      <c r="AF43" s="35">
        <f>+IF($O43&gt;F$8,"FIN",(F$19-SUM(AG$25:AG42))*VLOOKUP($O43,$A:$N,6,0)/VLOOKUP(F$15,$K$1:$M$4,2,0))</f>
        <v>2.4750000000000001</v>
      </c>
      <c r="AG43" s="36">
        <f t="shared" si="35"/>
        <v>0</v>
      </c>
      <c r="AH43" s="36">
        <f t="shared" si="13"/>
        <v>2.4750000000000001</v>
      </c>
      <c r="AI43" s="34">
        <f t="shared" si="47"/>
        <v>1.0496416054718996</v>
      </c>
      <c r="AJ43" s="35">
        <f>+IF($O43&gt;G$8,"FIN",(G$19-SUM(AK$25:AK42))*VLOOKUP($O43,$A:$N,7,0)/VLOOKUP(G$15,$K$1:$M$4,2,0))</f>
        <v>1.98</v>
      </c>
      <c r="AK43" s="36">
        <f t="shared" si="36"/>
        <v>0</v>
      </c>
      <c r="AL43" s="36">
        <f t="shared" si="15"/>
        <v>1.98</v>
      </c>
      <c r="AM43" s="34">
        <f t="shared" si="48"/>
        <v>0.83971328437751958</v>
      </c>
      <c r="AN43" s="35">
        <f>+IF($O43&gt;H$8,"FIN",(H$19-SUM(AO$25:AO42))*VLOOKUP($O43,$A:$N,8,0)/VLOOKUP(H$15,$K$1:$M$4,2,0))</f>
        <v>2.1590909090909092</v>
      </c>
      <c r="AO43" s="36">
        <f t="shared" si="37"/>
        <v>4.5454545454545459</v>
      </c>
      <c r="AP43" s="36">
        <f t="shared" si="17"/>
        <v>6.704545454545455</v>
      </c>
      <c r="AQ43" s="34">
        <f t="shared" si="49"/>
        <v>2.8433817595427953</v>
      </c>
      <c r="AR43" s="35">
        <f>+IF($O43&gt;I$8,"FIN",(I$19-SUM(AS$25:AS42))*VLOOKUP($O43,$A:$N,9,0)/VLOOKUP(I$15,$K$1:$M$4,2,0))</f>
        <v>1.8352272727272727</v>
      </c>
      <c r="AS43" s="36">
        <f t="shared" si="38"/>
        <v>4.5454545454545459</v>
      </c>
      <c r="AT43" s="36">
        <f t="shared" si="19"/>
        <v>6.3806818181818183</v>
      </c>
      <c r="AU43" s="34">
        <f t="shared" si="50"/>
        <v>2.7060319626835243</v>
      </c>
      <c r="AV43" s="35">
        <f>+IF($O43&gt;J$8,"FIN",(J$19-SUM(AW$25:AW42))*VLOOKUP($O43,$A:$N,10,0)/VLOOKUP(J$15,$K$1:$M$4,2,0))</f>
        <v>2.03125</v>
      </c>
      <c r="AW43" s="36">
        <f t="shared" si="39"/>
        <v>3.3333333333333335</v>
      </c>
      <c r="AX43" s="36">
        <f t="shared" si="21"/>
        <v>5.3645833333333339</v>
      </c>
      <c r="AY43" s="34">
        <f t="shared" si="51"/>
        <v>2.275107015227392</v>
      </c>
      <c r="AZ43" s="35">
        <f>+IF($O43&gt;K$8,"FIN",(K$19-SUM(BA$25:BA42))*VLOOKUP($O43,$A:$N,11,0)/VLOOKUP(K$15,$K$1:$M$4,2,0))</f>
        <v>1.8749999999999998</v>
      </c>
      <c r="BA43" s="36">
        <f t="shared" si="40"/>
        <v>3.3333333333333335</v>
      </c>
      <c r="BB43" s="36">
        <f t="shared" si="23"/>
        <v>5.208333333333333</v>
      </c>
      <c r="BC43" s="34">
        <f t="shared" si="52"/>
        <v>2.2088417623566907</v>
      </c>
      <c r="BD43" s="35">
        <f>+IF($O43&gt;L$8,"FIN",(L$19-SUM(BE$25:BE42))*VLOOKUP($O43,$A:$N,12,0)/VLOOKUP(L$15,$K$1:$M$4,2,0))</f>
        <v>1.96875</v>
      </c>
      <c r="BE43" s="36">
        <f t="shared" si="41"/>
        <v>2.25</v>
      </c>
      <c r="BF43" s="36">
        <f t="shared" si="25"/>
        <v>4.21875</v>
      </c>
      <c r="BG43" s="34">
        <f t="shared" si="53"/>
        <v>1.7891618275089196</v>
      </c>
      <c r="BH43" s="35">
        <f>+IF($O43&gt;M$8,"FIN",(M$19-SUM(BI$25:BI42))*VLOOKUP($O43,$A:$N,13,0)/VLOOKUP(M$15,$K$1:$M$4,2,0))</f>
        <v>1.62421875</v>
      </c>
      <c r="BI43" s="36">
        <f t="shared" si="42"/>
        <v>2.25</v>
      </c>
      <c r="BJ43" s="36">
        <f t="shared" si="27"/>
        <v>3.8742187499999998</v>
      </c>
      <c r="BK43" s="34">
        <f t="shared" si="54"/>
        <v>1.6430469449290246</v>
      </c>
      <c r="BL43" s="4"/>
      <c r="BM43" s="43"/>
    </row>
    <row r="44" spans="1:65" x14ac:dyDescent="0.25">
      <c r="A44" s="27">
        <f t="shared" si="29"/>
        <v>47498</v>
      </c>
      <c r="B44" s="38">
        <v>0.01</v>
      </c>
      <c r="C44" s="39">
        <v>0.01</v>
      </c>
      <c r="D44" s="40">
        <v>1.7500000000000002E-2</v>
      </c>
      <c r="E44" s="40">
        <v>1.25E-3</v>
      </c>
      <c r="F44" s="40">
        <v>0.05</v>
      </c>
      <c r="G44" s="40">
        <v>0.04</v>
      </c>
      <c r="H44" s="40">
        <v>0.05</v>
      </c>
      <c r="I44" s="40">
        <v>4.2500000000000003E-2</v>
      </c>
      <c r="J44" s="40">
        <v>4.8750000000000002E-2</v>
      </c>
      <c r="K44" s="40">
        <v>4.4999999999999998E-2</v>
      </c>
      <c r="L44" s="40">
        <v>0.05</v>
      </c>
      <c r="M44" s="41">
        <v>4.1250000000000002E-2</v>
      </c>
      <c r="N44" s="44"/>
      <c r="O44" s="32">
        <f t="shared" si="30"/>
        <v>47498</v>
      </c>
      <c r="P44" s="35">
        <f>+IF($O44&gt;B$8,"FIN",(B$19-SUM(Q$25:Q43))*VLOOKUP($O44,$A:$N,2,0)/VLOOKUP(B$15,$K$1:$M$4,2,0))</f>
        <v>6.25E-2</v>
      </c>
      <c r="Q44" s="36">
        <f t="shared" si="31"/>
        <v>12.5</v>
      </c>
      <c r="R44" s="36">
        <f t="shared" si="5"/>
        <v>12.5625</v>
      </c>
      <c r="S44" s="34">
        <f t="shared" si="43"/>
        <v>5.0797877421606232</v>
      </c>
      <c r="T44" s="35">
        <f>+IF($O44&gt;C$8,"FIN",(C$19-SUM(U$25:U43))*VLOOKUP($O44,$A:$N,3,0)/VLOOKUP(C$15,$K$1:$M$4,2,0))</f>
        <v>6.25E-2</v>
      </c>
      <c r="U44" s="36">
        <f t="shared" si="32"/>
        <v>12.5</v>
      </c>
      <c r="V44" s="36">
        <f t="shared" si="7"/>
        <v>12.5625</v>
      </c>
      <c r="W44" s="34">
        <f t="shared" si="44"/>
        <v>5.0797877421606232</v>
      </c>
      <c r="X44" s="35">
        <f>+IF($O44&gt;D$8,"FIN",(D$19-SUM(Y$25:Y43))*VLOOKUP($O44,$A:$N,4,0)/VLOOKUP(D$15,$K$1:$M$4,2,0))</f>
        <v>0.144375</v>
      </c>
      <c r="Y44" s="36">
        <f t="shared" si="33"/>
        <v>8.25</v>
      </c>
      <c r="Z44" s="36">
        <f t="shared" si="9"/>
        <v>8.3943750000000001</v>
      </c>
      <c r="AA44" s="34">
        <f t="shared" si="45"/>
        <v>3.3943596599482255</v>
      </c>
      <c r="AB44" s="35">
        <f>+IF($O44&gt;E$8,"FIN",(E$19-SUM(AC$25:AC43))*VLOOKUP($O44,$A:$N,5,0)/VLOOKUP(E$15,$K$1:$M$4,2,0))</f>
        <v>1.03125E-2</v>
      </c>
      <c r="AC44" s="36">
        <f t="shared" si="34"/>
        <v>8.25</v>
      </c>
      <c r="AD44" s="36">
        <f t="shared" si="11"/>
        <v>8.2603124999999995</v>
      </c>
      <c r="AE44" s="34">
        <f t="shared" si="46"/>
        <v>3.3401499847893472</v>
      </c>
      <c r="AF44" s="35">
        <f>+IF($O44&gt;F$8,"FIN",(F$19-SUM(AG$25:AG43))*VLOOKUP($O44,$A:$N,6,0)/VLOOKUP(F$15,$K$1:$M$4,2,0))</f>
        <v>2.4750000000000001</v>
      </c>
      <c r="AG44" s="36">
        <f t="shared" si="35"/>
        <v>0</v>
      </c>
      <c r="AH44" s="36">
        <f t="shared" si="13"/>
        <v>2.4750000000000001</v>
      </c>
      <c r="AI44" s="34">
        <f t="shared" si="47"/>
        <v>1.0007940029331377</v>
      </c>
      <c r="AJ44" s="35">
        <f>+IF($O44&gt;G$8,"FIN",(G$19-SUM(AK$25:AK43))*VLOOKUP($O44,$A:$N,7,0)/VLOOKUP(G$15,$K$1:$M$4,2,0))</f>
        <v>1.98</v>
      </c>
      <c r="AK44" s="36">
        <f t="shared" si="36"/>
        <v>0</v>
      </c>
      <c r="AL44" s="36">
        <f t="shared" si="15"/>
        <v>1.98</v>
      </c>
      <c r="AM44" s="34">
        <f t="shared" si="48"/>
        <v>0.8006352023465102</v>
      </c>
      <c r="AN44" s="35">
        <f>+IF($O44&gt;H$8,"FIN",(H$19-SUM(AO$25:AO43))*VLOOKUP($O44,$A:$N,8,0)/VLOOKUP(H$15,$K$1:$M$4,2,0))</f>
        <v>2.0454545454545454</v>
      </c>
      <c r="AO44" s="36">
        <f t="shared" si="37"/>
        <v>4.5454545454545459</v>
      </c>
      <c r="AP44" s="36">
        <f t="shared" si="17"/>
        <v>6.5909090909090917</v>
      </c>
      <c r="AQ44" s="34">
        <f t="shared" si="49"/>
        <v>2.6651079967916438</v>
      </c>
      <c r="AR44" s="35">
        <f>+IF($O44&gt;I$8,"FIN",(I$19-SUM(AS$25:AS43))*VLOOKUP($O44,$A:$N,9,0)/VLOOKUP(I$15,$K$1:$M$4,2,0))</f>
        <v>1.7386363636363638</v>
      </c>
      <c r="AS44" s="36">
        <f t="shared" si="38"/>
        <v>4.5454545454545459</v>
      </c>
      <c r="AT44" s="36">
        <f t="shared" si="19"/>
        <v>6.2840909090909101</v>
      </c>
      <c r="AU44" s="34">
        <f t="shared" si="50"/>
        <v>2.5410426245272051</v>
      </c>
      <c r="AV44" s="35">
        <f>+IF($O44&gt;J$8,"FIN",(J$19-SUM(AW$25:AW43))*VLOOKUP($O44,$A:$N,10,0)/VLOOKUP(J$15,$K$1:$M$4,2,0))</f>
        <v>1.9500000000000002</v>
      </c>
      <c r="AW44" s="36">
        <f t="shared" si="39"/>
        <v>3.3333333333333335</v>
      </c>
      <c r="AX44" s="36">
        <f t="shared" si="21"/>
        <v>5.2833333333333332</v>
      </c>
      <c r="AY44" s="34">
        <f t="shared" si="51"/>
        <v>2.1363750769683816</v>
      </c>
      <c r="AZ44" s="35">
        <f>+IF($O44&gt;K$8,"FIN",(K$19-SUM(BA$25:BA43))*VLOOKUP($O44,$A:$N,11,0)/VLOOKUP(K$15,$K$1:$M$4,2,0))</f>
        <v>1.7999999999999998</v>
      </c>
      <c r="BA44" s="36">
        <f t="shared" si="40"/>
        <v>3.3333333333333335</v>
      </c>
      <c r="BB44" s="36">
        <f t="shared" si="23"/>
        <v>5.1333333333333329</v>
      </c>
      <c r="BC44" s="34">
        <f t="shared" si="52"/>
        <v>2.0757208949724335</v>
      </c>
      <c r="BD44" s="35">
        <f>+IF($O44&gt;L$8,"FIN",(L$19-SUM(BE$25:BE43))*VLOOKUP($O44,$A:$N,12,0)/VLOOKUP(L$15,$K$1:$M$4,2,0))</f>
        <v>1.9125000000000001</v>
      </c>
      <c r="BE44" s="36">
        <f t="shared" si="41"/>
        <v>2.25</v>
      </c>
      <c r="BF44" s="36">
        <f t="shared" si="25"/>
        <v>4.1624999999999996</v>
      </c>
      <c r="BG44" s="34">
        <f t="shared" si="53"/>
        <v>1.6831535503875497</v>
      </c>
      <c r="BH44" s="35">
        <f>+IF($O44&gt;M$8,"FIN",(M$19-SUM(BI$25:BI43))*VLOOKUP($O44,$A:$N,13,0)/VLOOKUP(M$15,$K$1:$M$4,2,0))</f>
        <v>1.5778125000000001</v>
      </c>
      <c r="BI44" s="36">
        <f t="shared" si="42"/>
        <v>2.25</v>
      </c>
      <c r="BJ44" s="36">
        <f t="shared" si="27"/>
        <v>3.8278125000000003</v>
      </c>
      <c r="BK44" s="34">
        <f t="shared" si="54"/>
        <v>1.5478189068090915</v>
      </c>
      <c r="BL44" s="4"/>
      <c r="BM44" s="43"/>
    </row>
    <row r="45" spans="1:65" x14ac:dyDescent="0.25">
      <c r="A45" s="27">
        <f t="shared" si="29"/>
        <v>47679</v>
      </c>
      <c r="B45" s="38"/>
      <c r="C45" s="39"/>
      <c r="D45" s="40">
        <v>1.7500000000000002E-2</v>
      </c>
      <c r="E45" s="40">
        <v>1.25E-3</v>
      </c>
      <c r="F45" s="40">
        <v>0.05</v>
      </c>
      <c r="G45" s="40">
        <v>0.04</v>
      </c>
      <c r="H45" s="40">
        <v>0.05</v>
      </c>
      <c r="I45" s="40">
        <v>4.2500000000000003E-2</v>
      </c>
      <c r="J45" s="40">
        <v>4.8750000000000002E-2</v>
      </c>
      <c r="K45" s="40">
        <v>4.4999999999999998E-2</v>
      </c>
      <c r="L45" s="40">
        <v>0.05</v>
      </c>
      <c r="M45" s="41">
        <v>4.1250000000000002E-2</v>
      </c>
      <c r="N45" s="44"/>
      <c r="O45" s="32">
        <f t="shared" si="30"/>
        <v>47679</v>
      </c>
      <c r="P45" s="35"/>
      <c r="Q45" s="36"/>
      <c r="R45" s="36"/>
      <c r="S45" s="34"/>
      <c r="T45" s="35"/>
      <c r="U45" s="36"/>
      <c r="V45" s="36"/>
      <c r="W45" s="34"/>
      <c r="X45" s="35">
        <f>+IF($O45&gt;D$8,"FIN",(D$19-SUM(Y$25:Y44))*VLOOKUP($O45,$A:$N,4,0)/VLOOKUP(D$15,$K$1:$M$4,2,0))</f>
        <v>7.2187500000000002E-2</v>
      </c>
      <c r="Y45" s="36">
        <f t="shared" si="33"/>
        <v>8.25</v>
      </c>
      <c r="Z45" s="36">
        <f t="shared" si="9"/>
        <v>8.3221875000000001</v>
      </c>
      <c r="AA45" s="34">
        <f t="shared" si="45"/>
        <v>3.208563543999329</v>
      </c>
      <c r="AB45" s="35">
        <f>+IF($O45&gt;E$8,"FIN",(E$19-SUM(AC$25:AC44))*VLOOKUP($O45,$A:$N,5,0)/VLOOKUP(E$15,$K$1:$M$4,2,0))</f>
        <v>5.1562500000000002E-3</v>
      </c>
      <c r="AC45" s="36">
        <f t="shared" si="34"/>
        <v>8.25</v>
      </c>
      <c r="AD45" s="36">
        <f t="shared" si="11"/>
        <v>8.2551562500000006</v>
      </c>
      <c r="AE45" s="34">
        <f t="shared" si="46"/>
        <v>3.1827200953797559</v>
      </c>
      <c r="AF45" s="35">
        <f>+IF($O45&gt;F$8,"FIN",(F$19-SUM(AG$25:AG44))*VLOOKUP($O45,$A:$N,6,0)/VLOOKUP(F$15,$K$1:$M$4,2,0))</f>
        <v>2.4750000000000001</v>
      </c>
      <c r="AG45" s="36">
        <f t="shared" si="35"/>
        <v>0</v>
      </c>
      <c r="AH45" s="36">
        <f t="shared" si="13"/>
        <v>2.4750000000000001</v>
      </c>
      <c r="AI45" s="34">
        <f t="shared" si="47"/>
        <v>0.95421964133809045</v>
      </c>
      <c r="AJ45" s="35">
        <f>+IF($O45&gt;G$8,"FIN",(G$19-SUM(AK$25:AK44))*VLOOKUP($O45,$A:$N,7,0)/VLOOKUP(G$15,$K$1:$M$4,2,0))</f>
        <v>1.98</v>
      </c>
      <c r="AK45" s="36">
        <f t="shared" si="36"/>
        <v>0</v>
      </c>
      <c r="AL45" s="36">
        <f t="shared" si="15"/>
        <v>1.98</v>
      </c>
      <c r="AM45" s="34">
        <f t="shared" si="48"/>
        <v>0.76337571307047225</v>
      </c>
      <c r="AN45" s="35">
        <f>+IF($O45&gt;H$8,"FIN",(H$19-SUM(AO$25:AO44))*VLOOKUP($O45,$A:$N,8,0)/VLOOKUP(H$15,$K$1:$M$4,2,0))</f>
        <v>1.9318181818181817</v>
      </c>
      <c r="AO45" s="36">
        <f t="shared" si="37"/>
        <v>4.5454545454545459</v>
      </c>
      <c r="AP45" s="36">
        <f t="shared" si="17"/>
        <v>6.4772727272727275</v>
      </c>
      <c r="AQ45" s="34">
        <f t="shared" si="49"/>
        <v>2.4972690338049199</v>
      </c>
      <c r="AR45" s="35">
        <f>+IF($O45&gt;I$8,"FIN",(I$19-SUM(AS$25:AS44))*VLOOKUP($O45,$A:$N,9,0)/VLOOKUP(I$15,$K$1:$M$4,2,0))</f>
        <v>1.6420454545454546</v>
      </c>
      <c r="AS45" s="36">
        <f t="shared" si="38"/>
        <v>4.5454545454545459</v>
      </c>
      <c r="AT45" s="36">
        <f t="shared" si="19"/>
        <v>6.1875</v>
      </c>
      <c r="AU45" s="34">
        <f t="shared" si="50"/>
        <v>2.3855491033452259</v>
      </c>
      <c r="AV45" s="35">
        <f>+IF($O45&gt;J$8,"FIN",(J$19-SUM(AW$25:AW44))*VLOOKUP($O45,$A:$N,10,0)/VLOOKUP(J$15,$K$1:$M$4,2,0))</f>
        <v>1.8687500000000001</v>
      </c>
      <c r="AW45" s="36">
        <f t="shared" si="39"/>
        <v>3.3333333333333335</v>
      </c>
      <c r="AX45" s="36">
        <f t="shared" si="21"/>
        <v>5.2020833333333334</v>
      </c>
      <c r="AY45" s="34">
        <f t="shared" si="51"/>
        <v>2.0056283202198752</v>
      </c>
      <c r="AZ45" s="35">
        <f>+IF($O45&gt;K$8,"FIN",(K$19-SUM(BA$25:BA44))*VLOOKUP($O45,$A:$N,11,0)/VLOOKUP(K$15,$K$1:$M$4,2,0))</f>
        <v>1.7250000000000001</v>
      </c>
      <c r="BA45" s="36">
        <f t="shared" si="40"/>
        <v>3.3333333333333335</v>
      </c>
      <c r="BB45" s="36">
        <f t="shared" si="23"/>
        <v>5.0583333333333336</v>
      </c>
      <c r="BC45" s="34">
        <f t="shared" si="52"/>
        <v>1.9502064723643802</v>
      </c>
      <c r="BD45" s="35">
        <f>+IF($O45&gt;L$8,"FIN",(L$19-SUM(BE$25:BE44))*VLOOKUP($O45,$A:$N,12,0)/VLOOKUP(L$15,$K$1:$M$4,2,0))</f>
        <v>1.8562500000000002</v>
      </c>
      <c r="BE45" s="36">
        <f t="shared" si="41"/>
        <v>2.25</v>
      </c>
      <c r="BF45" s="36">
        <f t="shared" si="25"/>
        <v>4.1062500000000002</v>
      </c>
      <c r="BG45" s="34">
        <f t="shared" si="53"/>
        <v>1.5831371322200136</v>
      </c>
      <c r="BH45" s="35">
        <f>+IF($O45&gt;M$8,"FIN",(M$19-SUM(BI$25:BI44))*VLOOKUP($O45,$A:$N,13,0)/VLOOKUP(M$15,$K$1:$M$4,2,0))</f>
        <v>1.5314062500000001</v>
      </c>
      <c r="BI45" s="36">
        <f t="shared" si="42"/>
        <v>2.25</v>
      </c>
      <c r="BJ45" s="36">
        <f t="shared" si="27"/>
        <v>3.7814062499999999</v>
      </c>
      <c r="BK45" s="34">
        <f t="shared" si="54"/>
        <v>1.4578958042943893</v>
      </c>
      <c r="BL45" s="4"/>
      <c r="BM45" s="43"/>
    </row>
    <row r="46" spans="1:65" x14ac:dyDescent="0.25">
      <c r="A46" s="27">
        <f t="shared" si="29"/>
        <v>47863</v>
      </c>
      <c r="B46" s="38"/>
      <c r="C46" s="39"/>
      <c r="D46" s="40"/>
      <c r="E46" s="40"/>
      <c r="F46" s="40">
        <v>0.05</v>
      </c>
      <c r="G46" s="40">
        <v>0.04</v>
      </c>
      <c r="H46" s="40">
        <v>0.05</v>
      </c>
      <c r="I46" s="40">
        <v>4.2500000000000003E-2</v>
      </c>
      <c r="J46" s="40">
        <v>4.8750000000000002E-2</v>
      </c>
      <c r="K46" s="40">
        <v>4.4999999999999998E-2</v>
      </c>
      <c r="L46" s="40">
        <v>0.05</v>
      </c>
      <c r="M46" s="41">
        <v>4.1250000000000002E-2</v>
      </c>
      <c r="N46" s="44"/>
      <c r="O46" s="32">
        <f t="shared" si="30"/>
        <v>47863</v>
      </c>
      <c r="P46" s="35"/>
      <c r="Q46" s="36"/>
      <c r="R46" s="36"/>
      <c r="S46" s="34"/>
      <c r="T46" s="35"/>
      <c r="U46" s="36"/>
      <c r="V46" s="36"/>
      <c r="W46" s="34"/>
      <c r="X46" s="35"/>
      <c r="Y46" s="36"/>
      <c r="Z46" s="36"/>
      <c r="AA46" s="34"/>
      <c r="AB46" s="35"/>
      <c r="AC46" s="36"/>
      <c r="AD46" s="36"/>
      <c r="AE46" s="34"/>
      <c r="AF46" s="35">
        <f>+IF($O46&gt;F$8,"FIN",(F$19-SUM(AG$25:AG45))*VLOOKUP($O46,$A:$N,6,0)/VLOOKUP(F$15,$K$1:$M$4,2,0))</f>
        <v>2.4750000000000001</v>
      </c>
      <c r="AG46" s="36">
        <f t="shared" si="35"/>
        <v>9.9</v>
      </c>
      <c r="AH46" s="36">
        <f t="shared" si="13"/>
        <v>12.375</v>
      </c>
      <c r="AI46" s="34">
        <f t="shared" si="47"/>
        <v>4.5490636496960795</v>
      </c>
      <c r="AJ46" s="35">
        <f>+IF($O46&gt;G$8,"FIN",(G$19-SUM(AK$25:AK45))*VLOOKUP($O46,$A:$N,7,0)/VLOOKUP(G$15,$K$1:$M$4,2,0))</f>
        <v>1.98</v>
      </c>
      <c r="AK46" s="36">
        <f t="shared" si="36"/>
        <v>9.9</v>
      </c>
      <c r="AL46" s="36">
        <f t="shared" si="15"/>
        <v>11.88</v>
      </c>
      <c r="AM46" s="34">
        <f t="shared" si="48"/>
        <v>4.3671011037082366</v>
      </c>
      <c r="AN46" s="35">
        <f>+IF($O46&gt;H$8,"FIN",(H$19-SUM(AO$25:AO45))*VLOOKUP($O46,$A:$N,8,0)/VLOOKUP(H$15,$K$1:$M$4,2,0))</f>
        <v>1.8181818181818181</v>
      </c>
      <c r="AO46" s="36">
        <f t="shared" si="37"/>
        <v>4.5454545454545459</v>
      </c>
      <c r="AP46" s="36">
        <f t="shared" si="17"/>
        <v>6.3636363636363642</v>
      </c>
      <c r="AQ46" s="34">
        <f t="shared" si="49"/>
        <v>2.3392797464001882</v>
      </c>
      <c r="AR46" s="35">
        <f>+IF($O46&gt;I$8,"FIN",(I$19-SUM(AS$25:AS45))*VLOOKUP($O46,$A:$N,9,0)/VLOOKUP(I$15,$K$1:$M$4,2,0))</f>
        <v>1.5454545454545454</v>
      </c>
      <c r="AS46" s="36">
        <f t="shared" si="38"/>
        <v>4.5454545454545459</v>
      </c>
      <c r="AT46" s="36">
        <f t="shared" si="19"/>
        <v>6.0909090909090917</v>
      </c>
      <c r="AU46" s="34">
        <f t="shared" si="50"/>
        <v>2.2390249001258944</v>
      </c>
      <c r="AV46" s="35">
        <f>+IF($O46&gt;J$8,"FIN",(J$19-SUM(AW$25:AW45))*VLOOKUP($O46,$A:$N,10,0)/VLOOKUP(J$15,$K$1:$M$4,2,0))</f>
        <v>1.7875000000000003</v>
      </c>
      <c r="AW46" s="36">
        <f t="shared" si="39"/>
        <v>3.3333333333333335</v>
      </c>
      <c r="AX46" s="36">
        <f t="shared" si="21"/>
        <v>5.1208333333333336</v>
      </c>
      <c r="AY46" s="34">
        <f t="shared" si="51"/>
        <v>1.8824239816419133</v>
      </c>
      <c r="AZ46" s="35">
        <f>+IF($O46&gt;K$8,"FIN",(K$19-SUM(BA$25:BA45))*VLOOKUP($O46,$A:$N,11,0)/VLOOKUP(K$15,$K$1:$M$4,2,0))</f>
        <v>1.6500000000000001</v>
      </c>
      <c r="BA46" s="36">
        <f t="shared" si="40"/>
        <v>3.3333333333333335</v>
      </c>
      <c r="BB46" s="36">
        <f t="shared" si="23"/>
        <v>4.9833333333333334</v>
      </c>
      <c r="BC46" s="34">
        <f t="shared" si="52"/>
        <v>1.8318788299786235</v>
      </c>
      <c r="BD46" s="35">
        <f>+IF($O46&gt;L$8,"FIN",(L$19-SUM(BE$25:BE45))*VLOOKUP($O46,$A:$N,12,0)/VLOOKUP(L$15,$K$1:$M$4,2,0))</f>
        <v>1.8</v>
      </c>
      <c r="BE46" s="36">
        <f t="shared" si="41"/>
        <v>2.25</v>
      </c>
      <c r="BF46" s="36">
        <f t="shared" si="25"/>
        <v>4.05</v>
      </c>
      <c r="BG46" s="34">
        <f t="shared" si="53"/>
        <v>1.4887844671732624</v>
      </c>
      <c r="BH46" s="35">
        <f>+IF($O46&gt;M$8,"FIN",(M$19-SUM(BI$25:BI45))*VLOOKUP($O46,$A:$N,13,0)/VLOOKUP(M$15,$K$1:$M$4,2,0))</f>
        <v>1.4850000000000001</v>
      </c>
      <c r="BI46" s="36">
        <f t="shared" si="42"/>
        <v>2.25</v>
      </c>
      <c r="BJ46" s="36">
        <f t="shared" si="27"/>
        <v>3.7350000000000003</v>
      </c>
      <c r="BK46" s="34">
        <f t="shared" si="54"/>
        <v>1.3729901197264534</v>
      </c>
      <c r="BL46" s="4"/>
      <c r="BM46" s="43"/>
    </row>
    <row r="47" spans="1:65" x14ac:dyDescent="0.25">
      <c r="A47" s="27">
        <f t="shared" si="29"/>
        <v>48044</v>
      </c>
      <c r="B47" s="38"/>
      <c r="C47" s="39"/>
      <c r="D47" s="40"/>
      <c r="E47" s="40"/>
      <c r="F47" s="40">
        <v>0.05</v>
      </c>
      <c r="G47" s="40">
        <v>0.04</v>
      </c>
      <c r="H47" s="40">
        <v>0.05</v>
      </c>
      <c r="I47" s="40">
        <v>4.2500000000000003E-2</v>
      </c>
      <c r="J47" s="40">
        <v>4.8750000000000002E-2</v>
      </c>
      <c r="K47" s="40">
        <v>4.4999999999999998E-2</v>
      </c>
      <c r="L47" s="40">
        <v>0.05</v>
      </c>
      <c r="M47" s="41">
        <v>4.1250000000000002E-2</v>
      </c>
      <c r="N47" s="44"/>
      <c r="O47" s="32">
        <f t="shared" si="30"/>
        <v>48044</v>
      </c>
      <c r="P47" s="35"/>
      <c r="Q47" s="36"/>
      <c r="R47" s="36"/>
      <c r="S47" s="34"/>
      <c r="T47" s="35"/>
      <c r="U47" s="36"/>
      <c r="V47" s="36"/>
      <c r="W47" s="34"/>
      <c r="X47" s="35"/>
      <c r="Y47" s="36"/>
      <c r="Z47" s="36"/>
      <c r="AA47" s="34"/>
      <c r="AB47" s="35"/>
      <c r="AC47" s="36"/>
      <c r="AD47" s="36"/>
      <c r="AE47" s="34"/>
      <c r="AF47" s="35">
        <f>+IF($O47&gt;F$8,"FIN",(F$19-SUM(AG$25:AG46))*VLOOKUP($O47,$A:$N,6,0)/VLOOKUP(F$15,$K$1:$M$4,2,0))</f>
        <v>2.2275</v>
      </c>
      <c r="AG47" s="36">
        <f t="shared" si="35"/>
        <v>9.9</v>
      </c>
      <c r="AH47" s="36">
        <f t="shared" si="13"/>
        <v>12.127500000000001</v>
      </c>
      <c r="AI47" s="34">
        <f t="shared" si="47"/>
        <v>4.2506147659605844</v>
      </c>
      <c r="AJ47" s="35">
        <f>+IF($O47&gt;G$8,"FIN",(G$19-SUM(AK$25:AK46))*VLOOKUP($O47,$A:$N,7,0)/VLOOKUP(G$15,$K$1:$M$4,2,0))</f>
        <v>1.782</v>
      </c>
      <c r="AK47" s="36">
        <f t="shared" si="36"/>
        <v>9.9</v>
      </c>
      <c r="AL47" s="36">
        <f t="shared" si="15"/>
        <v>11.682</v>
      </c>
      <c r="AM47" s="34">
        <f t="shared" si="48"/>
        <v>4.094469733741624</v>
      </c>
      <c r="AN47" s="35">
        <f>+IF($O47&gt;H$8,"FIN",(H$19-SUM(AO$25:AO46))*VLOOKUP($O47,$A:$N,8,0)/VLOOKUP(H$15,$K$1:$M$4,2,0))</f>
        <v>1.7045454545454544</v>
      </c>
      <c r="AO47" s="36">
        <f t="shared" si="37"/>
        <v>4.5454545454545459</v>
      </c>
      <c r="AP47" s="36">
        <f t="shared" si="17"/>
        <v>6.25</v>
      </c>
      <c r="AQ47" s="34">
        <f t="shared" si="49"/>
        <v>2.1905868717587014</v>
      </c>
      <c r="AR47" s="35">
        <f>+IF($O47&gt;I$8,"FIN",(I$19-SUM(AS$25:AS46))*VLOOKUP($O47,$A:$N,9,0)/VLOOKUP(I$15,$K$1:$M$4,2,0))</f>
        <v>1.4488636363636362</v>
      </c>
      <c r="AS47" s="36">
        <f t="shared" si="38"/>
        <v>4.5454545454545459</v>
      </c>
      <c r="AT47" s="36">
        <f t="shared" si="19"/>
        <v>5.9943181818181817</v>
      </c>
      <c r="AU47" s="34">
        <f t="shared" si="50"/>
        <v>2.1009719542776635</v>
      </c>
      <c r="AV47" s="35">
        <f>+IF($O47&gt;J$8,"FIN",(J$19-SUM(AW$25:AW46))*VLOOKUP($O47,$A:$N,10,0)/VLOOKUP(J$15,$K$1:$M$4,2,0))</f>
        <v>1.70625</v>
      </c>
      <c r="AW47" s="36">
        <f t="shared" si="39"/>
        <v>3.3333333333333335</v>
      </c>
      <c r="AX47" s="36">
        <f t="shared" si="21"/>
        <v>5.0395833333333337</v>
      </c>
      <c r="AY47" s="34">
        <f t="shared" si="51"/>
        <v>1.7663432142614328</v>
      </c>
      <c r="AZ47" s="35">
        <f>+IF($O47&gt;K$8,"FIN",(K$19-SUM(BA$25:BA46))*VLOOKUP($O47,$A:$N,11,0)/VLOOKUP(K$15,$K$1:$M$4,2,0))</f>
        <v>1.575</v>
      </c>
      <c r="BA47" s="36">
        <f t="shared" si="40"/>
        <v>3.3333333333333335</v>
      </c>
      <c r="BB47" s="36">
        <f t="shared" si="23"/>
        <v>4.9083333333333332</v>
      </c>
      <c r="BC47" s="34">
        <f t="shared" si="52"/>
        <v>1.7203408899545001</v>
      </c>
      <c r="BD47" s="35">
        <f>+IF($O47&gt;L$8,"FIN",(L$19-SUM(BE$25:BE46))*VLOOKUP($O47,$A:$N,12,0)/VLOOKUP(L$15,$K$1:$M$4,2,0))</f>
        <v>1.7437500000000001</v>
      </c>
      <c r="BE47" s="36">
        <f t="shared" si="41"/>
        <v>2.25</v>
      </c>
      <c r="BF47" s="36">
        <f t="shared" si="25"/>
        <v>3.9937500000000004</v>
      </c>
      <c r="BG47" s="34">
        <f t="shared" si="53"/>
        <v>1.3997850110538101</v>
      </c>
      <c r="BH47" s="35">
        <f>+IF($O47&gt;M$8,"FIN",(M$19-SUM(BI$25:BI46))*VLOOKUP($O47,$A:$N,13,0)/VLOOKUP(M$15,$K$1:$M$4,2,0))</f>
        <v>1.4385937500000001</v>
      </c>
      <c r="BI47" s="36">
        <f t="shared" si="42"/>
        <v>2.25</v>
      </c>
      <c r="BJ47" s="36">
        <f t="shared" si="27"/>
        <v>3.6885937499999999</v>
      </c>
      <c r="BK47" s="34">
        <f t="shared" si="54"/>
        <v>1.2928296070401915</v>
      </c>
      <c r="BL47" s="4"/>
      <c r="BM47" s="43"/>
    </row>
    <row r="48" spans="1:65" x14ac:dyDescent="0.25">
      <c r="A48" s="27">
        <f t="shared" si="29"/>
        <v>48228</v>
      </c>
      <c r="B48" s="38"/>
      <c r="C48" s="39"/>
      <c r="D48" s="40"/>
      <c r="E48" s="40"/>
      <c r="F48" s="40">
        <v>0.05</v>
      </c>
      <c r="G48" s="40">
        <v>0.04</v>
      </c>
      <c r="H48" s="40">
        <v>0.05</v>
      </c>
      <c r="I48" s="40">
        <v>4.2500000000000003E-2</v>
      </c>
      <c r="J48" s="40">
        <v>4.8750000000000002E-2</v>
      </c>
      <c r="K48" s="40">
        <v>4.4999999999999998E-2</v>
      </c>
      <c r="L48" s="40">
        <v>0.05</v>
      </c>
      <c r="M48" s="41">
        <v>4.1250000000000002E-2</v>
      </c>
      <c r="N48" s="44"/>
      <c r="O48" s="32">
        <f t="shared" si="30"/>
        <v>48228</v>
      </c>
      <c r="P48" s="35"/>
      <c r="Q48" s="36"/>
      <c r="R48" s="36"/>
      <c r="S48" s="34"/>
      <c r="T48" s="35"/>
      <c r="U48" s="36"/>
      <c r="V48" s="36"/>
      <c r="W48" s="34"/>
      <c r="X48" s="35"/>
      <c r="Y48" s="36"/>
      <c r="Z48" s="36"/>
      <c r="AA48" s="34"/>
      <c r="AB48" s="35"/>
      <c r="AC48" s="36"/>
      <c r="AD48" s="36"/>
      <c r="AE48" s="34"/>
      <c r="AF48" s="35">
        <f>+IF($O48&gt;F$8,"FIN",(F$19-SUM(AG$25:AG47))*VLOOKUP($O48,$A:$N,6,0)/VLOOKUP(F$15,$K$1:$M$4,2,0))</f>
        <v>1.9800000000000002</v>
      </c>
      <c r="AG48" s="36">
        <f t="shared" si="35"/>
        <v>9.9</v>
      </c>
      <c r="AH48" s="36">
        <f t="shared" si="13"/>
        <v>11.88</v>
      </c>
      <c r="AI48" s="34">
        <f t="shared" si="47"/>
        <v>3.9700919124620331</v>
      </c>
      <c r="AJ48" s="35">
        <f>+IF($O48&gt;G$8,"FIN",(G$19-SUM(AK$25:AK47))*VLOOKUP($O48,$A:$N,7,0)/VLOOKUP(G$15,$K$1:$M$4,2,0))</f>
        <v>1.5840000000000001</v>
      </c>
      <c r="AK48" s="36">
        <f t="shared" si="36"/>
        <v>9.9</v>
      </c>
      <c r="AL48" s="36">
        <f t="shared" si="15"/>
        <v>11.484</v>
      </c>
      <c r="AM48" s="34">
        <f t="shared" si="48"/>
        <v>3.837755515379965</v>
      </c>
      <c r="AN48" s="35">
        <f>+IF($O48&gt;H$8,"FIN",(H$19-SUM(AO$25:AO47))*VLOOKUP($O48,$A:$N,8,0)/VLOOKUP(H$15,$K$1:$M$4,2,0))</f>
        <v>1.5909090909090908</v>
      </c>
      <c r="AO48" s="36">
        <f t="shared" si="37"/>
        <v>4.5454545454545459</v>
      </c>
      <c r="AP48" s="36">
        <f t="shared" si="17"/>
        <v>6.1363636363636367</v>
      </c>
      <c r="AQ48" s="34">
        <f t="shared" si="49"/>
        <v>2.0506673101560087</v>
      </c>
      <c r="AR48" s="35">
        <f>+IF($O48&gt;I$8,"FIN",(I$19-SUM(AS$25:AS47))*VLOOKUP($O48,$A:$N,9,0)/VLOOKUP(I$15,$K$1:$M$4,2,0))</f>
        <v>1.3522727272727273</v>
      </c>
      <c r="AS48" s="36">
        <f t="shared" si="38"/>
        <v>4.5454545454545459</v>
      </c>
      <c r="AT48" s="36">
        <f t="shared" si="19"/>
        <v>5.8977272727272734</v>
      </c>
      <c r="AU48" s="34">
        <f t="shared" si="50"/>
        <v>1.9709191369832753</v>
      </c>
      <c r="AV48" s="35">
        <f>+IF($O48&gt;J$8,"FIN",(J$19-SUM(AW$25:AW47))*VLOOKUP($O48,$A:$N,10,0)/VLOOKUP(J$15,$K$1:$M$4,2,0))</f>
        <v>1.6250000000000002</v>
      </c>
      <c r="AW48" s="36">
        <f t="shared" si="39"/>
        <v>3.3333333333333335</v>
      </c>
      <c r="AX48" s="36">
        <f t="shared" si="21"/>
        <v>4.9583333333333339</v>
      </c>
      <c r="AY48" s="34">
        <f t="shared" si="51"/>
        <v>1.6569898203667999</v>
      </c>
      <c r="AZ48" s="35">
        <f>+IF($O48&gt;K$8,"FIN",(K$19-SUM(BA$25:BA47))*VLOOKUP($O48,$A:$N,11,0)/VLOOKUP(K$15,$K$1:$M$4,2,0))</f>
        <v>1.5</v>
      </c>
      <c r="BA48" s="36">
        <f t="shared" si="40"/>
        <v>3.3333333333333335</v>
      </c>
      <c r="BB48" s="36">
        <f t="shared" si="23"/>
        <v>4.8333333333333339</v>
      </c>
      <c r="BC48" s="34">
        <f t="shared" si="52"/>
        <v>1.6152169677525108</v>
      </c>
      <c r="BD48" s="35">
        <f>+IF($O48&gt;L$8,"FIN",(L$19-SUM(BE$25:BE47))*VLOOKUP($O48,$A:$N,12,0)/VLOOKUP(L$15,$K$1:$M$4,2,0))</f>
        <v>1.6875</v>
      </c>
      <c r="BE48" s="36">
        <f t="shared" si="41"/>
        <v>2.25</v>
      </c>
      <c r="BF48" s="36">
        <f t="shared" si="25"/>
        <v>3.9375</v>
      </c>
      <c r="BG48" s="34">
        <f t="shared" si="53"/>
        <v>1.3158448573501056</v>
      </c>
      <c r="BH48" s="35">
        <f>+IF($O48&gt;M$8,"FIN",(M$19-SUM(BI$25:BI47))*VLOOKUP($O48,$A:$N,13,0)/VLOOKUP(M$15,$K$1:$M$4,2,0))</f>
        <v>1.3921875000000001</v>
      </c>
      <c r="BI48" s="36">
        <f t="shared" si="42"/>
        <v>2.25</v>
      </c>
      <c r="BJ48" s="36">
        <f t="shared" si="27"/>
        <v>3.6421875000000004</v>
      </c>
      <c r="BK48" s="34">
        <f t="shared" si="54"/>
        <v>1.2171564930488479</v>
      </c>
      <c r="BL48" s="4"/>
      <c r="BM48" s="43"/>
    </row>
    <row r="49" spans="1:65" x14ac:dyDescent="0.25">
      <c r="A49" s="27">
        <f t="shared" si="29"/>
        <v>48410</v>
      </c>
      <c r="B49" s="38"/>
      <c r="C49" s="39"/>
      <c r="D49" s="40"/>
      <c r="E49" s="40"/>
      <c r="F49" s="40">
        <v>0.05</v>
      </c>
      <c r="G49" s="40">
        <v>0.04</v>
      </c>
      <c r="H49" s="40">
        <v>0.05</v>
      </c>
      <c r="I49" s="40">
        <v>4.2500000000000003E-2</v>
      </c>
      <c r="J49" s="40">
        <v>4.8750000000000002E-2</v>
      </c>
      <c r="K49" s="40">
        <v>4.4999999999999998E-2</v>
      </c>
      <c r="L49" s="40">
        <v>0.05</v>
      </c>
      <c r="M49" s="41">
        <v>4.1250000000000002E-2</v>
      </c>
      <c r="N49" s="44"/>
      <c r="O49" s="32">
        <f t="shared" si="30"/>
        <v>48410</v>
      </c>
      <c r="P49" s="35"/>
      <c r="Q49" s="36"/>
      <c r="R49" s="36"/>
      <c r="S49" s="34"/>
      <c r="T49" s="35"/>
      <c r="U49" s="36"/>
      <c r="V49" s="36"/>
      <c r="W49" s="34"/>
      <c r="X49" s="35"/>
      <c r="Y49" s="36"/>
      <c r="Z49" s="36"/>
      <c r="AA49" s="34"/>
      <c r="AB49" s="35"/>
      <c r="AC49" s="36"/>
      <c r="AD49" s="36"/>
      <c r="AE49" s="34"/>
      <c r="AF49" s="35">
        <f>+IF($O49&gt;F$8,"FIN",(F$19-SUM(AG$25:AG48))*VLOOKUP($O49,$A:$N,6,0)/VLOOKUP(F$15,$K$1:$M$4,2,0))</f>
        <v>1.7324999999999999</v>
      </c>
      <c r="AG49" s="36">
        <f t="shared" si="35"/>
        <v>9.9</v>
      </c>
      <c r="AH49" s="36">
        <f t="shared" si="13"/>
        <v>11.6325</v>
      </c>
      <c r="AI49" s="34">
        <f t="shared" si="47"/>
        <v>3.7064729870157227</v>
      </c>
      <c r="AJ49" s="35">
        <f>+IF($O49&gt;G$8,"FIN",(G$19-SUM(AK$25:AK48))*VLOOKUP($O49,$A:$N,7,0)/VLOOKUP(G$15,$K$1:$M$4,2,0))</f>
        <v>1.3859999999999999</v>
      </c>
      <c r="AK49" s="36">
        <f t="shared" si="36"/>
        <v>9.9</v>
      </c>
      <c r="AL49" s="36">
        <f t="shared" si="15"/>
        <v>11.286</v>
      </c>
      <c r="AM49" s="34">
        <f t="shared" si="48"/>
        <v>3.596067408679084</v>
      </c>
      <c r="AN49" s="35">
        <f>+IF($O49&gt;H$8,"FIN",(H$19-SUM(AO$25:AO48))*VLOOKUP($O49,$A:$N,8,0)/VLOOKUP(H$15,$K$1:$M$4,2,0))</f>
        <v>1.4772727272727273</v>
      </c>
      <c r="AO49" s="36">
        <f t="shared" si="37"/>
        <v>4.5454545454545459</v>
      </c>
      <c r="AP49" s="36">
        <f t="shared" si="17"/>
        <v>6.0227272727272734</v>
      </c>
      <c r="AQ49" s="34">
        <f t="shared" si="49"/>
        <v>1.9190265157555566</v>
      </c>
      <c r="AR49" s="35">
        <f>+IF($O49&gt;I$8,"FIN",(I$19-SUM(AS$25:AS48))*VLOOKUP($O49,$A:$N,9,0)/VLOOKUP(I$15,$K$1:$M$4,2,0))</f>
        <v>1.2556818181818181</v>
      </c>
      <c r="AS49" s="36">
        <f t="shared" si="38"/>
        <v>4.5454545454545459</v>
      </c>
      <c r="AT49" s="36">
        <f t="shared" si="19"/>
        <v>5.8011363636363642</v>
      </c>
      <c r="AU49" s="34">
        <f t="shared" si="50"/>
        <v>1.848420823194739</v>
      </c>
      <c r="AV49" s="35">
        <f>+IF($O49&gt;J$8,"FIN",(J$19-SUM(AW$25:AW48))*VLOOKUP($O49,$A:$N,10,0)/VLOOKUP(J$15,$K$1:$M$4,2,0))</f>
        <v>1.5437500000000002</v>
      </c>
      <c r="AW49" s="36">
        <f t="shared" si="39"/>
        <v>3.3333333333333335</v>
      </c>
      <c r="AX49" s="36">
        <f t="shared" si="21"/>
        <v>4.8770833333333332</v>
      </c>
      <c r="AY49" s="34">
        <f t="shared" si="51"/>
        <v>1.5539890505415515</v>
      </c>
      <c r="AZ49" s="35">
        <f>+IF($O49&gt;K$8,"FIN",(K$19-SUM(BA$25:BA48))*VLOOKUP($O49,$A:$N,11,0)/VLOOKUP(K$15,$K$1:$M$4,2,0))</f>
        <v>1.425</v>
      </c>
      <c r="BA49" s="36">
        <f t="shared" si="40"/>
        <v>3.3333333333333335</v>
      </c>
      <c r="BB49" s="36">
        <f t="shared" si="23"/>
        <v>4.7583333333333337</v>
      </c>
      <c r="BC49" s="34">
        <f t="shared" si="52"/>
        <v>1.5161516409384468</v>
      </c>
      <c r="BD49" s="35">
        <f>+IF($O49&gt;L$8,"FIN",(L$19-SUM(BE$25:BE48))*VLOOKUP($O49,$A:$N,12,0)/VLOOKUP(L$15,$K$1:$M$4,2,0))</f>
        <v>1.6312500000000001</v>
      </c>
      <c r="BE49" s="36">
        <f t="shared" si="41"/>
        <v>2.25</v>
      </c>
      <c r="BF49" s="36">
        <f t="shared" si="25"/>
        <v>3.8812500000000001</v>
      </c>
      <c r="BG49" s="34">
        <f t="shared" si="53"/>
        <v>1.2366858612383214</v>
      </c>
      <c r="BH49" s="35">
        <f>+IF($O49&gt;M$8,"FIN",(M$19-SUM(BI$25:BI48))*VLOOKUP($O49,$A:$N,13,0)/VLOOKUP(M$15,$K$1:$M$4,2,0))</f>
        <v>1.3457812500000002</v>
      </c>
      <c r="BI49" s="36">
        <f t="shared" si="42"/>
        <v>2.25</v>
      </c>
      <c r="BJ49" s="36">
        <f t="shared" si="27"/>
        <v>3.5957812499999999</v>
      </c>
      <c r="BK49" s="34">
        <f t="shared" si="54"/>
        <v>1.145726719995068</v>
      </c>
      <c r="BL49" s="4"/>
      <c r="BM49" s="43"/>
    </row>
    <row r="50" spans="1:65" x14ac:dyDescent="0.25">
      <c r="A50" s="27">
        <f t="shared" si="29"/>
        <v>48594</v>
      </c>
      <c r="B50" s="38"/>
      <c r="C50" s="39"/>
      <c r="D50" s="40"/>
      <c r="E50" s="40"/>
      <c r="F50" s="40">
        <v>0.05</v>
      </c>
      <c r="G50" s="40">
        <v>0.04</v>
      </c>
      <c r="H50" s="40">
        <v>0.05</v>
      </c>
      <c r="I50" s="40">
        <v>4.2500000000000003E-2</v>
      </c>
      <c r="J50" s="40">
        <v>4.8750000000000002E-2</v>
      </c>
      <c r="K50" s="40">
        <v>4.4999999999999998E-2</v>
      </c>
      <c r="L50" s="40">
        <v>0.05</v>
      </c>
      <c r="M50" s="41">
        <v>4.1250000000000002E-2</v>
      </c>
      <c r="N50" s="44"/>
      <c r="O50" s="32">
        <f t="shared" si="30"/>
        <v>48594</v>
      </c>
      <c r="P50" s="35"/>
      <c r="Q50" s="36"/>
      <c r="R50" s="36"/>
      <c r="S50" s="34"/>
      <c r="T50" s="35"/>
      <c r="U50" s="36"/>
      <c r="V50" s="36"/>
      <c r="W50" s="34"/>
      <c r="X50" s="35"/>
      <c r="Y50" s="36"/>
      <c r="Z50" s="36"/>
      <c r="AA50" s="34"/>
      <c r="AB50" s="35"/>
      <c r="AC50" s="36"/>
      <c r="AD50" s="36"/>
      <c r="AE50" s="34"/>
      <c r="AF50" s="35">
        <f>+IF($O50&gt;F$8,"FIN",(F$19-SUM(AG$25:AG49))*VLOOKUP($O50,$A:$N,6,0)/VLOOKUP(F$15,$K$1:$M$4,2,0))</f>
        <v>1.4850000000000001</v>
      </c>
      <c r="AG50" s="36">
        <f t="shared" si="35"/>
        <v>9.9</v>
      </c>
      <c r="AH50" s="36">
        <f t="shared" si="13"/>
        <v>11.385</v>
      </c>
      <c r="AI50" s="34">
        <f t="shared" si="47"/>
        <v>3.458792196463135</v>
      </c>
      <c r="AJ50" s="35">
        <f>+IF($O50&gt;G$8,"FIN",(G$19-SUM(AK$25:AK49))*VLOOKUP($O50,$A:$N,7,0)/VLOOKUP(G$15,$K$1:$M$4,2,0))</f>
        <v>1.1879999999999999</v>
      </c>
      <c r="AK50" s="36">
        <f t="shared" si="36"/>
        <v>9.9</v>
      </c>
      <c r="AL50" s="36">
        <f t="shared" si="15"/>
        <v>11.088000000000001</v>
      </c>
      <c r="AM50" s="34">
        <f t="shared" si="48"/>
        <v>3.3685628348162711</v>
      </c>
      <c r="AN50" s="35">
        <f>+IF($O50&gt;H$8,"FIN",(H$19-SUM(AO$25:AO49))*VLOOKUP($O50,$A:$N,8,0)/VLOOKUP(H$15,$K$1:$M$4,2,0))</f>
        <v>1.3636363636363635</v>
      </c>
      <c r="AO50" s="36">
        <f t="shared" si="37"/>
        <v>4.5454545454545459</v>
      </c>
      <c r="AP50" s="36">
        <f t="shared" si="17"/>
        <v>5.9090909090909092</v>
      </c>
      <c r="AQ50" s="34">
        <f t="shared" si="49"/>
        <v>1.795196971853745</v>
      </c>
      <c r="AR50" s="35">
        <f>+IF($O50&gt;I$8,"FIN",(I$19-SUM(AS$25:AS49))*VLOOKUP($O50,$A:$N,9,0)/VLOOKUP(I$15,$K$1:$M$4,2,0))</f>
        <v>1.1590909090909089</v>
      </c>
      <c r="AS50" s="36">
        <f t="shared" si="38"/>
        <v>4.5454545454545459</v>
      </c>
      <c r="AT50" s="36">
        <f t="shared" si="19"/>
        <v>5.704545454545455</v>
      </c>
      <c r="AU50" s="34">
        <f t="shared" si="50"/>
        <v>1.733055538212654</v>
      </c>
      <c r="AV50" s="35">
        <f>+IF($O50&gt;J$8,"FIN",(J$19-SUM(AW$25:AW49))*VLOOKUP($O50,$A:$N,10,0)/VLOOKUP(J$15,$K$1:$M$4,2,0))</f>
        <v>1.4625000000000001</v>
      </c>
      <c r="AW50" s="36">
        <f t="shared" si="39"/>
        <v>3.3333333333333335</v>
      </c>
      <c r="AX50" s="36">
        <f t="shared" si="21"/>
        <v>4.7958333333333334</v>
      </c>
      <c r="AY50" s="34">
        <f t="shared" si="51"/>
        <v>1.4569864654256581</v>
      </c>
      <c r="AZ50" s="35">
        <f>+IF($O50&gt;K$8,"FIN",(K$19-SUM(BA$25:BA49))*VLOOKUP($O50,$A:$N,11,0)/VLOOKUP(K$15,$K$1:$M$4,2,0))</f>
        <v>1.3499999999999999</v>
      </c>
      <c r="BA50" s="36">
        <f t="shared" si="40"/>
        <v>3.3333333333333335</v>
      </c>
      <c r="BB50" s="36">
        <f t="shared" si="23"/>
        <v>4.6833333333333336</v>
      </c>
      <c r="BC50" s="34">
        <f t="shared" si="52"/>
        <v>1.4228086769230581</v>
      </c>
      <c r="BD50" s="35">
        <f>+IF($O50&gt;L$8,"FIN",(L$19-SUM(BE$25:BE49))*VLOOKUP($O50,$A:$N,12,0)/VLOOKUP(L$15,$K$1:$M$4,2,0))</f>
        <v>1.5750000000000002</v>
      </c>
      <c r="BE50" s="36">
        <f t="shared" si="41"/>
        <v>2.25</v>
      </c>
      <c r="BF50" s="36">
        <f t="shared" si="25"/>
        <v>3.8250000000000002</v>
      </c>
      <c r="BG50" s="34">
        <f t="shared" si="53"/>
        <v>1.162044809088405</v>
      </c>
      <c r="BH50" s="35">
        <f>+IF($O50&gt;M$8,"FIN",(M$19-SUM(BI$25:BI49))*VLOOKUP($O50,$A:$N,13,0)/VLOOKUP(M$15,$K$1:$M$4,2,0))</f>
        <v>1.2993750000000002</v>
      </c>
      <c r="BI50" s="36">
        <f t="shared" si="42"/>
        <v>2.25</v>
      </c>
      <c r="BJ50" s="36">
        <f t="shared" si="27"/>
        <v>3.5493750000000004</v>
      </c>
      <c r="BK50" s="34">
        <f t="shared" si="54"/>
        <v>1.0783092272570347</v>
      </c>
      <c r="BL50" s="4"/>
      <c r="BM50" s="43"/>
    </row>
    <row r="51" spans="1:65" x14ac:dyDescent="0.25">
      <c r="A51" s="27">
        <f t="shared" si="29"/>
        <v>48775</v>
      </c>
      <c r="B51" s="38"/>
      <c r="C51" s="39"/>
      <c r="D51" s="40"/>
      <c r="E51" s="40"/>
      <c r="F51" s="40">
        <v>0.05</v>
      </c>
      <c r="G51" s="40">
        <v>0.04</v>
      </c>
      <c r="H51" s="40">
        <v>0.05</v>
      </c>
      <c r="I51" s="40">
        <v>4.2500000000000003E-2</v>
      </c>
      <c r="J51" s="40">
        <v>4.8750000000000002E-2</v>
      </c>
      <c r="K51" s="40">
        <v>4.4999999999999998E-2</v>
      </c>
      <c r="L51" s="40">
        <v>0.05</v>
      </c>
      <c r="M51" s="41">
        <v>4.1250000000000002E-2</v>
      </c>
      <c r="N51" s="44"/>
      <c r="O51" s="32">
        <f t="shared" si="30"/>
        <v>48775</v>
      </c>
      <c r="P51" s="35"/>
      <c r="Q51" s="36"/>
      <c r="R51" s="36"/>
      <c r="S51" s="34"/>
      <c r="T51" s="35"/>
      <c r="U51" s="36"/>
      <c r="V51" s="36"/>
      <c r="W51" s="34"/>
      <c r="X51" s="35"/>
      <c r="Y51" s="36"/>
      <c r="Z51" s="36"/>
      <c r="AA51" s="34"/>
      <c r="AB51" s="35"/>
      <c r="AC51" s="36"/>
      <c r="AD51" s="36"/>
      <c r="AE51" s="34"/>
      <c r="AF51" s="35">
        <f>+IF($O51&gt;F$8,"FIN",(F$19-SUM(AG$25:AG50))*VLOOKUP($O51,$A:$N,6,0)/VLOOKUP(F$15,$K$1:$M$4,2,0))</f>
        <v>1.2375</v>
      </c>
      <c r="AG51" s="36">
        <f t="shared" si="35"/>
        <v>9.9</v>
      </c>
      <c r="AH51" s="36">
        <f t="shared" si="13"/>
        <v>11.137500000000001</v>
      </c>
      <c r="AI51" s="34">
        <f t="shared" si="47"/>
        <v>3.2261370293173601</v>
      </c>
      <c r="AJ51" s="35">
        <f>+IF($O51&gt;G$8,"FIN",(G$19-SUM(AK$25:AK50))*VLOOKUP($O51,$A:$N,7,0)/VLOOKUP(G$15,$K$1:$M$4,2,0))</f>
        <v>0.99</v>
      </c>
      <c r="AK51" s="36">
        <f t="shared" si="36"/>
        <v>9.9</v>
      </c>
      <c r="AL51" s="36">
        <f t="shared" si="15"/>
        <v>10.89</v>
      </c>
      <c r="AM51" s="34">
        <f t="shared" si="48"/>
        <v>3.1544450953325298</v>
      </c>
      <c r="AN51" s="35">
        <f>+IF($O51&gt;H$8,"FIN",(H$19-SUM(AO$25:AO50))*VLOOKUP($O51,$A:$N,8,0)/VLOOKUP(H$15,$K$1:$M$4,2,0))</f>
        <v>1.25</v>
      </c>
      <c r="AO51" s="36">
        <f t="shared" si="37"/>
        <v>4.5454545454545459</v>
      </c>
      <c r="AP51" s="36">
        <f t="shared" si="17"/>
        <v>5.7954545454545459</v>
      </c>
      <c r="AQ51" s="34">
        <f t="shared" si="49"/>
        <v>1.6787367462012588</v>
      </c>
      <c r="AR51" s="35">
        <f>+IF($O51&gt;I$8,"FIN",(I$19-SUM(AS$25:AS50))*VLOOKUP($O51,$A:$N,9,0)/VLOOKUP(I$15,$K$1:$M$4,2,0))</f>
        <v>1.0625</v>
      </c>
      <c r="AS51" s="36">
        <f t="shared" si="38"/>
        <v>4.5454545454545459</v>
      </c>
      <c r="AT51" s="36">
        <f t="shared" si="19"/>
        <v>5.6079545454545459</v>
      </c>
      <c r="AU51" s="34">
        <f t="shared" si="50"/>
        <v>1.6244246750006299</v>
      </c>
      <c r="AV51" s="35">
        <f>+IF($O51&gt;J$8,"FIN",(J$19-SUM(AW$25:AW50))*VLOOKUP($O51,$A:$N,10,0)/VLOOKUP(J$15,$K$1:$M$4,2,0))</f>
        <v>1.3812500000000001</v>
      </c>
      <c r="AW51" s="36">
        <f t="shared" si="39"/>
        <v>3.3333333333333335</v>
      </c>
      <c r="AX51" s="36">
        <f t="shared" si="21"/>
        <v>4.7145833333333336</v>
      </c>
      <c r="AY51" s="34">
        <f t="shared" si="51"/>
        <v>1.365646856966926</v>
      </c>
      <c r="AZ51" s="35">
        <f>+IF($O51&gt;K$8,"FIN",(K$19-SUM(BA$25:BA50))*VLOOKUP($O51,$A:$N,11,0)/VLOOKUP(K$15,$K$1:$M$4,2,0))</f>
        <v>1.2749999999999999</v>
      </c>
      <c r="BA51" s="36">
        <f t="shared" si="40"/>
        <v>3.3333333333333335</v>
      </c>
      <c r="BB51" s="36">
        <f t="shared" si="23"/>
        <v>4.6083333333333334</v>
      </c>
      <c r="BC51" s="34">
        <f t="shared" si="52"/>
        <v>1.3348700166199028</v>
      </c>
      <c r="BD51" s="35">
        <f>+IF($O51&gt;L$8,"FIN",(L$19-SUM(BE$25:BE50))*VLOOKUP($O51,$A:$N,12,0)/VLOOKUP(L$15,$K$1:$M$4,2,0))</f>
        <v>1.51875</v>
      </c>
      <c r="BE51" s="36">
        <f t="shared" si="41"/>
        <v>2.25</v>
      </c>
      <c r="BF51" s="36">
        <f t="shared" si="25"/>
        <v>3.7687499999999998</v>
      </c>
      <c r="BG51" s="34">
        <f t="shared" si="53"/>
        <v>1.0916726311326419</v>
      </c>
      <c r="BH51" s="35">
        <f>+IF($O51&gt;M$8,"FIN",(M$19-SUM(BI$25:BI50))*VLOOKUP($O51,$A:$N,13,0)/VLOOKUP(M$15,$K$1:$M$4,2,0))</f>
        <v>1.25296875</v>
      </c>
      <c r="BI51" s="36">
        <f t="shared" si="42"/>
        <v>2.25</v>
      </c>
      <c r="BJ51" s="36">
        <f t="shared" si="27"/>
        <v>3.50296875</v>
      </c>
      <c r="BK51" s="34">
        <f t="shared" si="54"/>
        <v>1.0146852702057505</v>
      </c>
      <c r="BL51" s="4"/>
      <c r="BM51" s="43"/>
    </row>
    <row r="52" spans="1:65" x14ac:dyDescent="0.25">
      <c r="A52" s="27">
        <f t="shared" si="29"/>
        <v>48959</v>
      </c>
      <c r="B52" s="38"/>
      <c r="C52" s="39"/>
      <c r="D52" s="40"/>
      <c r="E52" s="40"/>
      <c r="F52" s="40">
        <v>0.05</v>
      </c>
      <c r="G52" s="40">
        <v>0.04</v>
      </c>
      <c r="H52" s="40">
        <v>0.05</v>
      </c>
      <c r="I52" s="40">
        <v>4.2500000000000003E-2</v>
      </c>
      <c r="J52" s="40">
        <v>4.8750000000000002E-2</v>
      </c>
      <c r="K52" s="40">
        <v>4.4999999999999998E-2</v>
      </c>
      <c r="L52" s="40">
        <v>0.05</v>
      </c>
      <c r="M52" s="41">
        <v>4.1250000000000002E-2</v>
      </c>
      <c r="N52" s="44"/>
      <c r="O52" s="32">
        <f t="shared" si="30"/>
        <v>48959</v>
      </c>
      <c r="P52" s="35"/>
      <c r="Q52" s="36"/>
      <c r="R52" s="36"/>
      <c r="S52" s="34"/>
      <c r="T52" s="35"/>
      <c r="U52" s="36"/>
      <c r="V52" s="36"/>
      <c r="W52" s="34"/>
      <c r="X52" s="35"/>
      <c r="Y52" s="36"/>
      <c r="Z52" s="36"/>
      <c r="AA52" s="34"/>
      <c r="AB52" s="35"/>
      <c r="AC52" s="36"/>
      <c r="AD52" s="36"/>
      <c r="AE52" s="34"/>
      <c r="AF52" s="35">
        <f>+IF($O52&gt;F$8,"FIN",(F$19-SUM(AG$25:AG51))*VLOOKUP($O52,$A:$N,6,0)/VLOOKUP(F$15,$K$1:$M$4,2,0))</f>
        <v>0.9900000000000001</v>
      </c>
      <c r="AG52" s="36">
        <f t="shared" si="35"/>
        <v>9.9</v>
      </c>
      <c r="AH52" s="36">
        <f t="shared" si="13"/>
        <v>10.89</v>
      </c>
      <c r="AI52" s="34">
        <f t="shared" si="47"/>
        <v>3.0076453882288128</v>
      </c>
      <c r="AJ52" s="35">
        <f>+IF($O52&gt;G$8,"FIN",(G$19-SUM(AK$25:AK51))*VLOOKUP($O52,$A:$N,7,0)/VLOOKUP(G$15,$K$1:$M$4,2,0))</f>
        <v>0.79200000000000004</v>
      </c>
      <c r="AK52" s="36">
        <f t="shared" si="36"/>
        <v>9.9</v>
      </c>
      <c r="AL52" s="36">
        <f t="shared" si="15"/>
        <v>10.692</v>
      </c>
      <c r="AM52" s="34">
        <f t="shared" si="48"/>
        <v>2.9529609266246526</v>
      </c>
      <c r="AN52" s="35">
        <f>+IF($O52&gt;H$8,"FIN",(H$19-SUM(AO$25:AO51))*VLOOKUP($O52,$A:$N,8,0)/VLOOKUP(H$15,$K$1:$M$4,2,0))</f>
        <v>1.1363636363636362</v>
      </c>
      <c r="AO52" s="36">
        <f t="shared" si="37"/>
        <v>4.5454545454545459</v>
      </c>
      <c r="AP52" s="36">
        <f t="shared" si="17"/>
        <v>5.6818181818181817</v>
      </c>
      <c r="AQ52" s="34">
        <f t="shared" si="49"/>
        <v>1.569228122249777</v>
      </c>
      <c r="AR52" s="35">
        <f>+IF($O52&gt;I$8,"FIN",(I$19-SUM(AS$25:AS51))*VLOOKUP($O52,$A:$N,9,0)/VLOOKUP(I$15,$K$1:$M$4,2,0))</f>
        <v>0.96590909090909083</v>
      </c>
      <c r="AS52" s="36">
        <f t="shared" si="38"/>
        <v>4.5454545454545459</v>
      </c>
      <c r="AT52" s="36">
        <f t="shared" si="19"/>
        <v>5.5113636363636367</v>
      </c>
      <c r="AU52" s="34">
        <f t="shared" si="50"/>
        <v>1.5221512785822837</v>
      </c>
      <c r="AV52" s="35">
        <f>+IF($O52&gt;J$8,"FIN",(J$19-SUM(AW$25:AW51))*VLOOKUP($O52,$A:$N,10,0)/VLOOKUP(J$15,$K$1:$M$4,2,0))</f>
        <v>1.2999999999999998</v>
      </c>
      <c r="AW52" s="36">
        <f t="shared" si="39"/>
        <v>3.3333333333333335</v>
      </c>
      <c r="AX52" s="36">
        <f t="shared" si="21"/>
        <v>4.6333333333333329</v>
      </c>
      <c r="AY52" s="34">
        <f t="shared" si="51"/>
        <v>1.2796532260906179</v>
      </c>
      <c r="AZ52" s="35">
        <f>+IF($O52&gt;K$8,"FIN",(K$19-SUM(BA$25:BA51))*VLOOKUP($O52,$A:$N,11,0)/VLOOKUP(K$15,$K$1:$M$4,2,0))</f>
        <v>1.2</v>
      </c>
      <c r="BA52" s="36">
        <f t="shared" si="40"/>
        <v>3.3333333333333335</v>
      </c>
      <c r="BB52" s="36">
        <f t="shared" si="23"/>
        <v>4.5333333333333332</v>
      </c>
      <c r="BC52" s="34">
        <f t="shared" si="52"/>
        <v>1.252034811139022</v>
      </c>
      <c r="BD52" s="35">
        <f>+IF($O52&gt;L$8,"FIN",(L$19-SUM(BE$25:BE51))*VLOOKUP($O52,$A:$N,12,0)/VLOOKUP(L$15,$K$1:$M$4,2,0))</f>
        <v>1.4625000000000001</v>
      </c>
      <c r="BE52" s="36">
        <f t="shared" si="41"/>
        <v>2.25</v>
      </c>
      <c r="BF52" s="36">
        <f t="shared" si="25"/>
        <v>3.7125000000000004</v>
      </c>
      <c r="BG52" s="34">
        <f t="shared" si="53"/>
        <v>1.0253336550780043</v>
      </c>
      <c r="BH52" s="35">
        <f>+IF($O52&gt;M$8,"FIN",(M$19-SUM(BI$25:BI51))*VLOOKUP($O52,$A:$N,13,0)/VLOOKUP(M$15,$K$1:$M$4,2,0))</f>
        <v>1.2065625</v>
      </c>
      <c r="BI52" s="36">
        <f t="shared" si="42"/>
        <v>2.25</v>
      </c>
      <c r="BJ52" s="36">
        <f t="shared" si="27"/>
        <v>3.4565625</v>
      </c>
      <c r="BK52" s="34">
        <f t="shared" si="54"/>
        <v>0.95464777431126313</v>
      </c>
      <c r="BL52" s="4"/>
      <c r="BM52" s="43"/>
    </row>
    <row r="53" spans="1:65" x14ac:dyDescent="0.25">
      <c r="A53" s="27">
        <f t="shared" si="29"/>
        <v>49140</v>
      </c>
      <c r="B53" s="38"/>
      <c r="C53" s="39"/>
      <c r="D53" s="40"/>
      <c r="E53" s="40"/>
      <c r="F53" s="40">
        <v>0.05</v>
      </c>
      <c r="G53" s="40">
        <v>0.04</v>
      </c>
      <c r="H53" s="40">
        <v>0.05</v>
      </c>
      <c r="I53" s="40">
        <v>4.2500000000000003E-2</v>
      </c>
      <c r="J53" s="40">
        <v>4.8750000000000002E-2</v>
      </c>
      <c r="K53" s="40">
        <v>4.4999999999999998E-2</v>
      </c>
      <c r="L53" s="40">
        <v>0.05</v>
      </c>
      <c r="M53" s="41">
        <v>4.1250000000000002E-2</v>
      </c>
      <c r="N53" s="44"/>
      <c r="O53" s="32">
        <f t="shared" si="30"/>
        <v>49140</v>
      </c>
      <c r="P53" s="35"/>
      <c r="Q53" s="36"/>
      <c r="R53" s="36"/>
      <c r="S53" s="34"/>
      <c r="T53" s="35"/>
      <c r="U53" s="36"/>
      <c r="V53" s="36"/>
      <c r="W53" s="34"/>
      <c r="X53" s="35"/>
      <c r="Y53" s="36"/>
      <c r="Z53" s="36"/>
      <c r="AA53" s="34"/>
      <c r="AB53" s="35"/>
      <c r="AC53" s="36"/>
      <c r="AD53" s="36"/>
      <c r="AE53" s="34"/>
      <c r="AF53" s="35">
        <f>+IF($O53&gt;F$8,"FIN",(F$19-SUM(AG$25:AG52))*VLOOKUP($O53,$A:$N,6,0)/VLOOKUP(F$15,$K$1:$M$4,2,0))</f>
        <v>0.74250000000000016</v>
      </c>
      <c r="AG53" s="36">
        <f t="shared" si="35"/>
        <v>9.9</v>
      </c>
      <c r="AH53" s="36">
        <f t="shared" si="13"/>
        <v>10.6425</v>
      </c>
      <c r="AI53" s="34">
        <f t="shared" si="47"/>
        <v>2.8025028739524536</v>
      </c>
      <c r="AJ53" s="35">
        <f>+IF($O53&gt;G$8,"FIN",(G$19-SUM(AK$25:AK52))*VLOOKUP($O53,$A:$N,7,0)/VLOOKUP(G$15,$K$1:$M$4,2,0))</f>
        <v>0.59400000000000008</v>
      </c>
      <c r="AK53" s="36">
        <f t="shared" si="36"/>
        <v>9.9</v>
      </c>
      <c r="AL53" s="36">
        <f t="shared" si="15"/>
        <v>10.494</v>
      </c>
      <c r="AM53" s="34">
        <f t="shared" si="48"/>
        <v>2.7633981826880007</v>
      </c>
      <c r="AN53" s="35">
        <f>+IF($O53&gt;H$8,"FIN",(H$19-SUM(AO$25:AO52))*VLOOKUP($O53,$A:$N,8,0)/VLOOKUP(H$15,$K$1:$M$4,2,0))</f>
        <v>1.0227272727272725</v>
      </c>
      <c r="AO53" s="36">
        <f t="shared" si="37"/>
        <v>4.5454545454545459</v>
      </c>
      <c r="AP53" s="36">
        <f t="shared" si="17"/>
        <v>5.5681818181818183</v>
      </c>
      <c r="AQ53" s="34">
        <f t="shared" si="49"/>
        <v>1.4662763023861258</v>
      </c>
      <c r="AR53" s="35">
        <f>+IF($O53&gt;I$8,"FIN",(I$19-SUM(AS$25:AS52))*VLOOKUP($O53,$A:$N,9,0)/VLOOKUP(I$15,$K$1:$M$4,2,0))</f>
        <v>0.86931818181818166</v>
      </c>
      <c r="AS53" s="36">
        <f t="shared" si="38"/>
        <v>4.5454545454545459</v>
      </c>
      <c r="AT53" s="36">
        <f t="shared" si="19"/>
        <v>5.4147727272727275</v>
      </c>
      <c r="AU53" s="34">
        <f t="shared" si="50"/>
        <v>1.4258788940550795</v>
      </c>
      <c r="AV53" s="35">
        <f>+IF($O53&gt;J$8,"FIN",(J$19-SUM(AW$25:AW52))*VLOOKUP($O53,$A:$N,10,0)/VLOOKUP(J$15,$K$1:$M$4,2,0))</f>
        <v>1.2187499999999998</v>
      </c>
      <c r="AW53" s="36">
        <f t="shared" si="39"/>
        <v>3.3333333333333335</v>
      </c>
      <c r="AX53" s="36">
        <f t="shared" si="21"/>
        <v>4.552083333333333</v>
      </c>
      <c r="AY53" s="34">
        <f t="shared" si="51"/>
        <v>1.1987058138724671</v>
      </c>
      <c r="AZ53" s="35">
        <f>+IF($O53&gt;K$8,"FIN",(K$19-SUM(BA$25:BA52))*VLOOKUP($O53,$A:$N,11,0)/VLOOKUP(K$15,$K$1:$M$4,2,0))</f>
        <v>1.1249999999999998</v>
      </c>
      <c r="BA53" s="36">
        <f t="shared" si="40"/>
        <v>3.3333333333333335</v>
      </c>
      <c r="BB53" s="36">
        <f t="shared" si="23"/>
        <v>4.458333333333333</v>
      </c>
      <c r="BC53" s="34">
        <f t="shared" si="52"/>
        <v>1.174018508781272</v>
      </c>
      <c r="BD53" s="35">
        <f>+IF($O53&gt;L$8,"FIN",(L$19-SUM(BE$25:BE52))*VLOOKUP($O53,$A:$N,12,0)/VLOOKUP(L$15,$K$1:$M$4,2,0))</f>
        <v>1.40625</v>
      </c>
      <c r="BE53" s="36">
        <f t="shared" si="41"/>
        <v>2.25</v>
      </c>
      <c r="BF53" s="36">
        <f t="shared" si="25"/>
        <v>3.65625</v>
      </c>
      <c r="BG53" s="34">
        <f t="shared" si="53"/>
        <v>0.96280489855660401</v>
      </c>
      <c r="BH53" s="35">
        <f>+IF($O53&gt;M$8,"FIN",(M$19-SUM(BI$25:BI52))*VLOOKUP($O53,$A:$N,13,0)/VLOOKUP(M$15,$K$1:$M$4,2,0))</f>
        <v>1.16015625</v>
      </c>
      <c r="BI53" s="36">
        <f t="shared" si="42"/>
        <v>2.25</v>
      </c>
      <c r="BJ53" s="36">
        <f t="shared" si="27"/>
        <v>3.41015625</v>
      </c>
      <c r="BK53" s="34">
        <f t="shared" si="54"/>
        <v>0.8980007226922172</v>
      </c>
      <c r="BL53" s="4"/>
      <c r="BM53" s="43"/>
    </row>
    <row r="54" spans="1:65" x14ac:dyDescent="0.25">
      <c r="A54" s="27">
        <f t="shared" si="29"/>
        <v>49324</v>
      </c>
      <c r="B54" s="38"/>
      <c r="C54" s="39"/>
      <c r="D54" s="40"/>
      <c r="E54" s="40"/>
      <c r="F54" s="40">
        <v>0.05</v>
      </c>
      <c r="G54" s="40">
        <v>0.04</v>
      </c>
      <c r="H54" s="40">
        <v>0.05</v>
      </c>
      <c r="I54" s="40">
        <v>4.2500000000000003E-2</v>
      </c>
      <c r="J54" s="40">
        <v>4.8750000000000002E-2</v>
      </c>
      <c r="K54" s="40">
        <v>4.4999999999999998E-2</v>
      </c>
      <c r="L54" s="40">
        <v>0.05</v>
      </c>
      <c r="M54" s="41">
        <v>4.1250000000000002E-2</v>
      </c>
      <c r="N54" s="44"/>
      <c r="O54" s="32">
        <f t="shared" si="30"/>
        <v>49324</v>
      </c>
      <c r="P54" s="35"/>
      <c r="Q54" s="36"/>
      <c r="R54" s="36"/>
      <c r="S54" s="34"/>
      <c r="T54" s="35"/>
      <c r="U54" s="36"/>
      <c r="V54" s="36"/>
      <c r="W54" s="34"/>
      <c r="X54" s="35"/>
      <c r="Y54" s="36"/>
      <c r="Z54" s="36"/>
      <c r="AA54" s="34"/>
      <c r="AB54" s="35"/>
      <c r="AC54" s="36"/>
      <c r="AD54" s="36"/>
      <c r="AE54" s="34"/>
      <c r="AF54" s="35">
        <f>+IF($O54&gt;F$8,"FIN",(F$19-SUM(AG$25:AG53))*VLOOKUP($O54,$A:$N,6,0)/VLOOKUP(F$15,$K$1:$M$4,2,0))</f>
        <v>0.49499999999999994</v>
      </c>
      <c r="AG54" s="36">
        <f t="shared" si="35"/>
        <v>9.9</v>
      </c>
      <c r="AH54" s="36">
        <f t="shared" si="13"/>
        <v>10.395</v>
      </c>
      <c r="AI54" s="34">
        <f t="shared" si="47"/>
        <v>2.6099402129258289</v>
      </c>
      <c r="AJ54" s="35">
        <f>+IF($O54&gt;G$8,"FIN",(G$19-SUM(AK$25:AK53))*VLOOKUP($O54,$A:$N,7,0)/VLOOKUP(G$15,$K$1:$M$4,2,0))</f>
        <v>0.39599999999999996</v>
      </c>
      <c r="AK54" s="36">
        <f t="shared" si="36"/>
        <v>9.9</v>
      </c>
      <c r="AL54" s="36">
        <f t="shared" si="15"/>
        <v>10.296000000000001</v>
      </c>
      <c r="AM54" s="34">
        <f t="shared" si="48"/>
        <v>2.5850836394693926</v>
      </c>
      <c r="AN54" s="35">
        <f>+IF($O54&gt;H$8,"FIN",(H$19-SUM(AO$25:AO53))*VLOOKUP($O54,$A:$N,8,0)/VLOOKUP(H$15,$K$1:$M$4,2,0))</f>
        <v>0.90909090909090884</v>
      </c>
      <c r="AO54" s="36">
        <f t="shared" si="37"/>
        <v>4.5454545454545459</v>
      </c>
      <c r="AP54" s="36">
        <f t="shared" si="17"/>
        <v>5.454545454545455</v>
      </c>
      <c r="AQ54" s="34">
        <f t="shared" si="49"/>
        <v>1.3695081794179873</v>
      </c>
      <c r="AR54" s="35">
        <f>+IF($O54&gt;I$8,"FIN",(I$19-SUM(AS$25:AS53))*VLOOKUP($O54,$A:$N,9,0)/VLOOKUP(I$15,$K$1:$M$4,2,0))</f>
        <v>0.7727272727272726</v>
      </c>
      <c r="AS54" s="36">
        <f t="shared" si="38"/>
        <v>4.5454545454545459</v>
      </c>
      <c r="AT54" s="36">
        <f t="shared" si="19"/>
        <v>5.3181818181818183</v>
      </c>
      <c r="AU54" s="34">
        <f t="shared" si="50"/>
        <v>1.3352704749325375</v>
      </c>
      <c r="AV54" s="35">
        <f>+IF($O54&gt;J$8,"FIN",(J$19-SUM(AW$25:AW53))*VLOOKUP($O54,$A:$N,10,0)/VLOOKUP(J$15,$K$1:$M$4,2,0))</f>
        <v>1.1374999999999997</v>
      </c>
      <c r="AW54" s="36">
        <f t="shared" si="39"/>
        <v>3.3333333333333335</v>
      </c>
      <c r="AX54" s="36">
        <f t="shared" si="21"/>
        <v>4.4708333333333332</v>
      </c>
      <c r="AY54" s="34">
        <f t="shared" si="51"/>
        <v>1.1225211834493405</v>
      </c>
      <c r="AZ54" s="35">
        <f>+IF($O54&gt;K$8,"FIN",(K$19-SUM(BA$25:BA53))*VLOOKUP($O54,$A:$N,11,0)/VLOOKUP(K$15,$K$1:$M$4,2,0))</f>
        <v>1.0499999999999998</v>
      </c>
      <c r="BA54" s="36">
        <f t="shared" si="40"/>
        <v>3.3333333333333335</v>
      </c>
      <c r="BB54" s="36">
        <f t="shared" si="23"/>
        <v>4.3833333333333329</v>
      </c>
      <c r="BC54" s="34">
        <f t="shared" si="52"/>
        <v>1.1005519897378435</v>
      </c>
      <c r="BD54" s="35">
        <f>+IF($O54&gt;L$8,"FIN",(L$19-SUM(BE$25:BE53))*VLOOKUP($O54,$A:$N,12,0)/VLOOKUP(L$15,$K$1:$M$4,2,0))</f>
        <v>1.35</v>
      </c>
      <c r="BE54" s="36">
        <f t="shared" si="41"/>
        <v>2.25</v>
      </c>
      <c r="BF54" s="36">
        <f t="shared" si="25"/>
        <v>3.6</v>
      </c>
      <c r="BG54" s="34">
        <f t="shared" si="53"/>
        <v>0.9038753984158715</v>
      </c>
      <c r="BH54" s="35">
        <f>+IF($O54&gt;M$8,"FIN",(M$19-SUM(BI$25:BI53))*VLOOKUP($O54,$A:$N,13,0)/VLOOKUP(M$15,$K$1:$M$4,2,0))</f>
        <v>1.11375</v>
      </c>
      <c r="BI54" s="36">
        <f t="shared" si="42"/>
        <v>2.25</v>
      </c>
      <c r="BJ54" s="36">
        <f t="shared" si="27"/>
        <v>3.36375</v>
      </c>
      <c r="BK54" s="34">
        <f t="shared" si="54"/>
        <v>0.84455857539482992</v>
      </c>
      <c r="BL54" s="4"/>
      <c r="BM54" s="43"/>
    </row>
    <row r="55" spans="1:65" x14ac:dyDescent="0.25">
      <c r="A55" s="27">
        <f t="shared" si="29"/>
        <v>49505</v>
      </c>
      <c r="B55" s="32"/>
      <c r="C55" s="5"/>
      <c r="D55" s="40"/>
      <c r="E55" s="40"/>
      <c r="F55" s="40">
        <v>0.05</v>
      </c>
      <c r="G55" s="40">
        <v>0.04</v>
      </c>
      <c r="H55" s="40">
        <v>0.05</v>
      </c>
      <c r="I55" s="40">
        <v>4.2500000000000003E-2</v>
      </c>
      <c r="J55" s="40">
        <v>4.8750000000000002E-2</v>
      </c>
      <c r="K55" s="40">
        <v>4.4999999999999998E-2</v>
      </c>
      <c r="L55" s="40">
        <v>0.05</v>
      </c>
      <c r="M55" s="41">
        <v>4.1250000000000002E-2</v>
      </c>
      <c r="N55" s="44"/>
      <c r="O55" s="32">
        <f t="shared" si="30"/>
        <v>49505</v>
      </c>
      <c r="P55" s="35"/>
      <c r="Q55" s="36"/>
      <c r="R55" s="36"/>
      <c r="S55" s="34"/>
      <c r="T55" s="35"/>
      <c r="U55" s="36"/>
      <c r="V55" s="36"/>
      <c r="W55" s="34"/>
      <c r="X55" s="35"/>
      <c r="Y55" s="36"/>
      <c r="Z55" s="36"/>
      <c r="AA55" s="34"/>
      <c r="AB55" s="35"/>
      <c r="AC55" s="36"/>
      <c r="AD55" s="36"/>
      <c r="AE55" s="34"/>
      <c r="AF55" s="35">
        <f>+IF($O55&gt;F$8,"FIN",(F$19-SUM(AG$25:AG54))*VLOOKUP($O55,$A:$N,6,0)/VLOOKUP(F$15,$K$1:$M$4,2,0))</f>
        <v>0.2474999999999998</v>
      </c>
      <c r="AG55" s="36">
        <f t="shared" si="35"/>
        <v>9.9</v>
      </c>
      <c r="AH55" s="36">
        <f t="shared" si="13"/>
        <v>10.147500000000001</v>
      </c>
      <c r="AI55" s="34">
        <f t="shared" si="47"/>
        <v>2.429230820973586</v>
      </c>
      <c r="AJ55" s="35">
        <f>+IF($O55&gt;G$8,"FIN",(G$19-SUM(AK$25:AK54))*VLOOKUP($O55,$A:$N,7,0)/VLOOKUP(G$15,$K$1:$M$4,2,0))</f>
        <v>0.19799999999999984</v>
      </c>
      <c r="AK55" s="36">
        <f t="shared" si="36"/>
        <v>9.9</v>
      </c>
      <c r="AL55" s="36">
        <f t="shared" si="15"/>
        <v>10.098000000000001</v>
      </c>
      <c r="AM55" s="34">
        <f t="shared" si="48"/>
        <v>2.417380914529812</v>
      </c>
      <c r="AN55" s="35">
        <f>+IF($O55&gt;H$8,"FIN",(H$19-SUM(AO$25:AO54))*VLOOKUP($O55,$A:$N,8,0)/VLOOKUP(H$15,$K$1:$M$4,2,0))</f>
        <v>0.79545454545454541</v>
      </c>
      <c r="AO55" s="36">
        <f t="shared" si="37"/>
        <v>4.5454545454545459</v>
      </c>
      <c r="AP55" s="36">
        <f t="shared" si="17"/>
        <v>5.3409090909090917</v>
      </c>
      <c r="AQ55" s="34">
        <f t="shared" si="49"/>
        <v>1.278571172767123</v>
      </c>
      <c r="AR55" s="35">
        <f>+IF($O55&gt;I$8,"FIN",(I$19-SUM(AS$25:AS54))*VLOOKUP($O55,$A:$N,9,0)/VLOOKUP(I$15,$K$1:$M$4,2,0))</f>
        <v>0.67613636363636354</v>
      </c>
      <c r="AS55" s="36">
        <f t="shared" si="38"/>
        <v>4.5454545454545459</v>
      </c>
      <c r="AT55" s="36">
        <f t="shared" si="19"/>
        <v>5.2215909090909092</v>
      </c>
      <c r="AU55" s="34">
        <f t="shared" si="50"/>
        <v>1.2500073486946657</v>
      </c>
      <c r="AV55" s="35">
        <f>+IF($O55&gt;J$8,"FIN",(J$19-SUM(AW$25:AW54))*VLOOKUP($O55,$A:$N,10,0)/VLOOKUP(J$15,$K$1:$M$4,2,0))</f>
        <v>1.0562499999999997</v>
      </c>
      <c r="AW55" s="36">
        <f t="shared" si="39"/>
        <v>3.3333333333333335</v>
      </c>
      <c r="AX55" s="36">
        <f t="shared" si="21"/>
        <v>4.3895833333333334</v>
      </c>
      <c r="AY55" s="34">
        <f t="shared" si="51"/>
        <v>1.0508313500433901</v>
      </c>
      <c r="AZ55" s="35">
        <f>+IF($O55&gt;K$8,"FIN",(K$19-SUM(BA$25:BA54))*VLOOKUP($O55,$A:$N,11,0)/VLOOKUP(K$15,$K$1:$M$4,2,0))</f>
        <v>0.97499999999999964</v>
      </c>
      <c r="BA55" s="36">
        <f t="shared" si="40"/>
        <v>3.3333333333333335</v>
      </c>
      <c r="BB55" s="36">
        <f t="shared" si="23"/>
        <v>4.3083333333333336</v>
      </c>
      <c r="BC55" s="34">
        <f t="shared" si="52"/>
        <v>1.0313807460321458</v>
      </c>
      <c r="BD55" s="35">
        <f>+IF($O55&gt;L$8,"FIN",(L$19-SUM(BE$25:BE54))*VLOOKUP($O55,$A:$N,12,0)/VLOOKUP(L$15,$K$1:$M$4,2,0))</f>
        <v>1.2937500000000002</v>
      </c>
      <c r="BE55" s="36">
        <f t="shared" si="41"/>
        <v>2.25</v>
      </c>
      <c r="BF55" s="36">
        <f t="shared" si="25"/>
        <v>3.5437500000000002</v>
      </c>
      <c r="BG55" s="34">
        <f t="shared" si="53"/>
        <v>0.84834557495197283</v>
      </c>
      <c r="BH55" s="35">
        <f>+IF($O55&gt;M$8,"FIN",(M$19-SUM(BI$25:BI54))*VLOOKUP($O55,$A:$N,13,0)/VLOOKUP(M$15,$K$1:$M$4,2,0))</f>
        <v>1.06734375</v>
      </c>
      <c r="BI55" s="36">
        <f t="shared" si="42"/>
        <v>2.25</v>
      </c>
      <c r="BJ55" s="36">
        <f t="shared" si="27"/>
        <v>3.31734375</v>
      </c>
      <c r="BK55" s="34">
        <f t="shared" si="54"/>
        <v>0.7941457187744857</v>
      </c>
      <c r="BL55" s="4"/>
      <c r="BM55" s="43"/>
    </row>
    <row r="56" spans="1:65" x14ac:dyDescent="0.25">
      <c r="A56" s="27">
        <f t="shared" si="29"/>
        <v>49689</v>
      </c>
      <c r="B56" s="32"/>
      <c r="C56" s="5"/>
      <c r="D56" s="40"/>
      <c r="E56" s="40"/>
      <c r="F56" s="40"/>
      <c r="G56" s="40"/>
      <c r="H56" s="40">
        <v>0.05</v>
      </c>
      <c r="I56" s="40">
        <v>4.2500000000000003E-2</v>
      </c>
      <c r="J56" s="40">
        <v>4.8750000000000002E-2</v>
      </c>
      <c r="K56" s="40">
        <v>4.4999999999999998E-2</v>
      </c>
      <c r="L56" s="40">
        <v>0.05</v>
      </c>
      <c r="M56" s="41">
        <v>4.1250000000000002E-2</v>
      </c>
      <c r="N56" s="44"/>
      <c r="O56" s="32">
        <f t="shared" si="30"/>
        <v>49689</v>
      </c>
      <c r="P56" s="45"/>
      <c r="Q56" s="36"/>
      <c r="R56" s="36"/>
      <c r="S56" s="34"/>
      <c r="T56" s="35"/>
      <c r="U56" s="36"/>
      <c r="V56" s="36"/>
      <c r="W56" s="34"/>
      <c r="X56" s="35"/>
      <c r="Y56" s="36"/>
      <c r="Z56" s="36"/>
      <c r="AA56" s="34"/>
      <c r="AB56" s="35"/>
      <c r="AC56" s="36"/>
      <c r="AD56" s="36"/>
      <c r="AE56" s="34"/>
      <c r="AF56" s="35"/>
      <c r="AG56" s="36"/>
      <c r="AH56" s="36"/>
      <c r="AI56" s="34"/>
      <c r="AJ56" s="35"/>
      <c r="AK56" s="36"/>
      <c r="AL56" s="36"/>
      <c r="AM56" s="34"/>
      <c r="AN56" s="35">
        <f>+IF($O56&gt;H$8,"FIN",(H$19-SUM(AO$25:AO55))*VLOOKUP($O56,$A:$N,8,0)/VLOOKUP(H$15,$K$1:$M$4,2,0))</f>
        <v>0.68181818181818166</v>
      </c>
      <c r="AO56" s="36">
        <f t="shared" si="37"/>
        <v>4.5454545454545459</v>
      </c>
      <c r="AP56" s="36">
        <f t="shared" si="17"/>
        <v>5.2272727272727275</v>
      </c>
      <c r="AQ56" s="34">
        <f t="shared" si="49"/>
        <v>1.1931321260080949</v>
      </c>
      <c r="AR56" s="35">
        <f>+IF($O56&gt;I$8,"FIN",(I$19-SUM(AS$25:AS55))*VLOOKUP($O56,$A:$N,9,0)/VLOOKUP(I$15,$K$1:$M$4,2,0))</f>
        <v>0.57954545454545447</v>
      </c>
      <c r="AS56" s="36">
        <f t="shared" si="38"/>
        <v>4.5454545454545459</v>
      </c>
      <c r="AT56" s="36">
        <f t="shared" si="19"/>
        <v>5.125</v>
      </c>
      <c r="AU56" s="34">
        <f t="shared" si="50"/>
        <v>1.1697882365861973</v>
      </c>
      <c r="AV56" s="35">
        <f>+IF($O56&gt;J$8,"FIN",(J$19-SUM(AW$25:AW55))*VLOOKUP($O56,$A:$N,10,0)/VLOOKUP(J$15,$K$1:$M$4,2,0))</f>
        <v>0.97499999999999964</v>
      </c>
      <c r="AW56" s="36">
        <f t="shared" si="39"/>
        <v>3.3333333333333335</v>
      </c>
      <c r="AX56" s="36">
        <f t="shared" si="21"/>
        <v>4.3083333333333336</v>
      </c>
      <c r="AY56" s="34">
        <f t="shared" si="51"/>
        <v>0.98338295660986019</v>
      </c>
      <c r="AZ56" s="35">
        <f>+IF($O56&gt;K$8,"FIN",(K$19-SUM(BA$25:BA55))*VLOOKUP($O56,$A:$N,11,0)/VLOOKUP(K$15,$K$1:$M$4,2,0))</f>
        <v>0.89999999999999969</v>
      </c>
      <c r="BA56" s="36">
        <f t="shared" si="40"/>
        <v>3.3333333333333335</v>
      </c>
      <c r="BB56" s="36">
        <f t="shared" si="23"/>
        <v>4.2333333333333334</v>
      </c>
      <c r="BC56" s="34">
        <f t="shared" si="52"/>
        <v>0.96626410436713528</v>
      </c>
      <c r="BD56" s="35">
        <f>+IF($O56&gt;L$8,"FIN",(L$19-SUM(BE$25:BE55))*VLOOKUP($O56,$A:$N,12,0)/VLOOKUP(L$15,$K$1:$M$4,2,0))</f>
        <v>1.2375</v>
      </c>
      <c r="BE56" s="36">
        <f t="shared" si="41"/>
        <v>2.25</v>
      </c>
      <c r="BF56" s="36">
        <f t="shared" si="25"/>
        <v>3.4874999999999998</v>
      </c>
      <c r="BG56" s="34">
        <f t="shared" si="53"/>
        <v>0.79602662928670498</v>
      </c>
      <c r="BH56" s="35">
        <f>+IF($O56&gt;M$8,"FIN",(M$19-SUM(BI$25:BI55))*VLOOKUP($O56,$A:$N,13,0)/VLOOKUP(M$15,$K$1:$M$4,2,0))</f>
        <v>1.0209375000000001</v>
      </c>
      <c r="BI56" s="36">
        <f t="shared" si="42"/>
        <v>2.25</v>
      </c>
      <c r="BJ56" s="36">
        <f t="shared" si="27"/>
        <v>3.2709375000000001</v>
      </c>
      <c r="BK56" s="34">
        <f t="shared" si="54"/>
        <v>0.74659594343583702</v>
      </c>
      <c r="BL56" s="4"/>
      <c r="BM56" s="43"/>
    </row>
    <row r="57" spans="1:65" x14ac:dyDescent="0.25">
      <c r="A57" s="27">
        <f t="shared" si="29"/>
        <v>49871</v>
      </c>
      <c r="B57" s="32"/>
      <c r="C57" s="5"/>
      <c r="D57" s="40"/>
      <c r="E57" s="40"/>
      <c r="F57" s="40"/>
      <c r="G57" s="40"/>
      <c r="H57" s="40">
        <v>0.05</v>
      </c>
      <c r="I57" s="40">
        <v>4.2500000000000003E-2</v>
      </c>
      <c r="J57" s="40">
        <v>4.8750000000000002E-2</v>
      </c>
      <c r="K57" s="40">
        <v>4.4999999999999998E-2</v>
      </c>
      <c r="L57" s="40">
        <v>0.05</v>
      </c>
      <c r="M57" s="41">
        <v>4.1250000000000002E-2</v>
      </c>
      <c r="N57" s="44"/>
      <c r="O57" s="32">
        <f t="shared" si="30"/>
        <v>49871</v>
      </c>
      <c r="P57" s="45"/>
      <c r="Q57" s="36"/>
      <c r="R57" s="36"/>
      <c r="S57" s="46"/>
      <c r="T57" s="35"/>
      <c r="U57" s="36"/>
      <c r="V57" s="36"/>
      <c r="W57" s="46"/>
      <c r="X57" s="35"/>
      <c r="Y57" s="36"/>
      <c r="Z57" s="36"/>
      <c r="AA57" s="46"/>
      <c r="AB57" s="35"/>
      <c r="AC57" s="36"/>
      <c r="AD57" s="36"/>
      <c r="AE57" s="46"/>
      <c r="AF57" s="35"/>
      <c r="AG57" s="36"/>
      <c r="AH57" s="36"/>
      <c r="AI57" s="34"/>
      <c r="AJ57" s="35"/>
      <c r="AK57" s="36"/>
      <c r="AL57" s="36"/>
      <c r="AM57" s="34"/>
      <c r="AN57" s="35">
        <f>+IF($O57&gt;H$8,"FIN",(H$19-SUM(AO$25:AO56))*VLOOKUP($O57,$A:$N,8,0)/VLOOKUP(H$15,$K$1:$M$4,2,0))</f>
        <v>0.56818181818181801</v>
      </c>
      <c r="AO57" s="36">
        <f t="shared" si="37"/>
        <v>4.5454545454545459</v>
      </c>
      <c r="AP57" s="36">
        <f t="shared" si="17"/>
        <v>5.1136363636363642</v>
      </c>
      <c r="AQ57" s="34">
        <f t="shared" si="49"/>
        <v>1.1128762625632598</v>
      </c>
      <c r="AR57" s="35">
        <f>+IF($O57&gt;I$8,"FIN",(I$19-SUM(AS$25:AS56))*VLOOKUP($O57,$A:$N,9,0)/VLOOKUP(I$15,$K$1:$M$4,2,0))</f>
        <v>0.4829545454545453</v>
      </c>
      <c r="AS57" s="36">
        <f t="shared" si="38"/>
        <v>4.5454545454545459</v>
      </c>
      <c r="AT57" s="36">
        <f t="shared" si="19"/>
        <v>5.0284090909090908</v>
      </c>
      <c r="AU57" s="34">
        <f t="shared" si="50"/>
        <v>1.094328324853872</v>
      </c>
      <c r="AV57" s="35">
        <f>+IF($O57&gt;J$8,"FIN",(J$19-SUM(AW$25:AW56))*VLOOKUP($O57,$A:$N,10,0)/VLOOKUP(J$15,$K$1:$M$4,2,0))</f>
        <v>0.8937499999999996</v>
      </c>
      <c r="AW57" s="36">
        <f t="shared" si="39"/>
        <v>3.3333333333333335</v>
      </c>
      <c r="AX57" s="36">
        <f t="shared" si="21"/>
        <v>4.2270833333333329</v>
      </c>
      <c r="AY57" s="34">
        <f t="shared" si="51"/>
        <v>0.91993649274627365</v>
      </c>
      <c r="AZ57" s="35">
        <f>+IF($O57&gt;K$8,"FIN",(K$19-SUM(BA$25:BA56))*VLOOKUP($O57,$A:$N,11,0)/VLOOKUP(K$15,$K$1:$M$4,2,0))</f>
        <v>0.82499999999999962</v>
      </c>
      <c r="BA57" s="36">
        <f t="shared" si="40"/>
        <v>3.3333333333333335</v>
      </c>
      <c r="BB57" s="36">
        <f t="shared" si="23"/>
        <v>4.1583333333333332</v>
      </c>
      <c r="BC57" s="34">
        <f t="shared" si="52"/>
        <v>0.90497448966070093</v>
      </c>
      <c r="BD57" s="35">
        <f>+IF($O57&gt;L$8,"FIN",(L$19-SUM(BE$25:BE56))*VLOOKUP($O57,$A:$N,12,0)/VLOOKUP(L$15,$K$1:$M$4,2,0))</f>
        <v>1.1812500000000001</v>
      </c>
      <c r="BE57" s="36">
        <f t="shared" si="41"/>
        <v>2.25</v>
      </c>
      <c r="BF57" s="36">
        <f t="shared" si="25"/>
        <v>3.4312500000000004</v>
      </c>
      <c r="BG57" s="34">
        <f t="shared" si="53"/>
        <v>0.74673997217994725</v>
      </c>
      <c r="BH57" s="35">
        <f>+IF($O57&gt;M$8,"FIN",(M$19-SUM(BI$25:BI56))*VLOOKUP($O57,$A:$N,13,0)/VLOOKUP(M$15,$K$1:$M$4,2,0))</f>
        <v>0.97453125000000007</v>
      </c>
      <c r="BI57" s="36">
        <f t="shared" si="42"/>
        <v>2.25</v>
      </c>
      <c r="BJ57" s="36">
        <f t="shared" si="27"/>
        <v>3.2245312500000001</v>
      </c>
      <c r="BK57" s="34">
        <f t="shared" si="54"/>
        <v>0.7017519492658274</v>
      </c>
      <c r="BL57" s="4"/>
      <c r="BM57" s="43"/>
    </row>
    <row r="58" spans="1:65" x14ac:dyDescent="0.25">
      <c r="A58" s="27">
        <f t="shared" si="29"/>
        <v>50055</v>
      </c>
      <c r="B58" s="32"/>
      <c r="C58" s="5"/>
      <c r="D58" s="40"/>
      <c r="E58" s="40"/>
      <c r="F58" s="40"/>
      <c r="G58" s="40"/>
      <c r="H58" s="40">
        <v>0.05</v>
      </c>
      <c r="I58" s="40">
        <v>4.2500000000000003E-2</v>
      </c>
      <c r="J58" s="40">
        <v>4.8750000000000002E-2</v>
      </c>
      <c r="K58" s="40">
        <v>4.4999999999999998E-2</v>
      </c>
      <c r="L58" s="40">
        <v>0.05</v>
      </c>
      <c r="M58" s="41">
        <v>4.1250000000000002E-2</v>
      </c>
      <c r="N58" s="44"/>
      <c r="O58" s="32">
        <f t="shared" si="30"/>
        <v>50055</v>
      </c>
      <c r="P58" s="45"/>
      <c r="Q58" s="36"/>
      <c r="R58" s="36"/>
      <c r="S58" s="46"/>
      <c r="T58" s="35"/>
      <c r="U58" s="36"/>
      <c r="V58" s="36"/>
      <c r="W58" s="46"/>
      <c r="X58" s="35"/>
      <c r="Y58" s="36"/>
      <c r="Z58" s="36"/>
      <c r="AA58" s="46"/>
      <c r="AB58" s="35"/>
      <c r="AC58" s="36"/>
      <c r="AD58" s="36"/>
      <c r="AE58" s="46"/>
      <c r="AF58" s="35"/>
      <c r="AG58" s="36"/>
      <c r="AH58" s="36"/>
      <c r="AI58" s="34"/>
      <c r="AJ58" s="35"/>
      <c r="AK58" s="36"/>
      <c r="AL58" s="36"/>
      <c r="AM58" s="34"/>
      <c r="AN58" s="35">
        <f>+IF($O58&gt;H$8,"FIN",(H$19-SUM(AO$25:AO57))*VLOOKUP($O58,$A:$N,8,0)/VLOOKUP(H$15,$K$1:$M$4,2,0))</f>
        <v>0.45454545454545436</v>
      </c>
      <c r="AO58" s="36">
        <f t="shared" si="37"/>
        <v>4.5454545454545459</v>
      </c>
      <c r="AP58" s="36">
        <f t="shared" si="17"/>
        <v>5</v>
      </c>
      <c r="AQ58" s="34">
        <f t="shared" si="49"/>
        <v>1.0375061965287782</v>
      </c>
      <c r="AR58" s="35">
        <f>+IF($O58&gt;I$8,"FIN",(I$19-SUM(AS$25:AS57))*VLOOKUP($O58,$A:$N,9,0)/VLOOKUP(I$15,$K$1:$M$4,2,0))</f>
        <v>0.38636363636363619</v>
      </c>
      <c r="AS58" s="36">
        <f t="shared" si="38"/>
        <v>4.5454545454545459</v>
      </c>
      <c r="AT58" s="36">
        <f t="shared" si="19"/>
        <v>4.9318181818181817</v>
      </c>
      <c r="AU58" s="34">
        <f t="shared" si="50"/>
        <v>1.0233583847579311</v>
      </c>
      <c r="AV58" s="35">
        <f>+IF($O58&gt;J$8,"FIN",(J$19-SUM(AW$25:AW57))*VLOOKUP($O58,$A:$N,10,0)/VLOOKUP(J$15,$K$1:$M$4,2,0))</f>
        <v>0.81249999999999956</v>
      </c>
      <c r="AW58" s="36">
        <f t="shared" si="39"/>
        <v>3.3333333333333335</v>
      </c>
      <c r="AX58" s="36">
        <f t="shared" si="21"/>
        <v>4.145833333333333</v>
      </c>
      <c r="AY58" s="34">
        <f t="shared" si="51"/>
        <v>0.86026555462177845</v>
      </c>
      <c r="AZ58" s="35">
        <f>+IF($O58&gt;K$8,"FIN",(K$19-SUM(BA$25:BA57))*VLOOKUP($O58,$A:$N,11,0)/VLOOKUP(K$15,$K$1:$M$4,2,0))</f>
        <v>0.74999999999999956</v>
      </c>
      <c r="BA58" s="36">
        <f t="shared" si="40"/>
        <v>3.3333333333333335</v>
      </c>
      <c r="BB58" s="36">
        <f t="shared" si="23"/>
        <v>4.083333333333333</v>
      </c>
      <c r="BC58" s="34">
        <f t="shared" si="52"/>
        <v>0.84729672716516868</v>
      </c>
      <c r="BD58" s="35">
        <f>+IF($O58&gt;L$8,"FIN",(L$19-SUM(BE$25:BE57))*VLOOKUP($O58,$A:$N,12,0)/VLOOKUP(L$15,$K$1:$M$4,2,0))</f>
        <v>1.125</v>
      </c>
      <c r="BE58" s="36">
        <f t="shared" si="41"/>
        <v>2.25</v>
      </c>
      <c r="BF58" s="36">
        <f t="shared" si="25"/>
        <v>3.375</v>
      </c>
      <c r="BG58" s="34">
        <f t="shared" si="53"/>
        <v>0.70031668265692526</v>
      </c>
      <c r="BH58" s="35">
        <f>+IF($O58&gt;M$8,"FIN",(M$19-SUM(BI$25:BI57))*VLOOKUP($O58,$A:$N,13,0)/VLOOKUP(M$15,$K$1:$M$4,2,0))</f>
        <v>0.92812500000000009</v>
      </c>
      <c r="BI58" s="36">
        <f t="shared" si="42"/>
        <v>2.25</v>
      </c>
      <c r="BJ58" s="36">
        <f t="shared" si="27"/>
        <v>3.1781250000000001</v>
      </c>
      <c r="BK58" s="34">
        <f t="shared" si="54"/>
        <v>0.65946487616860461</v>
      </c>
      <c r="BL58" s="4"/>
      <c r="BM58" s="43"/>
    </row>
    <row r="59" spans="1:65" x14ac:dyDescent="0.25">
      <c r="A59" s="27">
        <f t="shared" si="29"/>
        <v>50236</v>
      </c>
      <c r="B59" s="32"/>
      <c r="C59" s="5"/>
      <c r="D59" s="40"/>
      <c r="E59" s="40"/>
      <c r="F59" s="40"/>
      <c r="G59" s="40"/>
      <c r="H59" s="40">
        <v>0.05</v>
      </c>
      <c r="I59" s="40">
        <v>4.2500000000000003E-2</v>
      </c>
      <c r="J59" s="40">
        <v>4.8750000000000002E-2</v>
      </c>
      <c r="K59" s="40">
        <v>4.4999999999999998E-2</v>
      </c>
      <c r="L59" s="40">
        <v>0.05</v>
      </c>
      <c r="M59" s="41">
        <v>4.1250000000000002E-2</v>
      </c>
      <c r="N59" s="44"/>
      <c r="O59" s="32">
        <f t="shared" si="30"/>
        <v>50236</v>
      </c>
      <c r="P59" s="45"/>
      <c r="Q59" s="36"/>
      <c r="R59" s="36"/>
      <c r="S59" s="46"/>
      <c r="T59" s="35"/>
      <c r="U59" s="36"/>
      <c r="V59" s="36"/>
      <c r="W59" s="46"/>
      <c r="X59" s="35"/>
      <c r="Y59" s="36"/>
      <c r="Z59" s="36"/>
      <c r="AA59" s="46"/>
      <c r="AB59" s="35"/>
      <c r="AC59" s="36"/>
      <c r="AD59" s="36"/>
      <c r="AE59" s="46"/>
      <c r="AF59" s="35"/>
      <c r="AG59" s="36"/>
      <c r="AH59" s="36"/>
      <c r="AI59" s="34"/>
      <c r="AJ59" s="35"/>
      <c r="AK59" s="36"/>
      <c r="AL59" s="36"/>
      <c r="AM59" s="34"/>
      <c r="AN59" s="35">
        <f>+IF($O59&gt;H$8,"FIN",(H$19-SUM(AO$25:AO58))*VLOOKUP($O59,$A:$N,8,0)/VLOOKUP(H$15,$K$1:$M$4,2,0))</f>
        <v>0.34090909090909066</v>
      </c>
      <c r="AO59" s="36">
        <f t="shared" si="37"/>
        <v>4.5454545454545459</v>
      </c>
      <c r="AP59" s="36">
        <f t="shared" si="17"/>
        <v>4.8863636363636367</v>
      </c>
      <c r="AQ59" s="34">
        <f t="shared" si="49"/>
        <v>0.96674099576202355</v>
      </c>
      <c r="AR59" s="35">
        <f>+IF($O59&gt;I$8,"FIN",(I$19-SUM(AS$25:AS58))*VLOOKUP($O59,$A:$N,9,0)/VLOOKUP(I$15,$K$1:$M$4,2,0))</f>
        <v>0.28977272727272707</v>
      </c>
      <c r="AS59" s="36">
        <f t="shared" si="38"/>
        <v>4.5454545454545459</v>
      </c>
      <c r="AT59" s="36">
        <f t="shared" si="19"/>
        <v>4.8352272727272734</v>
      </c>
      <c r="AU59" s="34">
        <f t="shared" si="50"/>
        <v>0.95662393882963026</v>
      </c>
      <c r="AV59" s="35">
        <f>+IF($O59&gt;J$8,"FIN",(J$19-SUM(AW$25:AW58))*VLOOKUP($O59,$A:$N,10,0)/VLOOKUP(J$15,$K$1:$M$4,2,0))</f>
        <v>0.73124999999999973</v>
      </c>
      <c r="AW59" s="36">
        <f t="shared" si="39"/>
        <v>3.3333333333333335</v>
      </c>
      <c r="AX59" s="36">
        <f t="shared" si="21"/>
        <v>4.0645833333333332</v>
      </c>
      <c r="AY59" s="34">
        <f t="shared" si="51"/>
        <v>0.80415614380034051</v>
      </c>
      <c r="AZ59" s="35">
        <f>+IF($O59&gt;K$8,"FIN",(K$19-SUM(BA$25:BA58))*VLOOKUP($O59,$A:$N,11,0)/VLOOKUP(K$15,$K$1:$M$4,2,0))</f>
        <v>0.6749999999999996</v>
      </c>
      <c r="BA59" s="36">
        <f t="shared" si="40"/>
        <v>3.3333333333333335</v>
      </c>
      <c r="BB59" s="36">
        <f t="shared" si="23"/>
        <v>4.0083333333333329</v>
      </c>
      <c r="BC59" s="34">
        <f t="shared" si="52"/>
        <v>0.79302738117470783</v>
      </c>
      <c r="BD59" s="35">
        <f>+IF($O59&gt;L$8,"FIN",(L$19-SUM(BE$25:BE58))*VLOOKUP($O59,$A:$N,12,0)/VLOOKUP(L$15,$K$1:$M$4,2,0))</f>
        <v>1.0687500000000001</v>
      </c>
      <c r="BE59" s="36">
        <f t="shared" si="41"/>
        <v>2.25</v>
      </c>
      <c r="BF59" s="36">
        <f t="shared" si="25"/>
        <v>3.3187500000000001</v>
      </c>
      <c r="BG59" s="34">
        <f t="shared" si="53"/>
        <v>0.65659699491232315</v>
      </c>
      <c r="BH59" s="35">
        <f>+IF($O59&gt;M$8,"FIN",(M$19-SUM(BI$25:BI58))*VLOOKUP($O59,$A:$N,13,0)/VLOOKUP(M$15,$K$1:$M$4,2,0))</f>
        <v>0.88171875</v>
      </c>
      <c r="BI59" s="36">
        <f t="shared" si="42"/>
        <v>2.25</v>
      </c>
      <c r="BJ59" s="36">
        <f t="shared" si="27"/>
        <v>3.1317187500000001</v>
      </c>
      <c r="BK59" s="34">
        <f t="shared" si="54"/>
        <v>0.61959385918209475</v>
      </c>
      <c r="BL59" s="4"/>
      <c r="BM59" s="43"/>
    </row>
    <row r="60" spans="1:65" x14ac:dyDescent="0.25">
      <c r="A60" s="27">
        <f t="shared" si="29"/>
        <v>50420</v>
      </c>
      <c r="B60" s="32"/>
      <c r="C60" s="5"/>
      <c r="D60" s="40"/>
      <c r="E60" s="40"/>
      <c r="F60" s="40"/>
      <c r="G60" s="40"/>
      <c r="H60" s="40">
        <v>0.05</v>
      </c>
      <c r="I60" s="40">
        <v>4.2500000000000003E-2</v>
      </c>
      <c r="J60" s="40">
        <v>4.8750000000000002E-2</v>
      </c>
      <c r="K60" s="40">
        <v>4.4999999999999998E-2</v>
      </c>
      <c r="L60" s="40">
        <v>0.05</v>
      </c>
      <c r="M60" s="41">
        <v>4.1250000000000002E-2</v>
      </c>
      <c r="N60" s="44"/>
      <c r="O60" s="32">
        <f t="shared" si="30"/>
        <v>50420</v>
      </c>
      <c r="P60" s="45"/>
      <c r="Q60" s="36"/>
      <c r="R60" s="36"/>
      <c r="S60" s="46"/>
      <c r="T60" s="35"/>
      <c r="U60" s="36"/>
      <c r="V60" s="36"/>
      <c r="W60" s="46"/>
      <c r="X60" s="35"/>
      <c r="Y60" s="36"/>
      <c r="Z60" s="36"/>
      <c r="AA60" s="46"/>
      <c r="AB60" s="35"/>
      <c r="AC60" s="36"/>
      <c r="AD60" s="36"/>
      <c r="AE60" s="46"/>
      <c r="AF60" s="35"/>
      <c r="AG60" s="36"/>
      <c r="AH60" s="36"/>
      <c r="AI60" s="46"/>
      <c r="AJ60" s="35"/>
      <c r="AK60" s="36"/>
      <c r="AL60" s="36"/>
      <c r="AM60" s="46"/>
      <c r="AN60" s="35">
        <f>+IF($O60&gt;H$8,"FIN",(H$19-SUM(AO$25:AO59))*VLOOKUP($O60,$A:$N,8,0)/VLOOKUP(H$15,$K$1:$M$4,2,0))</f>
        <v>0.22727272727272699</v>
      </c>
      <c r="AO60" s="36">
        <f t="shared" si="37"/>
        <v>4.5454545454545459</v>
      </c>
      <c r="AP60" s="36">
        <f t="shared" si="17"/>
        <v>4.7727272727272725</v>
      </c>
      <c r="AQ60" s="34">
        <f t="shared" si="49"/>
        <v>0.90031529450844361</v>
      </c>
      <c r="AR60" s="35">
        <f>+IF($O60&gt;I$8,"FIN",(I$19-SUM(AS$25:AS59))*VLOOKUP($O60,$A:$N,9,0)/VLOOKUP(I$15,$K$1:$M$4,2,0))</f>
        <v>0.19318181818181795</v>
      </c>
      <c r="AS60" s="36">
        <f t="shared" si="38"/>
        <v>4.5454545454545459</v>
      </c>
      <c r="AT60" s="36">
        <f t="shared" si="19"/>
        <v>4.7386363636363642</v>
      </c>
      <c r="AU60" s="34">
        <f t="shared" si="50"/>
        <v>0.89388447097624057</v>
      </c>
      <c r="AV60" s="35">
        <f>+IF($O60&gt;J$8,"FIN",(J$19-SUM(AW$25:AW59))*VLOOKUP($O60,$A:$N,10,0)/VLOOKUP(J$15,$K$1:$M$4,2,0))</f>
        <v>0.6499999999999998</v>
      </c>
      <c r="AW60" s="36">
        <f t="shared" si="39"/>
        <v>3.3333333333333335</v>
      </c>
      <c r="AX60" s="36">
        <f t="shared" si="21"/>
        <v>3.9833333333333334</v>
      </c>
      <c r="AY60" s="34">
        <f t="shared" si="51"/>
        <v>0.75140600294053916</v>
      </c>
      <c r="AZ60" s="35">
        <f>+IF($O60&gt;K$8,"FIN",(K$19-SUM(BA$25:BA59))*VLOOKUP($O60,$A:$N,11,0)/VLOOKUP(K$15,$K$1:$M$4,2,0))</f>
        <v>0.59999999999999976</v>
      </c>
      <c r="BA60" s="36">
        <f t="shared" si="40"/>
        <v>3.3333333333333335</v>
      </c>
      <c r="BB60" s="36">
        <f t="shared" si="23"/>
        <v>3.9333333333333331</v>
      </c>
      <c r="BC60" s="34">
        <f t="shared" si="52"/>
        <v>0.74197412842664112</v>
      </c>
      <c r="BD60" s="35">
        <f>+IF($O60&gt;L$8,"FIN",(L$19-SUM(BE$25:BE59))*VLOOKUP($O60,$A:$N,12,0)/VLOOKUP(L$15,$K$1:$M$4,2,0))</f>
        <v>1.0125</v>
      </c>
      <c r="BE60" s="36">
        <f t="shared" si="41"/>
        <v>2.25</v>
      </c>
      <c r="BF60" s="36">
        <f t="shared" si="25"/>
        <v>3.2625000000000002</v>
      </c>
      <c r="BG60" s="34">
        <f t="shared" si="53"/>
        <v>0.61542981203184333</v>
      </c>
      <c r="BH60" s="35">
        <f>+IF($O60&gt;M$8,"FIN",(M$19-SUM(BI$25:BI59))*VLOOKUP($O60,$A:$N,13,0)/VLOOKUP(M$15,$K$1:$M$4,2,0))</f>
        <v>0.83531250000000001</v>
      </c>
      <c r="BI60" s="36">
        <f t="shared" si="42"/>
        <v>2.25</v>
      </c>
      <c r="BJ60" s="36">
        <f t="shared" si="27"/>
        <v>3.0853125000000001</v>
      </c>
      <c r="BK60" s="34">
        <f t="shared" si="54"/>
        <v>0.58200560672321733</v>
      </c>
      <c r="BL60" s="4"/>
      <c r="BM60" s="43"/>
    </row>
    <row r="61" spans="1:65" x14ac:dyDescent="0.25">
      <c r="A61" s="27">
        <f t="shared" si="29"/>
        <v>50601</v>
      </c>
      <c r="B61" s="32"/>
      <c r="C61" s="5"/>
      <c r="D61" s="40"/>
      <c r="E61" s="40"/>
      <c r="F61" s="40"/>
      <c r="G61" s="40"/>
      <c r="H61" s="40">
        <v>0.05</v>
      </c>
      <c r="I61" s="40">
        <v>4.2500000000000003E-2</v>
      </c>
      <c r="J61" s="40">
        <v>4.8750000000000002E-2</v>
      </c>
      <c r="K61" s="40">
        <v>4.4999999999999998E-2</v>
      </c>
      <c r="L61" s="40">
        <v>0.05</v>
      </c>
      <c r="M61" s="41">
        <v>4.1250000000000002E-2</v>
      </c>
      <c r="N61" s="44"/>
      <c r="O61" s="32">
        <f t="shared" si="30"/>
        <v>50601</v>
      </c>
      <c r="P61" s="45"/>
      <c r="Q61" s="36"/>
      <c r="R61" s="36"/>
      <c r="S61" s="46"/>
      <c r="T61" s="35"/>
      <c r="U61" s="36"/>
      <c r="V61" s="36"/>
      <c r="W61" s="46"/>
      <c r="X61" s="35"/>
      <c r="Y61" s="36"/>
      <c r="Z61" s="36"/>
      <c r="AA61" s="46"/>
      <c r="AB61" s="35"/>
      <c r="AC61" s="36"/>
      <c r="AD61" s="36"/>
      <c r="AE61" s="46"/>
      <c r="AF61" s="35"/>
      <c r="AG61" s="36"/>
      <c r="AH61" s="36"/>
      <c r="AI61" s="46"/>
      <c r="AJ61" s="35"/>
      <c r="AK61" s="36"/>
      <c r="AL61" s="36"/>
      <c r="AM61" s="46"/>
      <c r="AN61" s="35">
        <f>+IF($O61&gt;H$8,"FIN",(H$19-SUM(AO$25:AO60))*VLOOKUP($O61,$A:$N,8,0)/VLOOKUP(H$15,$K$1:$M$4,2,0))</f>
        <v>0.11363636363636331</v>
      </c>
      <c r="AO61" s="36">
        <f t="shared" si="37"/>
        <v>4.5454545454545459</v>
      </c>
      <c r="AP61" s="36">
        <f t="shared" si="17"/>
        <v>4.6590909090909092</v>
      </c>
      <c r="AQ61" s="34">
        <f t="shared" si="49"/>
        <v>0.83797845298610907</v>
      </c>
      <c r="AR61" s="35">
        <f>+IF($O61&gt;I$8,"FIN",(I$19-SUM(AS$25:AS60))*VLOOKUP($O61,$A:$N,9,0)/VLOOKUP(I$15,$K$1:$M$4,2,0))</f>
        <v>9.6590909090908825E-2</v>
      </c>
      <c r="AS61" s="36">
        <f t="shared" si="38"/>
        <v>4.5454545454545459</v>
      </c>
      <c r="AT61" s="36">
        <f t="shared" si="19"/>
        <v>4.642045454545455</v>
      </c>
      <c r="AU61" s="34">
        <f t="shared" si="50"/>
        <v>0.83491267815811121</v>
      </c>
      <c r="AV61" s="35">
        <f>+IF($O61&gt;J$8,"FIN",(J$19-SUM(AW$25:AW60))*VLOOKUP($O61,$A:$N,10,0)/VLOOKUP(J$15,$K$1:$M$4,2,0))</f>
        <v>0.56874999999999987</v>
      </c>
      <c r="AW61" s="36">
        <f t="shared" si="39"/>
        <v>3.3333333333333335</v>
      </c>
      <c r="AX61" s="36">
        <f t="shared" si="21"/>
        <v>3.9020833333333336</v>
      </c>
      <c r="AY61" s="34">
        <f t="shared" si="51"/>
        <v>0.70182398645824418</v>
      </c>
      <c r="AZ61" s="35">
        <f>+IF($O61&gt;K$8,"FIN",(K$19-SUM(BA$25:BA60))*VLOOKUP($O61,$A:$N,11,0)/VLOOKUP(K$15,$K$1:$M$4,2,0))</f>
        <v>0.52499999999999991</v>
      </c>
      <c r="BA61" s="36">
        <f t="shared" si="40"/>
        <v>3.3333333333333335</v>
      </c>
      <c r="BB61" s="36">
        <f t="shared" si="23"/>
        <v>3.8583333333333334</v>
      </c>
      <c r="BC61" s="34">
        <f t="shared" si="52"/>
        <v>0.69395516439971605</v>
      </c>
      <c r="BD61" s="35">
        <f>+IF($O61&gt;L$8,"FIN",(L$19-SUM(BE$25:BE60))*VLOOKUP($O61,$A:$N,12,0)/VLOOKUP(L$15,$K$1:$M$4,2,0))</f>
        <v>0.95625000000000004</v>
      </c>
      <c r="BE61" s="36">
        <f t="shared" si="41"/>
        <v>2.25</v>
      </c>
      <c r="BF61" s="36">
        <f t="shared" si="25"/>
        <v>3.2062499999999998</v>
      </c>
      <c r="BG61" s="34">
        <f t="shared" si="53"/>
        <v>0.57667224514641624</v>
      </c>
      <c r="BH61" s="35">
        <f>+IF($O61&gt;M$8,"FIN",(M$19-SUM(BI$25:BI60))*VLOOKUP($O61,$A:$N,13,0)/VLOOKUP(M$15,$K$1:$M$4,2,0))</f>
        <v>0.78890625000000003</v>
      </c>
      <c r="BI61" s="36">
        <f t="shared" si="42"/>
        <v>2.25</v>
      </c>
      <c r="BJ61" s="36">
        <f t="shared" si="27"/>
        <v>3.0389062500000001</v>
      </c>
      <c r="BK61" s="34">
        <f t="shared" si="54"/>
        <v>0.54657400077254636</v>
      </c>
      <c r="BL61" s="4"/>
      <c r="BM61" s="43"/>
    </row>
    <row r="62" spans="1:65" x14ac:dyDescent="0.25">
      <c r="A62" s="27">
        <f t="shared" si="29"/>
        <v>50785</v>
      </c>
      <c r="B62" s="32"/>
      <c r="C62" s="5"/>
      <c r="D62" s="47"/>
      <c r="E62" s="47"/>
      <c r="F62" s="47"/>
      <c r="G62" s="47"/>
      <c r="H62" s="40"/>
      <c r="I62" s="40"/>
      <c r="J62" s="40">
        <v>4.8750000000000002E-2</v>
      </c>
      <c r="K62" s="40">
        <v>4.4999999999999998E-2</v>
      </c>
      <c r="L62" s="40">
        <v>0.05</v>
      </c>
      <c r="M62" s="41">
        <v>4.1250000000000002E-2</v>
      </c>
      <c r="N62" s="44"/>
      <c r="O62" s="32">
        <f t="shared" si="30"/>
        <v>50785</v>
      </c>
      <c r="P62" s="45"/>
      <c r="Q62" s="36"/>
      <c r="R62" s="36"/>
      <c r="S62" s="46"/>
      <c r="T62" s="35"/>
      <c r="U62" s="36"/>
      <c r="V62" s="36"/>
      <c r="W62" s="46"/>
      <c r="X62" s="35"/>
      <c r="Y62" s="36"/>
      <c r="Z62" s="36"/>
      <c r="AA62" s="46"/>
      <c r="AB62" s="35"/>
      <c r="AC62" s="36"/>
      <c r="AD62" s="36"/>
      <c r="AE62" s="46"/>
      <c r="AF62" s="35"/>
      <c r="AG62" s="36"/>
      <c r="AH62" s="36"/>
      <c r="AI62" s="46"/>
      <c r="AJ62" s="35"/>
      <c r="AK62" s="36"/>
      <c r="AL62" s="36"/>
      <c r="AM62" s="46"/>
      <c r="AN62" s="35"/>
      <c r="AO62" s="36"/>
      <c r="AP62" s="36"/>
      <c r="AQ62" s="34"/>
      <c r="AR62" s="35"/>
      <c r="AS62" s="36"/>
      <c r="AT62" s="36"/>
      <c r="AU62" s="34"/>
      <c r="AV62" s="35">
        <f>+IF($O62&gt;J$8,"FIN",(J$19-SUM(AW$25:AW61))*VLOOKUP($O62,$A:$N,10,0)/VLOOKUP(J$15,$K$1:$M$4,2,0))</f>
        <v>0.48750000000000004</v>
      </c>
      <c r="AW62" s="36">
        <f t="shared" si="39"/>
        <v>3.3333333333333335</v>
      </c>
      <c r="AX62" s="36">
        <f t="shared" si="21"/>
        <v>3.8208333333333337</v>
      </c>
      <c r="AY62" s="34">
        <f t="shared" si="51"/>
        <v>0.65522946433670071</v>
      </c>
      <c r="AZ62" s="35">
        <f>+IF($O62&gt;K$8,"FIN",(K$19-SUM(BA$25:BA61))*VLOOKUP($O62,$A:$N,11,0)/VLOOKUP(K$15,$K$1:$M$4,2,0))</f>
        <v>0.44999999999999996</v>
      </c>
      <c r="BA62" s="36">
        <f t="shared" si="40"/>
        <v>3.3333333333333335</v>
      </c>
      <c r="BB62" s="36">
        <f t="shared" si="23"/>
        <v>3.7833333333333332</v>
      </c>
      <c r="BC62" s="34">
        <f t="shared" si="52"/>
        <v>0.64879864080449745</v>
      </c>
      <c r="BD62" s="35">
        <f>+IF($O62&gt;L$8,"FIN",(L$19-SUM(BE$25:BE61))*VLOOKUP($O62,$A:$N,12,0)/VLOOKUP(L$15,$K$1:$M$4,2,0))</f>
        <v>0.9</v>
      </c>
      <c r="BE62" s="36">
        <f t="shared" si="41"/>
        <v>2.25</v>
      </c>
      <c r="BF62" s="36">
        <f t="shared" si="25"/>
        <v>3.15</v>
      </c>
      <c r="BG62" s="34">
        <f t="shared" si="53"/>
        <v>0.54018917670506617</v>
      </c>
      <c r="BH62" s="35">
        <f>+IF($O62&gt;M$8,"FIN",(M$19-SUM(BI$25:BI61))*VLOOKUP($O62,$A:$N,13,0)/VLOOKUP(M$15,$K$1:$M$4,2,0))</f>
        <v>0.74250000000000005</v>
      </c>
      <c r="BI62" s="36">
        <f t="shared" si="42"/>
        <v>2.25</v>
      </c>
      <c r="BJ62" s="36">
        <f t="shared" si="27"/>
        <v>2.9925000000000002</v>
      </c>
      <c r="BK62" s="34">
        <f t="shared" si="54"/>
        <v>0.51317971786981287</v>
      </c>
      <c r="BL62" s="4"/>
      <c r="BM62" s="43"/>
    </row>
    <row r="63" spans="1:65" x14ac:dyDescent="0.25">
      <c r="A63" s="27">
        <f t="shared" si="29"/>
        <v>50966</v>
      </c>
      <c r="B63" s="32"/>
      <c r="C63" s="5"/>
      <c r="D63" s="47"/>
      <c r="E63" s="47"/>
      <c r="F63" s="47"/>
      <c r="G63" s="47"/>
      <c r="H63" s="40"/>
      <c r="I63" s="40"/>
      <c r="J63" s="40">
        <v>4.8750000000000002E-2</v>
      </c>
      <c r="K63" s="40">
        <v>4.4999999999999998E-2</v>
      </c>
      <c r="L63" s="40">
        <v>0.05</v>
      </c>
      <c r="M63" s="41">
        <v>4.1250000000000002E-2</v>
      </c>
      <c r="N63" s="44"/>
      <c r="O63" s="32">
        <f t="shared" si="30"/>
        <v>50966</v>
      </c>
      <c r="P63" s="45"/>
      <c r="Q63" s="36"/>
      <c r="R63" s="36"/>
      <c r="S63" s="46"/>
      <c r="T63" s="35"/>
      <c r="U63" s="36"/>
      <c r="V63" s="36"/>
      <c r="W63" s="46"/>
      <c r="X63" s="35"/>
      <c r="Y63" s="36"/>
      <c r="Z63" s="36"/>
      <c r="AA63" s="46"/>
      <c r="AB63" s="35"/>
      <c r="AC63" s="36"/>
      <c r="AD63" s="36"/>
      <c r="AE63" s="46"/>
      <c r="AF63" s="35"/>
      <c r="AG63" s="36"/>
      <c r="AH63" s="36"/>
      <c r="AI63" s="46"/>
      <c r="AJ63" s="35"/>
      <c r="AK63" s="36"/>
      <c r="AL63" s="36"/>
      <c r="AM63" s="46"/>
      <c r="AN63" s="35"/>
      <c r="AO63" s="36"/>
      <c r="AP63" s="36"/>
      <c r="AQ63" s="34"/>
      <c r="AR63" s="35"/>
      <c r="AS63" s="36"/>
      <c r="AT63" s="36"/>
      <c r="AU63" s="34"/>
      <c r="AV63" s="35">
        <f>+IF($O63&gt;J$8,"FIN",(J$19-SUM(AW$25:AW62))*VLOOKUP($O63,$A:$N,10,0)/VLOOKUP(J$15,$K$1:$M$4,2,0))</f>
        <v>0.40625000000000011</v>
      </c>
      <c r="AW63" s="36">
        <f t="shared" si="39"/>
        <v>3.3333333333333335</v>
      </c>
      <c r="AX63" s="36">
        <f t="shared" si="21"/>
        <v>3.7395833333333335</v>
      </c>
      <c r="AY63" s="34">
        <f t="shared" si="51"/>
        <v>0.61145175736181523</v>
      </c>
      <c r="AZ63" s="35">
        <f>+IF($O63&gt;K$8,"FIN",(K$19-SUM(BA$25:BA62))*VLOOKUP($O63,$A:$N,11,0)/VLOOKUP(K$15,$K$1:$M$4,2,0))</f>
        <v>0.37500000000000011</v>
      </c>
      <c r="BA63" s="36">
        <f t="shared" si="40"/>
        <v>3.3333333333333335</v>
      </c>
      <c r="BB63" s="36">
        <f t="shared" si="23"/>
        <v>3.7083333333333335</v>
      </c>
      <c r="BC63" s="34">
        <f t="shared" si="52"/>
        <v>0.60634213264848524</v>
      </c>
      <c r="BD63" s="35">
        <f>+IF($O63&gt;L$8,"FIN",(L$19-SUM(BE$25:BE62))*VLOOKUP($O63,$A:$N,12,0)/VLOOKUP(L$15,$K$1:$M$4,2,0))</f>
        <v>0.84375</v>
      </c>
      <c r="BE63" s="36">
        <f t="shared" si="41"/>
        <v>2.25</v>
      </c>
      <c r="BF63" s="36">
        <f t="shared" si="25"/>
        <v>3.09375</v>
      </c>
      <c r="BG63" s="34">
        <f t="shared" si="53"/>
        <v>0.50585284661966323</v>
      </c>
      <c r="BH63" s="35">
        <f>+IF($O63&gt;M$8,"FIN",(M$19-SUM(BI$25:BI62))*VLOOKUP($O63,$A:$N,13,0)/VLOOKUP(M$15,$K$1:$M$4,2,0))</f>
        <v>0.69609375000000007</v>
      </c>
      <c r="BI63" s="36">
        <f t="shared" si="42"/>
        <v>2.25</v>
      </c>
      <c r="BJ63" s="36">
        <f t="shared" si="27"/>
        <v>2.9460937500000002</v>
      </c>
      <c r="BK63" s="34">
        <f t="shared" si="54"/>
        <v>0.48170986984917935</v>
      </c>
      <c r="BL63" s="4"/>
      <c r="BM63" s="43"/>
    </row>
    <row r="64" spans="1:65" x14ac:dyDescent="0.25">
      <c r="A64" s="27">
        <f t="shared" si="29"/>
        <v>51150</v>
      </c>
      <c r="B64" s="32"/>
      <c r="C64" s="5"/>
      <c r="D64" s="47"/>
      <c r="E64" s="47"/>
      <c r="F64" s="47"/>
      <c r="G64" s="47"/>
      <c r="H64" s="40"/>
      <c r="I64" s="40"/>
      <c r="J64" s="40">
        <v>4.8750000000000002E-2</v>
      </c>
      <c r="K64" s="40">
        <v>4.4999999999999998E-2</v>
      </c>
      <c r="L64" s="40">
        <v>0.05</v>
      </c>
      <c r="M64" s="41">
        <v>4.1250000000000002E-2</v>
      </c>
      <c r="N64" s="44"/>
      <c r="O64" s="32">
        <f t="shared" si="30"/>
        <v>51150</v>
      </c>
      <c r="P64" s="45"/>
      <c r="Q64" s="36"/>
      <c r="R64" s="36"/>
      <c r="S64" s="46"/>
      <c r="T64" s="35"/>
      <c r="U64" s="36"/>
      <c r="V64" s="36"/>
      <c r="W64" s="46"/>
      <c r="X64" s="35"/>
      <c r="Y64" s="36"/>
      <c r="Z64" s="36"/>
      <c r="AA64" s="46"/>
      <c r="AB64" s="35"/>
      <c r="AC64" s="36"/>
      <c r="AD64" s="36"/>
      <c r="AE64" s="46"/>
      <c r="AF64" s="36"/>
      <c r="AG64" s="36"/>
      <c r="AH64" s="36"/>
      <c r="AI64" s="46"/>
      <c r="AJ64" s="36"/>
      <c r="AK64" s="36"/>
      <c r="AL64" s="36"/>
      <c r="AM64" s="46"/>
      <c r="AN64" s="35"/>
      <c r="AO64" s="36"/>
      <c r="AP64" s="36"/>
      <c r="AQ64" s="34"/>
      <c r="AR64" s="35"/>
      <c r="AS64" s="36"/>
      <c r="AT64" s="36"/>
      <c r="AU64" s="34"/>
      <c r="AV64" s="35">
        <f>+IF($O64&gt;J$8,"FIN",(J$19-SUM(AW$25:AW63))*VLOOKUP($O64,$A:$N,10,0)/VLOOKUP(J$15,$K$1:$M$4,2,0))</f>
        <v>0.32500000000000023</v>
      </c>
      <c r="AW64" s="36">
        <f t="shared" si="39"/>
        <v>3.3333333333333335</v>
      </c>
      <c r="AX64" s="36">
        <f t="shared" si="21"/>
        <v>3.6583333333333337</v>
      </c>
      <c r="AY64" s="34">
        <f>AX64/(1+$B$5)^(YEARFRAC($O$25,$O64))</f>
        <v>0.57032960214892747</v>
      </c>
      <c r="AZ64" s="35">
        <f>+IF($O64&gt;K$8,"FIN",(K$19-SUM(BA$25:BA63))*VLOOKUP($O64,$A:$N,11,0)/VLOOKUP(K$15,$K$1:$M$4,2,0))</f>
        <v>0.30000000000000021</v>
      </c>
      <c r="BA64" s="36">
        <f t="shared" si="40"/>
        <v>3.3333333333333335</v>
      </c>
      <c r="BB64" s="36">
        <f t="shared" si="23"/>
        <v>3.6333333333333337</v>
      </c>
      <c r="BC64" s="34">
        <f>BB64/(1+$B$5)^(YEARFRAC($O$25,$O64))</f>
        <v>0.56643213334153153</v>
      </c>
      <c r="BD64" s="35">
        <f>+IF($O64&gt;L$8,"FIN",(L$19-SUM(BE$25:BE63))*VLOOKUP($O64,$A:$N,12,0)/VLOOKUP(L$15,$K$1:$M$4,2,0))</f>
        <v>0.78750000000000009</v>
      </c>
      <c r="BE64" s="36">
        <f t="shared" si="41"/>
        <v>2.25</v>
      </c>
      <c r="BF64" s="36">
        <f t="shared" si="25"/>
        <v>3.0375000000000001</v>
      </c>
      <c r="BG64" s="34">
        <f>BF64/(1+$B$5)^(YEARFRAC($O$25,$O64))</f>
        <v>0.47354246009859691</v>
      </c>
      <c r="BH64" s="35">
        <f>+IF($O64&gt;M$8,"FIN",(M$19-SUM(BI$25:BI63))*VLOOKUP($O64,$A:$N,13,0)/VLOOKUP(M$15,$K$1:$M$4,2,0))</f>
        <v>0.64968750000000008</v>
      </c>
      <c r="BI64" s="36">
        <f t="shared" si="42"/>
        <v>2.25</v>
      </c>
      <c r="BJ64" s="36">
        <f t="shared" si="27"/>
        <v>2.8996875000000002</v>
      </c>
      <c r="BK64" s="34">
        <f>BJ64/(1+$B$5)^(YEARFRAC($O$25,$O64))</f>
        <v>0.45205766329782726</v>
      </c>
      <c r="BL64" s="4"/>
      <c r="BM64" s="43"/>
    </row>
    <row r="65" spans="1:65" x14ac:dyDescent="0.25">
      <c r="A65" s="27">
        <f t="shared" si="29"/>
        <v>51332</v>
      </c>
      <c r="B65" s="32"/>
      <c r="C65" s="5"/>
      <c r="D65" s="47"/>
      <c r="E65" s="47"/>
      <c r="F65" s="47"/>
      <c r="G65" s="47"/>
      <c r="H65" s="40"/>
      <c r="I65" s="40"/>
      <c r="J65" s="40">
        <v>4.8750000000000002E-2</v>
      </c>
      <c r="K65" s="40">
        <v>4.4999999999999998E-2</v>
      </c>
      <c r="L65" s="40">
        <v>0.05</v>
      </c>
      <c r="M65" s="41">
        <v>4.1250000000000002E-2</v>
      </c>
      <c r="N65" s="44"/>
      <c r="O65" s="32">
        <f t="shared" si="30"/>
        <v>51332</v>
      </c>
      <c r="P65" s="45"/>
      <c r="Q65" s="36"/>
      <c r="R65" s="36"/>
      <c r="S65" s="46"/>
      <c r="T65" s="35"/>
      <c r="U65" s="36"/>
      <c r="V65" s="36"/>
      <c r="W65" s="46"/>
      <c r="X65" s="35"/>
      <c r="Y65" s="36"/>
      <c r="Z65" s="36"/>
      <c r="AA65" s="46"/>
      <c r="AB65" s="35"/>
      <c r="AC65" s="36"/>
      <c r="AD65" s="36"/>
      <c r="AE65" s="46"/>
      <c r="AF65" s="36"/>
      <c r="AG65" s="36"/>
      <c r="AH65" s="36"/>
      <c r="AI65" s="46"/>
      <c r="AJ65" s="36"/>
      <c r="AK65" s="36"/>
      <c r="AL65" s="36"/>
      <c r="AM65" s="46"/>
      <c r="AN65" s="35"/>
      <c r="AO65" s="36"/>
      <c r="AP65" s="36"/>
      <c r="AQ65" s="34"/>
      <c r="AR65" s="35"/>
      <c r="AS65" s="36"/>
      <c r="AT65" s="36"/>
      <c r="AU65" s="34"/>
      <c r="AV65" s="35">
        <f>+IF($O65&gt;J$8,"FIN",(J$19-SUM(AW$25:AW64))*VLOOKUP($O65,$A:$N,10,0)/VLOOKUP(J$15,$K$1:$M$4,2,0))</f>
        <v>0.24375000000000036</v>
      </c>
      <c r="AW65" s="36">
        <f t="shared" si="39"/>
        <v>3.3333333333333335</v>
      </c>
      <c r="AX65" s="36">
        <f t="shared" si="21"/>
        <v>3.5770833333333338</v>
      </c>
      <c r="AY65" s="34">
        <f t="shared" si="51"/>
        <v>0.53171064441136329</v>
      </c>
      <c r="AZ65" s="35">
        <f>+IF($O65&gt;K$8,"FIN",(K$19-SUM(BA$25:BA64))*VLOOKUP($O65,$A:$N,11,0)/VLOOKUP(K$15,$K$1:$M$4,2,0))</f>
        <v>0.22500000000000031</v>
      </c>
      <c r="BA65" s="36">
        <f t="shared" si="40"/>
        <v>3.3333333333333335</v>
      </c>
      <c r="BB65" s="36">
        <f t="shared" si="23"/>
        <v>3.5583333333333336</v>
      </c>
      <c r="BC65" s="34">
        <f t="shared" si="52"/>
        <v>0.52892357638591059</v>
      </c>
      <c r="BD65" s="35">
        <f>+IF($O65&gt;L$8,"FIN",(L$19-SUM(BE$25:BE64))*VLOOKUP($O65,$A:$N,12,0)/VLOOKUP(L$15,$K$1:$M$4,2,0))</f>
        <v>0.73125000000000007</v>
      </c>
      <c r="BE65" s="36">
        <f t="shared" si="41"/>
        <v>2.25</v>
      </c>
      <c r="BF65" s="36">
        <f t="shared" si="25"/>
        <v>2.9812500000000002</v>
      </c>
      <c r="BG65" s="34">
        <f t="shared" si="53"/>
        <v>0.44314381604697778</v>
      </c>
      <c r="BH65" s="35">
        <f>+IF($O65&gt;M$8,"FIN",(M$19-SUM(BI$25:BI64))*VLOOKUP($O65,$A:$N,13,0)/VLOOKUP(M$15,$K$1:$M$4,2,0))</f>
        <v>0.60328124999999999</v>
      </c>
      <c r="BI65" s="36">
        <f t="shared" si="42"/>
        <v>2.25</v>
      </c>
      <c r="BJ65" s="36">
        <f t="shared" si="27"/>
        <v>2.8532812500000002</v>
      </c>
      <c r="BK65" s="34">
        <f t="shared" si="54"/>
        <v>0.42412207677326319</v>
      </c>
      <c r="BL65" s="4"/>
      <c r="BM65" s="43"/>
    </row>
    <row r="66" spans="1:65" x14ac:dyDescent="0.25">
      <c r="A66" s="27">
        <f t="shared" si="29"/>
        <v>51516</v>
      </c>
      <c r="B66" s="32"/>
      <c r="C66" s="5"/>
      <c r="D66" s="47"/>
      <c r="E66" s="47"/>
      <c r="F66" s="47"/>
      <c r="G66" s="47"/>
      <c r="H66" s="47"/>
      <c r="I66" s="40"/>
      <c r="J66" s="40">
        <v>4.8750000000000002E-2</v>
      </c>
      <c r="K66" s="40">
        <v>4.4999999999999998E-2</v>
      </c>
      <c r="L66" s="40">
        <v>0.05</v>
      </c>
      <c r="M66" s="41">
        <v>4.1250000000000002E-2</v>
      </c>
      <c r="N66" s="44"/>
      <c r="O66" s="32">
        <f t="shared" si="30"/>
        <v>51516</v>
      </c>
      <c r="P66" s="45"/>
      <c r="Q66" s="36"/>
      <c r="R66" s="36"/>
      <c r="S66" s="46"/>
      <c r="T66" s="35"/>
      <c r="U66" s="36"/>
      <c r="V66" s="36"/>
      <c r="W66" s="46"/>
      <c r="X66" s="35"/>
      <c r="Y66" s="36"/>
      <c r="Z66" s="36"/>
      <c r="AA66" s="46"/>
      <c r="AB66" s="35"/>
      <c r="AC66" s="36"/>
      <c r="AD66" s="36"/>
      <c r="AE66" s="46"/>
      <c r="AF66" s="36"/>
      <c r="AG66" s="36"/>
      <c r="AH66" s="36"/>
      <c r="AI66" s="46"/>
      <c r="AJ66" s="36"/>
      <c r="AK66" s="36"/>
      <c r="AL66" s="36"/>
      <c r="AM66" s="46"/>
      <c r="AN66" s="36"/>
      <c r="AO66" s="36"/>
      <c r="AP66" s="36"/>
      <c r="AQ66" s="46"/>
      <c r="AR66" s="36"/>
      <c r="AS66" s="36"/>
      <c r="AT66" s="36"/>
      <c r="AU66" s="46"/>
      <c r="AV66" s="35">
        <f>+IF($O66&gt;J$8,"FIN",(J$19-SUM(AW$25:AW65))*VLOOKUP($O66,$A:$N,10,0)/VLOOKUP(J$15,$K$1:$M$4,2,0))</f>
        <v>0.16250000000000048</v>
      </c>
      <c r="AW66" s="36">
        <f t="shared" si="39"/>
        <v>3.3333333333333335</v>
      </c>
      <c r="AX66" s="36">
        <f t="shared" si="21"/>
        <v>3.495833333333334</v>
      </c>
      <c r="AY66" s="34">
        <f t="shared" si="51"/>
        <v>0.49545095900077674</v>
      </c>
      <c r="AZ66" s="35">
        <f>+IF($O66&gt;K$8,"FIN",(K$19-SUM(BA$25:BA65))*VLOOKUP($O66,$A:$N,11,0)/VLOOKUP(K$15,$K$1:$M$4,2,0))</f>
        <v>0.15000000000000041</v>
      </c>
      <c r="BA66" s="36">
        <f t="shared" si="40"/>
        <v>3.3333333333333335</v>
      </c>
      <c r="BB66" s="36">
        <f t="shared" si="23"/>
        <v>3.4833333333333338</v>
      </c>
      <c r="BC66" s="34">
        <f t="shared" si="52"/>
        <v>0.49367938227014224</v>
      </c>
      <c r="BD66" s="35">
        <f>+IF($O66&gt;L$8,"FIN",(L$19-SUM(BE$25:BE65))*VLOOKUP($O66,$A:$N,12,0)/VLOOKUP(L$15,$K$1:$M$4,2,0))</f>
        <v>0.67500000000000004</v>
      </c>
      <c r="BE66" s="36">
        <f t="shared" si="41"/>
        <v>2.25</v>
      </c>
      <c r="BF66" s="36">
        <f t="shared" si="25"/>
        <v>2.9249999999999998</v>
      </c>
      <c r="BG66" s="34">
        <f t="shared" si="53"/>
        <v>0.41454895496846866</v>
      </c>
      <c r="BH66" s="35">
        <f>+IF($O66&gt;M$8,"FIN",(M$19-SUM(BI$25:BI65))*VLOOKUP($O66,$A:$N,13,0)/VLOOKUP(M$15,$K$1:$M$4,2,0))</f>
        <v>0.55687500000000001</v>
      </c>
      <c r="BI66" s="36">
        <f t="shared" si="42"/>
        <v>2.25</v>
      </c>
      <c r="BJ66" s="36">
        <f t="shared" si="27"/>
        <v>2.8068749999999998</v>
      </c>
      <c r="BK66" s="34">
        <f t="shared" si="54"/>
        <v>0.39780755486397279</v>
      </c>
      <c r="BL66" s="4"/>
      <c r="BM66" s="43"/>
    </row>
    <row r="67" spans="1:65" x14ac:dyDescent="0.25">
      <c r="A67" s="27">
        <f t="shared" si="29"/>
        <v>51697</v>
      </c>
      <c r="B67" s="32"/>
      <c r="C67" s="5"/>
      <c r="D67" s="47"/>
      <c r="E67" s="47"/>
      <c r="F67" s="47"/>
      <c r="G67" s="47"/>
      <c r="H67" s="47"/>
      <c r="I67" s="40"/>
      <c r="J67" s="40">
        <v>4.8750000000000002E-2</v>
      </c>
      <c r="K67" s="40">
        <v>4.4999999999999998E-2</v>
      </c>
      <c r="L67" s="40">
        <v>0.05</v>
      </c>
      <c r="M67" s="41">
        <v>4.1250000000000002E-2</v>
      </c>
      <c r="N67" s="44"/>
      <c r="O67" s="32">
        <f t="shared" si="30"/>
        <v>51697</v>
      </c>
      <c r="P67" s="45"/>
      <c r="Q67" s="36"/>
      <c r="R67" s="36"/>
      <c r="S67" s="46"/>
      <c r="T67" s="35"/>
      <c r="U67" s="36"/>
      <c r="V67" s="36"/>
      <c r="W67" s="46"/>
      <c r="X67" s="35"/>
      <c r="Y67" s="36"/>
      <c r="Z67" s="36"/>
      <c r="AA67" s="46"/>
      <c r="AB67" s="35"/>
      <c r="AC67" s="36"/>
      <c r="AD67" s="36"/>
      <c r="AE67" s="46"/>
      <c r="AF67" s="36"/>
      <c r="AG67" s="36"/>
      <c r="AH67" s="36"/>
      <c r="AI67" s="46"/>
      <c r="AJ67" s="36"/>
      <c r="AK67" s="36"/>
      <c r="AL67" s="36"/>
      <c r="AM67" s="46"/>
      <c r="AN67" s="36"/>
      <c r="AO67" s="36"/>
      <c r="AP67" s="36"/>
      <c r="AQ67" s="46"/>
      <c r="AR67" s="36"/>
      <c r="AS67" s="36"/>
      <c r="AT67" s="36"/>
      <c r="AU67" s="46"/>
      <c r="AV67" s="35">
        <f>+IF($O67&gt;J$8,"FIN",(J$19-SUM(AW$25:AW66))*VLOOKUP($O67,$A:$N,10,0)/VLOOKUP(J$15,$K$1:$M$4,2,0))</f>
        <v>8.1250000000000586E-2</v>
      </c>
      <c r="AW67" s="36">
        <f t="shared" si="39"/>
        <v>3.3333333333333335</v>
      </c>
      <c r="AX67" s="36">
        <f t="shared" si="21"/>
        <v>3.4145833333333342</v>
      </c>
      <c r="AY67" s="34">
        <f t="shared" si="51"/>
        <v>0.4614145953249455</v>
      </c>
      <c r="AZ67" s="35">
        <f>+IF($O67&gt;K$8,"FIN",(K$19-SUM(BA$25:BA66))*VLOOKUP($O67,$A:$N,11,0)/VLOOKUP(K$15,$K$1:$M$4,2,0))</f>
        <v>7.5000000000000525E-2</v>
      </c>
      <c r="BA67" s="36">
        <f t="shared" si="40"/>
        <v>3.3333333333333335</v>
      </c>
      <c r="BB67" s="36">
        <f t="shared" si="23"/>
        <v>3.4083333333333341</v>
      </c>
      <c r="BC67" s="34">
        <f t="shared" si="52"/>
        <v>0.46057002925662649</v>
      </c>
      <c r="BD67" s="35">
        <f>+IF($O67&gt;L$8,"FIN",(L$19-SUM(BE$25:BE66))*VLOOKUP($O67,$A:$N,12,0)/VLOOKUP(L$15,$K$1:$M$4,2,0))</f>
        <v>0.61875000000000002</v>
      </c>
      <c r="BE67" s="36">
        <f t="shared" si="41"/>
        <v>2.25</v>
      </c>
      <c r="BF67" s="36">
        <f t="shared" si="25"/>
        <v>2.8687499999999999</v>
      </c>
      <c r="BG67" s="34">
        <f t="shared" si="53"/>
        <v>0.38765582535841958</v>
      </c>
      <c r="BH67" s="35">
        <f>+IF($O67&gt;M$8,"FIN",(M$19-SUM(BI$25:BI66))*VLOOKUP($O67,$A:$N,13,0)/VLOOKUP(M$15,$K$1:$M$4,2,0))</f>
        <v>0.51046875000000003</v>
      </c>
      <c r="BI67" s="36">
        <f t="shared" si="42"/>
        <v>2.25</v>
      </c>
      <c r="BJ67" s="36">
        <f t="shared" si="27"/>
        <v>2.7604687500000002</v>
      </c>
      <c r="BK67" s="34">
        <f t="shared" si="54"/>
        <v>0.37302371822479302</v>
      </c>
      <c r="BL67" s="4"/>
      <c r="BM67" s="43"/>
    </row>
    <row r="68" spans="1:65" x14ac:dyDescent="0.25">
      <c r="A68" s="27">
        <f t="shared" si="29"/>
        <v>51881</v>
      </c>
      <c r="B68" s="32"/>
      <c r="C68" s="5"/>
      <c r="D68" s="47"/>
      <c r="E68" s="47"/>
      <c r="F68" s="47"/>
      <c r="G68" s="47"/>
      <c r="H68" s="47"/>
      <c r="I68" s="40"/>
      <c r="J68" s="40"/>
      <c r="K68" s="40"/>
      <c r="L68" s="40">
        <v>0.05</v>
      </c>
      <c r="M68" s="41">
        <v>4.1250000000000002E-2</v>
      </c>
      <c r="N68" s="44"/>
      <c r="O68" s="32">
        <f t="shared" si="30"/>
        <v>51881</v>
      </c>
      <c r="P68" s="45"/>
      <c r="Q68" s="36"/>
      <c r="R68" s="36"/>
      <c r="S68" s="46"/>
      <c r="T68" s="35"/>
      <c r="U68" s="36"/>
      <c r="V68" s="36"/>
      <c r="W68" s="46"/>
      <c r="X68" s="35"/>
      <c r="Y68" s="36"/>
      <c r="Z68" s="36"/>
      <c r="AA68" s="46"/>
      <c r="AB68" s="35"/>
      <c r="AC68" s="36"/>
      <c r="AD68" s="36"/>
      <c r="AE68" s="46"/>
      <c r="AF68" s="36"/>
      <c r="AG68" s="36"/>
      <c r="AH68" s="36"/>
      <c r="AI68" s="46"/>
      <c r="AJ68" s="36"/>
      <c r="AK68" s="36"/>
      <c r="AL68" s="36"/>
      <c r="AM68" s="46"/>
      <c r="AN68" s="36"/>
      <c r="AO68" s="36"/>
      <c r="AP68" s="36"/>
      <c r="AQ68" s="46"/>
      <c r="AR68" s="36"/>
      <c r="AS68" s="36"/>
      <c r="AT68" s="36"/>
      <c r="AU68" s="46"/>
      <c r="AV68" s="35"/>
      <c r="AW68" s="36"/>
      <c r="AX68" s="36"/>
      <c r="AY68" s="34"/>
      <c r="AZ68" s="35"/>
      <c r="BA68" s="36"/>
      <c r="BB68" s="36"/>
      <c r="BC68" s="34"/>
      <c r="BD68" s="35">
        <f>+IF($O68&gt;L$8,"FIN",(L$19-SUM(BE$25:BE67))*VLOOKUP($O68,$A:$N,12,0)/VLOOKUP(L$15,$K$1:$M$4,2,0))</f>
        <v>0.5625</v>
      </c>
      <c r="BE68" s="36">
        <f t="shared" si="41"/>
        <v>2.25</v>
      </c>
      <c r="BF68" s="36">
        <f t="shared" si="25"/>
        <v>2.8125</v>
      </c>
      <c r="BG68" s="34">
        <f t="shared" si="53"/>
        <v>0.36236796762978024</v>
      </c>
      <c r="BH68" s="35">
        <f>+IF($O68&gt;M$8,"FIN",(M$19-SUM(BI$25:BI67))*VLOOKUP($O68,$A:$N,13,0)/VLOOKUP(M$15,$K$1:$M$4,2,0))</f>
        <v>0.46406250000000004</v>
      </c>
      <c r="BI68" s="36">
        <f t="shared" si="42"/>
        <v>2.25</v>
      </c>
      <c r="BJ68" s="36">
        <f t="shared" si="27"/>
        <v>2.7140624999999998</v>
      </c>
      <c r="BK68" s="34">
        <f t="shared" si="54"/>
        <v>0.34968508876273791</v>
      </c>
      <c r="BL68" s="4"/>
      <c r="BM68" s="43"/>
    </row>
    <row r="69" spans="1:65" x14ac:dyDescent="0.25">
      <c r="A69" s="27">
        <f t="shared" si="29"/>
        <v>52062</v>
      </c>
      <c r="B69" s="32"/>
      <c r="C69" s="5"/>
      <c r="D69" s="47"/>
      <c r="E69" s="47"/>
      <c r="F69" s="47"/>
      <c r="G69" s="47"/>
      <c r="H69" s="47"/>
      <c r="I69" s="40"/>
      <c r="J69" s="40"/>
      <c r="K69" s="40"/>
      <c r="L69" s="40">
        <v>0.05</v>
      </c>
      <c r="M69" s="41">
        <v>4.1250000000000002E-2</v>
      </c>
      <c r="N69" s="44"/>
      <c r="O69" s="32">
        <f t="shared" si="30"/>
        <v>52062</v>
      </c>
      <c r="P69" s="45"/>
      <c r="Q69" s="36"/>
      <c r="R69" s="36"/>
      <c r="S69" s="46"/>
      <c r="T69" s="35"/>
      <c r="U69" s="36"/>
      <c r="V69" s="36"/>
      <c r="W69" s="46"/>
      <c r="X69" s="35"/>
      <c r="Y69" s="36"/>
      <c r="Z69" s="36"/>
      <c r="AA69" s="46"/>
      <c r="AB69" s="35"/>
      <c r="AC69" s="36"/>
      <c r="AD69" s="36"/>
      <c r="AE69" s="46"/>
      <c r="AF69" s="36"/>
      <c r="AG69" s="36"/>
      <c r="AH69" s="36"/>
      <c r="AI69" s="46"/>
      <c r="AJ69" s="36"/>
      <c r="AK69" s="36"/>
      <c r="AL69" s="36"/>
      <c r="AM69" s="46"/>
      <c r="AN69" s="36"/>
      <c r="AO69" s="36"/>
      <c r="AP69" s="36"/>
      <c r="AQ69" s="46"/>
      <c r="AR69" s="36"/>
      <c r="AS69" s="36"/>
      <c r="AT69" s="36"/>
      <c r="AU69" s="46"/>
      <c r="AV69" s="35"/>
      <c r="AW69" s="36"/>
      <c r="AX69" s="36"/>
      <c r="AY69" s="34"/>
      <c r="AZ69" s="35"/>
      <c r="BA69" s="36"/>
      <c r="BB69" s="36"/>
      <c r="BC69" s="34"/>
      <c r="BD69" s="35">
        <f>+IF($O69&gt;L$8,"FIN",(L$19-SUM(BE$25:BE68))*VLOOKUP($O69,$A:$N,12,0)/VLOOKUP(L$15,$K$1:$M$4,2,0))</f>
        <v>0.50624999999999998</v>
      </c>
      <c r="BE69" s="36">
        <f t="shared" si="41"/>
        <v>2.25</v>
      </c>
      <c r="BF69" s="36">
        <f t="shared" si="25"/>
        <v>2.7562500000000001</v>
      </c>
      <c r="BG69" s="34">
        <f t="shared" si="53"/>
        <v>0.33859421466243422</v>
      </c>
      <c r="BH69" s="35">
        <f>+IF($O69&gt;M$8,"FIN",(M$19-SUM(BI$25:BI68))*VLOOKUP($O69,$A:$N,13,0)/VLOOKUP(M$15,$K$1:$M$4,2,0))</f>
        <v>0.41765625000000001</v>
      </c>
      <c r="BI69" s="36">
        <f t="shared" si="42"/>
        <v>2.25</v>
      </c>
      <c r="BJ69" s="36">
        <f t="shared" si="27"/>
        <v>2.6676562499999998</v>
      </c>
      <c r="BK69" s="34">
        <f t="shared" si="54"/>
        <v>0.32771082919114164</v>
      </c>
      <c r="BL69" s="4"/>
      <c r="BM69" s="43"/>
    </row>
    <row r="70" spans="1:65" x14ac:dyDescent="0.25">
      <c r="A70" s="27">
        <f t="shared" si="29"/>
        <v>52246</v>
      </c>
      <c r="B70" s="32"/>
      <c r="C70" s="5"/>
      <c r="D70" s="47"/>
      <c r="E70" s="47"/>
      <c r="F70" s="47"/>
      <c r="G70" s="47"/>
      <c r="H70" s="47"/>
      <c r="I70" s="40"/>
      <c r="J70" s="40"/>
      <c r="K70" s="40"/>
      <c r="L70" s="40">
        <v>0.05</v>
      </c>
      <c r="M70" s="41">
        <v>4.1250000000000002E-2</v>
      </c>
      <c r="N70" s="44"/>
      <c r="O70" s="32">
        <f t="shared" si="30"/>
        <v>52246</v>
      </c>
      <c r="P70" s="45"/>
      <c r="Q70" s="36"/>
      <c r="R70" s="36"/>
      <c r="S70" s="46"/>
      <c r="T70" s="45"/>
      <c r="U70" s="36"/>
      <c r="V70" s="36"/>
      <c r="W70" s="46"/>
      <c r="X70" s="35"/>
      <c r="Y70" s="36"/>
      <c r="Z70" s="36"/>
      <c r="AA70" s="46"/>
      <c r="AB70" s="35"/>
      <c r="AC70" s="36"/>
      <c r="AD70" s="36"/>
      <c r="AE70" s="46"/>
      <c r="AF70" s="36"/>
      <c r="AG70" s="36"/>
      <c r="AH70" s="36"/>
      <c r="AI70" s="46"/>
      <c r="AJ70" s="36"/>
      <c r="AK70" s="36"/>
      <c r="AL70" s="36"/>
      <c r="AM70" s="46"/>
      <c r="AN70" s="36"/>
      <c r="AO70" s="36"/>
      <c r="AP70" s="36"/>
      <c r="AQ70" s="46"/>
      <c r="AR70" s="36"/>
      <c r="AS70" s="36"/>
      <c r="AT70" s="36"/>
      <c r="AU70" s="46"/>
      <c r="AV70" s="35"/>
      <c r="AW70" s="36"/>
      <c r="AX70" s="36"/>
      <c r="AY70" s="34"/>
      <c r="AZ70" s="35"/>
      <c r="BA70" s="36"/>
      <c r="BB70" s="36"/>
      <c r="BC70" s="34"/>
      <c r="BD70" s="35">
        <f>+IF($O70&gt;L$8,"FIN",(L$19-SUM(BE$25:BE69))*VLOOKUP($O70,$A:$N,12,0)/VLOOKUP(L$15,$K$1:$M$4,2,0))</f>
        <v>0.45</v>
      </c>
      <c r="BE70" s="36">
        <f t="shared" si="41"/>
        <v>2.25</v>
      </c>
      <c r="BF70" s="36">
        <f t="shared" si="25"/>
        <v>2.7</v>
      </c>
      <c r="BG70" s="34">
        <f t="shared" si="53"/>
        <v>0.31624840811326282</v>
      </c>
      <c r="BH70" s="35">
        <f>+IF($O70&gt;M$8,"FIN",(M$19-SUM(BI$25:BI69))*VLOOKUP($O70,$A:$N,13,0)/VLOOKUP(M$15,$K$1:$M$4,2,0))</f>
        <v>0.37125000000000002</v>
      </c>
      <c r="BI70" s="36">
        <f t="shared" si="42"/>
        <v>2.25</v>
      </c>
      <c r="BJ70" s="36">
        <f t="shared" si="27"/>
        <v>2.6212499999999999</v>
      </c>
      <c r="BK70" s="34">
        <f t="shared" si="54"/>
        <v>0.30702449620995925</v>
      </c>
      <c r="BL70" s="4"/>
      <c r="BM70" s="43"/>
    </row>
    <row r="71" spans="1:65" x14ac:dyDescent="0.25">
      <c r="A71" s="27">
        <f t="shared" si="29"/>
        <v>52427</v>
      </c>
      <c r="B71" s="32"/>
      <c r="C71" s="5"/>
      <c r="D71" s="47"/>
      <c r="E71" s="47"/>
      <c r="F71" s="47"/>
      <c r="G71" s="47"/>
      <c r="H71" s="47"/>
      <c r="I71" s="40"/>
      <c r="J71" s="40"/>
      <c r="K71" s="40"/>
      <c r="L71" s="40">
        <v>0.05</v>
      </c>
      <c r="M71" s="41">
        <v>4.1250000000000002E-2</v>
      </c>
      <c r="N71" s="44"/>
      <c r="O71" s="32">
        <f t="shared" si="30"/>
        <v>52427</v>
      </c>
      <c r="P71" s="45"/>
      <c r="Q71" s="36"/>
      <c r="R71" s="36"/>
      <c r="S71" s="46"/>
      <c r="T71" s="45"/>
      <c r="U71" s="36"/>
      <c r="V71" s="36"/>
      <c r="W71" s="46"/>
      <c r="X71" s="35"/>
      <c r="Y71" s="36"/>
      <c r="Z71" s="36"/>
      <c r="AA71" s="46"/>
      <c r="AB71" s="35"/>
      <c r="AC71" s="36"/>
      <c r="AD71" s="36"/>
      <c r="AE71" s="46"/>
      <c r="AF71" s="36"/>
      <c r="AG71" s="36"/>
      <c r="AH71" s="36"/>
      <c r="AI71" s="46"/>
      <c r="AJ71" s="36"/>
      <c r="AK71" s="36"/>
      <c r="AL71" s="36"/>
      <c r="AM71" s="46"/>
      <c r="AN71" s="36"/>
      <c r="AO71" s="36"/>
      <c r="AP71" s="36"/>
      <c r="AQ71" s="46"/>
      <c r="AR71" s="36"/>
      <c r="AS71" s="36"/>
      <c r="AT71" s="36"/>
      <c r="AU71" s="46"/>
      <c r="AV71" s="35"/>
      <c r="AW71" s="36"/>
      <c r="AX71" s="36"/>
      <c r="AY71" s="34"/>
      <c r="AZ71" s="35"/>
      <c r="BA71" s="36"/>
      <c r="BB71" s="36"/>
      <c r="BC71" s="34"/>
      <c r="BD71" s="35">
        <f>+IF($O71&gt;L$8,"FIN",(L$19-SUM(BE$25:BE70))*VLOOKUP($O71,$A:$N,12,0)/VLOOKUP(L$15,$K$1:$M$4,2,0))</f>
        <v>0.39375000000000004</v>
      </c>
      <c r="BE71" s="36">
        <f t="shared" si="41"/>
        <v>2.25</v>
      </c>
      <c r="BF71" s="36">
        <f t="shared" si="25"/>
        <v>2.6437499999999998</v>
      </c>
      <c r="BG71" s="34">
        <f t="shared" si="53"/>
        <v>0.29524912966854183</v>
      </c>
      <c r="BH71" s="35">
        <f>+IF($O71&gt;M$8,"FIN",(M$19-SUM(BI$25:BI70))*VLOOKUP($O71,$A:$N,13,0)/VLOOKUP(M$15,$K$1:$M$4,2,0))</f>
        <v>0.32484375000000004</v>
      </c>
      <c r="BI71" s="36">
        <f t="shared" si="42"/>
        <v>2.25</v>
      </c>
      <c r="BJ71" s="36">
        <f t="shared" si="27"/>
        <v>2.5748437499999999</v>
      </c>
      <c r="BK71" s="34">
        <f t="shared" si="54"/>
        <v>0.28755380660803198</v>
      </c>
      <c r="BL71" s="4"/>
      <c r="BM71" s="43"/>
    </row>
    <row r="72" spans="1:65" x14ac:dyDescent="0.25">
      <c r="A72" s="27">
        <f t="shared" si="29"/>
        <v>52611</v>
      </c>
      <c r="B72" s="32"/>
      <c r="C72" s="5"/>
      <c r="D72" s="47"/>
      <c r="E72" s="47"/>
      <c r="F72" s="47"/>
      <c r="G72" s="47"/>
      <c r="H72" s="47"/>
      <c r="I72" s="40"/>
      <c r="J72" s="40"/>
      <c r="K72" s="40"/>
      <c r="L72" s="40">
        <v>0.05</v>
      </c>
      <c r="M72" s="41">
        <v>4.1250000000000002E-2</v>
      </c>
      <c r="N72" s="44"/>
      <c r="O72" s="32">
        <f t="shared" si="30"/>
        <v>52611</v>
      </c>
      <c r="P72" s="45"/>
      <c r="Q72" s="36"/>
      <c r="R72" s="36"/>
      <c r="S72" s="46"/>
      <c r="T72" s="45"/>
      <c r="U72" s="36"/>
      <c r="V72" s="36"/>
      <c r="W72" s="46"/>
      <c r="X72" s="35"/>
      <c r="Y72" s="36"/>
      <c r="Z72" s="36"/>
      <c r="AA72" s="46"/>
      <c r="AB72" s="35"/>
      <c r="AC72" s="36"/>
      <c r="AD72" s="36"/>
      <c r="AE72" s="46"/>
      <c r="AF72" s="36"/>
      <c r="AG72" s="36"/>
      <c r="AH72" s="36"/>
      <c r="AI72" s="46"/>
      <c r="AJ72" s="36"/>
      <c r="AK72" s="36"/>
      <c r="AL72" s="36"/>
      <c r="AM72" s="46"/>
      <c r="AN72" s="36"/>
      <c r="AO72" s="36"/>
      <c r="AP72" s="36"/>
      <c r="AQ72" s="46"/>
      <c r="AR72" s="36"/>
      <c r="AS72" s="36"/>
      <c r="AT72" s="36"/>
      <c r="AU72" s="46"/>
      <c r="AV72" s="35"/>
      <c r="AW72" s="36"/>
      <c r="AX72" s="36"/>
      <c r="AY72" s="34"/>
      <c r="AZ72" s="35"/>
      <c r="BA72" s="36"/>
      <c r="BB72" s="36"/>
      <c r="BC72" s="34"/>
      <c r="BD72" s="35">
        <f>+IF($O72&gt;L$8,"FIN",(L$19-SUM(BE$25:BE71))*VLOOKUP($O72,$A:$N,12,0)/VLOOKUP(L$15,$K$1:$M$4,2,0))</f>
        <v>0.33750000000000002</v>
      </c>
      <c r="BE72" s="36">
        <f t="shared" si="41"/>
        <v>2.25</v>
      </c>
      <c r="BF72" s="36">
        <f t="shared" si="25"/>
        <v>2.5874999999999999</v>
      </c>
      <c r="BG72" s="34">
        <f t="shared" si="53"/>
        <v>0.27551944646231219</v>
      </c>
      <c r="BH72" s="35">
        <f>+IF($O72&gt;M$8,"FIN",(M$19-SUM(BI$25:BI71))*VLOOKUP($O72,$A:$N,13,0)/VLOOKUP(M$15,$K$1:$M$4,2,0))</f>
        <v>0.2784375</v>
      </c>
      <c r="BI72" s="36">
        <f t="shared" si="42"/>
        <v>2.25</v>
      </c>
      <c r="BJ72" s="36">
        <f t="shared" si="27"/>
        <v>2.5284374999999999</v>
      </c>
      <c r="BK72" s="34">
        <f t="shared" si="54"/>
        <v>0.26923041561915073</v>
      </c>
      <c r="BL72" s="4"/>
      <c r="BM72" s="43"/>
    </row>
    <row r="73" spans="1:65" x14ac:dyDescent="0.25">
      <c r="A73" s="27">
        <f t="shared" si="29"/>
        <v>52793</v>
      </c>
      <c r="B73" s="32"/>
      <c r="C73" s="5"/>
      <c r="D73" s="47"/>
      <c r="E73" s="47"/>
      <c r="F73" s="47"/>
      <c r="G73" s="47"/>
      <c r="H73" s="47"/>
      <c r="I73" s="40"/>
      <c r="J73" s="47"/>
      <c r="K73" s="47"/>
      <c r="L73" s="40">
        <v>0.05</v>
      </c>
      <c r="M73" s="41">
        <v>4.1250000000000002E-2</v>
      </c>
      <c r="N73" s="44"/>
      <c r="O73" s="32">
        <f t="shared" si="30"/>
        <v>52793</v>
      </c>
      <c r="P73" s="45"/>
      <c r="Q73" s="36"/>
      <c r="R73" s="36"/>
      <c r="S73" s="46"/>
      <c r="T73" s="45"/>
      <c r="U73" s="36"/>
      <c r="V73" s="36"/>
      <c r="W73" s="46"/>
      <c r="X73" s="35"/>
      <c r="Y73" s="36"/>
      <c r="Z73" s="36"/>
      <c r="AA73" s="46"/>
      <c r="AB73" s="35"/>
      <c r="AC73" s="36"/>
      <c r="AD73" s="36"/>
      <c r="AE73" s="46"/>
      <c r="AF73" s="36"/>
      <c r="AG73" s="36"/>
      <c r="AH73" s="36"/>
      <c r="AI73" s="46"/>
      <c r="AJ73" s="36"/>
      <c r="AK73" s="36"/>
      <c r="AL73" s="36"/>
      <c r="AM73" s="46"/>
      <c r="AN73" s="36"/>
      <c r="AO73" s="36"/>
      <c r="AP73" s="36"/>
      <c r="AQ73" s="46"/>
      <c r="AR73" s="36"/>
      <c r="AS73" s="36"/>
      <c r="AT73" s="36"/>
      <c r="AU73" s="46"/>
      <c r="AV73" s="36"/>
      <c r="AW73" s="36"/>
      <c r="AX73" s="36"/>
      <c r="AY73" s="34"/>
      <c r="AZ73" s="35"/>
      <c r="BA73" s="36"/>
      <c r="BB73" s="36"/>
      <c r="BC73" s="34"/>
      <c r="BD73" s="35">
        <f>+IF($O73&gt;L$8,"FIN",(L$19-SUM(BE$25:BE72))*VLOOKUP($O73,$A:$N,12,0)/VLOOKUP(L$15,$K$1:$M$4,2,0))</f>
        <v>0.28125</v>
      </c>
      <c r="BE73" s="36">
        <f t="shared" si="41"/>
        <v>2.25</v>
      </c>
      <c r="BF73" s="36">
        <f t="shared" si="25"/>
        <v>2.53125</v>
      </c>
      <c r="BG73" s="34">
        <f t="shared" si="53"/>
        <v>0.25698666992426278</v>
      </c>
      <c r="BH73" s="35">
        <f>+IF($O73&gt;M$8,"FIN",(M$19-SUM(BI$25:BI72))*VLOOKUP($O73,$A:$N,13,0)/VLOOKUP(M$15,$K$1:$M$4,2,0))</f>
        <v>0.23203125000000002</v>
      </c>
      <c r="BI73" s="36">
        <f t="shared" si="42"/>
        <v>2.25</v>
      </c>
      <c r="BJ73" s="36">
        <f t="shared" si="27"/>
        <v>2.4820312499999999</v>
      </c>
      <c r="BK73" s="34">
        <f t="shared" si="54"/>
        <v>0.25198970689795763</v>
      </c>
      <c r="BL73" s="4"/>
      <c r="BM73" s="43"/>
    </row>
    <row r="74" spans="1:65" x14ac:dyDescent="0.25">
      <c r="A74" s="27">
        <f t="shared" si="29"/>
        <v>52977</v>
      </c>
      <c r="B74" s="32"/>
      <c r="C74" s="5"/>
      <c r="D74" s="47"/>
      <c r="E74" s="47"/>
      <c r="F74" s="47"/>
      <c r="G74" s="47"/>
      <c r="H74" s="47"/>
      <c r="I74" s="40"/>
      <c r="J74" s="47"/>
      <c r="K74" s="47"/>
      <c r="L74" s="40">
        <v>0.05</v>
      </c>
      <c r="M74" s="41">
        <v>4.1250000000000002E-2</v>
      </c>
      <c r="N74" s="44"/>
      <c r="O74" s="32">
        <f t="shared" si="30"/>
        <v>52977</v>
      </c>
      <c r="P74" s="45"/>
      <c r="Q74" s="36"/>
      <c r="R74" s="36"/>
      <c r="S74" s="46"/>
      <c r="T74" s="45"/>
      <c r="U74" s="36"/>
      <c r="V74" s="36"/>
      <c r="W74" s="46"/>
      <c r="X74" s="35"/>
      <c r="Y74" s="36"/>
      <c r="Z74" s="36"/>
      <c r="AA74" s="46"/>
      <c r="AB74" s="35"/>
      <c r="AC74" s="36"/>
      <c r="AD74" s="36"/>
      <c r="AE74" s="46"/>
      <c r="AF74" s="36"/>
      <c r="AG74" s="36"/>
      <c r="AH74" s="36"/>
      <c r="AI74" s="46"/>
      <c r="AJ74" s="36"/>
      <c r="AK74" s="36"/>
      <c r="AL74" s="36"/>
      <c r="AM74" s="46"/>
      <c r="AN74" s="36"/>
      <c r="AO74" s="36"/>
      <c r="AP74" s="36"/>
      <c r="AQ74" s="46"/>
      <c r="AR74" s="36"/>
      <c r="AS74" s="36"/>
      <c r="AT74" s="36"/>
      <c r="AU74" s="46"/>
      <c r="AV74" s="36"/>
      <c r="AW74" s="36"/>
      <c r="AX74" s="36"/>
      <c r="AY74" s="46"/>
      <c r="AZ74" s="35"/>
      <c r="BA74" s="36"/>
      <c r="BB74" s="36"/>
      <c r="BC74" s="46"/>
      <c r="BD74" s="35">
        <f>+IF($O74&gt;L$8,"FIN",(L$19-SUM(BE$25:BE73))*VLOOKUP($O74,$A:$N,12,0)/VLOOKUP(L$15,$K$1:$M$4,2,0))</f>
        <v>0.22500000000000001</v>
      </c>
      <c r="BE74" s="36">
        <f t="shared" si="41"/>
        <v>2.25</v>
      </c>
      <c r="BF74" s="36">
        <f t="shared" si="25"/>
        <v>2.4750000000000001</v>
      </c>
      <c r="BG74" s="34">
        <f t="shared" si="53"/>
        <v>0.23958212735853238</v>
      </c>
      <c r="BH74" s="35">
        <f>+IF($O74&gt;M$8,"FIN",(M$19-SUM(BI$25:BI73))*VLOOKUP($O74,$A:$N,13,0)/VLOOKUP(M$15,$K$1:$M$4,2,0))</f>
        <v>0.18562500000000001</v>
      </c>
      <c r="BI74" s="36">
        <f t="shared" si="42"/>
        <v>2.25</v>
      </c>
      <c r="BJ74" s="36">
        <f t="shared" si="27"/>
        <v>2.4356249999999999</v>
      </c>
      <c r="BK74" s="34">
        <f t="shared" si="54"/>
        <v>0.23577059351419208</v>
      </c>
      <c r="BL74" s="4"/>
      <c r="BM74" s="43"/>
    </row>
    <row r="75" spans="1:65" x14ac:dyDescent="0.25">
      <c r="A75" s="27">
        <f t="shared" si="29"/>
        <v>53158</v>
      </c>
      <c r="B75" s="32"/>
      <c r="C75" s="5"/>
      <c r="D75" s="47"/>
      <c r="E75" s="47"/>
      <c r="F75" s="47"/>
      <c r="G75" s="47"/>
      <c r="H75" s="47"/>
      <c r="I75" s="40"/>
      <c r="J75" s="47"/>
      <c r="K75" s="47"/>
      <c r="L75" s="40">
        <v>0.05</v>
      </c>
      <c r="M75" s="41">
        <v>4.1250000000000002E-2</v>
      </c>
      <c r="N75" s="44"/>
      <c r="O75" s="32">
        <f t="shared" si="30"/>
        <v>53158</v>
      </c>
      <c r="P75" s="45"/>
      <c r="Q75" s="36"/>
      <c r="R75" s="36"/>
      <c r="S75" s="46"/>
      <c r="T75" s="45"/>
      <c r="U75" s="36"/>
      <c r="V75" s="36"/>
      <c r="W75" s="46"/>
      <c r="X75" s="35"/>
      <c r="Y75" s="36"/>
      <c r="Z75" s="36"/>
      <c r="AA75" s="46"/>
      <c r="AB75" s="35"/>
      <c r="AC75" s="36"/>
      <c r="AD75" s="36"/>
      <c r="AE75" s="46"/>
      <c r="AF75" s="36"/>
      <c r="AG75" s="36"/>
      <c r="AH75" s="36"/>
      <c r="AI75" s="46"/>
      <c r="AJ75" s="36"/>
      <c r="AK75" s="36"/>
      <c r="AL75" s="36"/>
      <c r="AM75" s="46"/>
      <c r="AN75" s="36"/>
      <c r="AO75" s="36"/>
      <c r="AP75" s="36"/>
      <c r="AQ75" s="46"/>
      <c r="AR75" s="36"/>
      <c r="AS75" s="36"/>
      <c r="AT75" s="36"/>
      <c r="AU75" s="46"/>
      <c r="AV75" s="36"/>
      <c r="AW75" s="36"/>
      <c r="AX75" s="36"/>
      <c r="AY75" s="46"/>
      <c r="AZ75" s="35"/>
      <c r="BA75" s="36"/>
      <c r="BB75" s="36"/>
      <c r="BC75" s="46"/>
      <c r="BD75" s="35">
        <f>+IF($O75&gt;L$8,"FIN",(L$19-SUM(BE$25:BE74))*VLOOKUP($O75,$A:$N,12,0)/VLOOKUP(L$15,$K$1:$M$4,2,0))</f>
        <v>0.16875000000000001</v>
      </c>
      <c r="BE75" s="36">
        <f t="shared" si="41"/>
        <v>2.25</v>
      </c>
      <c r="BF75" s="36">
        <f t="shared" si="25"/>
        <v>2.4187500000000002</v>
      </c>
      <c r="BG75" s="34">
        <f t="shared" si="53"/>
        <v>0.2232409455907737</v>
      </c>
      <c r="BH75" s="35">
        <f>+IF($O75&gt;M$8,"FIN",(M$19-SUM(BI$25:BI74))*VLOOKUP($O75,$A:$N,13,0)/VLOOKUP(M$15,$K$1:$M$4,2,0))</f>
        <v>0.13921875</v>
      </c>
      <c r="BI75" s="36">
        <f t="shared" si="42"/>
        <v>2.25</v>
      </c>
      <c r="BJ75" s="36">
        <f t="shared" si="27"/>
        <v>2.3892187499999999</v>
      </c>
      <c r="BK75" s="34">
        <f t="shared" si="54"/>
        <v>0.22051532939460725</v>
      </c>
      <c r="BL75" s="4"/>
      <c r="BM75" s="43"/>
    </row>
    <row r="76" spans="1:65" x14ac:dyDescent="0.25">
      <c r="A76" s="27">
        <f t="shared" si="29"/>
        <v>53342</v>
      </c>
      <c r="B76" s="32"/>
      <c r="C76" s="5"/>
      <c r="D76" s="47"/>
      <c r="E76" s="47"/>
      <c r="F76" s="47"/>
      <c r="G76" s="47"/>
      <c r="H76" s="47"/>
      <c r="I76" s="40"/>
      <c r="J76" s="47"/>
      <c r="K76" s="47"/>
      <c r="L76" s="40">
        <v>0.05</v>
      </c>
      <c r="M76" s="41">
        <v>4.1250000000000002E-2</v>
      </c>
      <c r="N76" s="44"/>
      <c r="O76" s="32">
        <f t="shared" si="30"/>
        <v>53342</v>
      </c>
      <c r="P76" s="45"/>
      <c r="Q76" s="36"/>
      <c r="R76" s="36"/>
      <c r="S76" s="46"/>
      <c r="T76" s="45"/>
      <c r="U76" s="36"/>
      <c r="V76" s="36"/>
      <c r="W76" s="46"/>
      <c r="X76" s="35"/>
      <c r="Y76" s="36"/>
      <c r="Z76" s="36"/>
      <c r="AA76" s="46"/>
      <c r="AB76" s="36"/>
      <c r="AC76" s="36"/>
      <c r="AD76" s="36"/>
      <c r="AE76" s="46"/>
      <c r="AF76" s="36"/>
      <c r="AG76" s="36"/>
      <c r="AH76" s="36"/>
      <c r="AI76" s="46"/>
      <c r="AJ76" s="36"/>
      <c r="AK76" s="36"/>
      <c r="AL76" s="36"/>
      <c r="AM76" s="46"/>
      <c r="AN76" s="36"/>
      <c r="AO76" s="36"/>
      <c r="AP76" s="36"/>
      <c r="AQ76" s="46"/>
      <c r="AR76" s="36"/>
      <c r="AS76" s="36"/>
      <c r="AT76" s="36"/>
      <c r="AU76" s="46"/>
      <c r="AV76" s="36"/>
      <c r="AW76" s="36"/>
      <c r="AX76" s="36"/>
      <c r="AY76" s="46"/>
      <c r="AZ76" s="36"/>
      <c r="BA76" s="36"/>
      <c r="BB76" s="36"/>
      <c r="BC76" s="46"/>
      <c r="BD76" s="35">
        <f>+IF($O76&gt;L$8,"FIN",(L$19-SUM(BE$25:BE75))*VLOOKUP($O76,$A:$N,12,0)/VLOOKUP(L$15,$K$1:$M$4,2,0))</f>
        <v>0.1125</v>
      </c>
      <c r="BE76" s="36">
        <f t="shared" si="41"/>
        <v>2.25</v>
      </c>
      <c r="BF76" s="36">
        <f t="shared" si="25"/>
        <v>2.3624999999999998</v>
      </c>
      <c r="BG76" s="34">
        <f t="shared" si="53"/>
        <v>0.20790184605492468</v>
      </c>
      <c r="BH76" s="35">
        <f>+IF($O76&gt;M$8,"FIN",(M$19-SUM(BI$25:BI75))*VLOOKUP($O76,$A:$N,13,0)/VLOOKUP(M$15,$K$1:$M$4,2,0))</f>
        <v>9.2812500000000006E-2</v>
      </c>
      <c r="BI76" s="36">
        <f t="shared" si="42"/>
        <v>2.25</v>
      </c>
      <c r="BJ76" s="36">
        <f t="shared" si="27"/>
        <v>2.3428125</v>
      </c>
      <c r="BK76" s="34">
        <f t="shared" si="54"/>
        <v>0.20616933067113366</v>
      </c>
      <c r="BL76" s="4"/>
      <c r="BM76" s="43"/>
    </row>
    <row r="77" spans="1:65" x14ac:dyDescent="0.25">
      <c r="A77" s="27">
        <f t="shared" si="29"/>
        <v>53523</v>
      </c>
      <c r="B77" s="32"/>
      <c r="C77" s="5"/>
      <c r="D77" s="47"/>
      <c r="E77" s="47"/>
      <c r="F77" s="47"/>
      <c r="G77" s="47"/>
      <c r="H77" s="47"/>
      <c r="I77" s="40"/>
      <c r="J77" s="47"/>
      <c r="K77" s="47"/>
      <c r="L77" s="40">
        <v>0.05</v>
      </c>
      <c r="M77" s="41">
        <v>4.1250000000000002E-2</v>
      </c>
      <c r="N77" s="44"/>
      <c r="O77" s="32">
        <f t="shared" si="30"/>
        <v>53523</v>
      </c>
      <c r="P77" s="45"/>
      <c r="Q77" s="36"/>
      <c r="R77" s="36"/>
      <c r="S77" s="46"/>
      <c r="T77" s="45"/>
      <c r="U77" s="36"/>
      <c r="V77" s="36"/>
      <c r="W77" s="46"/>
      <c r="X77" s="35"/>
      <c r="Y77" s="36"/>
      <c r="Z77" s="36"/>
      <c r="AA77" s="46"/>
      <c r="AB77" s="36"/>
      <c r="AC77" s="36"/>
      <c r="AD77" s="36"/>
      <c r="AE77" s="46"/>
      <c r="AF77" s="36"/>
      <c r="AG77" s="36"/>
      <c r="AH77" s="36"/>
      <c r="AI77" s="46"/>
      <c r="AJ77" s="36"/>
      <c r="AK77" s="36"/>
      <c r="AL77" s="36"/>
      <c r="AM77" s="46"/>
      <c r="AN77" s="36"/>
      <c r="AO77" s="36"/>
      <c r="AP77" s="36"/>
      <c r="AQ77" s="46"/>
      <c r="AR77" s="36"/>
      <c r="AS77" s="36"/>
      <c r="AT77" s="36"/>
      <c r="AU77" s="46"/>
      <c r="AV77" s="36"/>
      <c r="AW77" s="36"/>
      <c r="AX77" s="36"/>
      <c r="AY77" s="46"/>
      <c r="AZ77" s="36"/>
      <c r="BA77" s="36"/>
      <c r="BB77" s="36"/>
      <c r="BC77" s="46"/>
      <c r="BD77" s="35">
        <f>+IF($O77&gt;L$8,"FIN",(L$19-SUM(BE$25:BE76))*VLOOKUP($O77,$A:$N,12,0)/VLOOKUP(L$15,$K$1:$M$4,2,0))</f>
        <v>5.6250000000000001E-2</v>
      </c>
      <c r="BE77" s="36">
        <f t="shared" si="41"/>
        <v>2.25</v>
      </c>
      <c r="BF77" s="36">
        <f t="shared" si="25"/>
        <v>2.3062499999999999</v>
      </c>
      <c r="BG77" s="34">
        <f t="shared" si="53"/>
        <v>0.1935069507235036</v>
      </c>
      <c r="BH77" s="35">
        <f>+IF($O77&gt;M$8,"FIN",(M$19-SUM(BI$25:BI76))*VLOOKUP($O77,$A:$N,13,0)/VLOOKUP(M$15,$K$1:$M$4,2,0))</f>
        <v>4.6406250000000003E-2</v>
      </c>
      <c r="BI77" s="36">
        <f t="shared" si="42"/>
        <v>2.25</v>
      </c>
      <c r="BJ77" s="36">
        <f t="shared" si="27"/>
        <v>2.29640625</v>
      </c>
      <c r="BK77" s="34">
        <f t="shared" si="54"/>
        <v>0.19268100642163499</v>
      </c>
      <c r="BL77" s="4"/>
      <c r="BM77" s="43"/>
    </row>
    <row r="78" spans="1:65" x14ac:dyDescent="0.25">
      <c r="A78" s="27">
        <f t="shared" si="29"/>
        <v>53707</v>
      </c>
      <c r="B78" s="48"/>
      <c r="C78" s="49"/>
      <c r="D78" s="50"/>
      <c r="E78" s="50"/>
      <c r="F78" s="50"/>
      <c r="G78" s="50"/>
      <c r="H78" s="50"/>
      <c r="I78" s="51"/>
      <c r="J78" s="50"/>
      <c r="K78" s="50"/>
      <c r="L78" s="51"/>
      <c r="M78" s="52"/>
      <c r="N78" s="44"/>
      <c r="O78" s="32">
        <f t="shared" si="30"/>
        <v>53707</v>
      </c>
      <c r="P78" s="45"/>
      <c r="Q78" s="36"/>
      <c r="R78" s="36"/>
      <c r="S78" s="46"/>
      <c r="T78" s="45"/>
      <c r="U78" s="36"/>
      <c r="V78" s="36"/>
      <c r="W78" s="46"/>
      <c r="X78" s="35"/>
      <c r="Y78" s="36"/>
      <c r="Z78" s="36"/>
      <c r="AA78" s="46"/>
      <c r="AB78" s="36"/>
      <c r="AC78" s="36"/>
      <c r="AD78" s="36"/>
      <c r="AE78" s="46"/>
      <c r="AF78" s="36"/>
      <c r="AG78" s="36"/>
      <c r="AH78" s="36"/>
      <c r="AI78" s="46"/>
      <c r="AJ78" s="36"/>
      <c r="AK78" s="36"/>
      <c r="AL78" s="36"/>
      <c r="AM78" s="46"/>
      <c r="AN78" s="36"/>
      <c r="AO78" s="36"/>
      <c r="AP78" s="36"/>
      <c r="AQ78" s="46"/>
      <c r="AR78" s="36"/>
      <c r="AS78" s="36"/>
      <c r="AT78" s="36"/>
      <c r="AU78" s="46"/>
      <c r="AV78" s="36"/>
      <c r="AW78" s="36"/>
      <c r="AX78" s="36"/>
      <c r="AY78" s="46"/>
      <c r="AZ78" s="36"/>
      <c r="BA78" s="36"/>
      <c r="BB78" s="36"/>
      <c r="BC78" s="46"/>
      <c r="BD78" s="35"/>
      <c r="BE78" s="36"/>
      <c r="BF78" s="36"/>
      <c r="BG78" s="34"/>
      <c r="BH78" s="35"/>
      <c r="BI78" s="36"/>
      <c r="BJ78" s="36"/>
      <c r="BK78" s="34"/>
      <c r="BL78" s="4"/>
      <c r="BM78" s="43"/>
    </row>
    <row r="79" spans="1:65" x14ac:dyDescent="0.25">
      <c r="A79" s="3"/>
      <c r="O79" s="32">
        <f t="shared" si="30"/>
        <v>53888</v>
      </c>
      <c r="P79" s="53"/>
      <c r="Q79" s="54"/>
      <c r="R79" s="54"/>
      <c r="S79" s="46"/>
      <c r="T79" s="53"/>
      <c r="U79" s="54"/>
      <c r="V79" s="54"/>
      <c r="W79" s="46"/>
      <c r="X79" s="53"/>
      <c r="Y79" s="54"/>
      <c r="Z79" s="54"/>
      <c r="AA79" s="46"/>
      <c r="AB79" s="54"/>
      <c r="AC79" s="54"/>
      <c r="AD79" s="54"/>
      <c r="AE79" s="46"/>
      <c r="AF79" s="54"/>
      <c r="AG79" s="54"/>
      <c r="AH79" s="54"/>
      <c r="AI79" s="46"/>
      <c r="AJ79" s="54"/>
      <c r="AK79" s="54"/>
      <c r="AL79" s="54"/>
      <c r="AM79" s="46"/>
      <c r="AN79" s="54"/>
      <c r="AO79" s="54"/>
      <c r="AP79" s="54"/>
      <c r="AQ79" s="46"/>
      <c r="AR79" s="54"/>
      <c r="AS79" s="54"/>
      <c r="AT79" s="54"/>
      <c r="AU79" s="46"/>
      <c r="AV79" s="54"/>
      <c r="AW79" s="36"/>
      <c r="AX79" s="36"/>
      <c r="AY79" s="46"/>
      <c r="AZ79" s="54"/>
      <c r="BA79" s="54"/>
      <c r="BB79" s="54"/>
      <c r="BC79" s="46"/>
      <c r="BD79" s="35"/>
      <c r="BE79" s="54"/>
      <c r="BF79" s="54"/>
      <c r="BG79" s="46"/>
      <c r="BH79" s="35"/>
      <c r="BI79" s="54"/>
      <c r="BJ79" s="55"/>
      <c r="BK79" s="46"/>
      <c r="BL79" s="4"/>
      <c r="BM79" s="43"/>
    </row>
    <row r="80" spans="1:65" x14ac:dyDescent="0.25">
      <c r="O80" s="56" t="s">
        <v>45</v>
      </c>
      <c r="P80" s="57">
        <f>+SUM(P25:P79)</f>
        <v>7.75</v>
      </c>
      <c r="Q80" s="58">
        <f>+SUM(Q25:Q79)</f>
        <v>100</v>
      </c>
      <c r="R80" s="58"/>
      <c r="S80" s="59">
        <f>+SUM(S25:S79)</f>
        <v>53.381625391905992</v>
      </c>
      <c r="T80" s="57">
        <f>+SUM(T25:T79)</f>
        <v>7.75</v>
      </c>
      <c r="U80" s="58">
        <f>+SUM(U25:U79)</f>
        <v>100</v>
      </c>
      <c r="V80" s="58"/>
      <c r="W80" s="59">
        <f>+SUM(W25:W79)</f>
        <v>53.381625391905992</v>
      </c>
      <c r="X80" s="57">
        <f>+SUM(X25:X79)</f>
        <v>5.135625000000001</v>
      </c>
      <c r="Y80" s="58">
        <f>+SUM(Y25:Y79)</f>
        <v>99</v>
      </c>
      <c r="Z80" s="58"/>
      <c r="AA80" s="59">
        <f>+SUM(AA25:AA79)</f>
        <v>53.439748862916602</v>
      </c>
      <c r="AB80" s="58">
        <f>+SUM(AB25:AB79)</f>
        <v>0.89718749999999992</v>
      </c>
      <c r="AC80" s="58">
        <f>+SUM(AC25:AC79)</f>
        <v>99</v>
      </c>
      <c r="AD80" s="58"/>
      <c r="AE80" s="59">
        <f>+SUM(AE25:AE79)</f>
        <v>50.904266464631199</v>
      </c>
      <c r="AF80" s="58">
        <f>+SUM(AF25:AF79)</f>
        <v>47.14875</v>
      </c>
      <c r="AG80" s="58">
        <f>+SUM(AG25:AG79)</f>
        <v>99.000000000000014</v>
      </c>
      <c r="AH80" s="58"/>
      <c r="AI80" s="59">
        <f>+SUM(AI25:AI79)</f>
        <v>52.434367948375325</v>
      </c>
      <c r="AJ80" s="58">
        <f>+SUM(AJ25:AJ79)</f>
        <v>38.610000000000014</v>
      </c>
      <c r="AK80" s="58">
        <f>+SUM(AK25:AK79)</f>
        <v>99.000000000000014</v>
      </c>
      <c r="AL80" s="58"/>
      <c r="AM80" s="59">
        <f>+SUM(AM25:AM79)</f>
        <v>48.189374920467586</v>
      </c>
      <c r="AN80" s="58">
        <f>+SUM(AN25:AN79)</f>
        <v>51.375</v>
      </c>
      <c r="AO80" s="58">
        <f>+SUM(AO25:AO79)</f>
        <v>100.00000000000001</v>
      </c>
      <c r="AP80" s="58"/>
      <c r="AQ80" s="59">
        <f>+SUM(AQ25:AQ79)</f>
        <v>56.039008461167128</v>
      </c>
      <c r="AR80" s="58">
        <f>+SUM(AR25:AR79)</f>
        <v>43.1875</v>
      </c>
      <c r="AS80" s="58">
        <f>+SUM(AS25:AS79)</f>
        <v>100.00000000000001</v>
      </c>
      <c r="AT80" s="58"/>
      <c r="AU80" s="59">
        <f>+SUM(AU25:AU79)</f>
        <v>51.821494851259068</v>
      </c>
      <c r="AV80" s="58">
        <f>+SUM(AV25:AV79)</f>
        <v>49.822916666666664</v>
      </c>
      <c r="AW80" s="58">
        <f>+SUM(AW25:AW79)</f>
        <v>99.999999999999972</v>
      </c>
      <c r="AX80" s="58"/>
      <c r="AY80" s="59">
        <f>+SUM(AY25:AY79)</f>
        <v>51.789501722709737</v>
      </c>
      <c r="AZ80" s="58">
        <f>+SUM(AZ25:AZ79)</f>
        <v>43.375000000000007</v>
      </c>
      <c r="BA80" s="58">
        <f>+SUM(BA25:BA79)</f>
        <v>99.999999999999972</v>
      </c>
      <c r="BB80" s="58"/>
      <c r="BC80" s="59">
        <f>+SUM(BC25:BC79)</f>
        <v>48.242321614788835</v>
      </c>
      <c r="BD80" s="58">
        <f>+SUM(BD25:BD79)</f>
        <v>59.720624999999998</v>
      </c>
      <c r="BE80" s="58">
        <f>+SUM(BE25:BE79)</f>
        <v>99</v>
      </c>
      <c r="BF80" s="58"/>
      <c r="BG80" s="59">
        <f>+SUM(BG25:BG79)</f>
        <v>51.547292379089953</v>
      </c>
      <c r="BH80" s="58">
        <f>+SUM(BH25:BH79)</f>
        <v>49.665937499999998</v>
      </c>
      <c r="BI80" s="58">
        <f>+SUM(BI25:BI79)</f>
        <v>99</v>
      </c>
      <c r="BJ80" s="58"/>
      <c r="BK80" s="59">
        <f>+SUM(BK25:BK79)</f>
        <v>47.361942471558109</v>
      </c>
      <c r="BL80" s="4"/>
      <c r="BM80" s="43">
        <f>+SUM(BM26:BM79)/Y80</f>
        <v>0</v>
      </c>
    </row>
  </sheetData>
  <mergeCells count="13">
    <mergeCell ref="BD23:BG23"/>
    <mergeCell ref="BH23:BK23"/>
    <mergeCell ref="P23:S23"/>
    <mergeCell ref="T23:W23"/>
    <mergeCell ref="X23:AA23"/>
    <mergeCell ref="AB23:AE23"/>
    <mergeCell ref="AF23:AI23"/>
    <mergeCell ref="AJ23:AM23"/>
    <mergeCell ref="B24:M24"/>
    <mergeCell ref="AN23:AQ23"/>
    <mergeCell ref="AR23:AU23"/>
    <mergeCell ref="AV23:AY23"/>
    <mergeCell ref="AZ23:BC2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9AB8C-E5F7-4578-AE42-E7D971055BE0}">
  <sheetPr codeName="Hoja10">
    <tabColor rgb="FFFFC000"/>
  </sheetPr>
  <dimension ref="A1:CC80"/>
  <sheetViews>
    <sheetView showGridLines="0" zoomScaleNormal="100" workbookViewId="0"/>
  </sheetViews>
  <sheetFormatPr baseColWidth="10" defaultColWidth="11.42578125" defaultRowHeight="11.25" x14ac:dyDescent="0.25"/>
  <cols>
    <col min="1" max="1" width="25.7109375" style="2" customWidth="1"/>
    <col min="2" max="13" width="11.28515625" style="2" customWidth="1"/>
    <col min="14" max="14" width="6.42578125" style="2" bestFit="1" customWidth="1"/>
    <col min="15" max="15" width="12" style="2" customWidth="1"/>
    <col min="16" max="20" width="10" style="4" customWidth="1"/>
    <col min="21" max="21" width="8.28515625" style="4" bestFit="1" customWidth="1"/>
    <col min="22" max="22" width="7.5703125" style="4" bestFit="1" customWidth="1"/>
    <col min="23" max="23" width="8.7109375" style="4" bestFit="1" customWidth="1"/>
    <col min="24" max="24" width="8.42578125" style="4" bestFit="1" customWidth="1"/>
    <col min="25" max="25" width="11.5703125" style="4" bestFit="1" customWidth="1"/>
    <col min="26" max="26" width="9.42578125" style="4" bestFit="1" customWidth="1"/>
    <col min="27" max="27" width="9.85546875" style="4" bestFit="1" customWidth="1"/>
    <col min="28" max="28" width="7.42578125" style="4" bestFit="1" customWidth="1"/>
    <col min="29" max="29" width="10.85546875" style="4" bestFit="1" customWidth="1"/>
    <col min="30" max="30" width="8.5703125" style="4" bestFit="1" customWidth="1"/>
    <col min="31" max="31" width="9.140625" style="4" bestFit="1" customWidth="1"/>
    <col min="32" max="32" width="9.7109375" style="4" bestFit="1" customWidth="1"/>
    <col min="33" max="33" width="11" style="4" bestFit="1" customWidth="1"/>
    <col min="34" max="34" width="9.85546875" style="4" bestFit="1" customWidth="1"/>
    <col min="35" max="35" width="10.42578125" style="4" bestFit="1" customWidth="1"/>
    <col min="36" max="36" width="8.140625" style="4" bestFit="1" customWidth="1"/>
    <col min="37" max="37" width="9.7109375" style="4" bestFit="1" customWidth="1"/>
    <col min="38" max="38" width="9" style="4" bestFit="1" customWidth="1"/>
    <col min="39" max="39" width="8.7109375" style="4" bestFit="1" customWidth="1"/>
    <col min="40" max="40" width="9.7109375" style="4" bestFit="1" customWidth="1"/>
    <col min="41" max="41" width="10.28515625" style="4" bestFit="1" customWidth="1"/>
    <col min="42" max="42" width="8.85546875" style="4" bestFit="1" customWidth="1"/>
    <col min="43" max="43" width="9.140625" style="4" bestFit="1" customWidth="1"/>
    <col min="44" max="44" width="10.140625" style="4" bestFit="1" customWidth="1"/>
    <col min="45" max="45" width="10" style="4" customWidth="1"/>
    <col min="46" max="46" width="8.85546875" style="4" bestFit="1" customWidth="1"/>
    <col min="47" max="49" width="10" style="4" customWidth="1"/>
    <col min="50" max="50" width="9" style="4" bestFit="1" customWidth="1"/>
    <col min="51" max="51" width="9.7109375" style="4" bestFit="1" customWidth="1"/>
    <col min="52" max="52" width="10.140625" style="4" bestFit="1" customWidth="1"/>
    <col min="53" max="53" width="9.85546875" style="4" bestFit="1" customWidth="1"/>
    <col min="54" max="54" width="9" style="4" bestFit="1" customWidth="1"/>
    <col min="55" max="55" width="9.42578125" style="4" bestFit="1" customWidth="1"/>
    <col min="56" max="57" width="10.28515625" style="4" bestFit="1" customWidth="1"/>
    <col min="58" max="58" width="9.140625" style="4" bestFit="1" customWidth="1"/>
    <col min="59" max="59" width="9.7109375" style="4" bestFit="1" customWidth="1"/>
    <col min="60" max="60" width="8.42578125" style="4" bestFit="1" customWidth="1"/>
    <col min="61" max="61" width="8.7109375" style="2" bestFit="1" customWidth="1"/>
    <col min="62" max="62" width="10.85546875" style="2" bestFit="1" customWidth="1"/>
    <col min="63" max="63" width="8.7109375" style="2" bestFit="1" customWidth="1"/>
    <col min="64" max="64" width="11.42578125" style="2"/>
    <col min="65" max="65" width="11.28515625" style="2" bestFit="1" customWidth="1"/>
    <col min="66" max="66" width="10.85546875" style="2" bestFit="1" customWidth="1"/>
    <col min="67" max="67" width="11" style="2" bestFit="1" customWidth="1"/>
    <col min="68" max="16384" width="11.42578125" style="2"/>
  </cols>
  <sheetData>
    <row r="1" spans="1:81" s="68" customFormat="1" ht="15" x14ac:dyDescent="0.2">
      <c r="A1" s="85" t="s">
        <v>188</v>
      </c>
      <c r="B1" s="85"/>
      <c r="C1" s="85"/>
      <c r="J1" s="155"/>
      <c r="K1" s="330" t="s">
        <v>12</v>
      </c>
      <c r="L1" s="331">
        <v>12</v>
      </c>
      <c r="M1" s="332">
        <v>1</v>
      </c>
      <c r="P1" s="339" t="s">
        <v>215</v>
      </c>
      <c r="Q1" s="340">
        <v>43999</v>
      </c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3"/>
      <c r="AL1" s="313"/>
      <c r="AM1" s="313"/>
      <c r="AN1" s="313"/>
      <c r="AO1" s="313"/>
      <c r="AP1" s="313"/>
      <c r="AQ1" s="313"/>
      <c r="AR1" s="313"/>
      <c r="AS1" s="313"/>
      <c r="AT1" s="313"/>
      <c r="AU1" s="313"/>
      <c r="AV1" s="313"/>
      <c r="AW1" s="313"/>
      <c r="AX1" s="313"/>
      <c r="AY1" s="313"/>
      <c r="AZ1" s="313"/>
      <c r="BA1" s="313"/>
      <c r="BB1" s="313"/>
      <c r="BC1" s="313"/>
      <c r="BD1" s="313"/>
      <c r="BE1" s="313"/>
      <c r="BF1" s="313"/>
      <c r="BG1" s="313"/>
      <c r="BH1" s="313"/>
    </row>
    <row r="2" spans="1:81" x14ac:dyDescent="0.25">
      <c r="A2" s="2" t="s">
        <v>195</v>
      </c>
      <c r="K2" s="333" t="s">
        <v>14</v>
      </c>
      <c r="L2" s="334">
        <v>4</v>
      </c>
      <c r="M2" s="335">
        <v>3</v>
      </c>
      <c r="P2" s="330" t="s">
        <v>15</v>
      </c>
      <c r="Q2" s="341">
        <v>0.88939999999999997</v>
      </c>
    </row>
    <row r="3" spans="1:81" x14ac:dyDescent="0.25">
      <c r="A3" s="2" t="s">
        <v>16</v>
      </c>
      <c r="K3" s="333" t="s">
        <v>1</v>
      </c>
      <c r="L3" s="334">
        <v>2</v>
      </c>
      <c r="M3" s="335">
        <v>6</v>
      </c>
      <c r="P3" s="336" t="s">
        <v>17</v>
      </c>
      <c r="Q3" s="342">
        <v>0.9486</v>
      </c>
    </row>
    <row r="4" spans="1:81" x14ac:dyDescent="0.25">
      <c r="K4" s="336" t="s">
        <v>18</v>
      </c>
      <c r="L4" s="337">
        <v>1</v>
      </c>
      <c r="M4" s="338">
        <v>12</v>
      </c>
    </row>
    <row r="5" spans="1:81" ht="15" customHeight="1" x14ac:dyDescent="0.25">
      <c r="A5" s="6" t="s">
        <v>19</v>
      </c>
      <c r="B5" s="399">
        <v>0.1</v>
      </c>
      <c r="C5" s="7"/>
      <c r="P5" s="8"/>
      <c r="Q5" s="9"/>
      <c r="R5" s="9"/>
      <c r="S5" s="9"/>
      <c r="T5" s="9"/>
      <c r="U5" s="9"/>
      <c r="V5" s="9"/>
      <c r="W5" s="9"/>
      <c r="X5" s="8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8"/>
      <c r="BV5" s="8"/>
      <c r="BW5" s="8"/>
      <c r="BX5" s="8"/>
      <c r="BY5" s="8"/>
      <c r="BZ5" s="8"/>
      <c r="CA5" s="8"/>
      <c r="CB5" s="8"/>
      <c r="CC5" s="8"/>
    </row>
    <row r="6" spans="1:81" s="14" customFormat="1" ht="24.75" customHeight="1" x14ac:dyDescent="0.25">
      <c r="A6" s="10" t="s">
        <v>20</v>
      </c>
      <c r="B6" s="11" t="s">
        <v>135</v>
      </c>
      <c r="C6" s="11" t="s">
        <v>182</v>
      </c>
      <c r="D6" s="12" t="s">
        <v>2</v>
      </c>
      <c r="E6" s="12" t="s">
        <v>7</v>
      </c>
      <c r="F6" s="12" t="s">
        <v>3</v>
      </c>
      <c r="G6" s="12" t="s">
        <v>8</v>
      </c>
      <c r="H6" s="12" t="s">
        <v>4</v>
      </c>
      <c r="I6" s="12" t="s">
        <v>9</v>
      </c>
      <c r="J6" s="12" t="s">
        <v>5</v>
      </c>
      <c r="K6" s="12" t="s">
        <v>10</v>
      </c>
      <c r="L6" s="12" t="s">
        <v>6</v>
      </c>
      <c r="M6" s="12" t="s">
        <v>11</v>
      </c>
      <c r="N6" s="13"/>
      <c r="O6" s="2"/>
    </row>
    <row r="7" spans="1:81" x14ac:dyDescent="0.25">
      <c r="A7" s="15" t="s">
        <v>21</v>
      </c>
      <c r="B7" s="292">
        <v>44027</v>
      </c>
      <c r="C7" s="292">
        <v>44027</v>
      </c>
      <c r="D7" s="292">
        <v>44027</v>
      </c>
      <c r="E7" s="292">
        <v>44027</v>
      </c>
      <c r="F7" s="292">
        <v>44027</v>
      </c>
      <c r="G7" s="292">
        <v>44027</v>
      </c>
      <c r="H7" s="292">
        <v>44027</v>
      </c>
      <c r="I7" s="292">
        <v>44027</v>
      </c>
      <c r="J7" s="292">
        <v>44027</v>
      </c>
      <c r="K7" s="292">
        <v>44027</v>
      </c>
      <c r="L7" s="292">
        <v>44027</v>
      </c>
      <c r="M7" s="292">
        <v>44027</v>
      </c>
      <c r="N7" s="13"/>
    </row>
    <row r="8" spans="1:81" x14ac:dyDescent="0.25">
      <c r="A8" s="15" t="s">
        <v>22</v>
      </c>
      <c r="B8" s="292">
        <v>47498</v>
      </c>
      <c r="C8" s="292">
        <v>47498</v>
      </c>
      <c r="D8" s="292">
        <v>47679</v>
      </c>
      <c r="E8" s="292">
        <v>47679</v>
      </c>
      <c r="F8" s="292">
        <v>49505</v>
      </c>
      <c r="G8" s="292">
        <v>49505</v>
      </c>
      <c r="H8" s="292">
        <v>50601</v>
      </c>
      <c r="I8" s="292">
        <v>50601</v>
      </c>
      <c r="J8" s="292">
        <v>51697</v>
      </c>
      <c r="K8" s="292">
        <v>51697</v>
      </c>
      <c r="L8" s="292">
        <v>53523</v>
      </c>
      <c r="M8" s="292">
        <v>53523</v>
      </c>
      <c r="N8" s="13"/>
    </row>
    <row r="9" spans="1:81" x14ac:dyDescent="0.25">
      <c r="A9" s="15" t="s">
        <v>23</v>
      </c>
      <c r="B9" s="292" t="s">
        <v>24</v>
      </c>
      <c r="C9" s="292" t="s">
        <v>15</v>
      </c>
      <c r="D9" s="292" t="s">
        <v>24</v>
      </c>
      <c r="E9" s="292" t="s">
        <v>15</v>
      </c>
      <c r="F9" s="292" t="s">
        <v>24</v>
      </c>
      <c r="G9" s="292" t="s">
        <v>15</v>
      </c>
      <c r="H9" s="292" t="s">
        <v>24</v>
      </c>
      <c r="I9" s="292" t="s">
        <v>15</v>
      </c>
      <c r="J9" s="292" t="s">
        <v>24</v>
      </c>
      <c r="K9" s="292" t="s">
        <v>15</v>
      </c>
      <c r="L9" s="292" t="s">
        <v>24</v>
      </c>
      <c r="M9" s="292" t="s">
        <v>15</v>
      </c>
      <c r="N9" s="13"/>
    </row>
    <row r="10" spans="1:81" x14ac:dyDescent="0.25">
      <c r="A10" s="15" t="s">
        <v>25</v>
      </c>
      <c r="B10" s="293">
        <f>+YEARFRAC(B7,B8)</f>
        <v>9.5</v>
      </c>
      <c r="C10" s="293">
        <f>+YEARFRAC(C7,C8)</f>
        <v>9.5</v>
      </c>
      <c r="D10" s="293">
        <f>+YEARFRAC(D7,D8)</f>
        <v>10</v>
      </c>
      <c r="E10" s="293">
        <f t="shared" ref="E10:M10" si="0">+YEARFRAC(E7,E8)</f>
        <v>10</v>
      </c>
      <c r="F10" s="293">
        <f t="shared" si="0"/>
        <v>15</v>
      </c>
      <c r="G10" s="293">
        <f t="shared" si="0"/>
        <v>15</v>
      </c>
      <c r="H10" s="293">
        <f t="shared" si="0"/>
        <v>18</v>
      </c>
      <c r="I10" s="293">
        <f t="shared" si="0"/>
        <v>18</v>
      </c>
      <c r="J10" s="293">
        <f t="shared" si="0"/>
        <v>21</v>
      </c>
      <c r="K10" s="293">
        <f t="shared" si="0"/>
        <v>21</v>
      </c>
      <c r="L10" s="293">
        <f t="shared" si="0"/>
        <v>26</v>
      </c>
      <c r="M10" s="293">
        <f t="shared" si="0"/>
        <v>26</v>
      </c>
      <c r="N10" s="13"/>
    </row>
    <row r="11" spans="1:81" x14ac:dyDescent="0.25">
      <c r="A11" s="15" t="s">
        <v>26</v>
      </c>
      <c r="B11" s="293">
        <f>+YEARFRAC(B7,B12)</f>
        <v>0</v>
      </c>
      <c r="C11" s="293">
        <f>+YEARFRAC(C7,C12)</f>
        <v>0</v>
      </c>
      <c r="D11" s="293">
        <f>+YEARFRAC(D7,D12)</f>
        <v>0</v>
      </c>
      <c r="E11" s="293">
        <f t="shared" ref="E11:M11" si="1">+YEARFRAC(E7,E12)</f>
        <v>0</v>
      </c>
      <c r="F11" s="293">
        <f t="shared" si="1"/>
        <v>0</v>
      </c>
      <c r="G11" s="293">
        <f t="shared" si="1"/>
        <v>0</v>
      </c>
      <c r="H11" s="293">
        <f t="shared" si="1"/>
        <v>0</v>
      </c>
      <c r="I11" s="293">
        <f t="shared" si="1"/>
        <v>0</v>
      </c>
      <c r="J11" s="293">
        <f t="shared" si="1"/>
        <v>0</v>
      </c>
      <c r="K11" s="293">
        <f t="shared" si="1"/>
        <v>0</v>
      </c>
      <c r="L11" s="293">
        <f t="shared" si="1"/>
        <v>0</v>
      </c>
      <c r="M11" s="293">
        <f t="shared" si="1"/>
        <v>0</v>
      </c>
      <c r="N11" s="13"/>
    </row>
    <row r="12" spans="1:81" x14ac:dyDescent="0.25">
      <c r="A12" s="15" t="s">
        <v>27</v>
      </c>
      <c r="B12" s="292">
        <v>44027</v>
      </c>
      <c r="C12" s="292">
        <v>44027</v>
      </c>
      <c r="D12" s="292">
        <v>44027</v>
      </c>
      <c r="E12" s="292">
        <v>44027</v>
      </c>
      <c r="F12" s="292">
        <v>44027</v>
      </c>
      <c r="G12" s="292">
        <v>44027</v>
      </c>
      <c r="H12" s="292">
        <v>44027</v>
      </c>
      <c r="I12" s="292">
        <v>44027</v>
      </c>
      <c r="J12" s="292">
        <v>44027</v>
      </c>
      <c r="K12" s="292">
        <v>44027</v>
      </c>
      <c r="L12" s="292">
        <v>44027</v>
      </c>
      <c r="M12" s="292">
        <v>44027</v>
      </c>
      <c r="N12" s="13"/>
    </row>
    <row r="13" spans="1:81" x14ac:dyDescent="0.25">
      <c r="A13" s="15" t="s">
        <v>28</v>
      </c>
      <c r="B13" s="292">
        <f>DATE(YEAR(B$12),MONTH(B$12)+VLOOKUP(B$15,$K$1:$M$4,3,0),DAY(B$12))</f>
        <v>44211</v>
      </c>
      <c r="C13" s="292">
        <f>DATE(YEAR(C$12),MONTH(C$12)+VLOOKUP(C$15,$K$1:$M$4,3,0),DAY(C$12))</f>
        <v>44211</v>
      </c>
      <c r="D13" s="292">
        <f>DATE(YEAR(D$12),MONTH(D$12)+VLOOKUP(D$15,$K$1:$M$4,3,0),DAY(D$12))</f>
        <v>44211</v>
      </c>
      <c r="E13" s="292">
        <f t="shared" ref="E13:M13" si="2">DATE(YEAR(E$12),MONTH(E$12)+VLOOKUP(E$15,$K$1:$M$4,3,0),DAY(E$12))</f>
        <v>44211</v>
      </c>
      <c r="F13" s="292">
        <f t="shared" si="2"/>
        <v>44211</v>
      </c>
      <c r="G13" s="292">
        <f t="shared" si="2"/>
        <v>44211</v>
      </c>
      <c r="H13" s="292">
        <f t="shared" si="2"/>
        <v>44211</v>
      </c>
      <c r="I13" s="292">
        <f t="shared" si="2"/>
        <v>44211</v>
      </c>
      <c r="J13" s="292">
        <f t="shared" si="2"/>
        <v>44211</v>
      </c>
      <c r="K13" s="292">
        <f t="shared" si="2"/>
        <v>44211</v>
      </c>
      <c r="L13" s="292">
        <f t="shared" si="2"/>
        <v>44211</v>
      </c>
      <c r="M13" s="292">
        <f t="shared" si="2"/>
        <v>44211</v>
      </c>
      <c r="N13" s="13"/>
    </row>
    <row r="14" spans="1:81" x14ac:dyDescent="0.25">
      <c r="A14" s="15" t="s">
        <v>29</v>
      </c>
      <c r="B14" s="294" t="s">
        <v>30</v>
      </c>
      <c r="C14" s="294" t="s">
        <v>30</v>
      </c>
      <c r="D14" s="294" t="s">
        <v>30</v>
      </c>
      <c r="E14" s="294" t="s">
        <v>30</v>
      </c>
      <c r="F14" s="294" t="s">
        <v>30</v>
      </c>
      <c r="G14" s="294" t="s">
        <v>30</v>
      </c>
      <c r="H14" s="294" t="s">
        <v>30</v>
      </c>
      <c r="I14" s="294" t="s">
        <v>30</v>
      </c>
      <c r="J14" s="294" t="s">
        <v>30</v>
      </c>
      <c r="K14" s="294" t="s">
        <v>30</v>
      </c>
      <c r="L14" s="294" t="s">
        <v>30</v>
      </c>
      <c r="M14" s="294" t="s">
        <v>30</v>
      </c>
      <c r="N14" s="13"/>
    </row>
    <row r="15" spans="1:81" x14ac:dyDescent="0.25">
      <c r="A15" s="15" t="s">
        <v>31</v>
      </c>
      <c r="B15" s="292" t="s">
        <v>1</v>
      </c>
      <c r="C15" s="292" t="s">
        <v>1</v>
      </c>
      <c r="D15" s="292" t="s">
        <v>1</v>
      </c>
      <c r="E15" s="292" t="s">
        <v>1</v>
      </c>
      <c r="F15" s="292" t="s">
        <v>1</v>
      </c>
      <c r="G15" s="292" t="s">
        <v>1</v>
      </c>
      <c r="H15" s="292" t="s">
        <v>1</v>
      </c>
      <c r="I15" s="292" t="s">
        <v>1</v>
      </c>
      <c r="J15" s="292" t="s">
        <v>1</v>
      </c>
      <c r="K15" s="292" t="s">
        <v>1</v>
      </c>
      <c r="L15" s="292" t="s">
        <v>1</v>
      </c>
      <c r="M15" s="292" t="s">
        <v>1</v>
      </c>
      <c r="N15" s="13"/>
      <c r="O15" s="16"/>
    </row>
    <row r="16" spans="1:81" x14ac:dyDescent="0.25">
      <c r="A16" s="15" t="s">
        <v>32</v>
      </c>
      <c r="B16" s="295">
        <v>8</v>
      </c>
      <c r="C16" s="295">
        <v>8</v>
      </c>
      <c r="D16" s="295">
        <v>12</v>
      </c>
      <c r="E16" s="295">
        <v>12</v>
      </c>
      <c r="F16" s="295">
        <v>10</v>
      </c>
      <c r="G16" s="295">
        <v>10</v>
      </c>
      <c r="H16" s="295">
        <v>22</v>
      </c>
      <c r="I16" s="295">
        <v>22</v>
      </c>
      <c r="J16" s="295">
        <v>30</v>
      </c>
      <c r="K16" s="295">
        <v>30</v>
      </c>
      <c r="L16" s="295">
        <v>44</v>
      </c>
      <c r="M16" s="295">
        <v>44</v>
      </c>
      <c r="N16" s="13"/>
      <c r="O16" s="16"/>
    </row>
    <row r="17" spans="1:81" x14ac:dyDescent="0.25">
      <c r="A17" s="15" t="s">
        <v>33</v>
      </c>
      <c r="B17" s="292">
        <v>46218</v>
      </c>
      <c r="C17" s="292">
        <v>46218</v>
      </c>
      <c r="D17" s="292">
        <v>45672</v>
      </c>
      <c r="E17" s="292">
        <v>45672</v>
      </c>
      <c r="F17" s="292">
        <v>47863</v>
      </c>
      <c r="G17" s="292">
        <v>47863</v>
      </c>
      <c r="H17" s="292">
        <v>46767</v>
      </c>
      <c r="I17" s="292">
        <v>46767</v>
      </c>
      <c r="J17" s="292">
        <v>46402</v>
      </c>
      <c r="K17" s="292">
        <v>46402</v>
      </c>
      <c r="L17" s="292">
        <v>45672</v>
      </c>
      <c r="M17" s="292">
        <v>45672</v>
      </c>
      <c r="N17" s="13"/>
      <c r="O17" s="16"/>
    </row>
    <row r="18" spans="1:81" x14ac:dyDescent="0.25">
      <c r="A18" s="17" t="s">
        <v>34</v>
      </c>
      <c r="B18" s="296">
        <f>+HLOOKUP(B6,'BG - Canje optimo'!$E$5:$P$27,23,FALSE)</f>
        <v>1732.6612488870746</v>
      </c>
      <c r="C18" s="296">
        <f>+HLOOKUP(C6,'BG - Canje optimo'!$E$5:$P$27,23,FALSE)</f>
        <v>448.71255550544242</v>
      </c>
      <c r="D18" s="296">
        <f>+HLOOKUP(D6,'BG - Canje optimo'!$E$5:$P$27,23,FALSE)</f>
        <v>13500</v>
      </c>
      <c r="E18" s="296">
        <f>+HLOOKUP(E6,'BG - Canje optimo'!$E$5:$P$27,23,FALSE)</f>
        <v>2900</v>
      </c>
      <c r="F18" s="296">
        <f>+HLOOKUP(F6,'BG - Canje optimo'!$E$5:$P$27,23,FALSE)</f>
        <v>12982.499999999998</v>
      </c>
      <c r="G18" s="296">
        <f>+HLOOKUP(G6,'BG - Canje optimo'!$E$5:$P$27,23,FALSE)</f>
        <v>1926.2865275142312</v>
      </c>
      <c r="H18" s="296">
        <f>+HLOOKUP(H6,'BG - Canje optimo'!$E$5:$P$27,23,FALSE)</f>
        <v>5565.2917364499999</v>
      </c>
      <c r="I18" s="296">
        <f>+HLOOKUP(I6,'BG - Canje optimo'!$E$5:$P$27,23,FALSE)</f>
        <v>5776.2840187699994</v>
      </c>
      <c r="J18" s="296">
        <f>+HLOOKUP(J6,'BG - Canje optimo'!$E$5:$P$27,23,FALSE)</f>
        <v>5393.6283739999999</v>
      </c>
      <c r="K18" s="296">
        <f>+HLOOKUP(K6,'BG - Canje optimo'!$E$5:$P$27,23,FALSE)</f>
        <v>6473.2230979999995</v>
      </c>
      <c r="L18" s="296">
        <f>+HLOOKUP(L6,'BG - Canje optimo'!$E$5:$P$27,23,FALSE)</f>
        <v>8415</v>
      </c>
      <c r="M18" s="296">
        <f>+HLOOKUP(M6,'BG - Canje optimo'!$E$5:$P$27,23,FALSE)</f>
        <v>742.5</v>
      </c>
      <c r="N18" s="13"/>
      <c r="O18" s="16"/>
    </row>
    <row r="19" spans="1:81" x14ac:dyDescent="0.25">
      <c r="A19" s="18" t="s">
        <v>35</v>
      </c>
      <c r="B19" s="297">
        <f t="shared" ref="B19:M19" si="3">+B$18*(IF(B$14="no",1,(1+B$14/VLOOKUP(B$15,$K$1:$L$4,2,0))^(VLOOKUP(B$15,$K$1:$L$4,2,0)*B$11)))</f>
        <v>1732.6612488870746</v>
      </c>
      <c r="C19" s="297">
        <f t="shared" si="3"/>
        <v>448.71255550544242</v>
      </c>
      <c r="D19" s="297">
        <f t="shared" si="3"/>
        <v>13500</v>
      </c>
      <c r="E19" s="297">
        <f t="shared" si="3"/>
        <v>2900</v>
      </c>
      <c r="F19" s="297">
        <f t="shared" si="3"/>
        <v>12982.499999999998</v>
      </c>
      <c r="G19" s="297">
        <f t="shared" si="3"/>
        <v>1926.2865275142312</v>
      </c>
      <c r="H19" s="297">
        <f t="shared" si="3"/>
        <v>5565.2917364499999</v>
      </c>
      <c r="I19" s="297">
        <f t="shared" si="3"/>
        <v>5776.2840187699994</v>
      </c>
      <c r="J19" s="297">
        <f t="shared" si="3"/>
        <v>5393.6283739999999</v>
      </c>
      <c r="K19" s="297">
        <f t="shared" si="3"/>
        <v>6473.2230979999995</v>
      </c>
      <c r="L19" s="297">
        <f t="shared" si="3"/>
        <v>8415</v>
      </c>
      <c r="M19" s="297">
        <f t="shared" si="3"/>
        <v>742.5</v>
      </c>
      <c r="N19" s="13"/>
    </row>
    <row r="20" spans="1:81" s="4" customFormat="1" ht="21" customHeight="1" x14ac:dyDescent="0.25">
      <c r="A20" s="12" t="s">
        <v>36</v>
      </c>
      <c r="B20" s="60">
        <f>$S$80</f>
        <v>924.92273719161813</v>
      </c>
      <c r="C20" s="60">
        <f>$W$80</f>
        <v>239.53005546636351</v>
      </c>
      <c r="D20" s="60">
        <f>$AA$80</f>
        <v>7287.2384813068074</v>
      </c>
      <c r="E20" s="60">
        <f>$AE$80</f>
        <v>1491.1350782568729</v>
      </c>
      <c r="F20" s="60">
        <f>$AI$80</f>
        <v>6876.0523423210352</v>
      </c>
      <c r="G20" s="60">
        <f>$AM$80</f>
        <v>937.64185533968566</v>
      </c>
      <c r="H20" s="60">
        <f>$AQ$80</f>
        <v>3118.7343070778488</v>
      </c>
      <c r="I20" s="60">
        <f>$AU$80</f>
        <v>2993.3567253809961</v>
      </c>
      <c r="J20" s="60">
        <f>$AY$80</f>
        <v>2793.3332596692912</v>
      </c>
      <c r="K20" s="60">
        <f>$BC$80</f>
        <v>3122.8331057799569</v>
      </c>
      <c r="L20" s="60">
        <f>$BG$80</f>
        <v>4381.5198522226465</v>
      </c>
      <c r="M20" s="60">
        <f>$BK$80</f>
        <v>355.2145685366857</v>
      </c>
      <c r="N20" s="13"/>
      <c r="O20" s="2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</row>
    <row r="21" spans="1:81" s="4" customFormat="1" ht="21" customHeight="1" x14ac:dyDescent="0.25">
      <c r="A21" s="12" t="s">
        <v>37</v>
      </c>
      <c r="B21" s="61">
        <f t="shared" ref="B21:M21" si="4">+B20/IF(B$9="USD",1,$Q$2)</f>
        <v>924.92273719161813</v>
      </c>
      <c r="C21" s="61">
        <f t="shared" si="4"/>
        <v>269.31645543778222</v>
      </c>
      <c r="D21" s="61">
        <f t="shared" si="4"/>
        <v>7287.2384813068074</v>
      </c>
      <c r="E21" s="61">
        <f t="shared" si="4"/>
        <v>1676.5629393488566</v>
      </c>
      <c r="F21" s="61">
        <f t="shared" si="4"/>
        <v>6876.0523423210352</v>
      </c>
      <c r="G21" s="61">
        <f t="shared" si="4"/>
        <v>1054.2408987403708</v>
      </c>
      <c r="H21" s="61">
        <f t="shared" si="4"/>
        <v>3118.7343070778488</v>
      </c>
      <c r="I21" s="61">
        <f t="shared" si="4"/>
        <v>3365.5911011704475</v>
      </c>
      <c r="J21" s="61">
        <f t="shared" si="4"/>
        <v>2793.3332596692912</v>
      </c>
      <c r="K21" s="61">
        <f t="shared" si="4"/>
        <v>3511.1683222171769</v>
      </c>
      <c r="L21" s="61">
        <f t="shared" si="4"/>
        <v>4381.5198522226465</v>
      </c>
      <c r="M21" s="61">
        <f t="shared" si="4"/>
        <v>399.38674222699092</v>
      </c>
      <c r="N21" s="13"/>
      <c r="O21" s="2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</row>
    <row r="22" spans="1:81" x14ac:dyDescent="0.25">
      <c r="A22" s="4"/>
      <c r="B22" s="62"/>
      <c r="C22" s="4"/>
      <c r="D22" s="62"/>
      <c r="E22" s="4"/>
      <c r="F22" s="62"/>
      <c r="G22" s="4"/>
      <c r="H22" s="62"/>
      <c r="I22" s="4"/>
      <c r="J22" s="62"/>
      <c r="K22" s="4"/>
      <c r="L22" s="62"/>
      <c r="M22" s="4"/>
    </row>
    <row r="23" spans="1:81" x14ac:dyDescent="0.25">
      <c r="A23" s="21"/>
      <c r="B23" s="21"/>
      <c r="C23" s="21"/>
      <c r="D23" s="21"/>
      <c r="E23" s="22"/>
      <c r="F23" s="22"/>
      <c r="G23" s="22"/>
      <c r="H23" s="22"/>
      <c r="I23" s="22"/>
      <c r="J23" s="22"/>
      <c r="K23" s="22"/>
      <c r="L23" s="22"/>
      <c r="M23" s="22"/>
      <c r="P23" s="471" t="s">
        <v>135</v>
      </c>
      <c r="Q23" s="466"/>
      <c r="R23" s="466"/>
      <c r="S23" s="467"/>
      <c r="T23" s="471" t="s">
        <v>182</v>
      </c>
      <c r="U23" s="466"/>
      <c r="V23" s="466"/>
      <c r="W23" s="467"/>
      <c r="X23" s="471" t="str">
        <f>D6</f>
        <v>USD 2030</v>
      </c>
      <c r="Y23" s="466"/>
      <c r="Z23" s="466"/>
      <c r="AA23" s="467"/>
      <c r="AB23" s="466" t="str">
        <f>E6</f>
        <v>EUR 2030</v>
      </c>
      <c r="AC23" s="466"/>
      <c r="AD23" s="466"/>
      <c r="AE23" s="467"/>
      <c r="AF23" s="466" t="str">
        <f>F6</f>
        <v>USD 2035</v>
      </c>
      <c r="AG23" s="466"/>
      <c r="AH23" s="466"/>
      <c r="AI23" s="467"/>
      <c r="AJ23" s="466" t="str">
        <f>G6</f>
        <v>EUR 2035</v>
      </c>
      <c r="AK23" s="466"/>
      <c r="AL23" s="466"/>
      <c r="AM23" s="467"/>
      <c r="AN23" s="466" t="str">
        <f>H6</f>
        <v>USD 2038</v>
      </c>
      <c r="AO23" s="466"/>
      <c r="AP23" s="466"/>
      <c r="AQ23" s="467"/>
      <c r="AR23" s="466" t="str">
        <f>I6</f>
        <v>EUR 2038</v>
      </c>
      <c r="AS23" s="466"/>
      <c r="AT23" s="466"/>
      <c r="AU23" s="467"/>
      <c r="AV23" s="466" t="str">
        <f>J6</f>
        <v>USD 2041</v>
      </c>
      <c r="AW23" s="466"/>
      <c r="AX23" s="466"/>
      <c r="AY23" s="467"/>
      <c r="AZ23" s="466" t="str">
        <f>K6</f>
        <v>EUR 2041</v>
      </c>
      <c r="BA23" s="466"/>
      <c r="BB23" s="466"/>
      <c r="BC23" s="467"/>
      <c r="BD23" s="466" t="str">
        <f>L6</f>
        <v>USD 2046</v>
      </c>
      <c r="BE23" s="466"/>
      <c r="BF23" s="466"/>
      <c r="BG23" s="467"/>
      <c r="BH23" s="466" t="str">
        <f>M6</f>
        <v>EUR 2046</v>
      </c>
      <c r="BI23" s="466"/>
      <c r="BJ23" s="466"/>
      <c r="BK23" s="467"/>
      <c r="BL23" s="4"/>
      <c r="BM23" s="253" t="s">
        <v>147</v>
      </c>
    </row>
    <row r="24" spans="1:81" ht="22.5" x14ac:dyDescent="0.25">
      <c r="A24" s="23" t="s">
        <v>38</v>
      </c>
      <c r="B24" s="468" t="s">
        <v>39</v>
      </c>
      <c r="C24" s="469"/>
      <c r="D24" s="469"/>
      <c r="E24" s="469"/>
      <c r="F24" s="469"/>
      <c r="G24" s="469"/>
      <c r="H24" s="469"/>
      <c r="I24" s="469"/>
      <c r="J24" s="469"/>
      <c r="K24" s="469"/>
      <c r="L24" s="469"/>
      <c r="M24" s="470"/>
      <c r="N24" s="24" t="s">
        <v>132</v>
      </c>
      <c r="O24" s="24" t="s">
        <v>40</v>
      </c>
      <c r="P24" s="24" t="s">
        <v>41</v>
      </c>
      <c r="Q24" s="25" t="s">
        <v>42</v>
      </c>
      <c r="R24" s="25" t="s">
        <v>43</v>
      </c>
      <c r="S24" s="26" t="s">
        <v>44</v>
      </c>
      <c r="T24" s="24" t="s">
        <v>41</v>
      </c>
      <c r="U24" s="25" t="s">
        <v>42</v>
      </c>
      <c r="V24" s="25" t="s">
        <v>43</v>
      </c>
      <c r="W24" s="26" t="s">
        <v>44</v>
      </c>
      <c r="X24" s="24" t="s">
        <v>41</v>
      </c>
      <c r="Y24" s="25" t="s">
        <v>42</v>
      </c>
      <c r="Z24" s="25" t="s">
        <v>43</v>
      </c>
      <c r="AA24" s="26" t="s">
        <v>44</v>
      </c>
      <c r="AB24" s="24" t="s">
        <v>41</v>
      </c>
      <c r="AC24" s="25" t="s">
        <v>42</v>
      </c>
      <c r="AD24" s="25" t="s">
        <v>43</v>
      </c>
      <c r="AE24" s="26" t="s">
        <v>44</v>
      </c>
      <c r="AF24" s="24" t="s">
        <v>41</v>
      </c>
      <c r="AG24" s="25" t="s">
        <v>42</v>
      </c>
      <c r="AH24" s="25" t="s">
        <v>43</v>
      </c>
      <c r="AI24" s="26" t="s">
        <v>44</v>
      </c>
      <c r="AJ24" s="24" t="s">
        <v>41</v>
      </c>
      <c r="AK24" s="25" t="s">
        <v>42</v>
      </c>
      <c r="AL24" s="25" t="s">
        <v>43</v>
      </c>
      <c r="AM24" s="26" t="s">
        <v>44</v>
      </c>
      <c r="AN24" s="24" t="s">
        <v>41</v>
      </c>
      <c r="AO24" s="25" t="s">
        <v>42</v>
      </c>
      <c r="AP24" s="25" t="s">
        <v>43</v>
      </c>
      <c r="AQ24" s="26" t="s">
        <v>44</v>
      </c>
      <c r="AR24" s="24" t="s">
        <v>41</v>
      </c>
      <c r="AS24" s="25" t="s">
        <v>42</v>
      </c>
      <c r="AT24" s="25" t="s">
        <v>43</v>
      </c>
      <c r="AU24" s="26" t="s">
        <v>44</v>
      </c>
      <c r="AV24" s="24" t="s">
        <v>41</v>
      </c>
      <c r="AW24" s="25" t="s">
        <v>42</v>
      </c>
      <c r="AX24" s="25" t="s">
        <v>43</v>
      </c>
      <c r="AY24" s="26" t="s">
        <v>44</v>
      </c>
      <c r="AZ24" s="24" t="s">
        <v>41</v>
      </c>
      <c r="BA24" s="25" t="s">
        <v>42</v>
      </c>
      <c r="BB24" s="25" t="s">
        <v>43</v>
      </c>
      <c r="BC24" s="26" t="s">
        <v>44</v>
      </c>
      <c r="BD24" s="24" t="s">
        <v>41</v>
      </c>
      <c r="BE24" s="25" t="s">
        <v>42</v>
      </c>
      <c r="BF24" s="25" t="s">
        <v>43</v>
      </c>
      <c r="BG24" s="26" t="s">
        <v>44</v>
      </c>
      <c r="BH24" s="24" t="s">
        <v>41</v>
      </c>
      <c r="BI24" s="25" t="s">
        <v>42</v>
      </c>
      <c r="BJ24" s="25" t="s">
        <v>43</v>
      </c>
      <c r="BK24" s="26" t="s">
        <v>44</v>
      </c>
      <c r="BL24" s="4"/>
      <c r="BM24" s="63" t="s">
        <v>46</v>
      </c>
      <c r="BN24" s="64" t="s">
        <v>47</v>
      </c>
      <c r="BO24" s="65" t="s">
        <v>48</v>
      </c>
    </row>
    <row r="25" spans="1:81" x14ac:dyDescent="0.25">
      <c r="A25" s="27">
        <f>+D7</f>
        <v>44027</v>
      </c>
      <c r="B25" s="66"/>
      <c r="C25" s="67"/>
      <c r="D25" s="30"/>
      <c r="E25" s="30"/>
      <c r="F25" s="30"/>
      <c r="G25" s="30"/>
      <c r="H25" s="30"/>
      <c r="I25" s="30"/>
      <c r="J25" s="30"/>
      <c r="K25" s="30"/>
      <c r="L25" s="30"/>
      <c r="M25" s="31"/>
      <c r="N25" s="2">
        <f>+YEAR(O25)</f>
        <v>2020</v>
      </c>
      <c r="O25" s="32">
        <f>+D7</f>
        <v>44027</v>
      </c>
      <c r="P25" s="416"/>
      <c r="Q25" s="423">
        <f>+IF($O25&gt;$B$8,"FIN",IF($O25&lt;$B$17,0,$B$19/$B$16))</f>
        <v>0</v>
      </c>
      <c r="R25" s="417">
        <f t="shared" ref="R25:R44" si="5">+SUM(P25:Q25)</f>
        <v>0</v>
      </c>
      <c r="S25" s="418">
        <f t="shared" ref="S25" si="6">R25/(1+$B$5)^(YEARFRAC($O$25,$O25))</f>
        <v>0</v>
      </c>
      <c r="T25" s="416"/>
      <c r="U25" s="423">
        <f>+IF($O25&gt;$C$8,"FIN",IF($O25&lt;$C$17,0,$C$19/$C$16))</f>
        <v>0</v>
      </c>
      <c r="V25" s="417">
        <f t="shared" ref="V25:V44" si="7">+SUM(T25:U25)</f>
        <v>0</v>
      </c>
      <c r="W25" s="418">
        <f t="shared" ref="W25" si="8">V25/(1+$B$5)^(YEARFRAC($O$25,$O25))</f>
        <v>0</v>
      </c>
      <c r="X25" s="419"/>
      <c r="Y25" s="423">
        <f>+IF($O25&gt;$D$8,"FIN",IF($O25&lt;$D$17,0,$D$19/$D$16))</f>
        <v>0</v>
      </c>
      <c r="Z25" s="417">
        <f t="shared" ref="Z25:Z45" si="9">+SUM(X25:Y25)</f>
        <v>0</v>
      </c>
      <c r="AA25" s="418">
        <f t="shared" ref="AA25" si="10">Z25/(1+$B$5)^(YEARFRAC($O$25,$O25))</f>
        <v>0</v>
      </c>
      <c r="AB25" s="417"/>
      <c r="AC25" s="423">
        <f>+IF($O25&gt;$E$8,"FIN",IF($O25&lt;$E$17,0,$E$19/$E$16))</f>
        <v>0</v>
      </c>
      <c r="AD25" s="417">
        <f t="shared" ref="AD25:AD45" si="11">+SUM(AB25:AC25)</f>
        <v>0</v>
      </c>
      <c r="AE25" s="418">
        <f t="shared" ref="AE25" si="12">AD25/(1+$B$5)^(YEARFRAC($O$25,$O25))</f>
        <v>0</v>
      </c>
      <c r="AF25" s="417"/>
      <c r="AG25" s="423">
        <f>+IF($O25&gt;$F$8,"FIN",IF($O25&lt;$F$17,0,$F$19/$F$16))</f>
        <v>0</v>
      </c>
      <c r="AH25" s="417">
        <f t="shared" ref="AH25:AH55" si="13">+SUM(AF25:AG25)</f>
        <v>0</v>
      </c>
      <c r="AI25" s="418">
        <f t="shared" ref="AI25" si="14">AH25/(1+$B$5)^(YEARFRAC($O$25,$O25))</f>
        <v>0</v>
      </c>
      <c r="AJ25" s="417"/>
      <c r="AK25" s="423">
        <f>+IF($O25&gt;$G$8,"FIN",IF($O25&lt;$G$17,0,$G$19/$G$16))</f>
        <v>0</v>
      </c>
      <c r="AL25" s="417">
        <f t="shared" ref="AL25:AL55" si="15">+SUM(AJ25:AK25)</f>
        <v>0</v>
      </c>
      <c r="AM25" s="418">
        <f t="shared" ref="AM25" si="16">AL25/(1+$B$5)^(YEARFRAC($O$25,$O25))</f>
        <v>0</v>
      </c>
      <c r="AN25" s="417"/>
      <c r="AO25" s="423">
        <f>+IF($O25&gt;$H$8,"FIN",IF($O25&lt;$H$17,0,$H$19/$H$16))</f>
        <v>0</v>
      </c>
      <c r="AP25" s="417">
        <f t="shared" ref="AP25:AP61" si="17">+SUM(AN25:AO25)</f>
        <v>0</v>
      </c>
      <c r="AQ25" s="418">
        <f t="shared" ref="AQ25" si="18">AP25/(1+$B$5)^(YEARFRAC($O$25,$O25))</f>
        <v>0</v>
      </c>
      <c r="AR25" s="417"/>
      <c r="AS25" s="423">
        <f>+IF($O25&gt;$I$8,"FIN",IF($O25&lt;$I$17,0,$I$19/$I$16))</f>
        <v>0</v>
      </c>
      <c r="AT25" s="417">
        <f t="shared" ref="AT25:AT61" si="19">+SUM(AR25:AS25)</f>
        <v>0</v>
      </c>
      <c r="AU25" s="418">
        <f t="shared" ref="AU25" si="20">AT25/(1+$B$5)^(YEARFRAC($O$25,$O25))</f>
        <v>0</v>
      </c>
      <c r="AV25" s="417"/>
      <c r="AW25" s="423">
        <f>+IF($O25&gt;$J$8,"FIN",IF($O25&lt;$J$17,0,$J$19/$J$16))</f>
        <v>0</v>
      </c>
      <c r="AX25" s="417">
        <f t="shared" ref="AX25:AX67" si="21">+SUM(AV25:AW25)</f>
        <v>0</v>
      </c>
      <c r="AY25" s="418">
        <f t="shared" ref="AY25" si="22">AX25/(1+$B$5)^(YEARFRAC($O$25,$O25))</f>
        <v>0</v>
      </c>
      <c r="AZ25" s="417"/>
      <c r="BA25" s="423">
        <f>+IF($O25&gt;$K$8,"FIN",IF($O25&lt;$K$17,0,$K$19/$K$16))</f>
        <v>0</v>
      </c>
      <c r="BB25" s="417">
        <f t="shared" ref="BB25:BB67" si="23">+SUM(AZ25:BA25)</f>
        <v>0</v>
      </c>
      <c r="BC25" s="418">
        <f t="shared" ref="BC25" si="24">BB25/(1+$B$5)^(YEARFRAC($O$25,$O25))</f>
        <v>0</v>
      </c>
      <c r="BD25" s="417"/>
      <c r="BE25" s="423">
        <f>+IF($O25&gt;$L$8,"FIN",IF($O25&lt;$L$17,0,$L$19/$L$16))</f>
        <v>0</v>
      </c>
      <c r="BF25" s="417">
        <f t="shared" ref="BF25:BF77" si="25">+SUM(BD25:BE25)</f>
        <v>0</v>
      </c>
      <c r="BG25" s="418">
        <f t="shared" ref="BG25" si="26">BF25/(1+$B$5)^(YEARFRAC($O$25,$O25))</f>
        <v>0</v>
      </c>
      <c r="BH25" s="417"/>
      <c r="BI25" s="423">
        <f>+IF($O25&gt;$M$8,"FIN",IF($O25&lt;$M$17,0,$M$19/$M$16))</f>
        <v>0</v>
      </c>
      <c r="BJ25" s="417">
        <f t="shared" ref="BJ25:BJ77" si="27">+SUM(BH25:BI25)</f>
        <v>0</v>
      </c>
      <c r="BK25" s="418">
        <f t="shared" ref="BK25" si="28">BJ25/(1+$B$5)^(YEARFRAC($O$25,$O25))</f>
        <v>0</v>
      </c>
      <c r="BL25" s="397"/>
      <c r="BM25" s="420">
        <f>+P25+X25+AF25+AN25+AV25+BD25+(T25+AB25+AJ25+AR25+AZ25+BH25)/$Q$2</f>
        <v>0</v>
      </c>
      <c r="BN25" s="421">
        <f>+Q25+Y25+AG25+AO25+AW25+BE25+(U25+AC25+AK25+AS25+BA25+BI25)/$Q$2</f>
        <v>0</v>
      </c>
      <c r="BO25" s="422"/>
    </row>
    <row r="26" spans="1:81" x14ac:dyDescent="0.25">
      <c r="A26" s="27">
        <f t="shared" ref="A26:A78" si="29">DATE(YEAR(A25),MONTH(A25)+VLOOKUP($D$15,$K$1:$M$4,3,0),DAY(A25))</f>
        <v>44211</v>
      </c>
      <c r="B26" s="38">
        <v>0.01</v>
      </c>
      <c r="C26" s="39">
        <v>0.01</v>
      </c>
      <c r="D26" s="40">
        <v>1.25E-3</v>
      </c>
      <c r="E26" s="40">
        <v>1.25E-3</v>
      </c>
      <c r="F26" s="40">
        <v>1.25E-3</v>
      </c>
      <c r="G26" s="40">
        <v>1.25E-3</v>
      </c>
      <c r="H26" s="40">
        <v>1.25E-3</v>
      </c>
      <c r="I26" s="40">
        <v>1.25E-3</v>
      </c>
      <c r="J26" s="40">
        <v>1.25E-3</v>
      </c>
      <c r="K26" s="40">
        <v>1.25E-3</v>
      </c>
      <c r="L26" s="40">
        <v>1.25E-3</v>
      </c>
      <c r="M26" s="41">
        <v>1.25E-3</v>
      </c>
      <c r="N26" s="2">
        <f t="shared" ref="N26:N79" si="30">+YEAR(O26)</f>
        <v>2021</v>
      </c>
      <c r="O26" s="32">
        <f t="shared" ref="O26:O79" si="31">+DATE(YEAR(O25),MONTH(O25)+VLOOKUP(D$15,$K$1:$M$4,3,0),DAY(O25))</f>
        <v>44211</v>
      </c>
      <c r="P26" s="348">
        <f>+IF($O26&gt;B$8,"FIN",(B$19-SUM(Q$25:Q25))*VLOOKUP($O26,$A:$N,2,0)/VLOOKUP(B$15,$K$1:$M$4,2,0))</f>
        <v>8.6633062444353737</v>
      </c>
      <c r="Q26" s="391">
        <f t="shared" ref="Q26:Q44" si="32">+IF($O26&gt;$B$8,"FIN",IF($O26&lt;$B$17,0,$B$19/$B$16))</f>
        <v>0</v>
      </c>
      <c r="R26" s="349">
        <f t="shared" si="5"/>
        <v>8.6633062444353737</v>
      </c>
      <c r="S26" s="346">
        <f>R26/(1+$B$5)^(YEARFRAC($O$25,$O26))</f>
        <v>8.2601384032468594</v>
      </c>
      <c r="T26" s="348">
        <f>+IF($O26&gt;C$8,"FIN",(C$19-SUM(U$25:U25))*VLOOKUP($O26,$A:$N,3,0)/VLOOKUP(C$15,$K$1:$M$4,2,0))</f>
        <v>2.2435627775272122</v>
      </c>
      <c r="U26" s="391">
        <f t="shared" ref="U26:U44" si="33">+IF($O26&gt;$C$8,"FIN",IF($O26&lt;$C$17,0,$C$19/$C$16))</f>
        <v>0</v>
      </c>
      <c r="V26" s="349">
        <f t="shared" si="7"/>
        <v>2.2435627775272122</v>
      </c>
      <c r="W26" s="346">
        <f>V26/(1+$B$5)^(YEARFRAC($O$25,$O26))</f>
        <v>2.1391531749961286</v>
      </c>
      <c r="X26" s="348">
        <f>+IF($O26&gt;D$8,"FIN",(D$19-SUM(Y$25:Y25))*VLOOKUP($O26,$A:$N,4,0)/VLOOKUP(D$15,$K$1:$M$4,2,0))</f>
        <v>8.4375</v>
      </c>
      <c r="Y26" s="391">
        <f t="shared" ref="Y26:Y45" si="34">+IF($O26&gt;$D$8,"FIN",IF($O26&lt;$D$17,0,$D$19/$D$16))</f>
        <v>0</v>
      </c>
      <c r="Z26" s="349">
        <f t="shared" si="9"/>
        <v>8.4375</v>
      </c>
      <c r="AA26" s="346">
        <f>Z26/(1+$B$5)^(YEARFRAC($O$25,$O26))</f>
        <v>8.0448405967596841</v>
      </c>
      <c r="AB26" s="348">
        <f>+IF($O26&gt;E$8,"FIN",(E$19-SUM(AC$25:AC25))*VLOOKUP($O26,$A:$N,5,0)/VLOOKUP(E$15,$K$1:$M$4,2,0))</f>
        <v>1.8125</v>
      </c>
      <c r="AC26" s="349">
        <f t="shared" ref="AC26:AC45" si="35">+IF($O26&gt;$E$8,"FIN",IF($O26&lt;$E$17,0,$E$19/$E$16))</f>
        <v>0</v>
      </c>
      <c r="AD26" s="349">
        <f t="shared" si="11"/>
        <v>1.8125</v>
      </c>
      <c r="AE26" s="346">
        <f>AD26/(1+$B$5)^(YEARFRAC($O$25,$O26))</f>
        <v>1.7281509430076358</v>
      </c>
      <c r="AF26" s="348">
        <f>+IF($O26&gt;F$8,"FIN",(F$19-SUM(AG$25:AG25))*VLOOKUP($O26,$A:$N,6,0)/VLOOKUP(F$15,$K$1:$M$4,2,0))</f>
        <v>8.1140624999999993</v>
      </c>
      <c r="AG26" s="391">
        <f t="shared" ref="AG26:AG55" si="36">+IF($O26&gt;$F$8,"FIN",IF($O26&lt;$F$17,0,$F$19/$F$16))</f>
        <v>0</v>
      </c>
      <c r="AH26" s="345">
        <f t="shared" si="13"/>
        <v>8.1140624999999993</v>
      </c>
      <c r="AI26" s="346">
        <f>AH26/(1+$B$5)^(YEARFRAC($O$25,$O26))</f>
        <v>7.7364550405505623</v>
      </c>
      <c r="AJ26" s="348">
        <f>+IF($O26&gt;G$8,"FIN",(G$19-SUM(AK$25:AK25))*VLOOKUP($O26,$A:$N,7,0)/VLOOKUP(G$15,$K$1:$M$4,2,0))</f>
        <v>1.2039290796963946</v>
      </c>
      <c r="AK26" s="349">
        <f t="shared" ref="AK26:AK55" si="37">+IF($O26&gt;$G$8,"FIN",IF($O26&lt;$G$17,0,$G$19/$G$16))</f>
        <v>0</v>
      </c>
      <c r="AL26" s="345">
        <f t="shared" si="15"/>
        <v>1.2039290796963946</v>
      </c>
      <c r="AM26" s="346">
        <f>AL26/(1+$B$5)^(YEARFRAC($O$25,$O26))</f>
        <v>1.1479013375953875</v>
      </c>
      <c r="AN26" s="348">
        <f>+IF($O26&gt;H$8,"FIN",(H$19-SUM(AO$25:AO25))*VLOOKUP($O26,$A:$N,8,0)/VLOOKUP(H$15,$K$1:$M$4,2,0))</f>
        <v>3.4783073352812499</v>
      </c>
      <c r="AO26" s="345">
        <f t="shared" ref="AO26:AO61" si="38">+IF($O26&gt;$H$8,"FIN",IF($O26&lt;$H$17,0,$H$19/$H$16))</f>
        <v>0</v>
      </c>
      <c r="AP26" s="345">
        <f t="shared" si="17"/>
        <v>3.4783073352812499</v>
      </c>
      <c r="AQ26" s="346">
        <f>AP26/(1+$B$5)^(YEARFRAC($O$25,$O26))</f>
        <v>3.3164359180891969</v>
      </c>
      <c r="AR26" s="348">
        <f>+IF($O26&gt;I$8,"FIN",(I$19-SUM(AS$25:AS25))*VLOOKUP($O26,$A:$N,9,0)/VLOOKUP(I$15,$K$1:$M$4,2,0))</f>
        <v>3.6101775117312496</v>
      </c>
      <c r="AS26" s="345">
        <f t="shared" ref="AS26:AS61" si="39">+IF($O26&gt;$I$8,"FIN",IF($O26&lt;$I$17,0,$I$19/$I$16))</f>
        <v>0</v>
      </c>
      <c r="AT26" s="345">
        <f t="shared" si="19"/>
        <v>3.6101775117312496</v>
      </c>
      <c r="AU26" s="346">
        <f>AT26/(1+$B$5)^(YEARFRAC($O$25,$O26))</f>
        <v>3.4421691979714866</v>
      </c>
      <c r="AV26" s="348">
        <f>+IF($O26&gt;J$8,"FIN",(J$19-SUM(AW$25:AW25))*VLOOKUP($O26,$A:$N,10,0)/VLOOKUP(J$15,$K$1:$M$4,2,0))</f>
        <v>3.37101773375</v>
      </c>
      <c r="AW26" s="349">
        <f t="shared" ref="AW26:AW67" si="40">+IF($O26&gt;$J$8,"FIN",IF($O26&lt;$J$17,0,$J$19/$J$16))</f>
        <v>0</v>
      </c>
      <c r="AX26" s="345">
        <f t="shared" si="21"/>
        <v>3.37101773375</v>
      </c>
      <c r="AY26" s="346">
        <f>AX26/(1+$B$5)^(YEARFRAC($O$25,$O26))</f>
        <v>3.2141392968140834</v>
      </c>
      <c r="AZ26" s="348">
        <f>+IF($O26&gt;K$8,"FIN",(K$19-SUM(BA$25:BA25))*VLOOKUP($O26,$A:$N,11,0)/VLOOKUP(K$15,$K$1:$M$4,2,0))</f>
        <v>4.0457644362499998</v>
      </c>
      <c r="BA26" s="345">
        <f t="shared" ref="BA26:BA67" si="41">+IF($O26&gt;$K$8,"FIN",IF($O26&lt;$K$17,0,$K$19/$K$16))</f>
        <v>0</v>
      </c>
      <c r="BB26" s="345">
        <f t="shared" si="23"/>
        <v>4.0457644362499998</v>
      </c>
      <c r="BC26" s="346">
        <f>BB26/(1+$B$5)^(YEARFRAC($O$25,$O26))</f>
        <v>3.8574850348646588</v>
      </c>
      <c r="BD26" s="348">
        <f>+IF($O26&gt;L$8,"FIN",(L$19-SUM(BE$25:BE25))*VLOOKUP($O26,$A:$N,12,0)/VLOOKUP(L$15,$K$1:$M$4,2,0))</f>
        <v>5.2593750000000004</v>
      </c>
      <c r="BE26" s="391">
        <f t="shared" ref="BE26:BE77" si="42">+IF($O26&gt;$L$8,"FIN",IF($O26&lt;$L$17,0,$L$19/$L$16))</f>
        <v>0</v>
      </c>
      <c r="BF26" s="345">
        <f t="shared" si="25"/>
        <v>5.2593750000000004</v>
      </c>
      <c r="BG26" s="346">
        <f>BF26/(1+$B$5)^(YEARFRAC($O$25,$O26))</f>
        <v>5.0146173053135374</v>
      </c>
      <c r="BH26" s="348">
        <f>+IF($O26&gt;M$8,"FIN",(M$19-SUM(BI$25:BI25))*VLOOKUP($O26,$A:$N,13,0)/VLOOKUP(M$15,$K$1:$M$4,2,0))</f>
        <v>0.46406249999999999</v>
      </c>
      <c r="BI26" s="345">
        <f t="shared" ref="BI26:BI77" si="43">+IF($O26&gt;$M$8,"FIN",IF($O26&lt;$M$17,0,$M$19/$M$16))</f>
        <v>0</v>
      </c>
      <c r="BJ26" s="345">
        <f t="shared" si="27"/>
        <v>0.46406249999999999</v>
      </c>
      <c r="BK26" s="346">
        <f>BJ26/(1+$B$5)^(YEARFRAC($O$25,$O26))</f>
        <v>0.44246623282178266</v>
      </c>
      <c r="BL26" s="397"/>
      <c r="BM26" s="420">
        <f t="shared" ref="BM26:BN78" si="44">+P26+X26+AF26+AN26+AV26+BD26+(T26+AB26+AJ26+AR26+AZ26+BH26)/$Q$2</f>
        <v>52.36741444558362</v>
      </c>
      <c r="BN26" s="421">
        <f t="shared" si="44"/>
        <v>0</v>
      </c>
      <c r="BO26" s="422">
        <f t="shared" ref="BO26:BO78" si="45">+BM26+BN26</f>
        <v>52.36741444558362</v>
      </c>
    </row>
    <row r="27" spans="1:81" x14ac:dyDescent="0.25">
      <c r="A27" s="27">
        <f t="shared" si="29"/>
        <v>44392</v>
      </c>
      <c r="B27" s="38">
        <v>0.01</v>
      </c>
      <c r="C27" s="39">
        <v>0.01</v>
      </c>
      <c r="D27" s="40">
        <v>1.25E-3</v>
      </c>
      <c r="E27" s="40">
        <v>1.25E-3</v>
      </c>
      <c r="F27" s="40">
        <v>1.25E-3</v>
      </c>
      <c r="G27" s="40">
        <v>1.25E-3</v>
      </c>
      <c r="H27" s="40">
        <v>1.25E-3</v>
      </c>
      <c r="I27" s="40">
        <v>1.25E-3</v>
      </c>
      <c r="J27" s="40">
        <v>1.25E-3</v>
      </c>
      <c r="K27" s="40">
        <v>1.25E-3</v>
      </c>
      <c r="L27" s="40">
        <v>1.25E-3</v>
      </c>
      <c r="M27" s="41">
        <v>1.25E-3</v>
      </c>
      <c r="N27" s="2">
        <f t="shared" si="30"/>
        <v>2021</v>
      </c>
      <c r="O27" s="32">
        <f t="shared" si="31"/>
        <v>44392</v>
      </c>
      <c r="P27" s="348">
        <f>+IF($O27&gt;B$8,"FIN",(B$19-SUM(Q$25:Q26))*VLOOKUP($O27,$A:$N,2,0)/VLOOKUP(B$15,$K$1:$M$4,2,0))</f>
        <v>8.6633062444353737</v>
      </c>
      <c r="Q27" s="391">
        <f t="shared" si="32"/>
        <v>0</v>
      </c>
      <c r="R27" s="349">
        <f t="shared" si="5"/>
        <v>8.6633062444353737</v>
      </c>
      <c r="S27" s="346">
        <f t="shared" ref="S27:S44" si="46">R27/(1+$B$5)^(YEARFRAC($O$25,$O27))</f>
        <v>7.8757329494867028</v>
      </c>
      <c r="T27" s="348">
        <f>+IF($O27&gt;C$8,"FIN",(C$19-SUM(U$25:U26))*VLOOKUP($O27,$A:$N,3,0)/VLOOKUP(C$15,$K$1:$M$4,2,0))</f>
        <v>2.2435627775272122</v>
      </c>
      <c r="U27" s="391">
        <f t="shared" si="33"/>
        <v>0</v>
      </c>
      <c r="V27" s="349">
        <f t="shared" si="7"/>
        <v>2.2435627775272122</v>
      </c>
      <c r="W27" s="346">
        <f t="shared" ref="W27:W44" si="47">V27/(1+$B$5)^(YEARFRAC($O$25,$O27))</f>
        <v>2.0396025250247383</v>
      </c>
      <c r="X27" s="348">
        <f>+IF($O27&gt;D$8,"FIN",(D$19-SUM(Y$25:Y26))*VLOOKUP($O27,$A:$N,4,0)/VLOOKUP(D$15,$K$1:$M$4,2,0))</f>
        <v>8.4375</v>
      </c>
      <c r="Y27" s="391">
        <f t="shared" si="34"/>
        <v>0</v>
      </c>
      <c r="Z27" s="349">
        <f t="shared" si="9"/>
        <v>8.4375</v>
      </c>
      <c r="AA27" s="346">
        <f t="shared" ref="AA27:AA45" si="48">Z27/(1+$B$5)^(YEARFRAC($O$25,$O27))</f>
        <v>7.670454545454545</v>
      </c>
      <c r="AB27" s="348">
        <f>+IF($O27&gt;E$8,"FIN",(E$19-SUM(AC$25:AC26))*VLOOKUP($O27,$A:$N,5,0)/VLOOKUP(E$15,$K$1:$M$4,2,0))</f>
        <v>1.8125</v>
      </c>
      <c r="AC27" s="349">
        <f t="shared" si="35"/>
        <v>0</v>
      </c>
      <c r="AD27" s="349">
        <f t="shared" si="11"/>
        <v>1.8125</v>
      </c>
      <c r="AE27" s="346">
        <f t="shared" ref="AE27:AE45" si="49">AD27/(1+$B$5)^(YEARFRAC($O$25,$O27))</f>
        <v>1.6477272727272725</v>
      </c>
      <c r="AF27" s="348">
        <f>+IF($O27&gt;F$8,"FIN",(F$19-SUM(AG$25:AG26))*VLOOKUP($O27,$A:$N,6,0)/VLOOKUP(F$15,$K$1:$M$4,2,0))</f>
        <v>8.1140624999999993</v>
      </c>
      <c r="AG27" s="391">
        <f t="shared" si="36"/>
        <v>0</v>
      </c>
      <c r="AH27" s="345">
        <f t="shared" si="13"/>
        <v>8.1140624999999993</v>
      </c>
      <c r="AI27" s="346">
        <f t="shared" ref="AI27:AI55" si="50">AH27/(1+$B$5)^(YEARFRAC($O$25,$O27))</f>
        <v>7.3764204545454533</v>
      </c>
      <c r="AJ27" s="348">
        <f>+IF($O27&gt;G$8,"FIN",(G$19-SUM(AK$25:AK26))*VLOOKUP($O27,$A:$N,7,0)/VLOOKUP(G$15,$K$1:$M$4,2,0))</f>
        <v>1.2039290796963946</v>
      </c>
      <c r="AK27" s="349">
        <f t="shared" si="37"/>
        <v>0</v>
      </c>
      <c r="AL27" s="345">
        <f t="shared" si="15"/>
        <v>1.2039290796963946</v>
      </c>
      <c r="AM27" s="346">
        <f t="shared" ref="AM27:AM55" si="51">AL27/(1+$B$5)^(YEARFRAC($O$25,$O27))</f>
        <v>1.0944809815421768</v>
      </c>
      <c r="AN27" s="348">
        <f>+IF($O27&gt;H$8,"FIN",(H$19-SUM(AO$25:AO26))*VLOOKUP($O27,$A:$N,8,0)/VLOOKUP(H$15,$K$1:$M$4,2,0))</f>
        <v>3.4783073352812499</v>
      </c>
      <c r="AO27" s="345">
        <f t="shared" si="38"/>
        <v>0</v>
      </c>
      <c r="AP27" s="345">
        <f t="shared" si="17"/>
        <v>3.4783073352812499</v>
      </c>
      <c r="AQ27" s="346">
        <f t="shared" ref="AQ27:AQ61" si="52">AP27/(1+$B$5)^(YEARFRAC($O$25,$O27))</f>
        <v>3.1620975775284088</v>
      </c>
      <c r="AR27" s="348">
        <f>+IF($O27&gt;I$8,"FIN",(I$19-SUM(AS$25:AS26))*VLOOKUP($O27,$A:$N,9,0)/VLOOKUP(I$15,$K$1:$M$4,2,0))</f>
        <v>3.6101775117312496</v>
      </c>
      <c r="AS27" s="349">
        <f t="shared" si="39"/>
        <v>0</v>
      </c>
      <c r="AT27" s="349">
        <f t="shared" si="19"/>
        <v>3.6101775117312496</v>
      </c>
      <c r="AU27" s="410">
        <f t="shared" ref="AU27:AU61" si="53">AT27/(1+$B$5)^(YEARFRAC($O$25,$O27))</f>
        <v>3.2819795561193175</v>
      </c>
      <c r="AV27" s="348">
        <f>+IF($O27&gt;J$8,"FIN",(J$19-SUM(AW$25:AW26))*VLOOKUP($O27,$A:$N,10,0)/VLOOKUP(J$15,$K$1:$M$4,2,0))</f>
        <v>3.37101773375</v>
      </c>
      <c r="AW27" s="349">
        <f t="shared" si="40"/>
        <v>0</v>
      </c>
      <c r="AX27" s="345">
        <f t="shared" si="21"/>
        <v>3.37101773375</v>
      </c>
      <c r="AY27" s="346">
        <f t="shared" ref="AY27:AY67" si="54">AX27/(1+$B$5)^(YEARFRAC($O$25,$O27))</f>
        <v>3.0645615761363634</v>
      </c>
      <c r="AZ27" s="348">
        <f>+IF($O27&gt;K$8,"FIN",(K$19-SUM(BA$25:BA26))*VLOOKUP($O27,$A:$N,11,0)/VLOOKUP(K$15,$K$1:$M$4,2,0))</f>
        <v>4.0457644362499998</v>
      </c>
      <c r="BA27" s="349">
        <f t="shared" si="41"/>
        <v>0</v>
      </c>
      <c r="BB27" s="349">
        <f t="shared" si="23"/>
        <v>4.0457644362499998</v>
      </c>
      <c r="BC27" s="410">
        <f t="shared" ref="BC27:BC67" si="55">BB27/(1+$B$5)^(YEARFRAC($O$25,$O27))</f>
        <v>3.6779676693181815</v>
      </c>
      <c r="BD27" s="348">
        <f>+IF($O27&gt;L$8,"FIN",(L$19-SUM(BE$25:BE26))*VLOOKUP($O27,$A:$N,12,0)/VLOOKUP(L$15,$K$1:$M$4,2,0))</f>
        <v>5.2593750000000004</v>
      </c>
      <c r="BE27" s="391">
        <f t="shared" si="42"/>
        <v>0</v>
      </c>
      <c r="BF27" s="345">
        <f t="shared" si="25"/>
        <v>5.2593750000000004</v>
      </c>
      <c r="BG27" s="346">
        <f t="shared" ref="BG27:BG77" si="56">BF27/(1+$B$5)^(YEARFRAC($O$25,$O27))</f>
        <v>4.78125</v>
      </c>
      <c r="BH27" s="348">
        <f>+IF($O27&gt;M$8,"FIN",(M$19-SUM(BI$25:BI26))*VLOOKUP($O27,$A:$N,13,0)/VLOOKUP(M$15,$K$1:$M$4,2,0))</f>
        <v>0.46406249999999999</v>
      </c>
      <c r="BI27" s="349">
        <f t="shared" si="43"/>
        <v>0</v>
      </c>
      <c r="BJ27" s="349">
        <f t="shared" si="27"/>
        <v>0.46406249999999999</v>
      </c>
      <c r="BK27" s="410">
        <f t="shared" ref="BK27:BK77" si="57">BJ27/(1+$B$5)^(YEARFRAC($O$25,$O27))</f>
        <v>0.42187499999999994</v>
      </c>
      <c r="BL27" s="397"/>
      <c r="BM27" s="420">
        <f t="shared" si="44"/>
        <v>52.36741444558362</v>
      </c>
      <c r="BN27" s="421">
        <f t="shared" si="44"/>
        <v>0</v>
      </c>
      <c r="BO27" s="422">
        <f t="shared" si="45"/>
        <v>52.36741444558362</v>
      </c>
    </row>
    <row r="28" spans="1:81" x14ac:dyDescent="0.25">
      <c r="A28" s="27">
        <f t="shared" si="29"/>
        <v>44576</v>
      </c>
      <c r="B28" s="38">
        <v>0.01</v>
      </c>
      <c r="C28" s="39">
        <v>0.01</v>
      </c>
      <c r="D28" s="40">
        <v>5.0000000000000001E-3</v>
      </c>
      <c r="E28" s="40">
        <v>1.25E-3</v>
      </c>
      <c r="F28" s="40">
        <v>1.125E-2</v>
      </c>
      <c r="G28" s="40">
        <v>7.4999999999999997E-3</v>
      </c>
      <c r="H28" s="40">
        <v>1.6250000000000001E-2</v>
      </c>
      <c r="I28" s="40">
        <v>8.7500000000000008E-3</v>
      </c>
      <c r="J28" s="40">
        <v>1.6250000000000001E-2</v>
      </c>
      <c r="K28" s="40">
        <v>8.7500000000000008E-3</v>
      </c>
      <c r="L28" s="40">
        <v>1.125E-2</v>
      </c>
      <c r="M28" s="41">
        <v>7.4999999999999997E-3</v>
      </c>
      <c r="N28" s="2">
        <f t="shared" si="30"/>
        <v>2022</v>
      </c>
      <c r="O28" s="32">
        <f t="shared" si="31"/>
        <v>44576</v>
      </c>
      <c r="P28" s="348">
        <f>+IF($O28&gt;B$8,"FIN",(B$19-SUM(Q$25:Q27))*VLOOKUP($O28,$A:$N,2,0)/VLOOKUP(B$15,$K$1:$M$4,2,0))</f>
        <v>8.6633062444353737</v>
      </c>
      <c r="Q28" s="349">
        <f t="shared" si="32"/>
        <v>0</v>
      </c>
      <c r="R28" s="349">
        <f t="shared" si="5"/>
        <v>8.6633062444353737</v>
      </c>
      <c r="S28" s="346">
        <f t="shared" si="46"/>
        <v>7.5092167302244164</v>
      </c>
      <c r="T28" s="348">
        <f>+IF($O28&gt;C$8,"FIN",(C$19-SUM(U$25:U27))*VLOOKUP($O28,$A:$N,3,0)/VLOOKUP(C$15,$K$1:$M$4,2,0))</f>
        <v>2.2435627775272122</v>
      </c>
      <c r="U28" s="349">
        <f t="shared" si="33"/>
        <v>0</v>
      </c>
      <c r="V28" s="349">
        <f t="shared" si="7"/>
        <v>2.2435627775272122</v>
      </c>
      <c r="W28" s="346">
        <f t="shared" si="47"/>
        <v>1.9446847045419347</v>
      </c>
      <c r="X28" s="348">
        <f>+IF($O28&gt;D$8,"FIN",(D$19-SUM(Y$25:Y27))*VLOOKUP($O28,$A:$N,4,0)/VLOOKUP(D$15,$K$1:$M$4,2,0))</f>
        <v>33.75</v>
      </c>
      <c r="Y28" s="349">
        <f t="shared" si="34"/>
        <v>0</v>
      </c>
      <c r="Z28" s="349">
        <f t="shared" si="9"/>
        <v>33.75</v>
      </c>
      <c r="AA28" s="346">
        <f t="shared" si="48"/>
        <v>29.253965806398849</v>
      </c>
      <c r="AB28" s="348">
        <f>+IF($O28&gt;E$8,"FIN",(E$19-SUM(AC$25:AC27))*VLOOKUP($O28,$A:$N,5,0)/VLOOKUP(E$15,$K$1:$M$4,2,0))</f>
        <v>1.8125</v>
      </c>
      <c r="AC28" s="349">
        <f t="shared" si="35"/>
        <v>0</v>
      </c>
      <c r="AD28" s="349">
        <f t="shared" si="11"/>
        <v>1.8125</v>
      </c>
      <c r="AE28" s="346">
        <f t="shared" si="49"/>
        <v>1.5710463118251234</v>
      </c>
      <c r="AF28" s="348">
        <f>+IF($O28&gt;F$8,"FIN",(F$19-SUM(AG$25:AG27))*VLOOKUP($O28,$A:$N,6,0)/VLOOKUP(F$15,$K$1:$M$4,2,0))</f>
        <v>73.026562499999983</v>
      </c>
      <c r="AG28" s="349">
        <f t="shared" si="36"/>
        <v>0</v>
      </c>
      <c r="AH28" s="345">
        <f t="shared" si="13"/>
        <v>73.026562499999983</v>
      </c>
      <c r="AI28" s="346">
        <f t="shared" si="50"/>
        <v>63.298268513595495</v>
      </c>
      <c r="AJ28" s="348">
        <f>+IF($O28&gt;G$8,"FIN",(G$19-SUM(AK$25:AK27))*VLOOKUP($O28,$A:$N,7,0)/VLOOKUP(G$15,$K$1:$M$4,2,0))</f>
        <v>7.2235744781783673</v>
      </c>
      <c r="AK28" s="349">
        <f t="shared" si="37"/>
        <v>0</v>
      </c>
      <c r="AL28" s="345">
        <f t="shared" si="15"/>
        <v>7.2235744781783673</v>
      </c>
      <c r="AM28" s="346">
        <f t="shared" si="51"/>
        <v>6.2612800232475667</v>
      </c>
      <c r="AN28" s="348">
        <f>+IF($O28&gt;H$8,"FIN",(H$19-SUM(AO$25:AO27))*VLOOKUP($O28,$A:$N,8,0)/VLOOKUP(H$15,$K$1:$M$4,2,0))</f>
        <v>45.217995358656253</v>
      </c>
      <c r="AO28" s="345">
        <f t="shared" si="38"/>
        <v>0</v>
      </c>
      <c r="AP28" s="345">
        <f t="shared" si="17"/>
        <v>45.217995358656253</v>
      </c>
      <c r="AQ28" s="346">
        <f t="shared" si="52"/>
        <v>39.194242668326872</v>
      </c>
      <c r="AR28" s="348">
        <f>+IF($O28&gt;I$8,"FIN",(I$19-SUM(AS$25:AS27))*VLOOKUP($O28,$A:$N,9,0)/VLOOKUP(I$15,$K$1:$M$4,2,0))</f>
        <v>25.271242582118749</v>
      </c>
      <c r="AS28" s="349">
        <f t="shared" si="39"/>
        <v>0</v>
      </c>
      <c r="AT28" s="345">
        <f t="shared" si="19"/>
        <v>25.271242582118749</v>
      </c>
      <c r="AU28" s="346">
        <f t="shared" si="53"/>
        <v>21.90471307800037</v>
      </c>
      <c r="AV28" s="348">
        <f>+IF($O28&gt;J$8,"FIN",(J$19-SUM(AW$25:AW27))*VLOOKUP($O28,$A:$N,10,0)/VLOOKUP(J$15,$K$1:$M$4,2,0))</f>
        <v>43.823230538750003</v>
      </c>
      <c r="AW28" s="349">
        <f t="shared" si="40"/>
        <v>0</v>
      </c>
      <c r="AX28" s="345">
        <f t="shared" si="21"/>
        <v>43.823230538750003</v>
      </c>
      <c r="AY28" s="346">
        <f t="shared" si="54"/>
        <v>37.985282598711898</v>
      </c>
      <c r="AZ28" s="348">
        <f>+IF($O28&gt;K$8,"FIN",(K$19-SUM(BA$25:BA27))*VLOOKUP($O28,$A:$N,11,0)/VLOOKUP(K$15,$K$1:$M$4,2,0))</f>
        <v>28.320351053749999</v>
      </c>
      <c r="BA28" s="349">
        <f t="shared" si="41"/>
        <v>0</v>
      </c>
      <c r="BB28" s="349">
        <f t="shared" si="23"/>
        <v>28.320351053749999</v>
      </c>
      <c r="BC28" s="346">
        <f t="shared" si="55"/>
        <v>24.547632040047827</v>
      </c>
      <c r="BD28" s="348">
        <f>+IF($O28&gt;L$8,"FIN",(L$19-SUM(BE$25:BE27))*VLOOKUP($O28,$A:$N,12,0)/VLOOKUP(L$15,$K$1:$M$4,2,0))</f>
        <v>47.334375000000001</v>
      </c>
      <c r="BE28" s="349">
        <f t="shared" si="42"/>
        <v>0</v>
      </c>
      <c r="BF28" s="345">
        <f t="shared" si="25"/>
        <v>47.334375000000001</v>
      </c>
      <c r="BG28" s="346">
        <f t="shared" si="56"/>
        <v>41.028687043474385</v>
      </c>
      <c r="BH28" s="348">
        <f>+IF($O28&gt;M$8,"FIN",(M$19-SUM(BI$25:BI27))*VLOOKUP($O28,$A:$N,13,0)/VLOOKUP(M$15,$K$1:$M$4,2,0))</f>
        <v>2.7843749999999998</v>
      </c>
      <c r="BI28" s="345">
        <f t="shared" si="43"/>
        <v>0</v>
      </c>
      <c r="BJ28" s="345">
        <f t="shared" si="27"/>
        <v>2.7843749999999998</v>
      </c>
      <c r="BK28" s="346">
        <f t="shared" si="57"/>
        <v>2.4134521790279049</v>
      </c>
      <c r="BL28" s="397"/>
      <c r="BM28" s="420">
        <f t="shared" si="44"/>
        <v>327.88428670005425</v>
      </c>
      <c r="BN28" s="421">
        <f t="shared" si="44"/>
        <v>0</v>
      </c>
      <c r="BO28" s="422">
        <f t="shared" si="45"/>
        <v>327.88428670005425</v>
      </c>
    </row>
    <row r="29" spans="1:81" x14ac:dyDescent="0.25">
      <c r="A29" s="27">
        <f t="shared" si="29"/>
        <v>44757</v>
      </c>
      <c r="B29" s="38">
        <v>0.01</v>
      </c>
      <c r="C29" s="39">
        <v>0.01</v>
      </c>
      <c r="D29" s="40">
        <v>5.0000000000000001E-3</v>
      </c>
      <c r="E29" s="40">
        <v>1.25E-3</v>
      </c>
      <c r="F29" s="40">
        <v>1.125E-2</v>
      </c>
      <c r="G29" s="40">
        <v>7.4999999999999997E-3</v>
      </c>
      <c r="H29" s="40">
        <v>1.6250000000000001E-2</v>
      </c>
      <c r="I29" s="40">
        <v>8.7500000000000008E-3</v>
      </c>
      <c r="J29" s="40">
        <v>1.6250000000000001E-2</v>
      </c>
      <c r="K29" s="40">
        <v>8.7500000000000008E-3</v>
      </c>
      <c r="L29" s="40">
        <v>1.125E-2</v>
      </c>
      <c r="M29" s="41">
        <v>7.4999999999999997E-3</v>
      </c>
      <c r="N29" s="2">
        <f t="shared" si="30"/>
        <v>2022</v>
      </c>
      <c r="O29" s="32">
        <f t="shared" si="31"/>
        <v>44757</v>
      </c>
      <c r="P29" s="348">
        <f>+IF($O29&gt;B$8,"FIN",(B$19-SUM(Q$25:Q28))*VLOOKUP($O29,$A:$N,2,0)/VLOOKUP(B$15,$K$1:$M$4,2,0))</f>
        <v>8.6633062444353737</v>
      </c>
      <c r="Q29" s="345">
        <f t="shared" si="32"/>
        <v>0</v>
      </c>
      <c r="R29" s="345">
        <f t="shared" si="5"/>
        <v>8.6633062444353737</v>
      </c>
      <c r="S29" s="346">
        <f t="shared" si="46"/>
        <v>7.1597572268060929</v>
      </c>
      <c r="T29" s="348">
        <f>+IF($O29&gt;C$8,"FIN",(C$19-SUM(U$25:U28))*VLOOKUP($O29,$A:$N,3,0)/VLOOKUP(C$15,$K$1:$M$4,2,0))</f>
        <v>2.2435627775272122</v>
      </c>
      <c r="U29" s="345">
        <f t="shared" si="33"/>
        <v>0</v>
      </c>
      <c r="V29" s="345">
        <f t="shared" si="7"/>
        <v>2.2435627775272122</v>
      </c>
      <c r="W29" s="346">
        <f t="shared" si="47"/>
        <v>1.8541841136588528</v>
      </c>
      <c r="X29" s="348">
        <f>+IF($O29&gt;D$8,"FIN",(D$19-SUM(Y$25:Y28))*VLOOKUP($O29,$A:$N,4,0)/VLOOKUP(D$15,$K$1:$M$4,2,0))</f>
        <v>33.75</v>
      </c>
      <c r="Y29" s="345">
        <f t="shared" si="34"/>
        <v>0</v>
      </c>
      <c r="Z29" s="345">
        <f t="shared" si="9"/>
        <v>33.75</v>
      </c>
      <c r="AA29" s="346">
        <f t="shared" si="48"/>
        <v>27.892561983471069</v>
      </c>
      <c r="AB29" s="348">
        <f>+IF($O29&gt;E$8,"FIN",(E$19-SUM(AC$25:AC28))*VLOOKUP($O29,$A:$N,5,0)/VLOOKUP(E$15,$K$1:$M$4,2,0))</f>
        <v>1.8125</v>
      </c>
      <c r="AC29" s="345">
        <f t="shared" si="35"/>
        <v>0</v>
      </c>
      <c r="AD29" s="345">
        <f t="shared" si="11"/>
        <v>1.8125</v>
      </c>
      <c r="AE29" s="346">
        <f t="shared" si="49"/>
        <v>1.4979338842975205</v>
      </c>
      <c r="AF29" s="348">
        <f>+IF($O29&gt;F$8,"FIN",(F$19-SUM(AG$25:AG28))*VLOOKUP($O29,$A:$N,6,0)/VLOOKUP(F$15,$K$1:$M$4,2,0))</f>
        <v>73.026562499999983</v>
      </c>
      <c r="AG29" s="345">
        <f t="shared" si="36"/>
        <v>0</v>
      </c>
      <c r="AH29" s="345">
        <f t="shared" si="13"/>
        <v>73.026562499999983</v>
      </c>
      <c r="AI29" s="346">
        <f t="shared" si="50"/>
        <v>60.352530991735513</v>
      </c>
      <c r="AJ29" s="348">
        <f>+IF($O29&gt;G$8,"FIN",(G$19-SUM(AK$25:AK28))*VLOOKUP($O29,$A:$N,7,0)/VLOOKUP(G$15,$K$1:$M$4,2,0))</f>
        <v>7.2235744781783673</v>
      </c>
      <c r="AK29" s="345">
        <f t="shared" si="37"/>
        <v>0</v>
      </c>
      <c r="AL29" s="345">
        <f t="shared" si="15"/>
        <v>7.2235744781783673</v>
      </c>
      <c r="AM29" s="346">
        <f t="shared" si="51"/>
        <v>5.9698962629573273</v>
      </c>
      <c r="AN29" s="348">
        <f>+IF($O29&gt;H$8,"FIN",(H$19-SUM(AO$25:AO28))*VLOOKUP($O29,$A:$N,8,0)/VLOOKUP(H$15,$K$1:$M$4,2,0))</f>
        <v>45.217995358656253</v>
      </c>
      <c r="AO29" s="345">
        <f t="shared" si="38"/>
        <v>0</v>
      </c>
      <c r="AP29" s="345">
        <f t="shared" si="17"/>
        <v>45.217995358656253</v>
      </c>
      <c r="AQ29" s="346">
        <f t="shared" si="52"/>
        <v>37.370244098063012</v>
      </c>
      <c r="AR29" s="348">
        <f>+IF($O29&gt;I$8,"FIN",(I$19-SUM(AS$25:AS28))*VLOOKUP($O29,$A:$N,9,0)/VLOOKUP(I$15,$K$1:$M$4,2,0))</f>
        <v>25.271242582118749</v>
      </c>
      <c r="AS29" s="345">
        <f t="shared" si="39"/>
        <v>0</v>
      </c>
      <c r="AT29" s="345">
        <f t="shared" si="19"/>
        <v>25.271242582118749</v>
      </c>
      <c r="AU29" s="346">
        <f t="shared" si="53"/>
        <v>20.885324448032019</v>
      </c>
      <c r="AV29" s="348">
        <f>+IF($O29&gt;J$8,"FIN",(J$19-SUM(AW$25:AW28))*VLOOKUP($O29,$A:$N,10,0)/VLOOKUP(J$15,$K$1:$M$4,2,0))</f>
        <v>43.823230538750003</v>
      </c>
      <c r="AW29" s="345">
        <f t="shared" si="40"/>
        <v>0</v>
      </c>
      <c r="AX29" s="345">
        <f t="shared" si="21"/>
        <v>43.823230538750003</v>
      </c>
      <c r="AY29" s="346">
        <f t="shared" si="54"/>
        <v>36.217545899793386</v>
      </c>
      <c r="AZ29" s="348">
        <f>+IF($O29&gt;K$8,"FIN",(K$19-SUM(BA$25:BA28))*VLOOKUP($O29,$A:$N,11,0)/VLOOKUP(K$15,$K$1:$M$4,2,0))</f>
        <v>28.320351053749999</v>
      </c>
      <c r="BA29" s="345">
        <f t="shared" si="41"/>
        <v>0</v>
      </c>
      <c r="BB29" s="345">
        <f t="shared" si="23"/>
        <v>28.320351053749999</v>
      </c>
      <c r="BC29" s="346">
        <f t="shared" si="55"/>
        <v>23.405248804752063</v>
      </c>
      <c r="BD29" s="348">
        <f>+IF($O29&gt;L$8,"FIN",(L$19-SUM(BE$25:BE28))*VLOOKUP($O29,$A:$N,12,0)/VLOOKUP(L$15,$K$1:$M$4,2,0))</f>
        <v>47.334375000000001</v>
      </c>
      <c r="BE29" s="345">
        <f t="shared" si="42"/>
        <v>0</v>
      </c>
      <c r="BF29" s="345">
        <f t="shared" si="25"/>
        <v>47.334375000000001</v>
      </c>
      <c r="BG29" s="346">
        <f t="shared" si="56"/>
        <v>39.11931818181818</v>
      </c>
      <c r="BH29" s="348">
        <f>+IF($O29&gt;M$8,"FIN",(M$19-SUM(BI$25:BI28))*VLOOKUP($O29,$A:$N,13,0)/VLOOKUP(M$15,$K$1:$M$4,2,0))</f>
        <v>2.7843749999999998</v>
      </c>
      <c r="BI29" s="345">
        <f t="shared" si="43"/>
        <v>0</v>
      </c>
      <c r="BJ29" s="345">
        <f t="shared" si="27"/>
        <v>2.7843749999999998</v>
      </c>
      <c r="BK29" s="346">
        <f t="shared" si="57"/>
        <v>2.3011363636363633</v>
      </c>
      <c r="BL29" s="397"/>
      <c r="BM29" s="420">
        <f t="shared" si="44"/>
        <v>327.88428670005425</v>
      </c>
      <c r="BN29" s="421">
        <f t="shared" si="44"/>
        <v>0</v>
      </c>
      <c r="BO29" s="422">
        <f t="shared" si="45"/>
        <v>327.88428670005425</v>
      </c>
    </row>
    <row r="30" spans="1:81" x14ac:dyDescent="0.25">
      <c r="A30" s="27">
        <f t="shared" si="29"/>
        <v>44941</v>
      </c>
      <c r="B30" s="38">
        <v>0.01</v>
      </c>
      <c r="C30" s="39">
        <v>0.01</v>
      </c>
      <c r="D30" s="40">
        <v>5.0000000000000001E-3</v>
      </c>
      <c r="E30" s="40">
        <v>1.25E-3</v>
      </c>
      <c r="F30" s="40">
        <v>1.4999999999999999E-2</v>
      </c>
      <c r="G30" s="40">
        <v>8.7500000000000008E-3</v>
      </c>
      <c r="H30" s="40">
        <v>3.125E-2</v>
      </c>
      <c r="I30" s="40">
        <v>2.2499999999999999E-2</v>
      </c>
      <c r="J30" s="40">
        <v>0.03</v>
      </c>
      <c r="K30" s="40">
        <v>0.02</v>
      </c>
      <c r="L30" s="40">
        <v>1.4999999999999999E-2</v>
      </c>
      <c r="M30" s="41">
        <v>8.7500000000000008E-3</v>
      </c>
      <c r="N30" s="2">
        <f t="shared" si="30"/>
        <v>2023</v>
      </c>
      <c r="O30" s="32">
        <f t="shared" si="31"/>
        <v>44941</v>
      </c>
      <c r="P30" s="348">
        <f>+IF($O30&gt;B$8,"FIN",(B$19-SUM(Q$25:Q29))*VLOOKUP($O30,$A:$N,2,0)/VLOOKUP(B$15,$K$1:$M$4,2,0))</f>
        <v>8.6633062444353737</v>
      </c>
      <c r="Q30" s="345">
        <f t="shared" si="32"/>
        <v>0</v>
      </c>
      <c r="R30" s="345">
        <f t="shared" si="5"/>
        <v>8.6633062444353737</v>
      </c>
      <c r="S30" s="346">
        <f t="shared" si="46"/>
        <v>6.8265606638403789</v>
      </c>
      <c r="T30" s="348">
        <f>+IF($O30&gt;C$8,"FIN",(C$19-SUM(U$25:U29))*VLOOKUP($O30,$A:$N,3,0)/VLOOKUP(C$15,$K$1:$M$4,2,0))</f>
        <v>2.2435627775272122</v>
      </c>
      <c r="U30" s="345">
        <f t="shared" si="33"/>
        <v>0</v>
      </c>
      <c r="V30" s="345">
        <f t="shared" si="7"/>
        <v>2.2435627775272122</v>
      </c>
      <c r="W30" s="346">
        <f t="shared" si="47"/>
        <v>1.7678951859472134</v>
      </c>
      <c r="X30" s="348">
        <f>+IF($O30&gt;D$8,"FIN",(D$19-SUM(Y$25:Y29))*VLOOKUP($O30,$A:$N,4,0)/VLOOKUP(D$15,$K$1:$M$4,2,0))</f>
        <v>33.75</v>
      </c>
      <c r="Y30" s="345">
        <f t="shared" si="34"/>
        <v>0</v>
      </c>
      <c r="Z30" s="345">
        <f t="shared" si="9"/>
        <v>33.75</v>
      </c>
      <c r="AA30" s="346">
        <f t="shared" si="48"/>
        <v>26.594514369453499</v>
      </c>
      <c r="AB30" s="348">
        <f>+IF($O30&gt;E$8,"FIN",(E$19-SUM(AC$25:AC29))*VLOOKUP($O30,$A:$N,5,0)/VLOOKUP(E$15,$K$1:$M$4,2,0))</f>
        <v>1.8125</v>
      </c>
      <c r="AC30" s="345">
        <f t="shared" si="35"/>
        <v>0</v>
      </c>
      <c r="AD30" s="345">
        <f t="shared" si="11"/>
        <v>1.8125</v>
      </c>
      <c r="AE30" s="346">
        <f t="shared" si="49"/>
        <v>1.4282239198410214</v>
      </c>
      <c r="AF30" s="348">
        <f>+IF($O30&gt;F$8,"FIN",(F$19-SUM(AG$25:AG29))*VLOOKUP($O30,$A:$N,6,0)/VLOOKUP(F$15,$K$1:$M$4,2,0))</f>
        <v>97.368749999999977</v>
      </c>
      <c r="AG30" s="345">
        <f t="shared" si="36"/>
        <v>0</v>
      </c>
      <c r="AH30" s="345">
        <f t="shared" si="13"/>
        <v>97.368749999999977</v>
      </c>
      <c r="AI30" s="346">
        <f t="shared" si="50"/>
        <v>76.725173955873331</v>
      </c>
      <c r="AJ30" s="348">
        <f>+IF($O30&gt;G$8,"FIN",(G$19-SUM(AK$25:AK29))*VLOOKUP($O30,$A:$N,7,0)/VLOOKUP(G$15,$K$1:$M$4,2,0))</f>
        <v>8.427503557874763</v>
      </c>
      <c r="AK30" s="345">
        <f t="shared" si="37"/>
        <v>0</v>
      </c>
      <c r="AL30" s="345">
        <f t="shared" si="15"/>
        <v>8.427503557874763</v>
      </c>
      <c r="AM30" s="346">
        <f t="shared" si="51"/>
        <v>6.6407515398080266</v>
      </c>
      <c r="AN30" s="348">
        <f>+IF($O30&gt;H$8,"FIN",(H$19-SUM(AO$25:AO29))*VLOOKUP($O30,$A:$N,8,0)/VLOOKUP(H$15,$K$1:$M$4,2,0))</f>
        <v>86.957683382031249</v>
      </c>
      <c r="AO30" s="345">
        <f t="shared" si="38"/>
        <v>0</v>
      </c>
      <c r="AP30" s="345">
        <f t="shared" si="17"/>
        <v>86.957683382031249</v>
      </c>
      <c r="AQ30" s="346">
        <f t="shared" si="52"/>
        <v>68.521403266305711</v>
      </c>
      <c r="AR30" s="348">
        <f>+IF($O30&gt;I$8,"FIN",(I$19-SUM(AS$25:AS29))*VLOOKUP($O30,$A:$N,9,0)/VLOOKUP(I$15,$K$1:$M$4,2,0))</f>
        <v>64.983195211162496</v>
      </c>
      <c r="AS30" s="345">
        <f t="shared" si="39"/>
        <v>0</v>
      </c>
      <c r="AT30" s="345">
        <f t="shared" si="19"/>
        <v>64.983195211162496</v>
      </c>
      <c r="AU30" s="346">
        <f t="shared" si="53"/>
        <v>51.205822779741119</v>
      </c>
      <c r="AV30" s="348">
        <f>+IF($O30&gt;J$8,"FIN",(J$19-SUM(AW$25:AW29))*VLOOKUP($O30,$A:$N,10,0)/VLOOKUP(J$15,$K$1:$M$4,2,0))</f>
        <v>80.90442560999999</v>
      </c>
      <c r="AW30" s="345">
        <f t="shared" si="40"/>
        <v>0</v>
      </c>
      <c r="AX30" s="345">
        <f t="shared" si="21"/>
        <v>80.90442560999999</v>
      </c>
      <c r="AY30" s="346">
        <f t="shared" si="54"/>
        <v>63.751523242593379</v>
      </c>
      <c r="AZ30" s="348">
        <f>+IF($O30&gt;K$8,"FIN",(K$19-SUM(BA$25:BA29))*VLOOKUP($O30,$A:$N,11,0)/VLOOKUP(K$15,$K$1:$M$4,2,0))</f>
        <v>64.732230979999997</v>
      </c>
      <c r="BA30" s="345">
        <f t="shared" si="41"/>
        <v>0</v>
      </c>
      <c r="BB30" s="345">
        <f t="shared" si="23"/>
        <v>64.732230979999997</v>
      </c>
      <c r="BC30" s="346">
        <f t="shared" si="55"/>
        <v>51.008066576722754</v>
      </c>
      <c r="BD30" s="348">
        <f>+IF($O30&gt;L$8,"FIN",(L$19-SUM(BE$25:BE29))*VLOOKUP($O30,$A:$N,12,0)/VLOOKUP(L$15,$K$1:$M$4,2,0))</f>
        <v>63.112499999999997</v>
      </c>
      <c r="BE30" s="345">
        <f t="shared" si="42"/>
        <v>0</v>
      </c>
      <c r="BF30" s="345">
        <f t="shared" si="25"/>
        <v>63.112499999999997</v>
      </c>
      <c r="BG30" s="346">
        <f t="shared" si="56"/>
        <v>49.731741870878047</v>
      </c>
      <c r="BH30" s="348">
        <f>+IF($O30&gt;M$8,"FIN",(M$19-SUM(BI$25:BI29))*VLOOKUP($O30,$A:$N,13,0)/VLOOKUP(M$15,$K$1:$M$4,2,0))</f>
        <v>3.2484375000000001</v>
      </c>
      <c r="BI30" s="345">
        <f t="shared" si="43"/>
        <v>0</v>
      </c>
      <c r="BJ30" s="345">
        <f t="shared" si="27"/>
        <v>3.2484375000000001</v>
      </c>
      <c r="BK30" s="346">
        <f t="shared" si="57"/>
        <v>2.5597220080598997</v>
      </c>
      <c r="BL30" s="397"/>
      <c r="BM30" s="420">
        <f t="shared" si="44"/>
        <v>534.29099177858984</v>
      </c>
      <c r="BN30" s="421">
        <f t="shared" si="44"/>
        <v>0</v>
      </c>
      <c r="BO30" s="422">
        <f t="shared" si="45"/>
        <v>534.29099177858984</v>
      </c>
    </row>
    <row r="31" spans="1:81" x14ac:dyDescent="0.25">
      <c r="A31" s="27">
        <f t="shared" si="29"/>
        <v>45122</v>
      </c>
      <c r="B31" s="38">
        <v>0.01</v>
      </c>
      <c r="C31" s="39">
        <v>0.01</v>
      </c>
      <c r="D31" s="40">
        <v>5.0000000000000001E-3</v>
      </c>
      <c r="E31" s="40">
        <v>1.25E-3</v>
      </c>
      <c r="F31" s="40">
        <v>1.4999999999999999E-2</v>
      </c>
      <c r="G31" s="40">
        <v>8.7500000000000008E-3</v>
      </c>
      <c r="H31" s="40">
        <v>3.125E-2</v>
      </c>
      <c r="I31" s="40">
        <v>2.2499999999999999E-2</v>
      </c>
      <c r="J31" s="40">
        <v>0.03</v>
      </c>
      <c r="K31" s="40">
        <v>0.02</v>
      </c>
      <c r="L31" s="40">
        <v>1.4999999999999999E-2</v>
      </c>
      <c r="M31" s="41">
        <v>8.7500000000000008E-3</v>
      </c>
      <c r="N31" s="2">
        <f t="shared" si="30"/>
        <v>2023</v>
      </c>
      <c r="O31" s="32">
        <f t="shared" si="31"/>
        <v>45122</v>
      </c>
      <c r="P31" s="348">
        <f>+IF($O31&gt;B$8,"FIN",(B$19-SUM(Q$25:Q30))*VLOOKUP($O31,$A:$N,2,0)/VLOOKUP(B$15,$K$1:$M$4,2,0))</f>
        <v>8.6633062444353737</v>
      </c>
      <c r="Q31" s="345">
        <f t="shared" si="32"/>
        <v>0</v>
      </c>
      <c r="R31" s="345">
        <f t="shared" si="5"/>
        <v>8.6633062444353737</v>
      </c>
      <c r="S31" s="346">
        <f t="shared" si="46"/>
        <v>6.508870206187356</v>
      </c>
      <c r="T31" s="348">
        <f>+IF($O31&gt;C$8,"FIN",(C$19-SUM(U$25:U30))*VLOOKUP($O31,$A:$N,3,0)/VLOOKUP(C$15,$K$1:$M$4,2,0))</f>
        <v>2.2435627775272122</v>
      </c>
      <c r="U31" s="345">
        <f t="shared" si="33"/>
        <v>0</v>
      </c>
      <c r="V31" s="345">
        <f t="shared" si="7"/>
        <v>2.2435627775272122</v>
      </c>
      <c r="W31" s="346">
        <f t="shared" si="47"/>
        <v>1.6856219215080477</v>
      </c>
      <c r="X31" s="348">
        <f>+IF($O31&gt;D$8,"FIN",(D$19-SUM(Y$25:Y30))*VLOOKUP($O31,$A:$N,4,0)/VLOOKUP(D$15,$K$1:$M$4,2,0))</f>
        <v>33.75</v>
      </c>
      <c r="Y31" s="345">
        <f t="shared" si="34"/>
        <v>0</v>
      </c>
      <c r="Z31" s="345">
        <f t="shared" si="9"/>
        <v>33.75</v>
      </c>
      <c r="AA31" s="346">
        <f t="shared" si="48"/>
        <v>25.356874530428243</v>
      </c>
      <c r="AB31" s="348">
        <f>+IF($O31&gt;E$8,"FIN",(E$19-SUM(AC$25:AC30))*VLOOKUP($O31,$A:$N,5,0)/VLOOKUP(E$15,$K$1:$M$4,2,0))</f>
        <v>1.8125</v>
      </c>
      <c r="AC31" s="345">
        <f t="shared" si="35"/>
        <v>0</v>
      </c>
      <c r="AD31" s="345">
        <f t="shared" si="11"/>
        <v>1.8125</v>
      </c>
      <c r="AE31" s="346">
        <f t="shared" si="49"/>
        <v>1.3617580766341093</v>
      </c>
      <c r="AF31" s="348">
        <f>+IF($O31&gt;F$8,"FIN",(F$19-SUM(AG$25:AG30))*VLOOKUP($O31,$A:$N,6,0)/VLOOKUP(F$15,$K$1:$M$4,2,0))</f>
        <v>97.368749999999977</v>
      </c>
      <c r="AG31" s="345">
        <f t="shared" si="36"/>
        <v>0</v>
      </c>
      <c r="AH31" s="345">
        <f t="shared" si="13"/>
        <v>97.368749999999977</v>
      </c>
      <c r="AI31" s="346">
        <f t="shared" si="50"/>
        <v>73.154583020285457</v>
      </c>
      <c r="AJ31" s="348">
        <f>+IF($O31&gt;G$8,"FIN",(G$19-SUM(AK$25:AK30))*VLOOKUP($O31,$A:$N,7,0)/VLOOKUP(G$15,$K$1:$M$4,2,0))</f>
        <v>8.427503557874763</v>
      </c>
      <c r="AK31" s="345">
        <f t="shared" si="37"/>
        <v>0</v>
      </c>
      <c r="AL31" s="345">
        <f t="shared" si="15"/>
        <v>8.427503557874763</v>
      </c>
      <c r="AM31" s="346">
        <f t="shared" si="51"/>
        <v>6.331708157682014</v>
      </c>
      <c r="AN31" s="348">
        <f>+IF($O31&gt;H$8,"FIN",(H$19-SUM(AO$25:AO30))*VLOOKUP($O31,$A:$N,8,0)/VLOOKUP(H$15,$K$1:$M$4,2,0))</f>
        <v>86.957683382031249</v>
      </c>
      <c r="AO31" s="345">
        <f t="shared" si="38"/>
        <v>0</v>
      </c>
      <c r="AP31" s="345">
        <f t="shared" si="17"/>
        <v>86.957683382031249</v>
      </c>
      <c r="AQ31" s="346">
        <f t="shared" si="52"/>
        <v>65.33259457703322</v>
      </c>
      <c r="AR31" s="348">
        <f>+IF($O31&gt;I$8,"FIN",(I$19-SUM(AS$25:AS30))*VLOOKUP($O31,$A:$N,9,0)/VLOOKUP(I$15,$K$1:$M$4,2,0))</f>
        <v>64.983195211162496</v>
      </c>
      <c r="AS31" s="345">
        <f t="shared" si="39"/>
        <v>0</v>
      </c>
      <c r="AT31" s="345">
        <f t="shared" si="19"/>
        <v>64.983195211162496</v>
      </c>
      <c r="AU31" s="346">
        <f t="shared" si="53"/>
        <v>48.822836372022898</v>
      </c>
      <c r="AV31" s="348">
        <f>+IF($O31&gt;J$8,"FIN",(J$19-SUM(AW$25:AW30))*VLOOKUP($O31,$A:$N,10,0)/VLOOKUP(J$15,$K$1:$M$4,2,0))</f>
        <v>80.90442560999999</v>
      </c>
      <c r="AW31" s="345">
        <f t="shared" si="40"/>
        <v>0</v>
      </c>
      <c r="AX31" s="345">
        <f t="shared" si="21"/>
        <v>80.90442560999999</v>
      </c>
      <c r="AY31" s="346">
        <f t="shared" si="54"/>
        <v>60.784692419233636</v>
      </c>
      <c r="AZ31" s="348">
        <f>+IF($O31&gt;K$8,"FIN",(K$19-SUM(BA$25:BA30))*VLOOKUP($O31,$A:$N,11,0)/VLOOKUP(K$15,$K$1:$M$4,2,0))</f>
        <v>64.732230979999997</v>
      </c>
      <c r="BA31" s="345">
        <f t="shared" si="41"/>
        <v>0</v>
      </c>
      <c r="BB31" s="345">
        <f t="shared" si="23"/>
        <v>64.732230979999997</v>
      </c>
      <c r="BC31" s="346">
        <f t="shared" si="55"/>
        <v>48.634283230653629</v>
      </c>
      <c r="BD31" s="348">
        <f>+IF($O31&gt;L$8,"FIN",(L$19-SUM(BE$25:BE30))*VLOOKUP($O31,$A:$N,12,0)/VLOOKUP(L$15,$K$1:$M$4,2,0))</f>
        <v>63.112499999999997</v>
      </c>
      <c r="BE31" s="345">
        <f t="shared" si="42"/>
        <v>0</v>
      </c>
      <c r="BF31" s="345">
        <f t="shared" si="25"/>
        <v>63.112499999999997</v>
      </c>
      <c r="BG31" s="346">
        <f t="shared" si="56"/>
        <v>47.417355371900811</v>
      </c>
      <c r="BH31" s="348">
        <f>+IF($O31&gt;M$8,"FIN",(M$19-SUM(BI$25:BI30))*VLOOKUP($O31,$A:$N,13,0)/VLOOKUP(M$15,$K$1:$M$4,2,0))</f>
        <v>3.2484375000000001</v>
      </c>
      <c r="BI31" s="345">
        <f t="shared" si="43"/>
        <v>0</v>
      </c>
      <c r="BJ31" s="345">
        <f t="shared" si="27"/>
        <v>3.2484375000000001</v>
      </c>
      <c r="BK31" s="346">
        <f t="shared" si="57"/>
        <v>2.4405991735537182</v>
      </c>
      <c r="BL31" s="397"/>
      <c r="BM31" s="420">
        <f t="shared" si="44"/>
        <v>534.29099177858984</v>
      </c>
      <c r="BN31" s="421">
        <f t="shared" si="44"/>
        <v>0</v>
      </c>
      <c r="BO31" s="422">
        <f t="shared" si="45"/>
        <v>534.29099177858984</v>
      </c>
    </row>
    <row r="32" spans="1:81" x14ac:dyDescent="0.25">
      <c r="A32" s="27">
        <f t="shared" si="29"/>
        <v>45306</v>
      </c>
      <c r="B32" s="38">
        <v>0.01</v>
      </c>
      <c r="C32" s="39">
        <v>0.01</v>
      </c>
      <c r="D32" s="40">
        <v>7.4999999999999997E-3</v>
      </c>
      <c r="E32" s="40">
        <v>1.25E-3</v>
      </c>
      <c r="F32" s="40">
        <v>3.6249999999999998E-2</v>
      </c>
      <c r="G32" s="40">
        <v>2.5000000000000001E-2</v>
      </c>
      <c r="H32" s="40">
        <v>3.7499999999999999E-2</v>
      </c>
      <c r="I32" s="40">
        <v>3.2500000000000001E-2</v>
      </c>
      <c r="J32" s="40">
        <v>3.5000000000000003E-2</v>
      </c>
      <c r="K32" s="40">
        <v>0.03</v>
      </c>
      <c r="L32" s="40">
        <v>3.6249999999999998E-2</v>
      </c>
      <c r="M32" s="41">
        <v>2.5000000000000001E-2</v>
      </c>
      <c r="N32" s="2">
        <f t="shared" si="30"/>
        <v>2024</v>
      </c>
      <c r="O32" s="32">
        <f t="shared" si="31"/>
        <v>45306</v>
      </c>
      <c r="P32" s="348">
        <f>+IF($O32&gt;B$8,"FIN",(B$19-SUM(Q$25:Q31))*VLOOKUP($O32,$A:$N,2,0)/VLOOKUP(B$15,$K$1:$M$4,2,0))</f>
        <v>8.6633062444353737</v>
      </c>
      <c r="Q32" s="345">
        <f t="shared" si="32"/>
        <v>0</v>
      </c>
      <c r="R32" s="345">
        <f t="shared" si="5"/>
        <v>8.6633062444353737</v>
      </c>
      <c r="S32" s="346">
        <f t="shared" si="46"/>
        <v>6.2059642398548895</v>
      </c>
      <c r="T32" s="348">
        <f>+IF($O32&gt;C$8,"FIN",(C$19-SUM(U$25:U31))*VLOOKUP($O32,$A:$N,3,0)/VLOOKUP(C$15,$K$1:$M$4,2,0))</f>
        <v>2.2435627775272122</v>
      </c>
      <c r="U32" s="345">
        <f t="shared" si="33"/>
        <v>0</v>
      </c>
      <c r="V32" s="345">
        <f t="shared" si="7"/>
        <v>2.2435627775272122</v>
      </c>
      <c r="W32" s="346">
        <f t="shared" si="47"/>
        <v>1.6071774417701941</v>
      </c>
      <c r="X32" s="348">
        <f>+IF($O32&gt;D$8,"FIN",(D$19-SUM(Y$25:Y31))*VLOOKUP($O32,$A:$N,4,0)/VLOOKUP(D$15,$K$1:$M$4,2,0))</f>
        <v>50.625</v>
      </c>
      <c r="Y32" s="345">
        <f t="shared" si="34"/>
        <v>0</v>
      </c>
      <c r="Z32" s="345">
        <f t="shared" si="9"/>
        <v>50.625</v>
      </c>
      <c r="AA32" s="346">
        <f t="shared" si="48"/>
        <v>36.265246867436588</v>
      </c>
      <c r="AB32" s="348">
        <f>+IF($O32&gt;E$8,"FIN",(E$19-SUM(AC$25:AC31))*VLOOKUP($O32,$A:$N,5,0)/VLOOKUP(E$15,$K$1:$M$4,2,0))</f>
        <v>1.8125</v>
      </c>
      <c r="AC32" s="345">
        <f t="shared" si="35"/>
        <v>0</v>
      </c>
      <c r="AD32" s="345">
        <f t="shared" si="11"/>
        <v>1.8125</v>
      </c>
      <c r="AE32" s="346">
        <f t="shared" si="49"/>
        <v>1.2983853816736557</v>
      </c>
      <c r="AF32" s="348">
        <f>+IF($O32&gt;F$8,"FIN",(F$19-SUM(AG$25:AG31))*VLOOKUP($O32,$A:$N,6,0)/VLOOKUP(F$15,$K$1:$M$4,2,0))</f>
        <v>235.30781249999995</v>
      </c>
      <c r="AG32" s="345">
        <f t="shared" si="36"/>
        <v>0</v>
      </c>
      <c r="AH32" s="345">
        <f t="shared" si="13"/>
        <v>235.30781249999995</v>
      </c>
      <c r="AI32" s="346">
        <f t="shared" si="50"/>
        <v>168.56288217578233</v>
      </c>
      <c r="AJ32" s="348">
        <f>+IF($O32&gt;G$8,"FIN",(G$19-SUM(AK$25:AK31))*VLOOKUP($O32,$A:$N,7,0)/VLOOKUP(G$15,$K$1:$M$4,2,0))</f>
        <v>24.078581593927893</v>
      </c>
      <c r="AK32" s="345">
        <f t="shared" si="37"/>
        <v>0</v>
      </c>
      <c r="AL32" s="345">
        <f t="shared" si="15"/>
        <v>24.078581593927893</v>
      </c>
      <c r="AM32" s="346">
        <f t="shared" si="51"/>
        <v>17.248705298202665</v>
      </c>
      <c r="AN32" s="348">
        <f>+IF($O32&gt;H$8,"FIN",(H$19-SUM(AO$25:AO31))*VLOOKUP($O32,$A:$N,8,0)/VLOOKUP(H$15,$K$1:$M$4,2,0))</f>
        <v>104.3492200584375</v>
      </c>
      <c r="AO32" s="345">
        <f t="shared" si="38"/>
        <v>0</v>
      </c>
      <c r="AP32" s="345">
        <f t="shared" si="17"/>
        <v>104.3492200584375</v>
      </c>
      <c r="AQ32" s="346">
        <f t="shared" si="52"/>
        <v>74.750621745060783</v>
      </c>
      <c r="AR32" s="348">
        <f>+IF($O32&gt;I$8,"FIN",(I$19-SUM(AS$25:AS31))*VLOOKUP($O32,$A:$N,9,0)/VLOOKUP(I$15,$K$1:$M$4,2,0))</f>
        <v>93.864615305012492</v>
      </c>
      <c r="AS32" s="345">
        <f t="shared" si="39"/>
        <v>0</v>
      </c>
      <c r="AT32" s="345">
        <f t="shared" si="19"/>
        <v>93.864615305012492</v>
      </c>
      <c r="AU32" s="346">
        <f t="shared" si="53"/>
        <v>67.239969306730771</v>
      </c>
      <c r="AV32" s="348">
        <f>+IF($O32&gt;J$8,"FIN",(J$19-SUM(AW$25:AW31))*VLOOKUP($O32,$A:$N,10,0)/VLOOKUP(J$15,$K$1:$M$4,2,0))</f>
        <v>94.38849654500001</v>
      </c>
      <c r="AW32" s="345">
        <f t="shared" si="40"/>
        <v>0</v>
      </c>
      <c r="AX32" s="345">
        <f t="shared" si="21"/>
        <v>94.38849654500001</v>
      </c>
      <c r="AY32" s="346">
        <f t="shared" si="54"/>
        <v>67.615251923962688</v>
      </c>
      <c r="AZ32" s="348">
        <f>+IF($O32&gt;K$8,"FIN",(K$19-SUM(BA$25:BA31))*VLOOKUP($O32,$A:$N,11,0)/VLOOKUP(K$15,$K$1:$M$4,2,0))</f>
        <v>97.098346469999996</v>
      </c>
      <c r="BA32" s="345">
        <f t="shared" si="41"/>
        <v>0</v>
      </c>
      <c r="BB32" s="345">
        <f t="shared" si="23"/>
        <v>97.098346469999996</v>
      </c>
      <c r="BC32" s="346">
        <f t="shared" si="55"/>
        <v>69.556454422803753</v>
      </c>
      <c r="BD32" s="348">
        <f>+IF($O32&gt;L$8,"FIN",(L$19-SUM(BE$25:BE31))*VLOOKUP($O32,$A:$N,12,0)/VLOOKUP(L$15,$K$1:$M$4,2,0))</f>
        <v>152.52187499999999</v>
      </c>
      <c r="BE32" s="345">
        <f t="shared" si="42"/>
        <v>0</v>
      </c>
      <c r="BF32" s="345">
        <f t="shared" si="25"/>
        <v>152.52187499999999</v>
      </c>
      <c r="BG32" s="346">
        <f t="shared" si="56"/>
        <v>109.25912986783813</v>
      </c>
      <c r="BH32" s="348">
        <f>+IF($O32&gt;M$8,"FIN",(M$19-SUM(BI$25:BI31))*VLOOKUP($O32,$A:$N,13,0)/VLOOKUP(M$15,$K$1:$M$4,2,0))</f>
        <v>9.28125</v>
      </c>
      <c r="BI32" s="345">
        <f t="shared" si="43"/>
        <v>0</v>
      </c>
      <c r="BJ32" s="345">
        <f t="shared" si="27"/>
        <v>9.28125</v>
      </c>
      <c r="BK32" s="346">
        <f t="shared" si="57"/>
        <v>6.6486285923633748</v>
      </c>
      <c r="BL32" s="397"/>
      <c r="BM32" s="420">
        <f t="shared" si="44"/>
        <v>902.6342758374924</v>
      </c>
      <c r="BN32" s="421">
        <f t="shared" si="44"/>
        <v>0</v>
      </c>
      <c r="BO32" s="422">
        <f t="shared" si="45"/>
        <v>902.6342758374924</v>
      </c>
    </row>
    <row r="33" spans="1:67" x14ac:dyDescent="0.25">
      <c r="A33" s="27">
        <f t="shared" si="29"/>
        <v>45488</v>
      </c>
      <c r="B33" s="38">
        <v>0.01</v>
      </c>
      <c r="C33" s="39">
        <v>0.01</v>
      </c>
      <c r="D33" s="40">
        <v>7.4999999999999997E-3</v>
      </c>
      <c r="E33" s="40">
        <v>1.25E-3</v>
      </c>
      <c r="F33" s="40">
        <v>3.6249999999999998E-2</v>
      </c>
      <c r="G33" s="40">
        <v>2.5000000000000001E-2</v>
      </c>
      <c r="H33" s="40">
        <v>3.7499999999999999E-2</v>
      </c>
      <c r="I33" s="40">
        <v>3.2500000000000001E-2</v>
      </c>
      <c r="J33" s="40">
        <v>3.5000000000000003E-2</v>
      </c>
      <c r="K33" s="40">
        <v>0.03</v>
      </c>
      <c r="L33" s="40">
        <v>3.6249999999999998E-2</v>
      </c>
      <c r="M33" s="41">
        <v>2.5000000000000001E-2</v>
      </c>
      <c r="N33" s="2">
        <f t="shared" si="30"/>
        <v>2024</v>
      </c>
      <c r="O33" s="32">
        <f t="shared" si="31"/>
        <v>45488</v>
      </c>
      <c r="P33" s="348">
        <f>+IF($O33&gt;B$8,"FIN",(B$19-SUM(Q$25:Q32))*VLOOKUP($O33,$A:$N,2,0)/VLOOKUP(B$15,$K$1:$M$4,2,0))</f>
        <v>8.6633062444353737</v>
      </c>
      <c r="Q33" s="345">
        <f t="shared" si="32"/>
        <v>0</v>
      </c>
      <c r="R33" s="345">
        <f t="shared" si="5"/>
        <v>8.6633062444353737</v>
      </c>
      <c r="S33" s="346">
        <f t="shared" si="46"/>
        <v>5.9171547328975969</v>
      </c>
      <c r="T33" s="348">
        <f>+IF($O33&gt;C$8,"FIN",(C$19-SUM(U$25:U32))*VLOOKUP($O33,$A:$N,3,0)/VLOOKUP(C$15,$K$1:$M$4,2,0))</f>
        <v>2.2435627775272122</v>
      </c>
      <c r="U33" s="345">
        <f t="shared" si="33"/>
        <v>0</v>
      </c>
      <c r="V33" s="345">
        <f t="shared" si="7"/>
        <v>2.2435627775272122</v>
      </c>
      <c r="W33" s="346">
        <f t="shared" si="47"/>
        <v>1.5323835650073161</v>
      </c>
      <c r="X33" s="348">
        <f>+IF($O33&gt;D$8,"FIN",(D$19-SUM(Y$25:Y32))*VLOOKUP($O33,$A:$N,4,0)/VLOOKUP(D$15,$K$1:$M$4,2,0))</f>
        <v>50.625</v>
      </c>
      <c r="Y33" s="345">
        <f t="shared" si="34"/>
        <v>0</v>
      </c>
      <c r="Z33" s="345">
        <f t="shared" si="9"/>
        <v>50.625</v>
      </c>
      <c r="AA33" s="346">
        <f t="shared" si="48"/>
        <v>34.577556177856692</v>
      </c>
      <c r="AB33" s="348">
        <f>+IF($O33&gt;E$8,"FIN",(E$19-SUM(AC$25:AC32))*VLOOKUP($O33,$A:$N,5,0)/VLOOKUP(E$15,$K$1:$M$4,2,0))</f>
        <v>1.8125</v>
      </c>
      <c r="AC33" s="345">
        <f t="shared" si="35"/>
        <v>0</v>
      </c>
      <c r="AD33" s="345">
        <f t="shared" si="11"/>
        <v>1.8125</v>
      </c>
      <c r="AE33" s="346">
        <f t="shared" si="49"/>
        <v>1.2379618878491903</v>
      </c>
      <c r="AF33" s="348">
        <f>+IF($O33&gt;F$8,"FIN",(F$19-SUM(AG$25:AG32))*VLOOKUP($O33,$A:$N,6,0)/VLOOKUP(F$15,$K$1:$M$4,2,0))</f>
        <v>235.30781249999995</v>
      </c>
      <c r="AG33" s="345">
        <f t="shared" si="36"/>
        <v>0</v>
      </c>
      <c r="AH33" s="345">
        <f t="shared" si="13"/>
        <v>235.30781249999995</v>
      </c>
      <c r="AI33" s="346">
        <f t="shared" si="50"/>
        <v>160.7184020900211</v>
      </c>
      <c r="AJ33" s="348">
        <f>+IF($O33&gt;G$8,"FIN",(G$19-SUM(AK$25:AK32))*VLOOKUP($O33,$A:$N,7,0)/VLOOKUP(G$15,$K$1:$M$4,2,0))</f>
        <v>24.078581593927893</v>
      </c>
      <c r="AK33" s="345">
        <f t="shared" si="37"/>
        <v>0</v>
      </c>
      <c r="AL33" s="345">
        <f t="shared" si="15"/>
        <v>24.078581593927893</v>
      </c>
      <c r="AM33" s="346">
        <f t="shared" si="51"/>
        <v>16.445995214758476</v>
      </c>
      <c r="AN33" s="348">
        <f>+IF($O33&gt;H$8,"FIN",(H$19-SUM(AO$25:AO32))*VLOOKUP($O33,$A:$N,8,0)/VLOOKUP(H$15,$K$1:$M$4,2,0))</f>
        <v>104.3492200584375</v>
      </c>
      <c r="AO33" s="345">
        <f t="shared" si="38"/>
        <v>0</v>
      </c>
      <c r="AP33" s="345">
        <f t="shared" si="17"/>
        <v>104.3492200584375</v>
      </c>
      <c r="AQ33" s="346">
        <f t="shared" si="52"/>
        <v>71.271921356763514</v>
      </c>
      <c r="AR33" s="348">
        <f>+IF($O33&gt;I$8,"FIN",(I$19-SUM(AS$25:AS32))*VLOOKUP($O33,$A:$N,9,0)/VLOOKUP(I$15,$K$1:$M$4,2,0))</f>
        <v>93.864615305012492</v>
      </c>
      <c r="AS33" s="345">
        <f t="shared" si="39"/>
        <v>0</v>
      </c>
      <c r="AT33" s="345">
        <f t="shared" si="19"/>
        <v>93.864615305012492</v>
      </c>
      <c r="AU33" s="346">
        <f t="shared" si="53"/>
        <v>64.11079523598967</v>
      </c>
      <c r="AV33" s="348">
        <f>+IF($O33&gt;J$8,"FIN",(J$19-SUM(AW$25:AW32))*VLOOKUP($O33,$A:$N,10,0)/VLOOKUP(J$15,$K$1:$M$4,2,0))</f>
        <v>94.38849654500001</v>
      </c>
      <c r="AW33" s="345">
        <f t="shared" si="40"/>
        <v>0</v>
      </c>
      <c r="AX33" s="345">
        <f t="shared" si="21"/>
        <v>94.38849654500001</v>
      </c>
      <c r="AY33" s="346">
        <f t="shared" si="54"/>
        <v>64.46861317191447</v>
      </c>
      <c r="AZ33" s="348">
        <f>+IF($O33&gt;K$8,"FIN",(K$19-SUM(BA$25:BA32))*VLOOKUP($O33,$A:$N,11,0)/VLOOKUP(K$15,$K$1:$M$4,2,0))</f>
        <v>97.098346469999996</v>
      </c>
      <c r="BA33" s="345">
        <f t="shared" si="41"/>
        <v>0</v>
      </c>
      <c r="BB33" s="345">
        <f t="shared" si="23"/>
        <v>97.098346469999996</v>
      </c>
      <c r="BC33" s="346">
        <f t="shared" si="55"/>
        <v>66.319477132709494</v>
      </c>
      <c r="BD33" s="348">
        <f>+IF($O33&gt;L$8,"FIN",(L$19-SUM(BE$25:BE32))*VLOOKUP($O33,$A:$N,12,0)/VLOOKUP(L$15,$K$1:$M$4,2,0))</f>
        <v>152.52187499999999</v>
      </c>
      <c r="BE33" s="345">
        <f t="shared" si="42"/>
        <v>0</v>
      </c>
      <c r="BF33" s="345">
        <f t="shared" si="25"/>
        <v>152.52187499999999</v>
      </c>
      <c r="BG33" s="346">
        <f t="shared" si="56"/>
        <v>104.17449286250935</v>
      </c>
      <c r="BH33" s="348">
        <f>+IF($O33&gt;M$8,"FIN",(M$19-SUM(BI$25:BI32))*VLOOKUP($O33,$A:$N,13,0)/VLOOKUP(M$15,$K$1:$M$4,2,0))</f>
        <v>9.28125</v>
      </c>
      <c r="BI33" s="345">
        <f t="shared" si="43"/>
        <v>0</v>
      </c>
      <c r="BJ33" s="345">
        <f t="shared" si="27"/>
        <v>9.28125</v>
      </c>
      <c r="BK33" s="346">
        <f t="shared" si="57"/>
        <v>6.3392186326070608</v>
      </c>
      <c r="BL33" s="397"/>
      <c r="BM33" s="420">
        <f t="shared" si="44"/>
        <v>902.6342758374924</v>
      </c>
      <c r="BN33" s="421">
        <f t="shared" si="44"/>
        <v>0</v>
      </c>
      <c r="BO33" s="422">
        <f t="shared" si="45"/>
        <v>902.6342758374924</v>
      </c>
    </row>
    <row r="34" spans="1:67" x14ac:dyDescent="0.25">
      <c r="A34" s="27">
        <f t="shared" si="29"/>
        <v>45672</v>
      </c>
      <c r="B34" s="38">
        <v>0.01</v>
      </c>
      <c r="C34" s="39">
        <v>0.01</v>
      </c>
      <c r="D34" s="40">
        <v>7.4999999999999997E-3</v>
      </c>
      <c r="E34" s="40">
        <v>1.25E-3</v>
      </c>
      <c r="F34" s="40">
        <v>4.3749999999999997E-2</v>
      </c>
      <c r="G34" s="40">
        <v>3.7499999999999999E-2</v>
      </c>
      <c r="H34" s="40">
        <v>4.4999999999999998E-2</v>
      </c>
      <c r="I34" s="40">
        <v>0.04</v>
      </c>
      <c r="J34" s="40">
        <v>3.5000000000000003E-2</v>
      </c>
      <c r="K34" s="40">
        <v>0.03</v>
      </c>
      <c r="L34" s="40">
        <v>4.3749999999999997E-2</v>
      </c>
      <c r="M34" s="41">
        <v>3.7499999999999999E-2</v>
      </c>
      <c r="N34" s="2">
        <f t="shared" si="30"/>
        <v>2025</v>
      </c>
      <c r="O34" s="32">
        <f t="shared" si="31"/>
        <v>45672</v>
      </c>
      <c r="P34" s="348">
        <f>+IF($O34&gt;B$8,"FIN",(B$19-SUM(Q$25:Q33))*VLOOKUP($O34,$A:$N,2,0)/VLOOKUP(B$15,$K$1:$M$4,2,0))</f>
        <v>8.6633062444353737</v>
      </c>
      <c r="Q34" s="345">
        <f t="shared" si="32"/>
        <v>0</v>
      </c>
      <c r="R34" s="345">
        <f t="shared" si="5"/>
        <v>8.6633062444353737</v>
      </c>
      <c r="S34" s="346">
        <f t="shared" si="46"/>
        <v>5.6417856725953532</v>
      </c>
      <c r="T34" s="348">
        <f>+IF($O34&gt;C$8,"FIN",(C$19-SUM(U$25:U33))*VLOOKUP($O34,$A:$N,3,0)/VLOOKUP(C$15,$K$1:$M$4,2,0))</f>
        <v>2.2435627775272122</v>
      </c>
      <c r="U34" s="345">
        <f t="shared" si="33"/>
        <v>0</v>
      </c>
      <c r="V34" s="345">
        <f t="shared" si="7"/>
        <v>2.2435627775272122</v>
      </c>
      <c r="W34" s="346">
        <f t="shared" si="47"/>
        <v>1.461070401609267</v>
      </c>
      <c r="X34" s="348">
        <f>+IF($O34&gt;D$8,"FIN",(D$19-SUM(Y$25:Y33))*VLOOKUP($O34,$A:$N,4,0)/VLOOKUP(D$15,$K$1:$M$4,2,0))</f>
        <v>50.625</v>
      </c>
      <c r="Y34" s="345">
        <f t="shared" si="34"/>
        <v>1125</v>
      </c>
      <c r="Z34" s="345">
        <f t="shared" si="9"/>
        <v>1175.625</v>
      </c>
      <c r="AA34" s="346">
        <f t="shared" si="48"/>
        <v>765.59965609032793</v>
      </c>
      <c r="AB34" s="348">
        <f>+IF($O34&gt;E$8,"FIN",(E$19-SUM(AC$25:AC33))*VLOOKUP($O34,$A:$N,5,0)/VLOOKUP(E$15,$K$1:$M$4,2,0))</f>
        <v>1.8125</v>
      </c>
      <c r="AC34" s="345">
        <f t="shared" si="35"/>
        <v>241.66666666666666</v>
      </c>
      <c r="AD34" s="345">
        <f t="shared" si="11"/>
        <v>243.47916666666666</v>
      </c>
      <c r="AE34" s="346">
        <f t="shared" si="49"/>
        <v>158.56039661044943</v>
      </c>
      <c r="AF34" s="348">
        <f>+IF($O34&gt;F$8,"FIN",(F$19-SUM(AG$25:AG33))*VLOOKUP($O34,$A:$N,6,0)/VLOOKUP(F$15,$K$1:$M$4,2,0))</f>
        <v>283.99218749999994</v>
      </c>
      <c r="AG34" s="345">
        <f t="shared" si="36"/>
        <v>0</v>
      </c>
      <c r="AH34" s="345">
        <f t="shared" si="13"/>
        <v>283.99218749999994</v>
      </c>
      <c r="AI34" s="346">
        <f t="shared" si="50"/>
        <v>184.94360113330345</v>
      </c>
      <c r="AJ34" s="348">
        <f>+IF($O34&gt;G$8,"FIN",(G$19-SUM(AK$25:AK33))*VLOOKUP($O34,$A:$N,7,0)/VLOOKUP(G$15,$K$1:$M$4,2,0))</f>
        <v>36.117872390891833</v>
      </c>
      <c r="AK34" s="345">
        <f t="shared" si="37"/>
        <v>0</v>
      </c>
      <c r="AL34" s="345">
        <f t="shared" si="15"/>
        <v>36.117872390891833</v>
      </c>
      <c r="AM34" s="346">
        <f t="shared" si="51"/>
        <v>23.520961770276351</v>
      </c>
      <c r="AN34" s="348">
        <f>+IF($O34&gt;H$8,"FIN",(H$19-SUM(AO$25:AO33))*VLOOKUP($O34,$A:$N,8,0)/VLOOKUP(H$15,$K$1:$M$4,2,0))</f>
        <v>125.219064070125</v>
      </c>
      <c r="AO34" s="345">
        <f t="shared" si="38"/>
        <v>0</v>
      </c>
      <c r="AP34" s="345">
        <f t="shared" si="17"/>
        <v>125.219064070125</v>
      </c>
      <c r="AQ34" s="346">
        <f t="shared" si="52"/>
        <v>81.546132812793559</v>
      </c>
      <c r="AR34" s="348">
        <f>+IF($O34&gt;I$8,"FIN",(I$19-SUM(AS$25:AS33))*VLOOKUP($O34,$A:$N,9,0)/VLOOKUP(I$15,$K$1:$M$4,2,0))</f>
        <v>115.52568037539999</v>
      </c>
      <c r="AS34" s="345">
        <f t="shared" si="39"/>
        <v>0</v>
      </c>
      <c r="AT34" s="345">
        <f t="shared" si="19"/>
        <v>115.52568037539999</v>
      </c>
      <c r="AU34" s="346">
        <f t="shared" si="53"/>
        <v>75.233532091446989</v>
      </c>
      <c r="AV34" s="348">
        <f>+IF($O34&gt;J$8,"FIN",(J$19-SUM(AW$25:AW33))*VLOOKUP($O34,$A:$N,10,0)/VLOOKUP(J$15,$K$1:$M$4,2,0))</f>
        <v>94.38849654500001</v>
      </c>
      <c r="AW34" s="345">
        <f t="shared" si="40"/>
        <v>0</v>
      </c>
      <c r="AX34" s="345">
        <f t="shared" si="21"/>
        <v>94.38849654500001</v>
      </c>
      <c r="AY34" s="346">
        <f t="shared" si="54"/>
        <v>61.468410839966069</v>
      </c>
      <c r="AZ34" s="348">
        <f>+IF($O34&gt;K$8,"FIN",(K$19-SUM(BA$25:BA33))*VLOOKUP($O34,$A:$N,11,0)/VLOOKUP(K$15,$K$1:$M$4,2,0))</f>
        <v>97.098346469999996</v>
      </c>
      <c r="BA34" s="345">
        <f t="shared" si="41"/>
        <v>0</v>
      </c>
      <c r="BB34" s="345">
        <f t="shared" si="23"/>
        <v>97.098346469999996</v>
      </c>
      <c r="BC34" s="346">
        <f t="shared" si="55"/>
        <v>63.23314038436704</v>
      </c>
      <c r="BD34" s="348">
        <f>+IF($O34&gt;L$8,"FIN",(L$19-SUM(BE$25:BE33))*VLOOKUP($O34,$A:$N,12,0)/VLOOKUP(L$15,$K$1:$M$4,2,0))</f>
        <v>184.078125</v>
      </c>
      <c r="BE34" s="345">
        <f t="shared" si="42"/>
        <v>191.25</v>
      </c>
      <c r="BF34" s="345">
        <f t="shared" si="25"/>
        <v>375.328125</v>
      </c>
      <c r="BG34" s="346">
        <f t="shared" si="56"/>
        <v>244.42410073027335</v>
      </c>
      <c r="BH34" s="348">
        <f>+IF($O34&gt;M$8,"FIN",(M$19-SUM(BI$25:BI33))*VLOOKUP($O34,$A:$N,13,0)/VLOOKUP(M$15,$K$1:$M$4,2,0))</f>
        <v>13.921875</v>
      </c>
      <c r="BI34" s="345">
        <f t="shared" si="43"/>
        <v>16.875</v>
      </c>
      <c r="BJ34" s="345">
        <f t="shared" si="27"/>
        <v>30.796875</v>
      </c>
      <c r="BK34" s="346">
        <f t="shared" si="57"/>
        <v>20.055780464567203</v>
      </c>
      <c r="BL34" s="397"/>
      <c r="BM34" s="420">
        <f t="shared" si="44"/>
        <v>1046.8535607558038</v>
      </c>
      <c r="BN34" s="421">
        <f t="shared" si="44"/>
        <v>1606.9422269694926</v>
      </c>
      <c r="BO34" s="422">
        <f t="shared" si="45"/>
        <v>2653.7957877252966</v>
      </c>
    </row>
    <row r="35" spans="1:67" x14ac:dyDescent="0.25">
      <c r="A35" s="27">
        <f t="shared" si="29"/>
        <v>45853</v>
      </c>
      <c r="B35" s="38">
        <v>0.01</v>
      </c>
      <c r="C35" s="39">
        <v>0.01</v>
      </c>
      <c r="D35" s="40">
        <v>7.4999999999999997E-3</v>
      </c>
      <c r="E35" s="40">
        <v>1.25E-3</v>
      </c>
      <c r="F35" s="40">
        <v>4.3749999999999997E-2</v>
      </c>
      <c r="G35" s="40">
        <v>3.7499999999999999E-2</v>
      </c>
      <c r="H35" s="40">
        <v>4.4999999999999998E-2</v>
      </c>
      <c r="I35" s="40">
        <v>0.04</v>
      </c>
      <c r="J35" s="40">
        <v>3.5000000000000003E-2</v>
      </c>
      <c r="K35" s="40">
        <v>0.03</v>
      </c>
      <c r="L35" s="40">
        <v>4.3749999999999997E-2</v>
      </c>
      <c r="M35" s="41">
        <v>3.7499999999999999E-2</v>
      </c>
      <c r="N35" s="2">
        <f t="shared" si="30"/>
        <v>2025</v>
      </c>
      <c r="O35" s="32">
        <f t="shared" si="31"/>
        <v>45853</v>
      </c>
      <c r="P35" s="348">
        <f>+IF($O35&gt;B$8,"FIN",(B$19-SUM(Q$25:Q34))*VLOOKUP($O35,$A:$N,2,0)/VLOOKUP(B$15,$K$1:$M$4,2,0))</f>
        <v>8.6633062444353737</v>
      </c>
      <c r="Q35" s="345">
        <f t="shared" si="32"/>
        <v>0</v>
      </c>
      <c r="R35" s="345">
        <f t="shared" si="5"/>
        <v>8.6633062444353737</v>
      </c>
      <c r="S35" s="346">
        <f t="shared" si="46"/>
        <v>5.3792315753614508</v>
      </c>
      <c r="T35" s="348">
        <f>+IF($O35&gt;C$8,"FIN",(C$19-SUM(U$25:U34))*VLOOKUP($O35,$A:$N,3,0)/VLOOKUP(C$15,$K$1:$M$4,2,0))</f>
        <v>2.2435627775272122</v>
      </c>
      <c r="U35" s="345">
        <f t="shared" si="33"/>
        <v>0</v>
      </c>
      <c r="V35" s="345">
        <f t="shared" si="7"/>
        <v>2.2435627775272122</v>
      </c>
      <c r="W35" s="346">
        <f t="shared" si="47"/>
        <v>1.3930759681884692</v>
      </c>
      <c r="X35" s="348">
        <f>+IF($O35&gt;D$8,"FIN",(D$19-SUM(Y$25:Y34))*VLOOKUP($O35,$A:$N,4,0)/VLOOKUP(D$15,$K$1:$M$4,2,0))</f>
        <v>46.40625</v>
      </c>
      <c r="Y35" s="345">
        <f t="shared" si="34"/>
        <v>1125</v>
      </c>
      <c r="Z35" s="345">
        <f t="shared" si="9"/>
        <v>1171.40625</v>
      </c>
      <c r="AA35" s="346">
        <f t="shared" si="48"/>
        <v>727.35111858976325</v>
      </c>
      <c r="AB35" s="348">
        <f>+IF($O35&gt;E$8,"FIN",(E$19-SUM(AC$25:AC34))*VLOOKUP($O35,$A:$N,5,0)/VLOOKUP(E$15,$K$1:$M$4,2,0))</f>
        <v>1.6614583333333335</v>
      </c>
      <c r="AC35" s="345">
        <f t="shared" si="35"/>
        <v>241.66666666666666</v>
      </c>
      <c r="AD35" s="345">
        <f t="shared" si="11"/>
        <v>243.328125</v>
      </c>
      <c r="AE35" s="346">
        <f t="shared" si="49"/>
        <v>151.08762131250344</v>
      </c>
      <c r="AF35" s="348">
        <f>+IF($O35&gt;F$8,"FIN",(F$19-SUM(AG$25:AG34))*VLOOKUP($O35,$A:$N,6,0)/VLOOKUP(F$15,$K$1:$M$4,2,0))</f>
        <v>283.99218749999994</v>
      </c>
      <c r="AG35" s="345">
        <f t="shared" si="36"/>
        <v>0</v>
      </c>
      <c r="AH35" s="345">
        <f t="shared" si="13"/>
        <v>283.99218749999994</v>
      </c>
      <c r="AI35" s="346">
        <f t="shared" si="50"/>
        <v>176.33680480096356</v>
      </c>
      <c r="AJ35" s="348">
        <f>+IF($O35&gt;G$8,"FIN",(G$19-SUM(AK$25:AK34))*VLOOKUP($O35,$A:$N,7,0)/VLOOKUP(G$15,$K$1:$M$4,2,0))</f>
        <v>36.117872390891833</v>
      </c>
      <c r="AK35" s="345">
        <f t="shared" si="37"/>
        <v>0</v>
      </c>
      <c r="AL35" s="345">
        <f t="shared" si="15"/>
        <v>36.117872390891833</v>
      </c>
      <c r="AM35" s="346">
        <f t="shared" si="51"/>
        <v>22.426357111034282</v>
      </c>
      <c r="AN35" s="348">
        <f>+IF($O35&gt;H$8,"FIN",(H$19-SUM(AO$25:AO34))*VLOOKUP($O35,$A:$N,8,0)/VLOOKUP(H$15,$K$1:$M$4,2,0))</f>
        <v>125.219064070125</v>
      </c>
      <c r="AO35" s="345">
        <f t="shared" si="38"/>
        <v>0</v>
      </c>
      <c r="AP35" s="345">
        <f t="shared" si="17"/>
        <v>125.219064070125</v>
      </c>
      <c r="AQ35" s="346">
        <f t="shared" si="52"/>
        <v>77.751186934651102</v>
      </c>
      <c r="AR35" s="348">
        <f>+IF($O35&gt;I$8,"FIN",(I$19-SUM(AS$25:AS34))*VLOOKUP($O35,$A:$N,9,0)/VLOOKUP(I$15,$K$1:$M$4,2,0))</f>
        <v>115.52568037539999</v>
      </c>
      <c r="AS35" s="345">
        <f t="shared" si="39"/>
        <v>0</v>
      </c>
      <c r="AT35" s="345">
        <f t="shared" si="19"/>
        <v>115.52568037539999</v>
      </c>
      <c r="AU35" s="346">
        <f t="shared" si="53"/>
        <v>71.732358306002411</v>
      </c>
      <c r="AV35" s="348">
        <f>+IF($O35&gt;J$8,"FIN",(J$19-SUM(AW$25:AW34))*VLOOKUP($O35,$A:$N,10,0)/VLOOKUP(J$15,$K$1:$M$4,2,0))</f>
        <v>94.38849654500001</v>
      </c>
      <c r="AW35" s="345">
        <f t="shared" si="40"/>
        <v>0</v>
      </c>
      <c r="AX35" s="345">
        <f t="shared" si="21"/>
        <v>94.38849654500001</v>
      </c>
      <c r="AY35" s="346">
        <f t="shared" si="54"/>
        <v>58.607830156285885</v>
      </c>
      <c r="AZ35" s="348">
        <f>+IF($O35&gt;K$8,"FIN",(K$19-SUM(BA$25:BA34))*VLOOKUP($O35,$A:$N,11,0)/VLOOKUP(K$15,$K$1:$M$4,2,0))</f>
        <v>97.098346469999996</v>
      </c>
      <c r="BA35" s="345">
        <f t="shared" si="41"/>
        <v>0</v>
      </c>
      <c r="BB35" s="345">
        <f t="shared" si="23"/>
        <v>97.098346469999996</v>
      </c>
      <c r="BC35" s="346">
        <f t="shared" si="55"/>
        <v>60.290433757008628</v>
      </c>
      <c r="BD35" s="348">
        <f>+IF($O35&gt;L$8,"FIN",(L$19-SUM(BE$25:BE34))*VLOOKUP($O35,$A:$N,12,0)/VLOOKUP(L$15,$K$1:$M$4,2,0))</f>
        <v>179.89453125</v>
      </c>
      <c r="BE35" s="345">
        <f t="shared" si="42"/>
        <v>191.25</v>
      </c>
      <c r="BF35" s="345">
        <f t="shared" si="25"/>
        <v>371.14453125</v>
      </c>
      <c r="BG35" s="346">
        <f t="shared" si="56"/>
        <v>230.45155338991989</v>
      </c>
      <c r="BH35" s="348">
        <f>+IF($O35&gt;M$8,"FIN",(M$19-SUM(BI$25:BI34))*VLOOKUP($O35,$A:$N,13,0)/VLOOKUP(M$15,$K$1:$M$4,2,0))</f>
        <v>13.60546875</v>
      </c>
      <c r="BI35" s="345">
        <f t="shared" si="43"/>
        <v>16.875</v>
      </c>
      <c r="BJ35" s="345">
        <f t="shared" si="27"/>
        <v>30.48046875</v>
      </c>
      <c r="BK35" s="346">
        <f t="shared" si="57"/>
        <v>18.925972983713226</v>
      </c>
      <c r="BL35" s="397"/>
      <c r="BM35" s="420">
        <f t="shared" si="44"/>
        <v>1037.9256403061563</v>
      </c>
      <c r="BN35" s="421">
        <f t="shared" si="44"/>
        <v>1606.9422269694926</v>
      </c>
      <c r="BO35" s="422">
        <f t="shared" si="45"/>
        <v>2644.8678672756487</v>
      </c>
    </row>
    <row r="36" spans="1:67" x14ac:dyDescent="0.25">
      <c r="A36" s="27">
        <f t="shared" si="29"/>
        <v>46037</v>
      </c>
      <c r="B36" s="38">
        <v>0.01</v>
      </c>
      <c r="C36" s="39">
        <v>0.01</v>
      </c>
      <c r="D36" s="40">
        <v>7.4999999999999997E-3</v>
      </c>
      <c r="E36" s="40">
        <v>1.25E-3</v>
      </c>
      <c r="F36" s="40">
        <v>4.3749999999999997E-2</v>
      </c>
      <c r="G36" s="40">
        <v>0.04</v>
      </c>
      <c r="H36" s="40">
        <v>4.4999999999999998E-2</v>
      </c>
      <c r="I36" s="40">
        <v>0.04</v>
      </c>
      <c r="J36" s="40">
        <v>3.5000000000000003E-2</v>
      </c>
      <c r="K36" s="40">
        <v>0.03</v>
      </c>
      <c r="L36" s="40">
        <v>4.3749999999999997E-2</v>
      </c>
      <c r="M36" s="41">
        <v>0.04</v>
      </c>
      <c r="N36" s="2">
        <f t="shared" si="30"/>
        <v>2026</v>
      </c>
      <c r="O36" s="32">
        <f t="shared" si="31"/>
        <v>46037</v>
      </c>
      <c r="P36" s="348">
        <f>+IF($O36&gt;B$8,"FIN",(B$19-SUM(Q$25:Q35))*VLOOKUP($O36,$A:$N,2,0)/VLOOKUP(B$15,$K$1:$M$4,2,0))</f>
        <v>8.6633062444353737</v>
      </c>
      <c r="Q36" s="345">
        <f t="shared" si="32"/>
        <v>0</v>
      </c>
      <c r="R36" s="345">
        <f t="shared" si="5"/>
        <v>8.6633062444353737</v>
      </c>
      <c r="S36" s="346">
        <f t="shared" si="46"/>
        <v>5.1288960659957761</v>
      </c>
      <c r="T36" s="348">
        <f>+IF($O36&gt;C$8,"FIN",(C$19-SUM(U$25:U35))*VLOOKUP($O36,$A:$N,3,0)/VLOOKUP(C$15,$K$1:$M$4,2,0))</f>
        <v>2.2435627775272122</v>
      </c>
      <c r="U36" s="345">
        <f t="shared" si="33"/>
        <v>0</v>
      </c>
      <c r="V36" s="345">
        <f t="shared" si="7"/>
        <v>2.2435627775272122</v>
      </c>
      <c r="W36" s="346">
        <f t="shared" si="47"/>
        <v>1.3282458196447882</v>
      </c>
      <c r="X36" s="348">
        <f>+IF($O36&gt;D$8,"FIN",(D$19-SUM(Y$25:Y35))*VLOOKUP($O36,$A:$N,4,0)/VLOOKUP(D$15,$K$1:$M$4,2,0))</f>
        <v>42.1875</v>
      </c>
      <c r="Y36" s="345">
        <f t="shared" si="34"/>
        <v>1125</v>
      </c>
      <c r="Z36" s="345">
        <f t="shared" si="9"/>
        <v>1167.1875</v>
      </c>
      <c r="AA36" s="346">
        <f t="shared" si="48"/>
        <v>691.00447428770349</v>
      </c>
      <c r="AB36" s="348">
        <f>+IF($O36&gt;E$8,"FIN",(E$19-SUM(AC$25:AC35))*VLOOKUP($O36,$A:$N,5,0)/VLOOKUP(E$15,$K$1:$M$4,2,0))</f>
        <v>1.5104166666666665</v>
      </c>
      <c r="AC36" s="345">
        <f t="shared" si="35"/>
        <v>241.66666666666666</v>
      </c>
      <c r="AD36" s="345">
        <f t="shared" si="11"/>
        <v>243.17708333333331</v>
      </c>
      <c r="AE36" s="346">
        <f t="shared" si="49"/>
        <v>143.96697413874554</v>
      </c>
      <c r="AF36" s="348">
        <f>+IF($O36&gt;F$8,"FIN",(F$19-SUM(AG$25:AG35))*VLOOKUP($O36,$A:$N,6,0)/VLOOKUP(F$15,$K$1:$M$4,2,0))</f>
        <v>283.99218749999994</v>
      </c>
      <c r="AG36" s="345">
        <f t="shared" si="36"/>
        <v>0</v>
      </c>
      <c r="AH36" s="345">
        <f t="shared" si="13"/>
        <v>283.99218749999994</v>
      </c>
      <c r="AI36" s="346">
        <f t="shared" si="50"/>
        <v>168.13054648482134</v>
      </c>
      <c r="AJ36" s="348">
        <f>+IF($O36&gt;G$8,"FIN",(G$19-SUM(AK$25:AK35))*VLOOKUP($O36,$A:$N,7,0)/VLOOKUP(G$15,$K$1:$M$4,2,0))</f>
        <v>38.525730550284628</v>
      </c>
      <c r="AK36" s="345">
        <f t="shared" si="37"/>
        <v>0</v>
      </c>
      <c r="AL36" s="345">
        <f t="shared" si="15"/>
        <v>38.525730550284628</v>
      </c>
      <c r="AM36" s="346">
        <f t="shared" si="51"/>
        <v>22.808205352995255</v>
      </c>
      <c r="AN36" s="348">
        <f>+IF($O36&gt;H$8,"FIN",(H$19-SUM(AO$25:AO35))*VLOOKUP($O36,$A:$N,8,0)/VLOOKUP(H$15,$K$1:$M$4,2,0))</f>
        <v>125.219064070125</v>
      </c>
      <c r="AO36" s="345">
        <f t="shared" si="38"/>
        <v>0</v>
      </c>
      <c r="AP36" s="345">
        <f t="shared" si="17"/>
        <v>125.219064070125</v>
      </c>
      <c r="AQ36" s="346">
        <f t="shared" si="52"/>
        <v>74.132848011630514</v>
      </c>
      <c r="AR36" s="348">
        <f>+IF($O36&gt;I$8,"FIN",(I$19-SUM(AS$25:AS35))*VLOOKUP($O36,$A:$N,9,0)/VLOOKUP(I$15,$K$1:$M$4,2,0))</f>
        <v>115.52568037539999</v>
      </c>
      <c r="AS36" s="345">
        <f t="shared" si="39"/>
        <v>0</v>
      </c>
      <c r="AT36" s="345">
        <f t="shared" si="19"/>
        <v>115.52568037539999</v>
      </c>
      <c r="AU36" s="346">
        <f t="shared" si="53"/>
        <v>68.394120083133629</v>
      </c>
      <c r="AV36" s="348">
        <f>+IF($O36&gt;J$8,"FIN",(J$19-SUM(AW$25:AW35))*VLOOKUP($O36,$A:$N,10,0)/VLOOKUP(J$15,$K$1:$M$4,2,0))</f>
        <v>94.38849654500001</v>
      </c>
      <c r="AW36" s="345">
        <f t="shared" si="40"/>
        <v>0</v>
      </c>
      <c r="AX36" s="345">
        <f t="shared" si="21"/>
        <v>94.38849654500001</v>
      </c>
      <c r="AY36" s="346">
        <f t="shared" si="54"/>
        <v>55.880373490878249</v>
      </c>
      <c r="AZ36" s="348">
        <f>+IF($O36&gt;K$8,"FIN",(K$19-SUM(BA$25:BA35))*VLOOKUP($O36,$A:$N,11,0)/VLOOKUP(K$15,$K$1:$M$4,2,0))</f>
        <v>97.098346469999996</v>
      </c>
      <c r="BA36" s="345">
        <f t="shared" si="41"/>
        <v>0</v>
      </c>
      <c r="BB36" s="345">
        <f t="shared" si="23"/>
        <v>97.098346469999996</v>
      </c>
      <c r="BC36" s="346">
        <f t="shared" si="55"/>
        <v>57.484673076697312</v>
      </c>
      <c r="BD36" s="348">
        <f>+IF($O36&gt;L$8,"FIN",(L$19-SUM(BE$25:BE35))*VLOOKUP($O36,$A:$N,12,0)/VLOOKUP(L$15,$K$1:$M$4,2,0))</f>
        <v>175.7109375</v>
      </c>
      <c r="BE36" s="345">
        <f t="shared" si="42"/>
        <v>191.25</v>
      </c>
      <c r="BF36" s="345">
        <f t="shared" si="25"/>
        <v>366.9609375</v>
      </c>
      <c r="BG36" s="346">
        <f t="shared" si="56"/>
        <v>217.25014164503162</v>
      </c>
      <c r="BH36" s="348">
        <f>+IF($O36&gt;M$8,"FIN",(M$19-SUM(BI$25:BI35))*VLOOKUP($O36,$A:$N,13,0)/VLOOKUP(M$15,$K$1:$M$4,2,0))</f>
        <v>14.175000000000001</v>
      </c>
      <c r="BI36" s="345">
        <f t="shared" si="43"/>
        <v>16.875</v>
      </c>
      <c r="BJ36" s="345">
        <f t="shared" si="27"/>
        <v>31.05</v>
      </c>
      <c r="BK36" s="346">
        <f t="shared" si="57"/>
        <v>18.382384087075295</v>
      </c>
      <c r="BL36" s="397"/>
      <c r="BM36" s="420">
        <f t="shared" si="44"/>
        <v>1032.7011105236918</v>
      </c>
      <c r="BN36" s="421">
        <f t="shared" si="44"/>
        <v>1606.9422269694926</v>
      </c>
      <c r="BO36" s="422">
        <f t="shared" si="45"/>
        <v>2639.6433374931844</v>
      </c>
    </row>
    <row r="37" spans="1:67" x14ac:dyDescent="0.25">
      <c r="A37" s="27">
        <f t="shared" si="29"/>
        <v>46218</v>
      </c>
      <c r="B37" s="38">
        <v>0.01</v>
      </c>
      <c r="C37" s="39">
        <v>0.01</v>
      </c>
      <c r="D37" s="40">
        <v>7.4999999999999997E-3</v>
      </c>
      <c r="E37" s="40">
        <v>1.25E-3</v>
      </c>
      <c r="F37" s="40">
        <v>4.3749999999999997E-2</v>
      </c>
      <c r="G37" s="40">
        <v>0.04</v>
      </c>
      <c r="H37" s="40">
        <v>4.4999999999999998E-2</v>
      </c>
      <c r="I37" s="40">
        <v>0.04</v>
      </c>
      <c r="J37" s="40">
        <v>3.5000000000000003E-2</v>
      </c>
      <c r="K37" s="40">
        <v>0.03</v>
      </c>
      <c r="L37" s="40">
        <v>4.3749999999999997E-2</v>
      </c>
      <c r="M37" s="41">
        <v>0.04</v>
      </c>
      <c r="N37" s="2">
        <f t="shared" si="30"/>
        <v>2026</v>
      </c>
      <c r="O37" s="32">
        <f t="shared" si="31"/>
        <v>46218</v>
      </c>
      <c r="P37" s="348">
        <f>+IF($O37&gt;B$8,"FIN",(B$19-SUM(Q$25:Q36))*VLOOKUP($O37,$A:$N,2,0)/VLOOKUP(B$15,$K$1:$M$4,2,0))</f>
        <v>8.6633062444353737</v>
      </c>
      <c r="Q37" s="345">
        <f t="shared" si="32"/>
        <v>216.58265611088433</v>
      </c>
      <c r="R37" s="345">
        <f t="shared" si="5"/>
        <v>225.2459623553197</v>
      </c>
      <c r="S37" s="346">
        <f t="shared" si="46"/>
        <v>127.14547359945246</v>
      </c>
      <c r="T37" s="348">
        <f>+IF($O37&gt;C$8,"FIN",(C$19-SUM(U$25:U36))*VLOOKUP($O37,$A:$N,3,0)/VLOOKUP(C$15,$K$1:$M$4,2,0))</f>
        <v>2.2435627775272122</v>
      </c>
      <c r="U37" s="345">
        <f t="shared" si="33"/>
        <v>56.089069438180303</v>
      </c>
      <c r="V37" s="345">
        <f t="shared" si="7"/>
        <v>58.332632215707513</v>
      </c>
      <c r="W37" s="346">
        <f t="shared" si="47"/>
        <v>32.927250157181994</v>
      </c>
      <c r="X37" s="348">
        <f>+IF($O37&gt;D$8,"FIN",(D$19-SUM(Y$25:Y36))*VLOOKUP($O37,$A:$N,4,0)/VLOOKUP(D$15,$K$1:$M$4,2,0))</f>
        <v>37.96875</v>
      </c>
      <c r="Y37" s="345">
        <f t="shared" si="34"/>
        <v>1125</v>
      </c>
      <c r="Z37" s="345">
        <f t="shared" si="9"/>
        <v>1162.96875</v>
      </c>
      <c r="AA37" s="346">
        <f t="shared" si="48"/>
        <v>656.46554084222862</v>
      </c>
      <c r="AB37" s="348">
        <f>+IF($O37&gt;E$8,"FIN",(E$19-SUM(AC$25:AC36))*VLOOKUP($O37,$A:$N,5,0)/VLOOKUP(E$15,$K$1:$M$4,2,0))</f>
        <v>1.359375</v>
      </c>
      <c r="AC37" s="345">
        <f t="shared" si="35"/>
        <v>241.66666666666666</v>
      </c>
      <c r="AD37" s="345">
        <f t="shared" si="11"/>
        <v>243.02604166666666</v>
      </c>
      <c r="AE37" s="346">
        <f t="shared" si="49"/>
        <v>137.18186484499634</v>
      </c>
      <c r="AF37" s="348">
        <f>+IF($O37&gt;F$8,"FIN",(F$19-SUM(AG$25:AG36))*VLOOKUP($O37,$A:$N,6,0)/VLOOKUP(F$15,$K$1:$M$4,2,0))</f>
        <v>283.99218749999994</v>
      </c>
      <c r="AG37" s="345">
        <f t="shared" si="36"/>
        <v>0</v>
      </c>
      <c r="AH37" s="345">
        <f t="shared" si="13"/>
        <v>283.99218749999994</v>
      </c>
      <c r="AI37" s="346">
        <f t="shared" si="50"/>
        <v>160.30618618269415</v>
      </c>
      <c r="AJ37" s="348">
        <f>+IF($O37&gt;G$8,"FIN",(G$19-SUM(AK$25:AK36))*VLOOKUP($O37,$A:$N,7,0)/VLOOKUP(G$15,$K$1:$M$4,2,0))</f>
        <v>38.525730550284628</v>
      </c>
      <c r="AK37" s="345">
        <f t="shared" si="37"/>
        <v>0</v>
      </c>
      <c r="AL37" s="345">
        <f t="shared" si="15"/>
        <v>38.525730550284628</v>
      </c>
      <c r="AM37" s="346">
        <f t="shared" si="51"/>
        <v>21.746770531912031</v>
      </c>
      <c r="AN37" s="348">
        <f>+IF($O37&gt;H$8,"FIN",(H$19-SUM(AO$25:AO36))*VLOOKUP($O37,$A:$N,8,0)/VLOOKUP(H$15,$K$1:$M$4,2,0))</f>
        <v>125.219064070125</v>
      </c>
      <c r="AO37" s="345">
        <f t="shared" si="38"/>
        <v>0</v>
      </c>
      <c r="AP37" s="345">
        <f t="shared" si="17"/>
        <v>125.219064070125</v>
      </c>
      <c r="AQ37" s="346">
        <f t="shared" si="52"/>
        <v>70.68289721331918</v>
      </c>
      <c r="AR37" s="348">
        <f>+IF($O37&gt;I$8,"FIN",(I$19-SUM(AS$25:AS36))*VLOOKUP($O37,$A:$N,9,0)/VLOOKUP(I$15,$K$1:$M$4,2,0))</f>
        <v>115.52568037539999</v>
      </c>
      <c r="AS37" s="345">
        <f t="shared" si="39"/>
        <v>0</v>
      </c>
      <c r="AT37" s="345">
        <f t="shared" si="19"/>
        <v>115.52568037539999</v>
      </c>
      <c r="AU37" s="346">
        <f t="shared" si="53"/>
        <v>65.211234823638549</v>
      </c>
      <c r="AV37" s="348">
        <f>+IF($O37&gt;J$8,"FIN",(J$19-SUM(AW$25:AW36))*VLOOKUP($O37,$A:$N,10,0)/VLOOKUP(J$15,$K$1:$M$4,2,0))</f>
        <v>94.38849654500001</v>
      </c>
      <c r="AW37" s="345">
        <f t="shared" si="40"/>
        <v>0</v>
      </c>
      <c r="AX37" s="345">
        <f t="shared" si="21"/>
        <v>94.38849654500001</v>
      </c>
      <c r="AY37" s="346">
        <f t="shared" si="54"/>
        <v>53.279845596623524</v>
      </c>
      <c r="AZ37" s="348">
        <f>+IF($O37&gt;K$8,"FIN",(K$19-SUM(BA$25:BA36))*VLOOKUP($O37,$A:$N,11,0)/VLOOKUP(K$15,$K$1:$M$4,2,0))</f>
        <v>97.098346469999996</v>
      </c>
      <c r="BA37" s="345">
        <f t="shared" si="41"/>
        <v>0</v>
      </c>
      <c r="BB37" s="345">
        <f t="shared" si="23"/>
        <v>97.098346469999996</v>
      </c>
      <c r="BC37" s="346">
        <f t="shared" si="55"/>
        <v>54.809485233644196</v>
      </c>
      <c r="BD37" s="348">
        <f>+IF($O37&gt;L$8,"FIN",(L$19-SUM(BE$25:BE36))*VLOOKUP($O37,$A:$N,12,0)/VLOOKUP(L$15,$K$1:$M$4,2,0))</f>
        <v>171.52734375</v>
      </c>
      <c r="BE37" s="345">
        <f t="shared" si="42"/>
        <v>191.25</v>
      </c>
      <c r="BF37" s="345">
        <f t="shared" si="25"/>
        <v>362.77734375</v>
      </c>
      <c r="BG37" s="346">
        <f t="shared" si="56"/>
        <v>204.77835296103257</v>
      </c>
      <c r="BH37" s="348">
        <f>+IF($O37&gt;M$8,"FIN",(M$19-SUM(BI$25:BI36))*VLOOKUP($O37,$A:$N,13,0)/VLOOKUP(M$15,$K$1:$M$4,2,0))</f>
        <v>13.8375</v>
      </c>
      <c r="BI37" s="345">
        <f t="shared" si="43"/>
        <v>16.875</v>
      </c>
      <c r="BJ37" s="345">
        <f t="shared" si="27"/>
        <v>30.712499999999999</v>
      </c>
      <c r="BK37" s="346">
        <f t="shared" si="57"/>
        <v>17.336405576776631</v>
      </c>
      <c r="BL37" s="397"/>
      <c r="BM37" s="420">
        <f t="shared" si="44"/>
        <v>1023.7494732424723</v>
      </c>
      <c r="BN37" s="421">
        <f t="shared" si="44"/>
        <v>1886.5888244320524</v>
      </c>
      <c r="BO37" s="422">
        <f t="shared" si="45"/>
        <v>2910.3382976745247</v>
      </c>
    </row>
    <row r="38" spans="1:67" x14ac:dyDescent="0.25">
      <c r="A38" s="27">
        <f t="shared" si="29"/>
        <v>46402</v>
      </c>
      <c r="B38" s="38">
        <v>0.01</v>
      </c>
      <c r="C38" s="39">
        <v>0.01</v>
      </c>
      <c r="D38" s="40">
        <v>7.4999999999999997E-3</v>
      </c>
      <c r="E38" s="40">
        <v>1.25E-3</v>
      </c>
      <c r="F38" s="40">
        <v>4.3749999999999997E-2</v>
      </c>
      <c r="G38" s="40">
        <v>0.04</v>
      </c>
      <c r="H38" s="40">
        <v>0.05</v>
      </c>
      <c r="I38" s="40">
        <v>4.2500000000000003E-2</v>
      </c>
      <c r="J38" s="40">
        <v>3.5000000000000003E-2</v>
      </c>
      <c r="K38" s="40">
        <v>0.03</v>
      </c>
      <c r="L38" s="40">
        <v>4.3749999999999997E-2</v>
      </c>
      <c r="M38" s="41">
        <v>4.1250000000000002E-2</v>
      </c>
      <c r="N38" s="2">
        <f t="shared" si="30"/>
        <v>2027</v>
      </c>
      <c r="O38" s="32">
        <f t="shared" si="31"/>
        <v>46402</v>
      </c>
      <c r="P38" s="348">
        <f>+IF($O38&gt;B$8,"FIN",(B$19-SUM(Q$25:Q37))*VLOOKUP($O38,$A:$N,2,0)/VLOOKUP(B$15,$K$1:$M$4,2,0))</f>
        <v>7.5803929638809517</v>
      </c>
      <c r="Q38" s="345">
        <f t="shared" si="32"/>
        <v>216.58265611088433</v>
      </c>
      <c r="R38" s="345">
        <f t="shared" si="5"/>
        <v>224.16304907476527</v>
      </c>
      <c r="S38" s="346">
        <f t="shared" si="46"/>
        <v>120.64562337058243</v>
      </c>
      <c r="T38" s="348">
        <f>+IF($O38&gt;C$8,"FIN",(C$19-SUM(U$25:U37))*VLOOKUP($O38,$A:$N,3,0)/VLOOKUP(C$15,$K$1:$M$4,2,0))</f>
        <v>1.9631174303363106</v>
      </c>
      <c r="U38" s="345">
        <f t="shared" si="33"/>
        <v>56.089069438180303</v>
      </c>
      <c r="V38" s="345">
        <f t="shared" si="7"/>
        <v>58.052186868516614</v>
      </c>
      <c r="W38" s="346">
        <f t="shared" si="47"/>
        <v>31.243964166644446</v>
      </c>
      <c r="X38" s="348">
        <f>+IF($O38&gt;D$8,"FIN",(D$19-SUM(Y$25:Y37))*VLOOKUP($O38,$A:$N,4,0)/VLOOKUP(D$15,$K$1:$M$4,2,0))</f>
        <v>33.75</v>
      </c>
      <c r="Y38" s="345">
        <f t="shared" si="34"/>
        <v>1125</v>
      </c>
      <c r="Z38" s="345">
        <f t="shared" si="9"/>
        <v>1158.75</v>
      </c>
      <c r="AA38" s="346">
        <f t="shared" si="48"/>
        <v>623.64478292778495</v>
      </c>
      <c r="AB38" s="348">
        <f>+IF($O38&gt;E$8,"FIN",(E$19-SUM(AC$25:AC37))*VLOOKUP($O38,$A:$N,5,0)/VLOOKUP(E$15,$K$1:$M$4,2,0))</f>
        <v>1.2083333333333335</v>
      </c>
      <c r="AC38" s="345">
        <f t="shared" si="35"/>
        <v>241.66666666666666</v>
      </c>
      <c r="AD38" s="345">
        <f t="shared" si="11"/>
        <v>242.875</v>
      </c>
      <c r="AE38" s="346">
        <f t="shared" si="49"/>
        <v>130.71648470643862</v>
      </c>
      <c r="AF38" s="348">
        <f>+IF($O38&gt;F$8,"FIN",(F$19-SUM(AG$25:AG37))*VLOOKUP($O38,$A:$N,6,0)/VLOOKUP(F$15,$K$1:$M$4,2,0))</f>
        <v>283.99218749999994</v>
      </c>
      <c r="AG38" s="345">
        <f t="shared" si="36"/>
        <v>0</v>
      </c>
      <c r="AH38" s="345">
        <f t="shared" si="13"/>
        <v>283.99218749999994</v>
      </c>
      <c r="AI38" s="346">
        <f t="shared" si="50"/>
        <v>152.84595134983755</v>
      </c>
      <c r="AJ38" s="348">
        <f>+IF($O38&gt;G$8,"FIN",(G$19-SUM(AK$25:AK37))*VLOOKUP($O38,$A:$N,7,0)/VLOOKUP(G$15,$K$1:$M$4,2,0))</f>
        <v>38.525730550284628</v>
      </c>
      <c r="AK38" s="345">
        <f t="shared" si="37"/>
        <v>0</v>
      </c>
      <c r="AL38" s="345">
        <f t="shared" si="15"/>
        <v>38.525730550284628</v>
      </c>
      <c r="AM38" s="346">
        <f t="shared" si="51"/>
        <v>20.734732139086592</v>
      </c>
      <c r="AN38" s="348">
        <f>+IF($O38&gt;H$8,"FIN",(H$19-SUM(AO$25:AO37))*VLOOKUP($O38,$A:$N,8,0)/VLOOKUP(H$15,$K$1:$M$4,2,0))</f>
        <v>139.13229341125</v>
      </c>
      <c r="AO38" s="345">
        <f t="shared" si="38"/>
        <v>0</v>
      </c>
      <c r="AP38" s="345">
        <f t="shared" si="17"/>
        <v>139.13229341125</v>
      </c>
      <c r="AQ38" s="346">
        <f t="shared" si="52"/>
        <v>74.881664658212628</v>
      </c>
      <c r="AR38" s="348">
        <f>+IF($O38&gt;I$8,"FIN",(I$19-SUM(AS$25:AS37))*VLOOKUP($O38,$A:$N,9,0)/VLOOKUP(I$15,$K$1:$M$4,2,0))</f>
        <v>122.7460353988625</v>
      </c>
      <c r="AS38" s="345">
        <f t="shared" si="39"/>
        <v>0</v>
      </c>
      <c r="AT38" s="345">
        <f t="shared" si="19"/>
        <v>122.7460353988625</v>
      </c>
      <c r="AU38" s="346">
        <f t="shared" si="53"/>
        <v>66.062502353026801</v>
      </c>
      <c r="AV38" s="348">
        <f>+IF($O38&gt;J$8,"FIN",(J$19-SUM(AW$25:AW37))*VLOOKUP($O38,$A:$N,10,0)/VLOOKUP(J$15,$K$1:$M$4,2,0))</f>
        <v>94.38849654500001</v>
      </c>
      <c r="AW38" s="345">
        <f t="shared" si="40"/>
        <v>179.78761246666667</v>
      </c>
      <c r="AX38" s="345">
        <f t="shared" si="21"/>
        <v>274.17610901166665</v>
      </c>
      <c r="AY38" s="346">
        <f t="shared" si="54"/>
        <v>147.56289103651827</v>
      </c>
      <c r="AZ38" s="348">
        <f>+IF($O38&gt;K$8,"FIN",(K$19-SUM(BA$25:BA37))*VLOOKUP($O38,$A:$N,11,0)/VLOOKUP(K$15,$K$1:$M$4,2,0))</f>
        <v>97.098346469999996</v>
      </c>
      <c r="BA38" s="345">
        <f t="shared" si="41"/>
        <v>215.77410326666666</v>
      </c>
      <c r="BB38" s="345">
        <f t="shared" si="23"/>
        <v>312.87244973666668</v>
      </c>
      <c r="BC38" s="346">
        <f t="shared" si="55"/>
        <v>168.38944638628504</v>
      </c>
      <c r="BD38" s="348">
        <f>+IF($O38&gt;L$8,"FIN",(L$19-SUM(BE$25:BE37))*VLOOKUP($O38,$A:$N,12,0)/VLOOKUP(L$15,$K$1:$M$4,2,0))</f>
        <v>167.34375</v>
      </c>
      <c r="BE38" s="345">
        <f t="shared" si="42"/>
        <v>191.25</v>
      </c>
      <c r="BF38" s="345">
        <f t="shared" si="25"/>
        <v>358.59375</v>
      </c>
      <c r="BG38" s="346">
        <f t="shared" si="56"/>
        <v>192.99686850313734</v>
      </c>
      <c r="BH38" s="348">
        <f>+IF($O38&gt;M$8,"FIN",(M$19-SUM(BI$25:BI37))*VLOOKUP($O38,$A:$N,13,0)/VLOOKUP(M$15,$K$1:$M$4,2,0))</f>
        <v>13.921875</v>
      </c>
      <c r="BI38" s="345">
        <f t="shared" si="43"/>
        <v>16.875</v>
      </c>
      <c r="BJ38" s="345">
        <f t="shared" si="27"/>
        <v>30.796875</v>
      </c>
      <c r="BK38" s="346">
        <f t="shared" si="57"/>
        <v>16.575025177328264</v>
      </c>
      <c r="BL38" s="397"/>
      <c r="BM38" s="420">
        <f t="shared" si="44"/>
        <v>1035.9054003648316</v>
      </c>
      <c r="BN38" s="421">
        <f t="shared" si="44"/>
        <v>2308.9828044123988</v>
      </c>
      <c r="BO38" s="422">
        <f t="shared" si="45"/>
        <v>3344.8882047772304</v>
      </c>
    </row>
    <row r="39" spans="1:67" x14ac:dyDescent="0.25">
      <c r="A39" s="27">
        <f t="shared" si="29"/>
        <v>46583</v>
      </c>
      <c r="B39" s="38">
        <v>0.01</v>
      </c>
      <c r="C39" s="39">
        <v>0.01</v>
      </c>
      <c r="D39" s="40">
        <v>7.4999999999999997E-3</v>
      </c>
      <c r="E39" s="40">
        <v>1.25E-3</v>
      </c>
      <c r="F39" s="40">
        <v>4.3749999999999997E-2</v>
      </c>
      <c r="G39" s="40">
        <v>0.04</v>
      </c>
      <c r="H39" s="40">
        <v>0.05</v>
      </c>
      <c r="I39" s="40">
        <v>4.2500000000000003E-2</v>
      </c>
      <c r="J39" s="40">
        <v>3.5000000000000003E-2</v>
      </c>
      <c r="K39" s="40">
        <v>0.03</v>
      </c>
      <c r="L39" s="40">
        <v>4.3749999999999997E-2</v>
      </c>
      <c r="M39" s="41">
        <v>4.1250000000000002E-2</v>
      </c>
      <c r="N39" s="2">
        <f t="shared" si="30"/>
        <v>2027</v>
      </c>
      <c r="O39" s="32">
        <f t="shared" si="31"/>
        <v>46583</v>
      </c>
      <c r="P39" s="348">
        <f>+IF($O39&gt;B$8,"FIN",(B$19-SUM(Q$25:Q38))*VLOOKUP($O39,$A:$N,2,0)/VLOOKUP(B$15,$K$1:$M$4,2,0))</f>
        <v>6.4974796833265307</v>
      </c>
      <c r="Q39" s="345">
        <f t="shared" si="32"/>
        <v>216.58265611088433</v>
      </c>
      <c r="R39" s="345">
        <f t="shared" si="5"/>
        <v>223.08013579421086</v>
      </c>
      <c r="S39" s="346">
        <f>R39/(1+$B$5)^(YEARFRAC($O$25,$O39))</f>
        <v>114.47538269880771</v>
      </c>
      <c r="T39" s="348">
        <f>+IF($O39&gt;C$8,"FIN",(C$19-SUM(U$25:U38))*VLOOKUP($O39,$A:$N,3,0)/VLOOKUP(C$15,$K$1:$M$4,2,0))</f>
        <v>1.6826720831454092</v>
      </c>
      <c r="U39" s="345">
        <f t="shared" si="33"/>
        <v>56.089069438180303</v>
      </c>
      <c r="V39" s="345">
        <f t="shared" si="7"/>
        <v>57.771741521325715</v>
      </c>
      <c r="W39" s="346">
        <f t="shared" si="47"/>
        <v>29.646038165994273</v>
      </c>
      <c r="X39" s="348">
        <f>+IF($O39&gt;D$8,"FIN",(D$19-SUM(Y$25:Y38))*VLOOKUP($O39,$A:$N,4,0)/VLOOKUP(D$15,$K$1:$M$4,2,0))</f>
        <v>29.53125</v>
      </c>
      <c r="Y39" s="345">
        <f t="shared" si="34"/>
        <v>1125</v>
      </c>
      <c r="Z39" s="345">
        <f t="shared" si="9"/>
        <v>1154.53125</v>
      </c>
      <c r="AA39" s="346">
        <f t="shared" si="48"/>
        <v>592.45708368854525</v>
      </c>
      <c r="AB39" s="348">
        <f>+IF($O39&gt;E$8,"FIN",(E$19-SUM(AC$25:AC38))*VLOOKUP($O39,$A:$N,5,0)/VLOOKUP(E$15,$K$1:$M$4,2,0))</f>
        <v>1.0572916666666667</v>
      </c>
      <c r="AC39" s="345">
        <f t="shared" si="35"/>
        <v>241.66666666666666</v>
      </c>
      <c r="AD39" s="345">
        <f t="shared" si="11"/>
        <v>242.72395833333331</v>
      </c>
      <c r="AE39" s="346">
        <f t="shared" si="49"/>
        <v>124.55576970784172</v>
      </c>
      <c r="AF39" s="348">
        <f>+IF($O39&gt;F$8,"FIN",(F$19-SUM(AG$25:AG38))*VLOOKUP($O39,$A:$N,6,0)/VLOOKUP(F$15,$K$1:$M$4,2,0))</f>
        <v>283.99218749999994</v>
      </c>
      <c r="AG39" s="345">
        <f t="shared" si="36"/>
        <v>0</v>
      </c>
      <c r="AH39" s="345">
        <f t="shared" si="13"/>
        <v>283.99218749999994</v>
      </c>
      <c r="AI39" s="346">
        <f t="shared" si="50"/>
        <v>145.73289652972193</v>
      </c>
      <c r="AJ39" s="348">
        <f>+IF($O39&gt;G$8,"FIN",(G$19-SUM(AK$25:AK38))*VLOOKUP($O39,$A:$N,7,0)/VLOOKUP(G$15,$K$1:$M$4,2,0))</f>
        <v>38.525730550284628</v>
      </c>
      <c r="AK39" s="345">
        <f t="shared" si="37"/>
        <v>0</v>
      </c>
      <c r="AL39" s="345">
        <f t="shared" si="15"/>
        <v>38.525730550284628</v>
      </c>
      <c r="AM39" s="346">
        <f t="shared" si="51"/>
        <v>19.769791392647299</v>
      </c>
      <c r="AN39" s="348">
        <f>+IF($O39&gt;H$8,"FIN",(H$19-SUM(AO$25:AO38))*VLOOKUP($O39,$A:$N,8,0)/VLOOKUP(H$15,$K$1:$M$4,2,0))</f>
        <v>139.13229341125</v>
      </c>
      <c r="AO39" s="345">
        <f t="shared" si="38"/>
        <v>0</v>
      </c>
      <c r="AP39" s="345">
        <f t="shared" si="17"/>
        <v>139.13229341125</v>
      </c>
      <c r="AQ39" s="346">
        <f t="shared" si="52"/>
        <v>71.396865872039569</v>
      </c>
      <c r="AR39" s="348">
        <f>+IF($O39&gt;I$8,"FIN",(I$19-SUM(AS$25:AS38))*VLOOKUP($O39,$A:$N,9,0)/VLOOKUP(I$15,$K$1:$M$4,2,0))</f>
        <v>122.7460353988625</v>
      </c>
      <c r="AS39" s="345">
        <f t="shared" si="39"/>
        <v>0</v>
      </c>
      <c r="AT39" s="345">
        <f t="shared" si="19"/>
        <v>122.7460353988625</v>
      </c>
      <c r="AU39" s="346">
        <f t="shared" si="53"/>
        <v>62.988124545559963</v>
      </c>
      <c r="AV39" s="348">
        <f>+IF($O39&gt;J$8,"FIN",(J$19-SUM(AW$25:AW38))*VLOOKUP($O39,$A:$N,10,0)/VLOOKUP(J$15,$K$1:$M$4,2,0))</f>
        <v>91.242213326833351</v>
      </c>
      <c r="AW39" s="345">
        <f t="shared" si="40"/>
        <v>179.78761246666667</v>
      </c>
      <c r="AX39" s="345">
        <f t="shared" si="21"/>
        <v>271.02982579350004</v>
      </c>
      <c r="AY39" s="346">
        <f t="shared" si="54"/>
        <v>139.08115538858866</v>
      </c>
      <c r="AZ39" s="348">
        <f>+IF($O39&gt;K$8,"FIN",(K$19-SUM(BA$25:BA38))*VLOOKUP($O39,$A:$N,11,0)/VLOOKUP(K$15,$K$1:$M$4,2,0))</f>
        <v>93.861734920999993</v>
      </c>
      <c r="BA39" s="345">
        <f t="shared" si="41"/>
        <v>215.77410326666666</v>
      </c>
      <c r="BB39" s="345">
        <f t="shared" si="23"/>
        <v>309.63583818766665</v>
      </c>
      <c r="BC39" s="346">
        <f t="shared" si="55"/>
        <v>158.89214406117054</v>
      </c>
      <c r="BD39" s="348">
        <f>+IF($O39&gt;L$8,"FIN",(L$19-SUM(BE$25:BE38))*VLOOKUP($O39,$A:$N,12,0)/VLOOKUP(L$15,$K$1:$M$4,2,0))</f>
        <v>163.16015625</v>
      </c>
      <c r="BE39" s="345">
        <f t="shared" si="42"/>
        <v>191.25</v>
      </c>
      <c r="BF39" s="345">
        <f t="shared" si="25"/>
        <v>354.41015625</v>
      </c>
      <c r="BG39" s="346">
        <f t="shared" si="56"/>
        <v>181.86844886310064</v>
      </c>
      <c r="BH39" s="348">
        <f>+IF($O39&gt;M$8,"FIN",(M$19-SUM(BI$25:BI38))*VLOOKUP($O39,$A:$N,13,0)/VLOOKUP(M$15,$K$1:$M$4,2,0))</f>
        <v>13.573828125</v>
      </c>
      <c r="BI39" s="345">
        <f t="shared" si="43"/>
        <v>16.875</v>
      </c>
      <c r="BJ39" s="345">
        <f t="shared" si="27"/>
        <v>30.448828124999999</v>
      </c>
      <c r="BK39" s="346">
        <f t="shared" si="57"/>
        <v>15.625063342955208</v>
      </c>
      <c r="BL39" s="397"/>
      <c r="BM39" s="420">
        <f t="shared" si="44"/>
        <v>1018.7582929496415</v>
      </c>
      <c r="BN39" s="421">
        <f t="shared" si="44"/>
        <v>2308.9828044123988</v>
      </c>
      <c r="BO39" s="422">
        <f t="shared" si="45"/>
        <v>3327.7410973620404</v>
      </c>
    </row>
    <row r="40" spans="1:67" x14ac:dyDescent="0.25">
      <c r="A40" s="27">
        <f t="shared" si="29"/>
        <v>46767</v>
      </c>
      <c r="B40" s="38">
        <v>0.01</v>
      </c>
      <c r="C40" s="39">
        <v>0.01</v>
      </c>
      <c r="D40" s="40">
        <v>1.7500000000000002E-2</v>
      </c>
      <c r="E40" s="40">
        <v>1.25E-3</v>
      </c>
      <c r="F40" s="40">
        <v>4.3749999999999997E-2</v>
      </c>
      <c r="G40" s="40">
        <v>0.04</v>
      </c>
      <c r="H40" s="40">
        <v>0.05</v>
      </c>
      <c r="I40" s="40">
        <v>4.2500000000000003E-2</v>
      </c>
      <c r="J40" s="40">
        <v>3.5000000000000003E-2</v>
      </c>
      <c r="K40" s="40">
        <v>0.03</v>
      </c>
      <c r="L40" s="40">
        <v>4.3749999999999997E-2</v>
      </c>
      <c r="M40" s="41">
        <v>4.1250000000000002E-2</v>
      </c>
      <c r="N40" s="2">
        <f t="shared" si="30"/>
        <v>2028</v>
      </c>
      <c r="O40" s="32">
        <f t="shared" si="31"/>
        <v>46767</v>
      </c>
      <c r="P40" s="348">
        <f>+IF($O40&gt;B$8,"FIN",(B$19-SUM(Q$25:Q39))*VLOOKUP($O40,$A:$N,2,0)/VLOOKUP(B$15,$K$1:$M$4,2,0))</f>
        <v>5.4145664027721079</v>
      </c>
      <c r="Q40" s="345">
        <f t="shared" si="32"/>
        <v>216.58265611088433</v>
      </c>
      <c r="R40" s="345">
        <f t="shared" si="5"/>
        <v>221.99722251365642</v>
      </c>
      <c r="S40" s="346">
        <f t="shared" si="46"/>
        <v>108.61815015796834</v>
      </c>
      <c r="T40" s="348">
        <f>+IF($O40&gt;C$8,"FIN",(C$19-SUM(U$25:U39))*VLOOKUP($O40,$A:$N,3,0)/VLOOKUP(C$15,$K$1:$M$4,2,0))</f>
        <v>1.4022267359545078</v>
      </c>
      <c r="U40" s="345">
        <f t="shared" si="33"/>
        <v>56.089069438180303</v>
      </c>
      <c r="V40" s="345">
        <f t="shared" si="7"/>
        <v>57.49129617413481</v>
      </c>
      <c r="W40" s="346">
        <f t="shared" si="47"/>
        <v>28.129172833386519</v>
      </c>
      <c r="X40" s="348">
        <f>+IF($O40&gt;D$8,"FIN",(D$19-SUM(Y$25:Y39))*VLOOKUP($O40,$A:$N,4,0)/VLOOKUP(D$15,$K$1:$M$4,2,0))</f>
        <v>59.062500000000007</v>
      </c>
      <c r="Y40" s="345">
        <f t="shared" si="34"/>
        <v>1125</v>
      </c>
      <c r="Z40" s="345">
        <f t="shared" si="9"/>
        <v>1184.0625</v>
      </c>
      <c r="AA40" s="346">
        <f t="shared" si="48"/>
        <v>579.33462844792018</v>
      </c>
      <c r="AB40" s="348">
        <f>+IF($O40&gt;E$8,"FIN",(E$19-SUM(AC$25:AC39))*VLOOKUP($O40,$A:$N,5,0)/VLOOKUP(E$15,$K$1:$M$4,2,0))</f>
        <v>0.90625</v>
      </c>
      <c r="AC40" s="345">
        <f t="shared" si="35"/>
        <v>241.66666666666666</v>
      </c>
      <c r="AD40" s="345">
        <f t="shared" si="11"/>
        <v>242.57291666666666</v>
      </c>
      <c r="AE40" s="346">
        <f t="shared" si="49"/>
        <v>118.68536546728879</v>
      </c>
      <c r="AF40" s="348">
        <f>+IF($O40&gt;F$8,"FIN",(F$19-SUM(AG$25:AG39))*VLOOKUP($O40,$A:$N,6,0)/VLOOKUP(F$15,$K$1:$M$4,2,0))</f>
        <v>283.99218749999994</v>
      </c>
      <c r="AG40" s="345">
        <f t="shared" si="36"/>
        <v>0</v>
      </c>
      <c r="AH40" s="345">
        <f t="shared" si="13"/>
        <v>283.99218749999994</v>
      </c>
      <c r="AI40" s="346">
        <f t="shared" si="50"/>
        <v>138.95086486348865</v>
      </c>
      <c r="AJ40" s="348">
        <f>+IF($O40&gt;G$8,"FIN",(G$19-SUM(AK$25:AK39))*VLOOKUP($O40,$A:$N,7,0)/VLOOKUP(G$15,$K$1:$M$4,2,0))</f>
        <v>38.525730550284628</v>
      </c>
      <c r="AK40" s="345">
        <f t="shared" si="37"/>
        <v>0</v>
      </c>
      <c r="AL40" s="345">
        <f t="shared" si="15"/>
        <v>38.525730550284628</v>
      </c>
      <c r="AM40" s="346">
        <f t="shared" si="51"/>
        <v>18.849756490078718</v>
      </c>
      <c r="AN40" s="348">
        <f>+IF($O40&gt;H$8,"FIN",(H$19-SUM(AO$25:AO39))*VLOOKUP($O40,$A:$N,8,0)/VLOOKUP(H$15,$K$1:$M$4,2,0))</f>
        <v>139.13229341125</v>
      </c>
      <c r="AO40" s="345">
        <f t="shared" si="38"/>
        <v>252.96780620227273</v>
      </c>
      <c r="AP40" s="345">
        <f t="shared" si="17"/>
        <v>392.10009961352273</v>
      </c>
      <c r="AQ40" s="346">
        <f t="shared" si="52"/>
        <v>191.84558714087532</v>
      </c>
      <c r="AR40" s="348">
        <f>+IF($O40&gt;I$8,"FIN",(I$19-SUM(AS$25:AS39))*VLOOKUP($O40,$A:$N,9,0)/VLOOKUP(I$15,$K$1:$M$4,2,0))</f>
        <v>122.7460353988625</v>
      </c>
      <c r="AS40" s="345">
        <f t="shared" si="39"/>
        <v>262.55836448954545</v>
      </c>
      <c r="AT40" s="345">
        <f t="shared" si="19"/>
        <v>385.30439988840794</v>
      </c>
      <c r="AU40" s="346">
        <f t="shared" si="53"/>
        <v>188.5206071036788</v>
      </c>
      <c r="AV40" s="348">
        <f>+IF($O40&gt;J$8,"FIN",(J$19-SUM(AW$25:AW39))*VLOOKUP($O40,$A:$N,10,0)/VLOOKUP(J$15,$K$1:$M$4,2,0))</f>
        <v>88.095930108666664</v>
      </c>
      <c r="AW40" s="345">
        <f t="shared" si="40"/>
        <v>179.78761246666667</v>
      </c>
      <c r="AX40" s="345">
        <f t="shared" si="21"/>
        <v>267.88354257533331</v>
      </c>
      <c r="AY40" s="346">
        <f t="shared" si="54"/>
        <v>131.06927430367344</v>
      </c>
      <c r="AZ40" s="348">
        <f>+IF($O40&gt;K$8,"FIN",(K$19-SUM(BA$25:BA39))*VLOOKUP($O40,$A:$N,11,0)/VLOOKUP(K$15,$K$1:$M$4,2,0))</f>
        <v>90.62512337199999</v>
      </c>
      <c r="BA40" s="345">
        <f t="shared" si="41"/>
        <v>215.77410326666666</v>
      </c>
      <c r="BB40" s="345">
        <f t="shared" si="23"/>
        <v>306.39922663866662</v>
      </c>
      <c r="BC40" s="346">
        <f t="shared" si="55"/>
        <v>149.9141152780719</v>
      </c>
      <c r="BD40" s="348">
        <f>+IF($O40&gt;L$8,"FIN",(L$19-SUM(BE$25:BE39))*VLOOKUP($O40,$A:$N,12,0)/VLOOKUP(L$15,$K$1:$M$4,2,0))</f>
        <v>158.9765625</v>
      </c>
      <c r="BE40" s="345">
        <f t="shared" si="42"/>
        <v>191.25</v>
      </c>
      <c r="BF40" s="345">
        <f t="shared" si="25"/>
        <v>350.2265625</v>
      </c>
      <c r="BG40" s="346">
        <f t="shared" si="56"/>
        <v>171.35782567096734</v>
      </c>
      <c r="BH40" s="348">
        <f>+IF($O40&gt;M$8,"FIN",(M$19-SUM(BI$25:BI39))*VLOOKUP($O40,$A:$N,13,0)/VLOOKUP(M$15,$K$1:$M$4,2,0))</f>
        <v>13.225781250000001</v>
      </c>
      <c r="BI40" s="345">
        <f t="shared" si="43"/>
        <v>16.875</v>
      </c>
      <c r="BJ40" s="345">
        <f t="shared" si="27"/>
        <v>30.100781250000001</v>
      </c>
      <c r="BK40" s="346">
        <f t="shared" si="57"/>
        <v>14.727621997538874</v>
      </c>
      <c r="BL40" s="397"/>
      <c r="BM40" s="420">
        <f t="shared" si="44"/>
        <v>1035.3611855344514</v>
      </c>
      <c r="BN40" s="421">
        <f t="shared" si="44"/>
        <v>2857.1590258266629</v>
      </c>
      <c r="BO40" s="422">
        <f t="shared" si="45"/>
        <v>3892.520211361114</v>
      </c>
    </row>
    <row r="41" spans="1:67" x14ac:dyDescent="0.25">
      <c r="A41" s="27">
        <f t="shared" si="29"/>
        <v>46949</v>
      </c>
      <c r="B41" s="38">
        <v>0.01</v>
      </c>
      <c r="C41" s="39">
        <v>0.01</v>
      </c>
      <c r="D41" s="40">
        <v>1.7500000000000002E-2</v>
      </c>
      <c r="E41" s="40">
        <v>1.25E-3</v>
      </c>
      <c r="F41" s="40">
        <v>4.3749999999999997E-2</v>
      </c>
      <c r="G41" s="40">
        <v>0.04</v>
      </c>
      <c r="H41" s="40">
        <v>0.05</v>
      </c>
      <c r="I41" s="40">
        <v>4.2500000000000003E-2</v>
      </c>
      <c r="J41" s="40">
        <v>3.5000000000000003E-2</v>
      </c>
      <c r="K41" s="40">
        <v>0.03</v>
      </c>
      <c r="L41" s="40">
        <v>4.3749999999999997E-2</v>
      </c>
      <c r="M41" s="41">
        <v>4.1250000000000002E-2</v>
      </c>
      <c r="N41" s="2">
        <f t="shared" si="30"/>
        <v>2028</v>
      </c>
      <c r="O41" s="32">
        <f t="shared" si="31"/>
        <v>46949</v>
      </c>
      <c r="P41" s="348">
        <f>+IF($O41&gt;B$8,"FIN",(B$19-SUM(Q$25:Q40))*VLOOKUP($O41,$A:$N,2,0)/VLOOKUP(B$15,$K$1:$M$4,2,0))</f>
        <v>4.3316531222176868</v>
      </c>
      <c r="Q41" s="345">
        <f t="shared" si="32"/>
        <v>216.58265611088433</v>
      </c>
      <c r="R41" s="345">
        <f t="shared" si="5"/>
        <v>220.91430923310202</v>
      </c>
      <c r="S41" s="346">
        <f t="shared" si="46"/>
        <v>103.05815565117729</v>
      </c>
      <c r="T41" s="348">
        <f>+IF($O41&gt;C$8,"FIN",(C$19-SUM(U$25:U40))*VLOOKUP($O41,$A:$N,3,0)/VLOOKUP(C$15,$K$1:$M$4,2,0))</f>
        <v>1.1217813887636061</v>
      </c>
      <c r="U41" s="345">
        <f t="shared" si="33"/>
        <v>56.089069438180303</v>
      </c>
      <c r="V41" s="345">
        <f t="shared" si="7"/>
        <v>57.210850826943911</v>
      </c>
      <c r="W41" s="346">
        <f t="shared" si="47"/>
        <v>26.689284138847452</v>
      </c>
      <c r="X41" s="348">
        <f>+IF($O41&gt;D$8,"FIN",(D$19-SUM(Y$25:Y40))*VLOOKUP($O41,$A:$N,4,0)/VLOOKUP(D$15,$K$1:$M$4,2,0))</f>
        <v>49.218750000000007</v>
      </c>
      <c r="Y41" s="345">
        <f t="shared" si="34"/>
        <v>1125</v>
      </c>
      <c r="Z41" s="345">
        <f t="shared" si="9"/>
        <v>1174.21875</v>
      </c>
      <c r="AA41" s="346">
        <f t="shared" si="48"/>
        <v>547.78171285564758</v>
      </c>
      <c r="AB41" s="348">
        <f>+IF($O41&gt;E$8,"FIN",(E$19-SUM(AC$25:AC40))*VLOOKUP($O41,$A:$N,5,0)/VLOOKUP(E$15,$K$1:$M$4,2,0))</f>
        <v>0.75520833333333326</v>
      </c>
      <c r="AC41" s="345">
        <f t="shared" si="35"/>
        <v>241.66666666666666</v>
      </c>
      <c r="AD41" s="345">
        <f t="shared" si="11"/>
        <v>242.421875</v>
      </c>
      <c r="AE41" s="346">
        <f t="shared" si="49"/>
        <v>113.09159381178141</v>
      </c>
      <c r="AF41" s="348">
        <f>+IF($O41&gt;F$8,"FIN",(F$19-SUM(AG$25:AG40))*VLOOKUP($O41,$A:$N,6,0)/VLOOKUP(F$15,$K$1:$M$4,2,0))</f>
        <v>283.99218749999994</v>
      </c>
      <c r="AG41" s="345">
        <f t="shared" si="36"/>
        <v>0</v>
      </c>
      <c r="AH41" s="345">
        <f t="shared" si="13"/>
        <v>283.99218749999994</v>
      </c>
      <c r="AI41" s="346">
        <f t="shared" si="50"/>
        <v>132.48445139065632</v>
      </c>
      <c r="AJ41" s="348">
        <f>+IF($O41&gt;G$8,"FIN",(G$19-SUM(AK$25:AK40))*VLOOKUP($O41,$A:$N,7,0)/VLOOKUP(G$15,$K$1:$M$4,2,0))</f>
        <v>38.525730550284628</v>
      </c>
      <c r="AK41" s="345">
        <f t="shared" si="37"/>
        <v>0</v>
      </c>
      <c r="AL41" s="345">
        <f t="shared" si="15"/>
        <v>38.525730550284628</v>
      </c>
      <c r="AM41" s="346">
        <f t="shared" si="51"/>
        <v>17.972537629679362</v>
      </c>
      <c r="AN41" s="348">
        <f>+IF($O41&gt;H$8,"FIN",(H$19-SUM(AO$25:AO40))*VLOOKUP($O41,$A:$N,8,0)/VLOOKUP(H$15,$K$1:$M$4,2,0))</f>
        <v>132.80809825619318</v>
      </c>
      <c r="AO41" s="345">
        <f t="shared" si="38"/>
        <v>252.96780620227273</v>
      </c>
      <c r="AP41" s="345">
        <f t="shared" si="17"/>
        <v>385.7759044584659</v>
      </c>
      <c r="AQ41" s="346">
        <f t="shared" si="52"/>
        <v>179.96730653695926</v>
      </c>
      <c r="AR41" s="348">
        <f>+IF($O41&gt;I$8,"FIN",(I$19-SUM(AS$25:AS40))*VLOOKUP($O41,$A:$N,9,0)/VLOOKUP(I$15,$K$1:$M$4,2,0))</f>
        <v>117.16667015345966</v>
      </c>
      <c r="AS41" s="345">
        <f t="shared" si="39"/>
        <v>262.55836448954545</v>
      </c>
      <c r="AT41" s="345">
        <f t="shared" si="19"/>
        <v>379.72503464300513</v>
      </c>
      <c r="AU41" s="346">
        <f t="shared" si="53"/>
        <v>177.1445311113585</v>
      </c>
      <c r="AV41" s="348">
        <f>+IF($O41&gt;J$8,"FIN",(J$19-SUM(AW$25:AW40))*VLOOKUP($O41,$A:$N,10,0)/VLOOKUP(J$15,$K$1:$M$4,2,0))</f>
        <v>84.949646890500006</v>
      </c>
      <c r="AW41" s="345">
        <f t="shared" si="40"/>
        <v>179.78761246666667</v>
      </c>
      <c r="AX41" s="345">
        <f t="shared" si="21"/>
        <v>264.73725935716669</v>
      </c>
      <c r="AY41" s="346">
        <f t="shared" si="54"/>
        <v>123.5018853066165</v>
      </c>
      <c r="AZ41" s="348">
        <f>+IF($O41&gt;K$8,"FIN",(K$19-SUM(BA$25:BA40))*VLOOKUP($O41,$A:$N,11,0)/VLOOKUP(K$15,$K$1:$M$4,2,0))</f>
        <v>87.388511822999988</v>
      </c>
      <c r="BA41" s="345">
        <f t="shared" si="41"/>
        <v>215.77410326666666</v>
      </c>
      <c r="BB41" s="345">
        <f t="shared" si="23"/>
        <v>303.16261508966664</v>
      </c>
      <c r="BC41" s="346">
        <f t="shared" si="55"/>
        <v>141.42759734301211</v>
      </c>
      <c r="BD41" s="348">
        <f>+IF($O41&gt;L$8,"FIN",(L$19-SUM(BE$25:BE40))*VLOOKUP($O41,$A:$N,12,0)/VLOOKUP(L$15,$K$1:$M$4,2,0))</f>
        <v>154.79296875</v>
      </c>
      <c r="BE41" s="345">
        <f t="shared" si="42"/>
        <v>191.25</v>
      </c>
      <c r="BF41" s="345">
        <f t="shared" si="25"/>
        <v>346.04296875</v>
      </c>
      <c r="BG41" s="346">
        <f t="shared" si="56"/>
        <v>161.43159879156107</v>
      </c>
      <c r="BH41" s="348">
        <f>+IF($O41&gt;M$8,"FIN",(M$19-SUM(BI$25:BI40))*VLOOKUP($O41,$A:$N,13,0)/VLOOKUP(M$15,$K$1:$M$4,2,0))</f>
        <v>12.877734375000001</v>
      </c>
      <c r="BI41" s="345">
        <f t="shared" si="43"/>
        <v>16.875</v>
      </c>
      <c r="BJ41" s="345">
        <f t="shared" si="27"/>
        <v>29.752734375000003</v>
      </c>
      <c r="BK41" s="346">
        <f t="shared" si="57"/>
        <v>13.879870167357325</v>
      </c>
      <c r="BL41" s="397"/>
      <c r="BM41" s="420">
        <f t="shared" si="44"/>
        <v>999.99170414094954</v>
      </c>
      <c r="BN41" s="421">
        <f t="shared" si="44"/>
        <v>2857.1590258266629</v>
      </c>
      <c r="BO41" s="422">
        <f t="shared" si="45"/>
        <v>3857.1507299676123</v>
      </c>
    </row>
    <row r="42" spans="1:67" x14ac:dyDescent="0.25">
      <c r="A42" s="27">
        <f t="shared" si="29"/>
        <v>47133</v>
      </c>
      <c r="B42" s="38">
        <v>0.01</v>
      </c>
      <c r="C42" s="39">
        <v>0.01</v>
      </c>
      <c r="D42" s="40">
        <v>1.7500000000000002E-2</v>
      </c>
      <c r="E42" s="40">
        <v>1.25E-3</v>
      </c>
      <c r="F42" s="40">
        <v>0.05</v>
      </c>
      <c r="G42" s="40">
        <v>0.04</v>
      </c>
      <c r="H42" s="40">
        <v>0.05</v>
      </c>
      <c r="I42" s="40">
        <v>4.2500000000000003E-2</v>
      </c>
      <c r="J42" s="40">
        <v>3.5000000000000003E-2</v>
      </c>
      <c r="K42" s="40">
        <v>0.03</v>
      </c>
      <c r="L42" s="40">
        <v>0.05</v>
      </c>
      <c r="M42" s="41">
        <v>4.1250000000000002E-2</v>
      </c>
      <c r="N42" s="2">
        <f t="shared" si="30"/>
        <v>2029</v>
      </c>
      <c r="O42" s="32">
        <f t="shared" si="31"/>
        <v>47133</v>
      </c>
      <c r="P42" s="348">
        <f>+IF($O42&gt;B$8,"FIN",(B$19-SUM(Q$25:Q41))*VLOOKUP($O42,$A:$N,2,0)/VLOOKUP(B$15,$K$1:$M$4,2,0))</f>
        <v>3.2487398416632653</v>
      </c>
      <c r="Q42" s="345">
        <f t="shared" si="32"/>
        <v>216.58265611088433</v>
      </c>
      <c r="R42" s="345">
        <f t="shared" si="5"/>
        <v>219.83139595254758</v>
      </c>
      <c r="S42" s="346">
        <f t="shared" si="46"/>
        <v>97.780418989213189</v>
      </c>
      <c r="T42" s="348">
        <f>+IF($O42&gt;C$8,"FIN",(C$19-SUM(U$25:U41))*VLOOKUP($O42,$A:$N,3,0)/VLOOKUP(C$15,$K$1:$M$4,2,0))</f>
        <v>0.84133604157270447</v>
      </c>
      <c r="U42" s="345">
        <f t="shared" si="33"/>
        <v>56.089069438180303</v>
      </c>
      <c r="V42" s="345">
        <f t="shared" si="7"/>
        <v>56.930405479753006</v>
      </c>
      <c r="W42" s="346">
        <f t="shared" si="47"/>
        <v>25.322492617194953</v>
      </c>
      <c r="X42" s="348">
        <f>+IF($O42&gt;D$8,"FIN",(D$19-SUM(Y$25:Y41))*VLOOKUP($O42,$A:$N,4,0)/VLOOKUP(D$15,$K$1:$M$4,2,0))</f>
        <v>39.375000000000007</v>
      </c>
      <c r="Y42" s="345">
        <f t="shared" si="34"/>
        <v>1125</v>
      </c>
      <c r="Z42" s="345">
        <f t="shared" si="9"/>
        <v>1164.375</v>
      </c>
      <c r="AA42" s="346">
        <f t="shared" si="48"/>
        <v>517.91089651789878</v>
      </c>
      <c r="AB42" s="348">
        <f>+IF($O42&gt;E$8,"FIN",(E$19-SUM(AC$25:AC41))*VLOOKUP($O42,$A:$N,5,0)/VLOOKUP(E$15,$K$1:$M$4,2,0))</f>
        <v>0.60416666666666663</v>
      </c>
      <c r="AC42" s="345">
        <f t="shared" si="35"/>
        <v>241.66666666666666</v>
      </c>
      <c r="AD42" s="345">
        <f t="shared" si="11"/>
        <v>242.27083333333331</v>
      </c>
      <c r="AE42" s="346">
        <f t="shared" si="49"/>
        <v>107.76142092693942</v>
      </c>
      <c r="AF42" s="348">
        <f>+IF($O42&gt;F$8,"FIN",(F$19-SUM(AG$25:AG41))*VLOOKUP($O42,$A:$N,6,0)/VLOOKUP(F$15,$K$1:$M$4,2,0))</f>
        <v>324.5625</v>
      </c>
      <c r="AG42" s="345">
        <f t="shared" si="36"/>
        <v>0</v>
      </c>
      <c r="AH42" s="345">
        <f t="shared" si="13"/>
        <v>324.5625</v>
      </c>
      <c r="AI42" s="346">
        <f t="shared" si="50"/>
        <v>144.36453492310511</v>
      </c>
      <c r="AJ42" s="348">
        <f>+IF($O42&gt;G$8,"FIN",(G$19-SUM(AK$25:AK41))*VLOOKUP($O42,$A:$N,7,0)/VLOOKUP(G$15,$K$1:$M$4,2,0))</f>
        <v>38.525730550284628</v>
      </c>
      <c r="AK42" s="345">
        <f t="shared" si="37"/>
        <v>0</v>
      </c>
      <c r="AL42" s="345">
        <f t="shared" si="15"/>
        <v>38.525730550284628</v>
      </c>
      <c r="AM42" s="346">
        <f t="shared" si="51"/>
        <v>17.136142263707924</v>
      </c>
      <c r="AN42" s="348">
        <f>+IF($O42&gt;H$8,"FIN",(H$19-SUM(AO$25:AO41))*VLOOKUP($O42,$A:$N,8,0)/VLOOKUP(H$15,$K$1:$M$4,2,0))</f>
        <v>126.48390310113638</v>
      </c>
      <c r="AO42" s="345">
        <f t="shared" si="38"/>
        <v>252.96780620227273</v>
      </c>
      <c r="AP42" s="345">
        <f t="shared" si="17"/>
        <v>379.45170930340907</v>
      </c>
      <c r="AQ42" s="346">
        <f t="shared" si="52"/>
        <v>168.77910892159116</v>
      </c>
      <c r="AR42" s="348">
        <f>+IF($O42&gt;I$8,"FIN",(I$19-SUM(AS$25:AS41))*VLOOKUP($O42,$A:$N,9,0)/VLOOKUP(I$15,$K$1:$M$4,2,0))</f>
        <v>111.58730490805681</v>
      </c>
      <c r="AS42" s="345">
        <f t="shared" si="39"/>
        <v>262.55836448954545</v>
      </c>
      <c r="AT42" s="345">
        <f t="shared" si="19"/>
        <v>374.14566939760226</v>
      </c>
      <c r="AU42" s="346">
        <f t="shared" si="53"/>
        <v>166.41899651401098</v>
      </c>
      <c r="AV42" s="348">
        <f>+IF($O42&gt;J$8,"FIN",(J$19-SUM(AW$25:AW41))*VLOOKUP($O42,$A:$N,10,0)/VLOOKUP(J$15,$K$1:$M$4,2,0))</f>
        <v>81.803363672333347</v>
      </c>
      <c r="AW42" s="345">
        <f t="shared" si="40"/>
        <v>179.78761246666667</v>
      </c>
      <c r="AX42" s="345">
        <f t="shared" si="21"/>
        <v>261.59097613900002</v>
      </c>
      <c r="AY42" s="346">
        <f t="shared" si="54"/>
        <v>116.35496895170522</v>
      </c>
      <c r="AZ42" s="348">
        <f>+IF($O42&gt;K$8,"FIN",(K$19-SUM(BA$25:BA41))*VLOOKUP($O42,$A:$N,11,0)/VLOOKUP(K$15,$K$1:$M$4,2,0))</f>
        <v>84.151900273999999</v>
      </c>
      <c r="BA42" s="345">
        <f t="shared" si="41"/>
        <v>215.77410326666666</v>
      </c>
      <c r="BB42" s="345">
        <f t="shared" si="23"/>
        <v>299.92600354066667</v>
      </c>
      <c r="BC42" s="346">
        <f t="shared" si="55"/>
        <v>133.40628696320098</v>
      </c>
      <c r="BD42" s="348">
        <f>+IF($O42&gt;L$8,"FIN",(L$19-SUM(BE$25:BE41))*VLOOKUP($O42,$A:$N,12,0)/VLOOKUP(L$15,$K$1:$M$4,2,0))</f>
        <v>172.125</v>
      </c>
      <c r="BE42" s="345">
        <f t="shared" si="42"/>
        <v>191.25</v>
      </c>
      <c r="BF42" s="345">
        <f t="shared" si="25"/>
        <v>363.375</v>
      </c>
      <c r="BG42" s="346">
        <f t="shared" si="56"/>
        <v>161.62823147370173</v>
      </c>
      <c r="BH42" s="348">
        <f>+IF($O42&gt;M$8,"FIN",(M$19-SUM(BI$25:BI41))*VLOOKUP($O42,$A:$N,13,0)/VLOOKUP(M$15,$K$1:$M$4,2,0))</f>
        <v>12.529687500000001</v>
      </c>
      <c r="BI42" s="345">
        <f t="shared" si="43"/>
        <v>16.875</v>
      </c>
      <c r="BJ42" s="345">
        <f t="shared" si="27"/>
        <v>29.404687500000001</v>
      </c>
      <c r="BK42" s="346">
        <f t="shared" si="57"/>
        <v>13.079126625832444</v>
      </c>
      <c r="BL42" s="397"/>
      <c r="BM42" s="420">
        <f t="shared" si="44"/>
        <v>1026.7081602474477</v>
      </c>
      <c r="BN42" s="421">
        <f t="shared" si="44"/>
        <v>2857.1590258266629</v>
      </c>
      <c r="BO42" s="422">
        <f t="shared" si="45"/>
        <v>3883.8671860741106</v>
      </c>
    </row>
    <row r="43" spans="1:67" x14ac:dyDescent="0.25">
      <c r="A43" s="27">
        <f t="shared" si="29"/>
        <v>47314</v>
      </c>
      <c r="B43" s="38">
        <v>0.01</v>
      </c>
      <c r="C43" s="39">
        <v>0.01</v>
      </c>
      <c r="D43" s="40">
        <v>1.7500000000000002E-2</v>
      </c>
      <c r="E43" s="40">
        <v>1.25E-3</v>
      </c>
      <c r="F43" s="40">
        <v>0.05</v>
      </c>
      <c r="G43" s="40">
        <v>0.04</v>
      </c>
      <c r="H43" s="40">
        <v>0.05</v>
      </c>
      <c r="I43" s="40">
        <v>4.2500000000000003E-2</v>
      </c>
      <c r="J43" s="40">
        <v>4.8750000000000002E-2</v>
      </c>
      <c r="K43" s="40">
        <v>4.4999999999999998E-2</v>
      </c>
      <c r="L43" s="40">
        <v>0.05</v>
      </c>
      <c r="M43" s="41">
        <v>4.1250000000000002E-2</v>
      </c>
      <c r="N43" s="2">
        <f t="shared" si="30"/>
        <v>2029</v>
      </c>
      <c r="O43" s="32">
        <f t="shared" si="31"/>
        <v>47314</v>
      </c>
      <c r="P43" s="348">
        <f>+IF($O43&gt;B$8,"FIN",(B$19-SUM(Q$25:Q42))*VLOOKUP($O43,$A:$N,2,0)/VLOOKUP(B$15,$K$1:$M$4,2,0))</f>
        <v>2.1658265611088439</v>
      </c>
      <c r="Q43" s="345">
        <f t="shared" si="32"/>
        <v>216.58265611088433</v>
      </c>
      <c r="R43" s="345">
        <f t="shared" si="5"/>
        <v>218.74848267199317</v>
      </c>
      <c r="S43" s="346">
        <f t="shared" si="46"/>
        <v>92.770710523787031</v>
      </c>
      <c r="T43" s="348">
        <f>+IF($O43&gt;C$8,"FIN",(C$19-SUM(U$25:U42))*VLOOKUP($O43,$A:$N,3,0)/VLOOKUP(C$15,$K$1:$M$4,2,0))</f>
        <v>0.56089069438180272</v>
      </c>
      <c r="U43" s="345">
        <f t="shared" si="33"/>
        <v>56.089069438180303</v>
      </c>
      <c r="V43" s="345">
        <f t="shared" si="7"/>
        <v>56.649960132562107</v>
      </c>
      <c r="W43" s="346">
        <f t="shared" si="47"/>
        <v>24.025113173115795</v>
      </c>
      <c r="X43" s="348">
        <f>+IF($O43&gt;D$8,"FIN",(D$19-SUM(Y$25:Y42))*VLOOKUP($O43,$A:$N,4,0)/VLOOKUP(D$15,$K$1:$M$4,2,0))</f>
        <v>29.531250000000004</v>
      </c>
      <c r="Y43" s="345">
        <f t="shared" si="34"/>
        <v>1125</v>
      </c>
      <c r="Z43" s="345">
        <f t="shared" si="9"/>
        <v>1154.53125</v>
      </c>
      <c r="AA43" s="346">
        <f t="shared" si="48"/>
        <v>489.63395346160769</v>
      </c>
      <c r="AB43" s="348">
        <f>+IF($O43&gt;E$8,"FIN",(E$19-SUM(AC$25:AC42))*VLOOKUP($O43,$A:$N,5,0)/VLOOKUP(E$15,$K$1:$M$4,2,0))</f>
        <v>0.453125</v>
      </c>
      <c r="AC43" s="345">
        <f t="shared" si="35"/>
        <v>241.66666666666666</v>
      </c>
      <c r="AD43" s="345">
        <f t="shared" si="11"/>
        <v>242.11979166666666</v>
      </c>
      <c r="AE43" s="346">
        <f t="shared" si="49"/>
        <v>102.68242700667548</v>
      </c>
      <c r="AF43" s="348">
        <f>+IF($O43&gt;F$8,"FIN",(F$19-SUM(AG$25:AG42))*VLOOKUP($O43,$A:$N,6,0)/VLOOKUP(F$15,$K$1:$M$4,2,0))</f>
        <v>324.5625</v>
      </c>
      <c r="AG43" s="345">
        <f t="shared" si="36"/>
        <v>0</v>
      </c>
      <c r="AH43" s="345">
        <f t="shared" si="13"/>
        <v>324.5625</v>
      </c>
      <c r="AI43" s="346">
        <f t="shared" si="50"/>
        <v>137.64618326301957</v>
      </c>
      <c r="AJ43" s="348">
        <f>+IF($O43&gt;G$8,"FIN",(G$19-SUM(AK$25:AK42))*VLOOKUP($O43,$A:$N,7,0)/VLOOKUP(G$15,$K$1:$M$4,2,0))</f>
        <v>38.525730550284628</v>
      </c>
      <c r="AK43" s="345">
        <f t="shared" si="37"/>
        <v>0</v>
      </c>
      <c r="AL43" s="345">
        <f t="shared" si="15"/>
        <v>38.525730550284628</v>
      </c>
      <c r="AM43" s="346">
        <f t="shared" si="51"/>
        <v>16.338670572435785</v>
      </c>
      <c r="AN43" s="348">
        <f>+IF($O43&gt;H$8,"FIN",(H$19-SUM(AO$25:AO42))*VLOOKUP($O43,$A:$N,8,0)/VLOOKUP(H$15,$K$1:$M$4,2,0))</f>
        <v>120.15970794607955</v>
      </c>
      <c r="AO43" s="345">
        <f t="shared" si="38"/>
        <v>252.96780620227273</v>
      </c>
      <c r="AP43" s="345">
        <f t="shared" si="17"/>
        <v>373.12751414835225</v>
      </c>
      <c r="AQ43" s="346">
        <f t="shared" si="52"/>
        <v>158.24249009956176</v>
      </c>
      <c r="AR43" s="348">
        <f>+IF($O43&gt;I$8,"FIN",(I$19-SUM(AS$25:AS42))*VLOOKUP($O43,$A:$N,9,0)/VLOOKUP(I$15,$K$1:$M$4,2,0))</f>
        <v>106.00793966265398</v>
      </c>
      <c r="AS43" s="345">
        <f t="shared" si="39"/>
        <v>262.55836448954545</v>
      </c>
      <c r="AT43" s="345">
        <f t="shared" si="19"/>
        <v>368.56630415219945</v>
      </c>
      <c r="AU43" s="346">
        <f t="shared" si="53"/>
        <v>156.30809180329658</v>
      </c>
      <c r="AV43" s="348">
        <f>+IF($O43&gt;J$8,"FIN",(J$19-SUM(AW$25:AW42))*VLOOKUP($O43,$A:$N,10,0)/VLOOKUP(J$15,$K$1:$M$4,2,0))</f>
        <v>109.558076346875</v>
      </c>
      <c r="AW43" s="345">
        <f t="shared" si="40"/>
        <v>179.78761246666667</v>
      </c>
      <c r="AX43" s="345">
        <f t="shared" si="21"/>
        <v>289.34568881354164</v>
      </c>
      <c r="AY43" s="346">
        <f t="shared" si="54"/>
        <v>122.71081751216909</v>
      </c>
      <c r="AZ43" s="348">
        <f>+IF($O43&gt;K$8,"FIN",(K$19-SUM(BA$25:BA42))*VLOOKUP($O43,$A:$N,11,0)/VLOOKUP(K$15,$K$1:$M$4,2,0))</f>
        <v>121.37293308749999</v>
      </c>
      <c r="BA43" s="345">
        <f t="shared" si="41"/>
        <v>215.77410326666666</v>
      </c>
      <c r="BB43" s="345">
        <f t="shared" si="23"/>
        <v>337.14703635416663</v>
      </c>
      <c r="BC43" s="346">
        <f t="shared" si="55"/>
        <v>142.98325515914357</v>
      </c>
      <c r="BD43" s="348">
        <f>+IF($O43&gt;L$8,"FIN",(L$19-SUM(BE$25:BE42))*VLOOKUP($O43,$A:$N,12,0)/VLOOKUP(L$15,$K$1:$M$4,2,0))</f>
        <v>167.34375</v>
      </c>
      <c r="BE43" s="345">
        <f t="shared" si="42"/>
        <v>191.25</v>
      </c>
      <c r="BF43" s="345">
        <f t="shared" si="25"/>
        <v>358.59375</v>
      </c>
      <c r="BG43" s="346">
        <f t="shared" si="56"/>
        <v>152.07875533825816</v>
      </c>
      <c r="BH43" s="348">
        <f>+IF($O43&gt;M$8,"FIN",(M$19-SUM(BI$25:BI42))*VLOOKUP($O43,$A:$N,13,0)/VLOOKUP(M$15,$K$1:$M$4,2,0))</f>
        <v>12.181640625</v>
      </c>
      <c r="BI43" s="345">
        <f t="shared" si="43"/>
        <v>16.875</v>
      </c>
      <c r="BJ43" s="345">
        <f t="shared" si="27"/>
        <v>29.056640625</v>
      </c>
      <c r="BK43" s="346">
        <f t="shared" si="57"/>
        <v>12.322852086967684</v>
      </c>
      <c r="BL43" s="397"/>
      <c r="BM43" s="420">
        <f t="shared" si="44"/>
        <v>1067.1307124054692</v>
      </c>
      <c r="BN43" s="421">
        <f t="shared" si="44"/>
        <v>2857.1590258266629</v>
      </c>
      <c r="BO43" s="422">
        <f t="shared" si="45"/>
        <v>3924.2897382321321</v>
      </c>
    </row>
    <row r="44" spans="1:67" x14ac:dyDescent="0.25">
      <c r="A44" s="27">
        <f t="shared" si="29"/>
        <v>47498</v>
      </c>
      <c r="B44" s="38">
        <v>0.01</v>
      </c>
      <c r="C44" s="39">
        <v>0.01</v>
      </c>
      <c r="D44" s="40">
        <v>1.7500000000000002E-2</v>
      </c>
      <c r="E44" s="40">
        <v>1.25E-3</v>
      </c>
      <c r="F44" s="40">
        <v>0.05</v>
      </c>
      <c r="G44" s="40">
        <v>0.04</v>
      </c>
      <c r="H44" s="40">
        <v>0.05</v>
      </c>
      <c r="I44" s="40">
        <v>4.2500000000000003E-2</v>
      </c>
      <c r="J44" s="40">
        <v>4.8750000000000002E-2</v>
      </c>
      <c r="K44" s="40">
        <v>4.4999999999999998E-2</v>
      </c>
      <c r="L44" s="40">
        <v>0.05</v>
      </c>
      <c r="M44" s="41">
        <v>4.1250000000000002E-2</v>
      </c>
      <c r="N44" s="2">
        <f t="shared" si="30"/>
        <v>2030</v>
      </c>
      <c r="O44" s="32">
        <f t="shared" si="31"/>
        <v>47498</v>
      </c>
      <c r="P44" s="348">
        <f>+IF($O44&gt;B$8,"FIN",(B$19-SUM(Q$25:Q43))*VLOOKUP($O44,$A:$N,2,0)/VLOOKUP(B$15,$K$1:$M$4,2,0))</f>
        <v>1.0829132805544226</v>
      </c>
      <c r="Q44" s="345">
        <f t="shared" si="32"/>
        <v>216.58265611088433</v>
      </c>
      <c r="R44" s="345">
        <f t="shared" si="5"/>
        <v>217.66556939143877</v>
      </c>
      <c r="S44" s="346">
        <f t="shared" si="46"/>
        <v>88.015513734132796</v>
      </c>
      <c r="T44" s="348">
        <f>+IF($O44&gt;C$8,"FIN",(C$19-SUM(U$25:U43))*VLOOKUP($O44,$A:$N,3,0)/VLOOKUP(C$15,$K$1:$M$4,2,0))</f>
        <v>0.28044534719090108</v>
      </c>
      <c r="U44" s="345">
        <f t="shared" si="33"/>
        <v>56.089069438180303</v>
      </c>
      <c r="V44" s="345">
        <f t="shared" si="7"/>
        <v>56.369514785371202</v>
      </c>
      <c r="W44" s="346">
        <f t="shared" si="47"/>
        <v>22.793645392101148</v>
      </c>
      <c r="X44" s="348">
        <f>+IF($O44&gt;D$8,"FIN",(D$19-SUM(Y$25:Y43))*VLOOKUP($O44,$A:$N,4,0)/VLOOKUP(D$15,$K$1:$M$4,2,0))</f>
        <v>19.687500000000004</v>
      </c>
      <c r="Y44" s="345">
        <f t="shared" si="34"/>
        <v>1125</v>
      </c>
      <c r="Z44" s="345">
        <f t="shared" si="9"/>
        <v>1144.6875</v>
      </c>
      <c r="AA44" s="346">
        <f t="shared" si="48"/>
        <v>462.86722635657623</v>
      </c>
      <c r="AB44" s="348">
        <f>+IF($O44&gt;E$8,"FIN",(E$19-SUM(AC$25:AC43))*VLOOKUP($O44,$A:$N,5,0)/VLOOKUP(E$15,$K$1:$M$4,2,0))</f>
        <v>0.30208333333333343</v>
      </c>
      <c r="AC44" s="345">
        <f t="shared" si="35"/>
        <v>241.66666666666666</v>
      </c>
      <c r="AD44" s="345">
        <f t="shared" si="11"/>
        <v>241.96875</v>
      </c>
      <c r="AE44" s="346">
        <f t="shared" si="49"/>
        <v>97.842777332213203</v>
      </c>
      <c r="AF44" s="348">
        <f>+IF($O44&gt;F$8,"FIN",(F$19-SUM(AG$25:AG43))*VLOOKUP($O44,$A:$N,6,0)/VLOOKUP(F$15,$K$1:$M$4,2,0))</f>
        <v>324.5625</v>
      </c>
      <c r="AG44" s="345">
        <f t="shared" si="36"/>
        <v>0</v>
      </c>
      <c r="AH44" s="345">
        <f t="shared" si="13"/>
        <v>324.5625</v>
      </c>
      <c r="AI44" s="346">
        <f t="shared" si="50"/>
        <v>131.24048629373192</v>
      </c>
      <c r="AJ44" s="348">
        <f>+IF($O44&gt;G$8,"FIN",(G$19-SUM(AK$25:AK43))*VLOOKUP($O44,$A:$N,7,0)/VLOOKUP(G$15,$K$1:$M$4,2,0))</f>
        <v>38.525730550284628</v>
      </c>
      <c r="AK44" s="345">
        <f t="shared" si="37"/>
        <v>0</v>
      </c>
      <c r="AL44" s="345">
        <f t="shared" si="15"/>
        <v>38.525730550284628</v>
      </c>
      <c r="AM44" s="346">
        <f t="shared" si="51"/>
        <v>15.578311148825385</v>
      </c>
      <c r="AN44" s="348">
        <f>+IF($O44&gt;H$8,"FIN",(H$19-SUM(AO$25:AO43))*VLOOKUP($O44,$A:$N,8,0)/VLOOKUP(H$15,$K$1:$M$4,2,0))</f>
        <v>113.83551279102274</v>
      </c>
      <c r="AO44" s="345">
        <f t="shared" si="38"/>
        <v>252.96780620227273</v>
      </c>
      <c r="AP44" s="345">
        <f t="shared" si="17"/>
        <v>366.80331899329548</v>
      </c>
      <c r="AQ44" s="346">
        <f t="shared" si="52"/>
        <v>148.32103511291345</v>
      </c>
      <c r="AR44" s="348">
        <f>+IF($O44&gt;I$8,"FIN",(I$19-SUM(AS$25:AS43))*VLOOKUP($O44,$A:$N,9,0)/VLOOKUP(I$15,$K$1:$M$4,2,0))</f>
        <v>100.42857441725113</v>
      </c>
      <c r="AS44" s="345">
        <f t="shared" si="39"/>
        <v>262.55836448954545</v>
      </c>
      <c r="AT44" s="345">
        <f t="shared" si="19"/>
        <v>362.98693890679658</v>
      </c>
      <c r="AU44" s="346">
        <f t="shared" si="53"/>
        <v>146.77783903069869</v>
      </c>
      <c r="AV44" s="348">
        <f>+IF($O44&gt;J$8,"FIN",(J$19-SUM(AW$25:AW43))*VLOOKUP($O44,$A:$N,10,0)/VLOOKUP(J$15,$K$1:$M$4,2,0))</f>
        <v>105.175753293</v>
      </c>
      <c r="AW44" s="345">
        <f t="shared" si="40"/>
        <v>179.78761246666667</v>
      </c>
      <c r="AX44" s="345">
        <f t="shared" si="21"/>
        <v>284.96336575966666</v>
      </c>
      <c r="AY44" s="346">
        <f t="shared" si="54"/>
        <v>115.22813232643097</v>
      </c>
      <c r="AZ44" s="348">
        <f>+IF($O44&gt;K$8,"FIN",(K$19-SUM(BA$25:BA43))*VLOOKUP($O44,$A:$N,11,0)/VLOOKUP(K$15,$K$1:$M$4,2,0))</f>
        <v>116.51801576399997</v>
      </c>
      <c r="BA44" s="345">
        <f t="shared" si="41"/>
        <v>215.77410326666666</v>
      </c>
      <c r="BB44" s="345">
        <f t="shared" si="23"/>
        <v>332.29211903066664</v>
      </c>
      <c r="BC44" s="346">
        <f t="shared" si="55"/>
        <v>134.3660444233679</v>
      </c>
      <c r="BD44" s="348">
        <f>+IF($O44&gt;L$8,"FIN",(L$19-SUM(BE$25:BE43))*VLOOKUP($O44,$A:$N,12,0)/VLOOKUP(L$15,$K$1:$M$4,2,0))</f>
        <v>162.5625</v>
      </c>
      <c r="BE44" s="345">
        <f t="shared" si="42"/>
        <v>191.25</v>
      </c>
      <c r="BF44" s="345">
        <f t="shared" si="25"/>
        <v>353.8125</v>
      </c>
      <c r="BG44" s="346">
        <f t="shared" si="56"/>
        <v>143.06805178294175</v>
      </c>
      <c r="BH44" s="348">
        <f>+IF($O44&gt;M$8,"FIN",(M$19-SUM(BI$25:BI43))*VLOOKUP($O44,$A:$N,13,0)/VLOOKUP(M$15,$K$1:$M$4,2,0))</f>
        <v>11.83359375</v>
      </c>
      <c r="BI44" s="345">
        <f t="shared" si="43"/>
        <v>16.875</v>
      </c>
      <c r="BJ44" s="345">
        <f t="shared" si="27"/>
        <v>28.708593749999999</v>
      </c>
      <c r="BK44" s="346">
        <f t="shared" si="57"/>
        <v>11.608641801068185</v>
      </c>
      <c r="BL44" s="397"/>
      <c r="BM44" s="420">
        <f t="shared" si="44"/>
        <v>1028.1079871699067</v>
      </c>
      <c r="BN44" s="421">
        <f t="shared" si="44"/>
        <v>2857.1590258266629</v>
      </c>
      <c r="BO44" s="422">
        <f t="shared" si="45"/>
        <v>3885.2670129965695</v>
      </c>
    </row>
    <row r="45" spans="1:67" x14ac:dyDescent="0.25">
      <c r="A45" s="27">
        <f t="shared" si="29"/>
        <v>47679</v>
      </c>
      <c r="B45" s="38"/>
      <c r="C45" s="39"/>
      <c r="D45" s="40">
        <v>1.7500000000000002E-2</v>
      </c>
      <c r="E45" s="40">
        <v>1.25E-3</v>
      </c>
      <c r="F45" s="40">
        <v>0.05</v>
      </c>
      <c r="G45" s="40">
        <v>0.04</v>
      </c>
      <c r="H45" s="40">
        <v>0.05</v>
      </c>
      <c r="I45" s="40">
        <v>4.2500000000000003E-2</v>
      </c>
      <c r="J45" s="40">
        <v>4.8750000000000002E-2</v>
      </c>
      <c r="K45" s="40">
        <v>4.4999999999999998E-2</v>
      </c>
      <c r="L45" s="40">
        <v>0.05</v>
      </c>
      <c r="M45" s="41">
        <v>4.1250000000000002E-2</v>
      </c>
      <c r="N45" s="2">
        <f t="shared" si="30"/>
        <v>2030</v>
      </c>
      <c r="O45" s="32">
        <f t="shared" si="31"/>
        <v>47679</v>
      </c>
      <c r="P45" s="348"/>
      <c r="Q45" s="345"/>
      <c r="R45" s="345"/>
      <c r="S45" s="346"/>
      <c r="T45" s="348"/>
      <c r="U45" s="345"/>
      <c r="V45" s="345"/>
      <c r="W45" s="346"/>
      <c r="X45" s="348">
        <f>+IF($O45&gt;D$8,"FIN",(D$19-SUM(Y$25:Y44))*VLOOKUP($O45,$A:$N,4,0)/VLOOKUP(D$15,$K$1:$M$4,2,0))</f>
        <v>9.8437500000000018</v>
      </c>
      <c r="Y45" s="345">
        <f t="shared" si="34"/>
        <v>1125</v>
      </c>
      <c r="Z45" s="345">
        <f t="shared" si="9"/>
        <v>1134.84375</v>
      </c>
      <c r="AA45" s="346">
        <f t="shared" si="48"/>
        <v>437.53139236354485</v>
      </c>
      <c r="AB45" s="348">
        <f>+IF($O45&gt;E$8,"FIN",(E$19-SUM(AC$25:AC44))*VLOOKUP($O45,$A:$N,5,0)/VLOOKUP(E$15,$K$1:$M$4,2,0))</f>
        <v>0.15104166666666685</v>
      </c>
      <c r="AC45" s="345">
        <f t="shared" si="35"/>
        <v>241.66666666666666</v>
      </c>
      <c r="AD45" s="345">
        <f t="shared" si="11"/>
        <v>241.81770833333331</v>
      </c>
      <c r="AE45" s="346">
        <f t="shared" si="49"/>
        <v>93.231194713144347</v>
      </c>
      <c r="AF45" s="348">
        <f>+IF($O45&gt;F$8,"FIN",(F$19-SUM(AG$25:AG44))*VLOOKUP($O45,$A:$N,6,0)/VLOOKUP(F$15,$K$1:$M$4,2,0))</f>
        <v>324.5625</v>
      </c>
      <c r="AG45" s="345">
        <f t="shared" si="36"/>
        <v>0</v>
      </c>
      <c r="AH45" s="345">
        <f t="shared" si="13"/>
        <v>324.5625</v>
      </c>
      <c r="AI45" s="346">
        <f t="shared" si="50"/>
        <v>125.13289387547231</v>
      </c>
      <c r="AJ45" s="348">
        <f>+IF($O45&gt;G$8,"FIN",(G$19-SUM(AK$25:AK44))*VLOOKUP($O45,$A:$N,7,0)/VLOOKUP(G$15,$K$1:$M$4,2,0))</f>
        <v>38.525730550284628</v>
      </c>
      <c r="AK45" s="345">
        <f t="shared" si="37"/>
        <v>0</v>
      </c>
      <c r="AL45" s="345">
        <f t="shared" si="15"/>
        <v>38.525730550284628</v>
      </c>
      <c r="AM45" s="346">
        <f t="shared" si="51"/>
        <v>14.853336884032529</v>
      </c>
      <c r="AN45" s="348">
        <f>+IF($O45&gt;H$8,"FIN",(H$19-SUM(AO$25:AO44))*VLOOKUP($O45,$A:$N,8,0)/VLOOKUP(H$15,$K$1:$M$4,2,0))</f>
        <v>107.51131763596591</v>
      </c>
      <c r="AO45" s="345">
        <f t="shared" si="38"/>
        <v>252.96780620227273</v>
      </c>
      <c r="AP45" s="345">
        <f t="shared" si="17"/>
        <v>360.47912383823865</v>
      </c>
      <c r="AQ45" s="346">
        <f t="shared" si="52"/>
        <v>138.98030717526996</v>
      </c>
      <c r="AR45" s="348">
        <f>+IF($O45&gt;I$8,"FIN",(I$19-SUM(AS$25:AS44))*VLOOKUP($O45,$A:$N,9,0)/VLOOKUP(I$15,$K$1:$M$4,2,0))</f>
        <v>94.849209171848287</v>
      </c>
      <c r="AS45" s="345">
        <f t="shared" si="39"/>
        <v>262.55836448954545</v>
      </c>
      <c r="AT45" s="345">
        <f t="shared" si="19"/>
        <v>357.40757366139371</v>
      </c>
      <c r="AU45" s="346">
        <f t="shared" si="53"/>
        <v>137.79609161644132</v>
      </c>
      <c r="AV45" s="348">
        <f>+IF($O45&gt;J$8,"FIN",(J$19-SUM(AW$25:AW44))*VLOOKUP($O45,$A:$N,10,0)/VLOOKUP(J$15,$K$1:$M$4,2,0))</f>
        <v>100.79343023912502</v>
      </c>
      <c r="AW45" s="345">
        <f t="shared" si="40"/>
        <v>179.78761246666667</v>
      </c>
      <c r="AX45" s="345">
        <f t="shared" si="21"/>
        <v>280.58104270579167</v>
      </c>
      <c r="AY45" s="346">
        <f t="shared" si="54"/>
        <v>108.17613815635877</v>
      </c>
      <c r="AZ45" s="348">
        <f>+IF($O45&gt;K$8,"FIN",(K$19-SUM(BA$25:BA44))*VLOOKUP($O45,$A:$N,11,0)/VLOOKUP(K$15,$K$1:$M$4,2,0))</f>
        <v>111.66309844049998</v>
      </c>
      <c r="BA45" s="345">
        <f t="shared" si="41"/>
        <v>215.77410326666666</v>
      </c>
      <c r="BB45" s="345">
        <f t="shared" si="23"/>
        <v>327.43720170716665</v>
      </c>
      <c r="BC45" s="346">
        <f t="shared" si="55"/>
        <v>126.24121582778203</v>
      </c>
      <c r="BD45" s="348">
        <f>+IF($O45&gt;L$8,"FIN",(L$19-SUM(BE$25:BE44))*VLOOKUP($O45,$A:$N,12,0)/VLOOKUP(L$15,$K$1:$M$4,2,0))</f>
        <v>157.78125</v>
      </c>
      <c r="BE45" s="345">
        <f t="shared" si="42"/>
        <v>191.25</v>
      </c>
      <c r="BF45" s="345">
        <f t="shared" si="25"/>
        <v>349.03125</v>
      </c>
      <c r="BG45" s="346">
        <f t="shared" si="56"/>
        <v>134.56665623870114</v>
      </c>
      <c r="BH45" s="348">
        <f>+IF($O45&gt;M$8,"FIN",(M$19-SUM(BI$25:BI44))*VLOOKUP($O45,$A:$N,13,0)/VLOOKUP(M$15,$K$1:$M$4,2,0))</f>
        <v>11.485546875000001</v>
      </c>
      <c r="BI45" s="345">
        <f t="shared" si="43"/>
        <v>16.875</v>
      </c>
      <c r="BJ45" s="345">
        <f t="shared" si="27"/>
        <v>28.360546875000001</v>
      </c>
      <c r="BK45" s="346">
        <f t="shared" si="57"/>
        <v>10.93421853220792</v>
      </c>
      <c r="BL45" s="397"/>
      <c r="BM45" s="420">
        <f t="shared" si="44"/>
        <v>989.08526193434386</v>
      </c>
      <c r="BN45" s="421">
        <f t="shared" si="44"/>
        <v>2577.512428364103</v>
      </c>
      <c r="BO45" s="422">
        <f t="shared" si="45"/>
        <v>3566.5976902984467</v>
      </c>
    </row>
    <row r="46" spans="1:67" x14ac:dyDescent="0.25">
      <c r="A46" s="27">
        <f t="shared" si="29"/>
        <v>47863</v>
      </c>
      <c r="B46" s="38"/>
      <c r="C46" s="39"/>
      <c r="D46" s="40"/>
      <c r="E46" s="40"/>
      <c r="F46" s="40">
        <v>0.05</v>
      </c>
      <c r="G46" s="40">
        <v>0.04</v>
      </c>
      <c r="H46" s="40">
        <v>0.05</v>
      </c>
      <c r="I46" s="40">
        <v>4.2500000000000003E-2</v>
      </c>
      <c r="J46" s="40">
        <v>4.8750000000000002E-2</v>
      </c>
      <c r="K46" s="40">
        <v>4.4999999999999998E-2</v>
      </c>
      <c r="L46" s="40">
        <v>0.05</v>
      </c>
      <c r="M46" s="41">
        <v>4.1250000000000002E-2</v>
      </c>
      <c r="N46" s="2">
        <f t="shared" si="30"/>
        <v>2031</v>
      </c>
      <c r="O46" s="32">
        <f t="shared" si="31"/>
        <v>47863</v>
      </c>
      <c r="P46" s="348"/>
      <c r="Q46" s="345"/>
      <c r="R46" s="345"/>
      <c r="S46" s="346"/>
      <c r="T46" s="348"/>
      <c r="U46" s="345"/>
      <c r="V46" s="345"/>
      <c r="W46" s="346"/>
      <c r="X46" s="348"/>
      <c r="Y46" s="345"/>
      <c r="Z46" s="345"/>
      <c r="AA46" s="346"/>
      <c r="AB46" s="348"/>
      <c r="AC46" s="345"/>
      <c r="AD46" s="345"/>
      <c r="AE46" s="346"/>
      <c r="AF46" s="348">
        <f>+IF($O46&gt;F$8,"FIN",(F$19-SUM(AG$25:AG45))*VLOOKUP($O46,$A:$N,6,0)/VLOOKUP(F$15,$K$1:$M$4,2,0))</f>
        <v>324.5625</v>
      </c>
      <c r="AG46" s="345">
        <f t="shared" si="36"/>
        <v>1298.2499999999998</v>
      </c>
      <c r="AH46" s="345">
        <f t="shared" si="13"/>
        <v>1622.8124999999998</v>
      </c>
      <c r="AI46" s="346">
        <f t="shared" si="50"/>
        <v>596.54766497150854</v>
      </c>
      <c r="AJ46" s="348">
        <f>+IF($O46&gt;G$8,"FIN",(G$19-SUM(AK$25:AK45))*VLOOKUP($O46,$A:$N,7,0)/VLOOKUP(G$15,$K$1:$M$4,2,0))</f>
        <v>38.525730550284628</v>
      </c>
      <c r="AK46" s="345">
        <f t="shared" si="37"/>
        <v>192.62865275142312</v>
      </c>
      <c r="AL46" s="345">
        <f t="shared" si="15"/>
        <v>231.15438330170775</v>
      </c>
      <c r="AM46" s="346">
        <f t="shared" si="51"/>
        <v>84.97260626632027</v>
      </c>
      <c r="AN46" s="348">
        <f>+IF($O46&gt;H$8,"FIN",(H$19-SUM(AO$25:AO45))*VLOOKUP($O46,$A:$N,8,0)/VLOOKUP(H$15,$K$1:$M$4,2,0))</f>
        <v>101.1871224809091</v>
      </c>
      <c r="AO46" s="345">
        <f t="shared" si="38"/>
        <v>252.96780620227273</v>
      </c>
      <c r="AP46" s="345">
        <f t="shared" si="17"/>
        <v>354.15492868318182</v>
      </c>
      <c r="AQ46" s="346">
        <f t="shared" si="52"/>
        <v>130.18774241885819</v>
      </c>
      <c r="AR46" s="348">
        <f>+IF($O46&gt;I$8,"FIN",(I$19-SUM(AS$25:AS45))*VLOOKUP($O46,$A:$N,9,0)/VLOOKUP(I$15,$K$1:$M$4,2,0))</f>
        <v>89.269843926445446</v>
      </c>
      <c r="AS46" s="345">
        <f t="shared" si="39"/>
        <v>262.55836448954545</v>
      </c>
      <c r="AT46" s="345">
        <f t="shared" si="19"/>
        <v>351.8282084159909</v>
      </c>
      <c r="AU46" s="346">
        <f t="shared" si="53"/>
        <v>129.33243748225297</v>
      </c>
      <c r="AV46" s="348">
        <f>+IF($O46&gt;J$8,"FIN",(J$19-SUM(AW$25:AW45))*VLOOKUP($O46,$A:$N,10,0)/VLOOKUP(J$15,$K$1:$M$4,2,0))</f>
        <v>96.411107185250003</v>
      </c>
      <c r="AW46" s="345">
        <f t="shared" si="40"/>
        <v>179.78761246666667</v>
      </c>
      <c r="AX46" s="345">
        <f t="shared" si="21"/>
        <v>276.19871965191669</v>
      </c>
      <c r="AY46" s="346">
        <f t="shared" si="54"/>
        <v>101.53095399281879</v>
      </c>
      <c r="AZ46" s="348">
        <f>+IF($O46&gt;K$8,"FIN",(K$19-SUM(BA$25:BA45))*VLOOKUP($O46,$A:$N,11,0)/VLOOKUP(K$15,$K$1:$M$4,2,0))</f>
        <v>106.80818111699999</v>
      </c>
      <c r="BA46" s="345">
        <f t="shared" si="41"/>
        <v>215.77410326666666</v>
      </c>
      <c r="BB46" s="345">
        <f t="shared" si="23"/>
        <v>322.58228438366666</v>
      </c>
      <c r="BC46" s="346">
        <f t="shared" si="55"/>
        <v>118.58160354954839</v>
      </c>
      <c r="BD46" s="348">
        <f>+IF($O46&gt;L$8,"FIN",(L$19-SUM(BE$25:BE45))*VLOOKUP($O46,$A:$N,12,0)/VLOOKUP(L$15,$K$1:$M$4,2,0))</f>
        <v>153</v>
      </c>
      <c r="BE46" s="345">
        <f t="shared" si="42"/>
        <v>191.25</v>
      </c>
      <c r="BF46" s="345">
        <f t="shared" si="25"/>
        <v>344.25</v>
      </c>
      <c r="BG46" s="346">
        <f t="shared" si="56"/>
        <v>126.54667970972731</v>
      </c>
      <c r="BH46" s="348">
        <f>+IF($O46&gt;M$8,"FIN",(M$19-SUM(BI$25:BI45))*VLOOKUP($O46,$A:$N,13,0)/VLOOKUP(M$15,$K$1:$M$4,2,0))</f>
        <v>11.137500000000001</v>
      </c>
      <c r="BI46" s="345">
        <f t="shared" si="43"/>
        <v>16.875</v>
      </c>
      <c r="BJ46" s="345">
        <f t="shared" si="27"/>
        <v>28.012500000000003</v>
      </c>
      <c r="BK46" s="346">
        <f t="shared" si="57"/>
        <v>10.297425897948401</v>
      </c>
      <c r="BL46" s="397"/>
      <c r="BM46" s="420">
        <f t="shared" si="44"/>
        <v>951.46076968609395</v>
      </c>
      <c r="BN46" s="421">
        <f t="shared" si="44"/>
        <v>2695.6263659453448</v>
      </c>
      <c r="BO46" s="422">
        <f t="shared" si="45"/>
        <v>3647.0871356314387</v>
      </c>
    </row>
    <row r="47" spans="1:67" x14ac:dyDescent="0.25">
      <c r="A47" s="27">
        <f t="shared" si="29"/>
        <v>48044</v>
      </c>
      <c r="B47" s="38"/>
      <c r="C47" s="39"/>
      <c r="D47" s="40"/>
      <c r="E47" s="40"/>
      <c r="F47" s="40">
        <v>0.05</v>
      </c>
      <c r="G47" s="40">
        <v>0.04</v>
      </c>
      <c r="H47" s="40">
        <v>0.05</v>
      </c>
      <c r="I47" s="40">
        <v>4.2500000000000003E-2</v>
      </c>
      <c r="J47" s="40">
        <v>4.8750000000000002E-2</v>
      </c>
      <c r="K47" s="40">
        <v>4.4999999999999998E-2</v>
      </c>
      <c r="L47" s="40">
        <v>0.05</v>
      </c>
      <c r="M47" s="41">
        <v>4.1250000000000002E-2</v>
      </c>
      <c r="N47" s="2">
        <f t="shared" si="30"/>
        <v>2031</v>
      </c>
      <c r="O47" s="32">
        <f t="shared" si="31"/>
        <v>48044</v>
      </c>
      <c r="P47" s="348"/>
      <c r="Q47" s="345"/>
      <c r="R47" s="345"/>
      <c r="S47" s="346"/>
      <c r="T47" s="348"/>
      <c r="U47" s="345"/>
      <c r="V47" s="345"/>
      <c r="W47" s="346"/>
      <c r="X47" s="348"/>
      <c r="Y47" s="345"/>
      <c r="Z47" s="345"/>
      <c r="AA47" s="346"/>
      <c r="AB47" s="348"/>
      <c r="AC47" s="345"/>
      <c r="AD47" s="345"/>
      <c r="AE47" s="346"/>
      <c r="AF47" s="348">
        <f>+IF($O47&gt;F$8,"FIN",(F$19-SUM(AG$25:AG46))*VLOOKUP($O47,$A:$N,6,0)/VLOOKUP(F$15,$K$1:$M$4,2,0))</f>
        <v>292.10624999999999</v>
      </c>
      <c r="AG47" s="345">
        <f t="shared" si="36"/>
        <v>1298.2499999999998</v>
      </c>
      <c r="AH47" s="345">
        <f t="shared" si="13"/>
        <v>1590.3562499999998</v>
      </c>
      <c r="AI47" s="346">
        <f t="shared" si="50"/>
        <v>557.41016362710377</v>
      </c>
      <c r="AJ47" s="348">
        <f>+IF($O47&gt;G$8,"FIN",(G$19-SUM(AK$25:AK46))*VLOOKUP($O47,$A:$N,7,0)/VLOOKUP(G$15,$K$1:$M$4,2,0))</f>
        <v>34.673157495256163</v>
      </c>
      <c r="AK47" s="345">
        <f t="shared" si="37"/>
        <v>192.62865275142312</v>
      </c>
      <c r="AL47" s="345">
        <f t="shared" si="15"/>
        <v>227.30181024667928</v>
      </c>
      <c r="AM47" s="346">
        <f t="shared" si="51"/>
        <v>79.667897832538088</v>
      </c>
      <c r="AN47" s="348">
        <f>+IF($O47&gt;H$8,"FIN",(H$19-SUM(AO$25:AO46))*VLOOKUP($O47,$A:$N,8,0)/VLOOKUP(H$15,$K$1:$M$4,2,0))</f>
        <v>94.862927325852283</v>
      </c>
      <c r="AO47" s="345">
        <f t="shared" si="38"/>
        <v>252.96780620227273</v>
      </c>
      <c r="AP47" s="345">
        <f t="shared" si="17"/>
        <v>347.83073352812499</v>
      </c>
      <c r="AQ47" s="346">
        <f t="shared" si="52"/>
        <v>121.91255015374556</v>
      </c>
      <c r="AR47" s="348">
        <f>+IF($O47&gt;I$8,"FIN",(I$19-SUM(AS$25:AS46))*VLOOKUP($O47,$A:$N,9,0)/VLOOKUP(I$15,$K$1:$M$4,2,0))</f>
        <v>83.690478681042606</v>
      </c>
      <c r="AS47" s="345">
        <f t="shared" si="39"/>
        <v>262.55836448954545</v>
      </c>
      <c r="AT47" s="345">
        <f t="shared" si="19"/>
        <v>346.24884317058809</v>
      </c>
      <c r="AU47" s="346">
        <f t="shared" si="53"/>
        <v>121.35810723378043</v>
      </c>
      <c r="AV47" s="348">
        <f>+IF($O47&gt;J$8,"FIN",(J$19-SUM(AW$25:AW46))*VLOOKUP($O47,$A:$N,10,0)/VLOOKUP(J$15,$K$1:$M$4,2,0))</f>
        <v>92.028784131375005</v>
      </c>
      <c r="AW47" s="345">
        <f t="shared" si="40"/>
        <v>179.78761246666667</v>
      </c>
      <c r="AX47" s="345">
        <f t="shared" si="21"/>
        <v>271.81639659804171</v>
      </c>
      <c r="AY47" s="346">
        <f t="shared" si="54"/>
        <v>95.269988786628261</v>
      </c>
      <c r="AZ47" s="348">
        <f>+IF($O47&gt;K$8,"FIN",(K$19-SUM(BA$25:BA46))*VLOOKUP($O47,$A:$N,11,0)/VLOOKUP(K$15,$K$1:$M$4,2,0))</f>
        <v>101.95326379349997</v>
      </c>
      <c r="BA47" s="345">
        <f t="shared" si="41"/>
        <v>215.77410326666666</v>
      </c>
      <c r="BB47" s="345">
        <f t="shared" si="23"/>
        <v>317.72736706016661</v>
      </c>
      <c r="BC47" s="346">
        <f t="shared" si="55"/>
        <v>111.36150385287344</v>
      </c>
      <c r="BD47" s="348">
        <f>+IF($O47&gt;L$8,"FIN",(L$19-SUM(BE$25:BE46))*VLOOKUP($O47,$A:$N,12,0)/VLOOKUP(L$15,$K$1:$M$4,2,0))</f>
        <v>148.21875</v>
      </c>
      <c r="BE47" s="345">
        <f t="shared" si="42"/>
        <v>191.25</v>
      </c>
      <c r="BF47" s="345">
        <f t="shared" si="25"/>
        <v>339.46875</v>
      </c>
      <c r="BG47" s="346">
        <f t="shared" si="56"/>
        <v>118.98172593957386</v>
      </c>
      <c r="BH47" s="348">
        <f>+IF($O47&gt;M$8,"FIN",(M$19-SUM(BI$25:BI46))*VLOOKUP($O47,$A:$N,13,0)/VLOOKUP(M$15,$K$1:$M$4,2,0))</f>
        <v>10.789453125</v>
      </c>
      <c r="BI47" s="345">
        <f t="shared" si="43"/>
        <v>16.875</v>
      </c>
      <c r="BJ47" s="345">
        <f t="shared" si="27"/>
        <v>27.664453125000001</v>
      </c>
      <c r="BK47" s="346">
        <f t="shared" si="57"/>
        <v>9.6962220528014367</v>
      </c>
      <c r="BL47" s="397"/>
      <c r="BM47" s="420">
        <f t="shared" si="44"/>
        <v>887.06194767804891</v>
      </c>
      <c r="BN47" s="421">
        <f t="shared" si="44"/>
        <v>2695.6263659453448</v>
      </c>
      <c r="BO47" s="422">
        <f t="shared" si="45"/>
        <v>3582.6883136233937</v>
      </c>
    </row>
    <row r="48" spans="1:67" x14ac:dyDescent="0.25">
      <c r="A48" s="27">
        <f t="shared" si="29"/>
        <v>48228</v>
      </c>
      <c r="B48" s="38"/>
      <c r="C48" s="39"/>
      <c r="D48" s="40"/>
      <c r="E48" s="40"/>
      <c r="F48" s="40">
        <v>0.05</v>
      </c>
      <c r="G48" s="40">
        <v>0.04</v>
      </c>
      <c r="H48" s="40">
        <v>0.05</v>
      </c>
      <c r="I48" s="40">
        <v>4.2500000000000003E-2</v>
      </c>
      <c r="J48" s="40">
        <v>4.8750000000000002E-2</v>
      </c>
      <c r="K48" s="40">
        <v>4.4999999999999998E-2</v>
      </c>
      <c r="L48" s="40">
        <v>0.05</v>
      </c>
      <c r="M48" s="41">
        <v>4.1250000000000002E-2</v>
      </c>
      <c r="N48" s="2">
        <f t="shared" si="30"/>
        <v>2032</v>
      </c>
      <c r="O48" s="32">
        <f t="shared" si="31"/>
        <v>48228</v>
      </c>
      <c r="P48" s="348"/>
      <c r="Q48" s="345"/>
      <c r="R48" s="345"/>
      <c r="S48" s="346"/>
      <c r="T48" s="348"/>
      <c r="U48" s="345"/>
      <c r="V48" s="345"/>
      <c r="W48" s="346"/>
      <c r="X48" s="348"/>
      <c r="Y48" s="345"/>
      <c r="Z48" s="345"/>
      <c r="AA48" s="346"/>
      <c r="AB48" s="348"/>
      <c r="AC48" s="345"/>
      <c r="AD48" s="345"/>
      <c r="AE48" s="346"/>
      <c r="AF48" s="348">
        <f>+IF($O48&gt;F$8,"FIN",(F$19-SUM(AG$25:AG47))*VLOOKUP($O48,$A:$N,6,0)/VLOOKUP(F$15,$K$1:$M$4,2,0))</f>
        <v>259.64999999999998</v>
      </c>
      <c r="AG48" s="345">
        <f t="shared" si="36"/>
        <v>1298.2499999999998</v>
      </c>
      <c r="AH48" s="345">
        <f t="shared" si="13"/>
        <v>1557.8999999999996</v>
      </c>
      <c r="AI48" s="346">
        <f t="shared" si="50"/>
        <v>520.62341670240733</v>
      </c>
      <c r="AJ48" s="348">
        <f>+IF($O48&gt;G$8,"FIN",(G$19-SUM(AK$25:AK47))*VLOOKUP($O48,$A:$N,7,0)/VLOOKUP(G$15,$K$1:$M$4,2,0))</f>
        <v>30.820584440227698</v>
      </c>
      <c r="AK48" s="345">
        <f t="shared" si="37"/>
        <v>192.62865275142312</v>
      </c>
      <c r="AL48" s="345">
        <f t="shared" si="15"/>
        <v>223.44923719165081</v>
      </c>
      <c r="AM48" s="346">
        <f t="shared" si="51"/>
        <v>74.672896415857181</v>
      </c>
      <c r="AN48" s="348">
        <f>+IF($O48&gt;H$8,"FIN",(H$19-SUM(AO$25:AO47))*VLOOKUP($O48,$A:$N,8,0)/VLOOKUP(H$15,$K$1:$M$4,2,0))</f>
        <v>88.53873217079547</v>
      </c>
      <c r="AO48" s="345">
        <f t="shared" si="38"/>
        <v>252.96780620227273</v>
      </c>
      <c r="AP48" s="345">
        <f t="shared" si="17"/>
        <v>341.50653837306822</v>
      </c>
      <c r="AQ48" s="346">
        <f t="shared" si="52"/>
        <v>114.12561835419386</v>
      </c>
      <c r="AR48" s="348">
        <f>+IF($O48&gt;I$8,"FIN",(I$19-SUM(AS$25:AS47))*VLOOKUP($O48,$A:$N,9,0)/VLOOKUP(I$15,$K$1:$M$4,2,0))</f>
        <v>78.111113435639766</v>
      </c>
      <c r="AS48" s="345">
        <f t="shared" si="39"/>
        <v>262.55836448954545</v>
      </c>
      <c r="AT48" s="345">
        <f t="shared" si="19"/>
        <v>340.66947792518522</v>
      </c>
      <c r="AU48" s="346">
        <f t="shared" si="53"/>
        <v>113.84588713244452</v>
      </c>
      <c r="AV48" s="348">
        <f>+IF($O48&gt;J$8,"FIN",(J$19-SUM(AW$25:AW47))*VLOOKUP($O48,$A:$N,10,0)/VLOOKUP(J$15,$K$1:$M$4,2,0))</f>
        <v>87.646461077500007</v>
      </c>
      <c r="AW48" s="345">
        <f t="shared" si="40"/>
        <v>179.78761246666667</v>
      </c>
      <c r="AX48" s="345">
        <f t="shared" si="21"/>
        <v>267.43407354416667</v>
      </c>
      <c r="AY48" s="346">
        <f t="shared" si="54"/>
        <v>89.371873105595341</v>
      </c>
      <c r="AZ48" s="348">
        <f>+IF($O48&gt;K$8,"FIN",(K$19-SUM(BA$25:BA47))*VLOOKUP($O48,$A:$N,11,0)/VLOOKUP(K$15,$K$1:$M$4,2,0))</f>
        <v>97.098346469999967</v>
      </c>
      <c r="BA48" s="345">
        <f t="shared" si="41"/>
        <v>215.77410326666666</v>
      </c>
      <c r="BB48" s="345">
        <f t="shared" si="23"/>
        <v>312.87244973666662</v>
      </c>
      <c r="BC48" s="346">
        <f t="shared" si="55"/>
        <v>104.55659783937071</v>
      </c>
      <c r="BD48" s="348">
        <f>+IF($O48&gt;L$8,"FIN",(L$19-SUM(BE$25:BE47))*VLOOKUP($O48,$A:$N,12,0)/VLOOKUP(L$15,$K$1:$M$4,2,0))</f>
        <v>143.4375</v>
      </c>
      <c r="BE48" s="345">
        <f t="shared" si="42"/>
        <v>191.25</v>
      </c>
      <c r="BF48" s="345">
        <f t="shared" si="25"/>
        <v>334.6875</v>
      </c>
      <c r="BG48" s="346">
        <f t="shared" si="56"/>
        <v>111.84681287475897</v>
      </c>
      <c r="BH48" s="348">
        <f>+IF($O48&gt;M$8,"FIN",(M$19-SUM(BI$25:BI47))*VLOOKUP($O48,$A:$N,13,0)/VLOOKUP(M$15,$K$1:$M$4,2,0))</f>
        <v>10.44140625</v>
      </c>
      <c r="BI48" s="345">
        <f t="shared" si="43"/>
        <v>16.875</v>
      </c>
      <c r="BJ48" s="345">
        <f t="shared" si="27"/>
        <v>27.31640625</v>
      </c>
      <c r="BK48" s="346">
        <f t="shared" si="57"/>
        <v>9.1286736978663576</v>
      </c>
      <c r="BL48" s="397"/>
      <c r="BM48" s="420">
        <f t="shared" si="44"/>
        <v>822.66312567000386</v>
      </c>
      <c r="BN48" s="421">
        <f t="shared" si="44"/>
        <v>2695.6263659453448</v>
      </c>
      <c r="BO48" s="422">
        <f t="shared" si="45"/>
        <v>3518.2894916153487</v>
      </c>
    </row>
    <row r="49" spans="1:67" x14ac:dyDescent="0.25">
      <c r="A49" s="27">
        <f t="shared" si="29"/>
        <v>48410</v>
      </c>
      <c r="B49" s="38"/>
      <c r="C49" s="39"/>
      <c r="D49" s="40"/>
      <c r="E49" s="40"/>
      <c r="F49" s="40">
        <v>0.05</v>
      </c>
      <c r="G49" s="40">
        <v>0.04</v>
      </c>
      <c r="H49" s="40">
        <v>0.05</v>
      </c>
      <c r="I49" s="40">
        <v>4.2500000000000003E-2</v>
      </c>
      <c r="J49" s="40">
        <v>4.8750000000000002E-2</v>
      </c>
      <c r="K49" s="40">
        <v>4.4999999999999998E-2</v>
      </c>
      <c r="L49" s="40">
        <v>0.05</v>
      </c>
      <c r="M49" s="41">
        <v>4.1250000000000002E-2</v>
      </c>
      <c r="N49" s="2">
        <f t="shared" si="30"/>
        <v>2032</v>
      </c>
      <c r="O49" s="32">
        <f t="shared" si="31"/>
        <v>48410</v>
      </c>
      <c r="P49" s="348"/>
      <c r="Q49" s="345"/>
      <c r="R49" s="345"/>
      <c r="S49" s="346"/>
      <c r="T49" s="348"/>
      <c r="U49" s="345"/>
      <c r="V49" s="345"/>
      <c r="W49" s="346"/>
      <c r="X49" s="348"/>
      <c r="Y49" s="345"/>
      <c r="Z49" s="345"/>
      <c r="AA49" s="346"/>
      <c r="AB49" s="348"/>
      <c r="AC49" s="345"/>
      <c r="AD49" s="345"/>
      <c r="AE49" s="346"/>
      <c r="AF49" s="348">
        <f>+IF($O49&gt;F$8,"FIN",(F$19-SUM(AG$25:AG48))*VLOOKUP($O49,$A:$N,6,0)/VLOOKUP(F$15,$K$1:$M$4,2,0))</f>
        <v>227.19375000000002</v>
      </c>
      <c r="AG49" s="345">
        <f t="shared" si="36"/>
        <v>1298.2499999999998</v>
      </c>
      <c r="AH49" s="345">
        <f t="shared" si="13"/>
        <v>1525.4437499999999</v>
      </c>
      <c r="AI49" s="346">
        <f t="shared" si="50"/>
        <v>486.05338943365268</v>
      </c>
      <c r="AJ49" s="348">
        <f>+IF($O49&gt;G$8,"FIN",(G$19-SUM(AK$25:AK48))*VLOOKUP($O49,$A:$N,7,0)/VLOOKUP(G$15,$K$1:$M$4,2,0))</f>
        <v>26.96801138519924</v>
      </c>
      <c r="AK49" s="345">
        <f t="shared" si="37"/>
        <v>192.62865275142312</v>
      </c>
      <c r="AL49" s="345">
        <f t="shared" si="15"/>
        <v>219.59666413662237</v>
      </c>
      <c r="AM49" s="346">
        <f t="shared" si="51"/>
        <v>69.970264660318506</v>
      </c>
      <c r="AN49" s="348">
        <f>+IF($O49&gt;H$8,"FIN",(H$19-SUM(AO$25:AO48))*VLOOKUP($O49,$A:$N,8,0)/VLOOKUP(H$15,$K$1:$M$4,2,0))</f>
        <v>82.214537015738642</v>
      </c>
      <c r="AO49" s="345">
        <f t="shared" si="38"/>
        <v>252.96780620227273</v>
      </c>
      <c r="AP49" s="345">
        <f t="shared" si="17"/>
        <v>335.1823432180114</v>
      </c>
      <c r="AQ49" s="346">
        <f t="shared" si="52"/>
        <v>106.79942410162835</v>
      </c>
      <c r="AR49" s="348">
        <f>+IF($O49&gt;I$8,"FIN",(I$19-SUM(AS$25:AS48))*VLOOKUP($O49,$A:$N,9,0)/VLOOKUP(I$15,$K$1:$M$4,2,0))</f>
        <v>72.531748190236925</v>
      </c>
      <c r="AS49" s="345">
        <f t="shared" si="39"/>
        <v>262.55836448954545</v>
      </c>
      <c r="AT49" s="345">
        <f t="shared" si="19"/>
        <v>335.09011267978235</v>
      </c>
      <c r="AU49" s="346">
        <f t="shared" si="53"/>
        <v>106.77003660981457</v>
      </c>
      <c r="AV49" s="348">
        <f>+IF($O49&gt;J$8,"FIN",(J$19-SUM(AW$25:AW48))*VLOOKUP($O49,$A:$N,10,0)/VLOOKUP(J$15,$K$1:$M$4,2,0))</f>
        <v>83.264138023625023</v>
      </c>
      <c r="AW49" s="345">
        <f t="shared" si="40"/>
        <v>179.78761246666667</v>
      </c>
      <c r="AX49" s="345">
        <f t="shared" si="21"/>
        <v>263.05175049029168</v>
      </c>
      <c r="AY49" s="346">
        <f t="shared" si="54"/>
        <v>83.816394358862325</v>
      </c>
      <c r="AZ49" s="348">
        <f>+IF($O49&gt;K$8,"FIN",(K$19-SUM(BA$25:BA48))*VLOOKUP($O49,$A:$N,11,0)/VLOOKUP(K$15,$K$1:$M$4,2,0))</f>
        <v>92.243429146499963</v>
      </c>
      <c r="BA49" s="345">
        <f t="shared" si="41"/>
        <v>215.77410326666666</v>
      </c>
      <c r="BB49" s="345">
        <f t="shared" si="23"/>
        <v>308.01753241316663</v>
      </c>
      <c r="BC49" s="346">
        <f t="shared" si="55"/>
        <v>98.143878221933534</v>
      </c>
      <c r="BD49" s="348">
        <f>+IF($O49&gt;L$8,"FIN",(L$19-SUM(BE$25:BE48))*VLOOKUP($O49,$A:$N,12,0)/VLOOKUP(L$15,$K$1:$M$4,2,0))</f>
        <v>138.65625</v>
      </c>
      <c r="BE49" s="345">
        <f t="shared" si="42"/>
        <v>191.25</v>
      </c>
      <c r="BF49" s="345">
        <f t="shared" si="25"/>
        <v>329.90625</v>
      </c>
      <c r="BG49" s="346">
        <f t="shared" si="56"/>
        <v>105.11829820525732</v>
      </c>
      <c r="BH49" s="348">
        <f>+IF($O49&gt;M$8,"FIN",(M$19-SUM(BI$25:BI48))*VLOOKUP($O49,$A:$N,13,0)/VLOOKUP(M$15,$K$1:$M$4,2,0))</f>
        <v>10.093359375</v>
      </c>
      <c r="BI49" s="345">
        <f t="shared" si="43"/>
        <v>16.875</v>
      </c>
      <c r="BJ49" s="345">
        <f t="shared" si="27"/>
        <v>26.968359374999999</v>
      </c>
      <c r="BK49" s="346">
        <f t="shared" si="57"/>
        <v>8.5929503999630104</v>
      </c>
      <c r="BL49" s="397"/>
      <c r="BM49" s="420">
        <f t="shared" si="44"/>
        <v>758.26430366195882</v>
      </c>
      <c r="BN49" s="421">
        <f t="shared" si="44"/>
        <v>2695.6263659453448</v>
      </c>
      <c r="BO49" s="422">
        <f t="shared" si="45"/>
        <v>3453.8906696073036</v>
      </c>
    </row>
    <row r="50" spans="1:67" x14ac:dyDescent="0.25">
      <c r="A50" s="27">
        <f t="shared" si="29"/>
        <v>48594</v>
      </c>
      <c r="B50" s="38"/>
      <c r="C50" s="39"/>
      <c r="D50" s="40"/>
      <c r="E50" s="40"/>
      <c r="F50" s="40">
        <v>0.05</v>
      </c>
      <c r="G50" s="40">
        <v>0.04</v>
      </c>
      <c r="H50" s="40">
        <v>0.05</v>
      </c>
      <c r="I50" s="40">
        <v>4.2500000000000003E-2</v>
      </c>
      <c r="J50" s="40">
        <v>4.8750000000000002E-2</v>
      </c>
      <c r="K50" s="40">
        <v>4.4999999999999998E-2</v>
      </c>
      <c r="L50" s="40">
        <v>0.05</v>
      </c>
      <c r="M50" s="41">
        <v>4.1250000000000002E-2</v>
      </c>
      <c r="N50" s="2">
        <f t="shared" si="30"/>
        <v>2033</v>
      </c>
      <c r="O50" s="32">
        <f t="shared" si="31"/>
        <v>48594</v>
      </c>
      <c r="P50" s="348"/>
      <c r="Q50" s="345"/>
      <c r="R50" s="345"/>
      <c r="S50" s="346"/>
      <c r="T50" s="348"/>
      <c r="U50" s="345"/>
      <c r="V50" s="345"/>
      <c r="W50" s="346"/>
      <c r="X50" s="348"/>
      <c r="Y50" s="345"/>
      <c r="Z50" s="345"/>
      <c r="AA50" s="346"/>
      <c r="AB50" s="348"/>
      <c r="AC50" s="345"/>
      <c r="AD50" s="345"/>
      <c r="AE50" s="346"/>
      <c r="AF50" s="348">
        <f>+IF($O50&gt;F$8,"FIN",(F$19-SUM(AG$25:AG49))*VLOOKUP($O50,$A:$N,6,0)/VLOOKUP(F$15,$K$1:$M$4,2,0))</f>
        <v>194.73749999999998</v>
      </c>
      <c r="AG50" s="345">
        <f t="shared" si="36"/>
        <v>1298.2499999999998</v>
      </c>
      <c r="AH50" s="345">
        <f t="shared" si="13"/>
        <v>1492.9874999999997</v>
      </c>
      <c r="AI50" s="346">
        <f t="shared" si="50"/>
        <v>453.57343121800648</v>
      </c>
      <c r="AJ50" s="348">
        <f>+IF($O50&gt;G$8,"FIN",(G$19-SUM(AK$25:AK49))*VLOOKUP($O50,$A:$N,7,0)/VLOOKUP(G$15,$K$1:$M$4,2,0))</f>
        <v>23.115438330170772</v>
      </c>
      <c r="AK50" s="345">
        <f t="shared" si="37"/>
        <v>192.62865275142312</v>
      </c>
      <c r="AL50" s="345">
        <f t="shared" si="15"/>
        <v>215.74409108159389</v>
      </c>
      <c r="AM50" s="346">
        <f t="shared" si="51"/>
        <v>65.543608139310393</v>
      </c>
      <c r="AN50" s="348">
        <f>+IF($O50&gt;H$8,"FIN",(H$19-SUM(AO$25:AO49))*VLOOKUP($O50,$A:$N,8,0)/VLOOKUP(H$15,$K$1:$M$4,2,0))</f>
        <v>75.890341860681829</v>
      </c>
      <c r="AO50" s="345">
        <f t="shared" si="38"/>
        <v>252.96780620227273</v>
      </c>
      <c r="AP50" s="345">
        <f t="shared" si="17"/>
        <v>328.85814806295457</v>
      </c>
      <c r="AQ50" s="346">
        <f t="shared" si="52"/>
        <v>99.907948727577121</v>
      </c>
      <c r="AR50" s="348">
        <f>+IF($O50&gt;I$8,"FIN",(I$19-SUM(AS$25:AS49))*VLOOKUP($O50,$A:$N,9,0)/VLOOKUP(I$15,$K$1:$M$4,2,0))</f>
        <v>66.952382944834085</v>
      </c>
      <c r="AS50" s="345">
        <f t="shared" si="39"/>
        <v>262.55836448954545</v>
      </c>
      <c r="AT50" s="345">
        <f t="shared" si="19"/>
        <v>329.51074743437954</v>
      </c>
      <c r="AU50" s="346">
        <f t="shared" si="53"/>
        <v>100.10621009018594</v>
      </c>
      <c r="AV50" s="348">
        <f>+IF($O50&gt;J$8,"FIN",(J$19-SUM(AW$25:AW49))*VLOOKUP($O50,$A:$N,10,0)/VLOOKUP(J$15,$K$1:$M$4,2,0))</f>
        <v>78.88181496975001</v>
      </c>
      <c r="AW50" s="345">
        <f t="shared" si="40"/>
        <v>179.78761246666667</v>
      </c>
      <c r="AX50" s="345">
        <f t="shared" si="21"/>
        <v>258.6694274364167</v>
      </c>
      <c r="AY50" s="346">
        <f t="shared" si="54"/>
        <v>78.584435404538013</v>
      </c>
      <c r="AZ50" s="348">
        <f>+IF($O50&gt;K$8,"FIN",(K$19-SUM(BA$25:BA49))*VLOOKUP($O50,$A:$N,11,0)/VLOOKUP(K$15,$K$1:$M$4,2,0))</f>
        <v>87.388511822999973</v>
      </c>
      <c r="BA50" s="345">
        <f t="shared" si="41"/>
        <v>215.77410326666666</v>
      </c>
      <c r="BB50" s="345">
        <f t="shared" si="23"/>
        <v>303.16261508966664</v>
      </c>
      <c r="BC50" s="346">
        <f t="shared" si="55"/>
        <v>92.101579914931577</v>
      </c>
      <c r="BD50" s="348">
        <f>+IF($O50&gt;L$8,"FIN",(L$19-SUM(BE$25:BE49))*VLOOKUP($O50,$A:$N,12,0)/VLOOKUP(L$15,$K$1:$M$4,2,0))</f>
        <v>133.875</v>
      </c>
      <c r="BE50" s="345">
        <f t="shared" si="42"/>
        <v>191.25</v>
      </c>
      <c r="BF50" s="345">
        <f t="shared" si="25"/>
        <v>325.125</v>
      </c>
      <c r="BG50" s="346">
        <f t="shared" si="56"/>
        <v>98.773808772514428</v>
      </c>
      <c r="BH50" s="348">
        <f>+IF($O50&gt;M$8,"FIN",(M$19-SUM(BI$25:BI49))*VLOOKUP($O50,$A:$N,13,0)/VLOOKUP(M$15,$K$1:$M$4,2,0))</f>
        <v>9.7453125000000007</v>
      </c>
      <c r="BI50" s="345">
        <f t="shared" si="43"/>
        <v>16.875</v>
      </c>
      <c r="BJ50" s="345">
        <f t="shared" si="27"/>
        <v>26.620312500000001</v>
      </c>
      <c r="BK50" s="346">
        <f t="shared" si="57"/>
        <v>8.0873192044277609</v>
      </c>
      <c r="BL50" s="397"/>
      <c r="BM50" s="420">
        <f t="shared" si="44"/>
        <v>693.86548165391378</v>
      </c>
      <c r="BN50" s="421">
        <f t="shared" si="44"/>
        <v>2695.6263659453448</v>
      </c>
      <c r="BO50" s="422">
        <f t="shared" si="45"/>
        <v>3389.4918475992586</v>
      </c>
    </row>
    <row r="51" spans="1:67" x14ac:dyDescent="0.25">
      <c r="A51" s="27">
        <f t="shared" si="29"/>
        <v>48775</v>
      </c>
      <c r="B51" s="38"/>
      <c r="C51" s="39"/>
      <c r="D51" s="40"/>
      <c r="E51" s="40"/>
      <c r="F51" s="40">
        <v>0.05</v>
      </c>
      <c r="G51" s="40">
        <v>0.04</v>
      </c>
      <c r="H51" s="40">
        <v>0.05</v>
      </c>
      <c r="I51" s="40">
        <v>4.2500000000000003E-2</v>
      </c>
      <c r="J51" s="40">
        <v>4.8750000000000002E-2</v>
      </c>
      <c r="K51" s="40">
        <v>4.4999999999999998E-2</v>
      </c>
      <c r="L51" s="40">
        <v>0.05</v>
      </c>
      <c r="M51" s="41">
        <v>4.1250000000000002E-2</v>
      </c>
      <c r="N51" s="2">
        <f t="shared" si="30"/>
        <v>2033</v>
      </c>
      <c r="O51" s="32">
        <f t="shared" si="31"/>
        <v>48775</v>
      </c>
      <c r="P51" s="348"/>
      <c r="Q51" s="345"/>
      <c r="R51" s="345"/>
      <c r="S51" s="346"/>
      <c r="T51" s="348"/>
      <c r="U51" s="345"/>
      <c r="V51" s="345"/>
      <c r="W51" s="346"/>
      <c r="X51" s="348"/>
      <c r="Y51" s="345"/>
      <c r="Z51" s="345"/>
      <c r="AA51" s="346"/>
      <c r="AB51" s="348"/>
      <c r="AC51" s="345"/>
      <c r="AD51" s="345"/>
      <c r="AE51" s="346"/>
      <c r="AF51" s="348">
        <f>+IF($O51&gt;F$8,"FIN",(F$19-SUM(AG$25:AG50))*VLOOKUP($O51,$A:$N,6,0)/VLOOKUP(F$15,$K$1:$M$4,2,0))</f>
        <v>162.28125</v>
      </c>
      <c r="AG51" s="345">
        <f t="shared" si="36"/>
        <v>1298.2499999999998</v>
      </c>
      <c r="AH51" s="345">
        <f t="shared" si="13"/>
        <v>1460.5312499999998</v>
      </c>
      <c r="AI51" s="346">
        <f t="shared" si="50"/>
        <v>423.06387861729917</v>
      </c>
      <c r="AJ51" s="348">
        <f>+IF($O51&gt;G$8,"FIN",(G$19-SUM(AK$25:AK50))*VLOOKUP($O51,$A:$N,7,0)/VLOOKUP(G$15,$K$1:$M$4,2,0))</f>
        <v>19.262865275142314</v>
      </c>
      <c r="AK51" s="345">
        <f t="shared" si="37"/>
        <v>192.62865275142312</v>
      </c>
      <c r="AL51" s="345">
        <f t="shared" si="15"/>
        <v>211.89151802656542</v>
      </c>
      <c r="AM51" s="346">
        <f t="shared" si="51"/>
        <v>61.377425140630265</v>
      </c>
      <c r="AN51" s="348">
        <f>+IF($O51&gt;H$8,"FIN",(H$19-SUM(AO$25:AO50))*VLOOKUP($O51,$A:$N,8,0)/VLOOKUP(H$15,$K$1:$M$4,2,0))</f>
        <v>69.566146705625016</v>
      </c>
      <c r="AO51" s="345">
        <f t="shared" si="38"/>
        <v>252.96780620227273</v>
      </c>
      <c r="AP51" s="345">
        <f t="shared" si="17"/>
        <v>322.53395290789774</v>
      </c>
      <c r="AQ51" s="346">
        <f t="shared" si="52"/>
        <v>93.42659741308826</v>
      </c>
      <c r="AR51" s="348">
        <f>+IF($O51&gt;I$8,"FIN",(I$19-SUM(AS$25:AS50))*VLOOKUP($O51,$A:$N,9,0)/VLOOKUP(I$15,$K$1:$M$4,2,0))</f>
        <v>61.373017699431237</v>
      </c>
      <c r="AS51" s="345">
        <f t="shared" si="39"/>
        <v>262.55836448954545</v>
      </c>
      <c r="AT51" s="345">
        <f t="shared" si="19"/>
        <v>323.93138218897667</v>
      </c>
      <c r="AU51" s="346">
        <f t="shared" si="53"/>
        <v>93.831382899017882</v>
      </c>
      <c r="AV51" s="348">
        <f>+IF($O51&gt;J$8,"FIN",(J$19-SUM(AW$25:AW50))*VLOOKUP($O51,$A:$N,10,0)/VLOOKUP(J$15,$K$1:$M$4,2,0))</f>
        <v>74.499491915875012</v>
      </c>
      <c r="AW51" s="345">
        <f t="shared" si="40"/>
        <v>179.78761246666667</v>
      </c>
      <c r="AX51" s="345">
        <f t="shared" si="21"/>
        <v>254.28710438254168</v>
      </c>
      <c r="AY51" s="346">
        <f t="shared" si="54"/>
        <v>73.657916366007314</v>
      </c>
      <c r="AZ51" s="348">
        <f>+IF($O51&gt;K$8,"FIN",(K$19-SUM(BA$25:BA50))*VLOOKUP($O51,$A:$N,11,0)/VLOOKUP(K$15,$K$1:$M$4,2,0))</f>
        <v>82.533594499499969</v>
      </c>
      <c r="BA51" s="345">
        <f t="shared" si="41"/>
        <v>215.77410326666666</v>
      </c>
      <c r="BB51" s="345">
        <f t="shared" si="23"/>
        <v>298.3076977661666</v>
      </c>
      <c r="BC51" s="346">
        <f t="shared" si="55"/>
        <v>86.409114244115969</v>
      </c>
      <c r="BD51" s="348">
        <f>+IF($O51&gt;L$8,"FIN",(L$19-SUM(BE$25:BE50))*VLOOKUP($O51,$A:$N,12,0)/VLOOKUP(L$15,$K$1:$M$4,2,0))</f>
        <v>129.09375</v>
      </c>
      <c r="BE51" s="345">
        <f t="shared" si="42"/>
        <v>191.25</v>
      </c>
      <c r="BF51" s="345">
        <f t="shared" si="25"/>
        <v>320.34375</v>
      </c>
      <c r="BG51" s="346">
        <f t="shared" si="56"/>
        <v>92.792173646274577</v>
      </c>
      <c r="BH51" s="348">
        <f>+IF($O51&gt;M$8,"FIN",(M$19-SUM(BI$25:BI50))*VLOOKUP($O51,$A:$N,13,0)/VLOOKUP(M$15,$K$1:$M$4,2,0))</f>
        <v>9.3972656250000011</v>
      </c>
      <c r="BI51" s="345">
        <f t="shared" si="43"/>
        <v>16.875</v>
      </c>
      <c r="BJ51" s="345">
        <f t="shared" si="27"/>
        <v>26.272265625000003</v>
      </c>
      <c r="BK51" s="346">
        <f t="shared" si="57"/>
        <v>7.6101395265431293</v>
      </c>
      <c r="BL51" s="397"/>
      <c r="BM51" s="420">
        <f t="shared" si="44"/>
        <v>629.46665964586873</v>
      </c>
      <c r="BN51" s="421">
        <f t="shared" si="44"/>
        <v>2695.6263659453448</v>
      </c>
      <c r="BO51" s="422">
        <f t="shared" si="45"/>
        <v>3325.0930255912135</v>
      </c>
    </row>
    <row r="52" spans="1:67" x14ac:dyDescent="0.25">
      <c r="A52" s="27">
        <f t="shared" si="29"/>
        <v>48959</v>
      </c>
      <c r="B52" s="38"/>
      <c r="C52" s="39"/>
      <c r="D52" s="40"/>
      <c r="E52" s="40"/>
      <c r="F52" s="40">
        <v>0.05</v>
      </c>
      <c r="G52" s="40">
        <v>0.04</v>
      </c>
      <c r="H52" s="40">
        <v>0.05</v>
      </c>
      <c r="I52" s="40">
        <v>4.2500000000000003E-2</v>
      </c>
      <c r="J52" s="40">
        <v>4.8750000000000002E-2</v>
      </c>
      <c r="K52" s="40">
        <v>4.4999999999999998E-2</v>
      </c>
      <c r="L52" s="40">
        <v>0.05</v>
      </c>
      <c r="M52" s="41">
        <v>4.1250000000000002E-2</v>
      </c>
      <c r="N52" s="2">
        <f t="shared" si="30"/>
        <v>2034</v>
      </c>
      <c r="O52" s="32">
        <f t="shared" si="31"/>
        <v>48959</v>
      </c>
      <c r="P52" s="348"/>
      <c r="Q52" s="345"/>
      <c r="R52" s="345"/>
      <c r="S52" s="346"/>
      <c r="T52" s="348"/>
      <c r="U52" s="345"/>
      <c r="V52" s="345"/>
      <c r="W52" s="346"/>
      <c r="X52" s="348"/>
      <c r="Y52" s="345"/>
      <c r="Z52" s="345"/>
      <c r="AA52" s="346"/>
      <c r="AB52" s="348"/>
      <c r="AC52" s="345"/>
      <c r="AD52" s="345"/>
      <c r="AE52" s="346"/>
      <c r="AF52" s="348">
        <f>+IF($O52&gt;F$8,"FIN",(F$19-SUM(AG$25:AG51))*VLOOKUP($O52,$A:$N,6,0)/VLOOKUP(F$15,$K$1:$M$4,2,0))</f>
        <v>129.82499999999999</v>
      </c>
      <c r="AG52" s="345">
        <f t="shared" si="36"/>
        <v>1298.2499999999998</v>
      </c>
      <c r="AH52" s="345">
        <f t="shared" si="13"/>
        <v>1428.0749999999998</v>
      </c>
      <c r="AI52" s="346">
        <f t="shared" si="50"/>
        <v>394.41167932000559</v>
      </c>
      <c r="AJ52" s="348">
        <f>+IF($O52&gt;G$8,"FIN",(G$19-SUM(AK$25:AK51))*VLOOKUP($O52,$A:$N,7,0)/VLOOKUP(G$15,$K$1:$M$4,2,0))</f>
        <v>15.410292220113853</v>
      </c>
      <c r="AK52" s="345">
        <f t="shared" si="37"/>
        <v>192.62865275142312</v>
      </c>
      <c r="AL52" s="345">
        <f t="shared" si="15"/>
        <v>208.03894497153698</v>
      </c>
      <c r="AM52" s="346">
        <f t="shared" si="51"/>
        <v>57.457059083161703</v>
      </c>
      <c r="AN52" s="348">
        <f>+IF($O52&gt;H$8,"FIN",(H$19-SUM(AO$25:AO51))*VLOOKUP($O52,$A:$N,8,0)/VLOOKUP(H$15,$K$1:$M$4,2,0))</f>
        <v>63.241951550568196</v>
      </c>
      <c r="AO52" s="345">
        <f t="shared" si="38"/>
        <v>252.96780620227273</v>
      </c>
      <c r="AP52" s="345">
        <f t="shared" si="17"/>
        <v>316.20975775284091</v>
      </c>
      <c r="AQ52" s="346">
        <f t="shared" si="52"/>
        <v>87.332123013616339</v>
      </c>
      <c r="AR52" s="348">
        <f>+IF($O52&gt;I$8,"FIN",(I$19-SUM(AS$25:AS51))*VLOOKUP($O52,$A:$N,9,0)/VLOOKUP(I$15,$K$1:$M$4,2,0))</f>
        <v>55.793652454028397</v>
      </c>
      <c r="AS52" s="345">
        <f t="shared" si="39"/>
        <v>262.55836448954545</v>
      </c>
      <c r="AT52" s="345">
        <f t="shared" si="19"/>
        <v>318.35201694357386</v>
      </c>
      <c r="AU52" s="346">
        <f t="shared" si="53"/>
        <v>87.923781046251676</v>
      </c>
      <c r="AV52" s="348">
        <f>+IF($O52&gt;J$8,"FIN",(J$19-SUM(AW$25:AW51))*VLOOKUP($O52,$A:$N,10,0)/VLOOKUP(J$15,$K$1:$M$4,2,0))</f>
        <v>70.117168862</v>
      </c>
      <c r="AW52" s="345">
        <f t="shared" si="40"/>
        <v>179.78761246666667</v>
      </c>
      <c r="AX52" s="345">
        <f t="shared" si="21"/>
        <v>249.90478132866667</v>
      </c>
      <c r="AY52" s="346">
        <f t="shared" si="54"/>
        <v>69.019739491229956</v>
      </c>
      <c r="AZ52" s="348">
        <f>+IF($O52&gt;K$8,"FIN",(K$19-SUM(BA$25:BA51))*VLOOKUP($O52,$A:$N,11,0)/VLOOKUP(K$15,$K$1:$M$4,2,0))</f>
        <v>77.678677175999965</v>
      </c>
      <c r="BA52" s="345">
        <f t="shared" si="41"/>
        <v>215.77410326666666</v>
      </c>
      <c r="BB52" s="345">
        <f t="shared" si="23"/>
        <v>293.45278044266661</v>
      </c>
      <c r="BC52" s="346">
        <f t="shared" si="55"/>
        <v>81.047006589651843</v>
      </c>
      <c r="BD52" s="348">
        <f>+IF($O52&gt;L$8,"FIN",(L$19-SUM(BE$25:BE51))*VLOOKUP($O52,$A:$N,12,0)/VLOOKUP(L$15,$K$1:$M$4,2,0))</f>
        <v>124.3125</v>
      </c>
      <c r="BE52" s="345">
        <f t="shared" si="42"/>
        <v>191.25</v>
      </c>
      <c r="BF52" s="345">
        <f t="shared" si="25"/>
        <v>315.5625</v>
      </c>
      <c r="BG52" s="346">
        <f t="shared" si="56"/>
        <v>87.15336068163036</v>
      </c>
      <c r="BH52" s="348">
        <f>+IF($O52&gt;M$8,"FIN",(M$19-SUM(BI$25:BI51))*VLOOKUP($O52,$A:$N,13,0)/VLOOKUP(M$15,$K$1:$M$4,2,0))</f>
        <v>9.0492187499999996</v>
      </c>
      <c r="BI52" s="345">
        <f t="shared" si="43"/>
        <v>16.875</v>
      </c>
      <c r="BJ52" s="345">
        <f t="shared" si="27"/>
        <v>25.924218750000001</v>
      </c>
      <c r="BK52" s="346">
        <f t="shared" si="57"/>
        <v>7.1598583073344733</v>
      </c>
      <c r="BL52" s="397"/>
      <c r="BM52" s="420">
        <f t="shared" si="44"/>
        <v>565.06783763782369</v>
      </c>
      <c r="BN52" s="421">
        <f t="shared" si="44"/>
        <v>2695.6263659453448</v>
      </c>
      <c r="BO52" s="422">
        <f t="shared" si="45"/>
        <v>3260.6942035831685</v>
      </c>
    </row>
    <row r="53" spans="1:67" x14ac:dyDescent="0.25">
      <c r="A53" s="27">
        <f t="shared" si="29"/>
        <v>49140</v>
      </c>
      <c r="B53" s="38"/>
      <c r="C53" s="39"/>
      <c r="D53" s="40"/>
      <c r="E53" s="40"/>
      <c r="F53" s="40">
        <v>0.05</v>
      </c>
      <c r="G53" s="40">
        <v>0.04</v>
      </c>
      <c r="H53" s="40">
        <v>0.05</v>
      </c>
      <c r="I53" s="40">
        <v>4.2500000000000003E-2</v>
      </c>
      <c r="J53" s="40">
        <v>4.8750000000000002E-2</v>
      </c>
      <c r="K53" s="40">
        <v>4.4999999999999998E-2</v>
      </c>
      <c r="L53" s="40">
        <v>0.05</v>
      </c>
      <c r="M53" s="41">
        <v>4.1250000000000002E-2</v>
      </c>
      <c r="N53" s="2">
        <f t="shared" si="30"/>
        <v>2034</v>
      </c>
      <c r="O53" s="32">
        <f t="shared" si="31"/>
        <v>49140</v>
      </c>
      <c r="P53" s="348"/>
      <c r="Q53" s="345"/>
      <c r="R53" s="345"/>
      <c r="S53" s="346"/>
      <c r="T53" s="348"/>
      <c r="U53" s="345"/>
      <c r="V53" s="345"/>
      <c r="W53" s="346"/>
      <c r="X53" s="348"/>
      <c r="Y53" s="345"/>
      <c r="Z53" s="345"/>
      <c r="AA53" s="346"/>
      <c r="AB53" s="348"/>
      <c r="AC53" s="345"/>
      <c r="AD53" s="345"/>
      <c r="AE53" s="346"/>
      <c r="AF53" s="348">
        <f>+IF($O53&gt;F$8,"FIN",(F$19-SUM(AG$25:AG52))*VLOOKUP($O53,$A:$N,6,0)/VLOOKUP(F$15,$K$1:$M$4,2,0))</f>
        <v>97.368750000000006</v>
      </c>
      <c r="AG53" s="345">
        <f t="shared" si="36"/>
        <v>1298.2499999999998</v>
      </c>
      <c r="AH53" s="345">
        <f t="shared" si="13"/>
        <v>1395.6187499999999</v>
      </c>
      <c r="AI53" s="346">
        <f t="shared" si="50"/>
        <v>367.51003597058309</v>
      </c>
      <c r="AJ53" s="348">
        <f>+IF($O53&gt;G$8,"FIN",(G$19-SUM(AK$25:AK52))*VLOOKUP($O53,$A:$N,7,0)/VLOOKUP(G$15,$K$1:$M$4,2,0))</f>
        <v>11.557719165085391</v>
      </c>
      <c r="AK53" s="345">
        <f t="shared" si="37"/>
        <v>192.62865275142312</v>
      </c>
      <c r="AL53" s="345">
        <f t="shared" si="15"/>
        <v>204.18637191650851</v>
      </c>
      <c r="AM53" s="346">
        <f t="shared" si="51"/>
        <v>53.768653428981878</v>
      </c>
      <c r="AN53" s="348">
        <f>+IF($O53&gt;H$8,"FIN",(H$19-SUM(AO$25:AO52))*VLOOKUP($O53,$A:$N,8,0)/VLOOKUP(H$15,$K$1:$M$4,2,0))</f>
        <v>56.917756395511383</v>
      </c>
      <c r="AO53" s="345">
        <f t="shared" si="38"/>
        <v>252.96780620227273</v>
      </c>
      <c r="AP53" s="345">
        <f t="shared" si="17"/>
        <v>309.88556259778409</v>
      </c>
      <c r="AQ53" s="346">
        <f t="shared" si="52"/>
        <v>81.602553890219667</v>
      </c>
      <c r="AR53" s="348">
        <f>+IF($O53&gt;I$8,"FIN",(I$19-SUM(AS$25:AS52))*VLOOKUP($O53,$A:$N,9,0)/VLOOKUP(I$15,$K$1:$M$4,2,0))</f>
        <v>50.214287208625557</v>
      </c>
      <c r="AS53" s="345">
        <f t="shared" si="39"/>
        <v>262.55836448954545</v>
      </c>
      <c r="AT53" s="345">
        <f t="shared" si="19"/>
        <v>312.77265169817099</v>
      </c>
      <c r="AU53" s="346">
        <f t="shared" si="53"/>
        <v>82.362814684317968</v>
      </c>
      <c r="AV53" s="348">
        <f>+IF($O53&gt;J$8,"FIN",(J$19-SUM(AW$25:AW52))*VLOOKUP($O53,$A:$N,10,0)/VLOOKUP(J$15,$K$1:$M$4,2,0))</f>
        <v>65.734845808125002</v>
      </c>
      <c r="AW53" s="345">
        <f t="shared" si="40"/>
        <v>179.78761246666667</v>
      </c>
      <c r="AX53" s="345">
        <f t="shared" si="21"/>
        <v>245.52245827479169</v>
      </c>
      <c r="AY53" s="346">
        <f t="shared" si="54"/>
        <v>64.653736897813019</v>
      </c>
      <c r="AZ53" s="348">
        <f>+IF($O53&gt;K$8,"FIN",(K$19-SUM(BA$25:BA52))*VLOOKUP($O53,$A:$N,11,0)/VLOOKUP(K$15,$K$1:$M$4,2,0))</f>
        <v>72.823759852499961</v>
      </c>
      <c r="BA53" s="345">
        <f t="shared" si="41"/>
        <v>215.77410326666666</v>
      </c>
      <c r="BB53" s="345">
        <f t="shared" si="23"/>
        <v>288.59786311916662</v>
      </c>
      <c r="BC53" s="346">
        <f t="shared" si="55"/>
        <v>75.996837285224458</v>
      </c>
      <c r="BD53" s="348">
        <f>+IF($O53&gt;L$8,"FIN",(L$19-SUM(BE$25:BE52))*VLOOKUP($O53,$A:$N,12,0)/VLOOKUP(L$15,$K$1:$M$4,2,0))</f>
        <v>119.53125</v>
      </c>
      <c r="BE53" s="345">
        <f t="shared" si="42"/>
        <v>191.25</v>
      </c>
      <c r="BF53" s="345">
        <f t="shared" si="25"/>
        <v>310.78125</v>
      </c>
      <c r="BG53" s="346">
        <f t="shared" si="56"/>
        <v>81.838416377311347</v>
      </c>
      <c r="BH53" s="348">
        <f>+IF($O53&gt;M$8,"FIN",(M$19-SUM(BI$25:BI52))*VLOOKUP($O53,$A:$N,13,0)/VLOOKUP(M$15,$K$1:$M$4,2,0))</f>
        <v>8.701171875</v>
      </c>
      <c r="BI53" s="345">
        <f t="shared" si="43"/>
        <v>16.875</v>
      </c>
      <c r="BJ53" s="345">
        <f t="shared" si="27"/>
        <v>25.576171875</v>
      </c>
      <c r="BK53" s="346">
        <f t="shared" si="57"/>
        <v>6.7350054201916292</v>
      </c>
      <c r="BL53" s="397"/>
      <c r="BM53" s="420">
        <f t="shared" si="44"/>
        <v>500.66901562977864</v>
      </c>
      <c r="BN53" s="421">
        <f t="shared" si="44"/>
        <v>2695.6263659453448</v>
      </c>
      <c r="BO53" s="422">
        <f t="shared" si="45"/>
        <v>3196.2953815751234</v>
      </c>
    </row>
    <row r="54" spans="1:67" x14ac:dyDescent="0.25">
      <c r="A54" s="27">
        <f t="shared" si="29"/>
        <v>49324</v>
      </c>
      <c r="B54" s="38"/>
      <c r="C54" s="39"/>
      <c r="D54" s="40"/>
      <c r="E54" s="40"/>
      <c r="F54" s="40">
        <v>0.05</v>
      </c>
      <c r="G54" s="40">
        <v>0.04</v>
      </c>
      <c r="H54" s="40">
        <v>0.05</v>
      </c>
      <c r="I54" s="40">
        <v>4.2500000000000003E-2</v>
      </c>
      <c r="J54" s="40">
        <v>4.8750000000000002E-2</v>
      </c>
      <c r="K54" s="40">
        <v>4.4999999999999998E-2</v>
      </c>
      <c r="L54" s="40">
        <v>0.05</v>
      </c>
      <c r="M54" s="41">
        <v>4.1250000000000002E-2</v>
      </c>
      <c r="N54" s="2">
        <f t="shared" si="30"/>
        <v>2035</v>
      </c>
      <c r="O54" s="32">
        <f t="shared" si="31"/>
        <v>49324</v>
      </c>
      <c r="P54" s="348"/>
      <c r="Q54" s="345"/>
      <c r="R54" s="345"/>
      <c r="S54" s="346"/>
      <c r="T54" s="348"/>
      <c r="U54" s="345"/>
      <c r="V54" s="345"/>
      <c r="W54" s="346"/>
      <c r="X54" s="348"/>
      <c r="Y54" s="345"/>
      <c r="Z54" s="345"/>
      <c r="AA54" s="346"/>
      <c r="AB54" s="348"/>
      <c r="AC54" s="345"/>
      <c r="AD54" s="345"/>
      <c r="AE54" s="346"/>
      <c r="AF54" s="348">
        <f>+IF($O54&gt;F$8,"FIN",(F$19-SUM(AG$25:AG53))*VLOOKUP($O54,$A:$N,6,0)/VLOOKUP(F$15,$K$1:$M$4,2,0))</f>
        <v>64.912500000000009</v>
      </c>
      <c r="AG54" s="345">
        <f t="shared" si="36"/>
        <v>1298.2499999999998</v>
      </c>
      <c r="AH54" s="345">
        <f t="shared" si="13"/>
        <v>1363.1624999999997</v>
      </c>
      <c r="AI54" s="346">
        <f t="shared" si="50"/>
        <v>342.25806883140979</v>
      </c>
      <c r="AJ54" s="348">
        <f>+IF($O54&gt;G$8,"FIN",(G$19-SUM(AK$25:AK53))*VLOOKUP($O54,$A:$N,7,0)/VLOOKUP(G$15,$K$1:$M$4,2,0))</f>
        <v>7.7051461100569307</v>
      </c>
      <c r="AK54" s="345">
        <f t="shared" si="37"/>
        <v>192.62865275142312</v>
      </c>
      <c r="AL54" s="345">
        <f t="shared" si="15"/>
        <v>200.33379886148006</v>
      </c>
      <c r="AM54" s="346">
        <f t="shared" si="51"/>
        <v>50.299108961690379</v>
      </c>
      <c r="AN54" s="348">
        <f>+IF($O54&gt;H$8,"FIN",(H$19-SUM(AO$25:AO53))*VLOOKUP($O54,$A:$N,8,0)/VLOOKUP(H$15,$K$1:$M$4,2,0))</f>
        <v>50.593561240454562</v>
      </c>
      <c r="AO54" s="345">
        <f t="shared" si="38"/>
        <v>252.96780620227273</v>
      </c>
      <c r="AP54" s="345">
        <f t="shared" si="17"/>
        <v>303.56136744272726</v>
      </c>
      <c r="AQ54" s="346">
        <f t="shared" si="52"/>
        <v>76.217125539156072</v>
      </c>
      <c r="AR54" s="348">
        <f>+IF($O54&gt;I$8,"FIN",(I$19-SUM(AS$25:AS53))*VLOOKUP($O54,$A:$N,9,0)/VLOOKUP(I$15,$K$1:$M$4,2,0))</f>
        <v>44.634921963222709</v>
      </c>
      <c r="AS54" s="345">
        <f t="shared" si="39"/>
        <v>262.55836448954545</v>
      </c>
      <c r="AT54" s="345">
        <f t="shared" si="19"/>
        <v>307.19328645276818</v>
      </c>
      <c r="AU54" s="346">
        <f t="shared" si="53"/>
        <v>77.129015050882444</v>
      </c>
      <c r="AV54" s="348">
        <f>+IF($O54&gt;J$8,"FIN",(J$19-SUM(AW$25:AW53))*VLOOKUP($O54,$A:$N,10,0)/VLOOKUP(J$15,$K$1:$M$4,2,0))</f>
        <v>61.352522754249996</v>
      </c>
      <c r="AW54" s="345">
        <f t="shared" si="40"/>
        <v>179.78761246666667</v>
      </c>
      <c r="AX54" s="345">
        <f t="shared" si="21"/>
        <v>241.14013522091668</v>
      </c>
      <c r="AY54" s="346">
        <f t="shared" si="54"/>
        <v>60.544621054684221</v>
      </c>
      <c r="AZ54" s="348">
        <f>+IF($O54&gt;K$8,"FIN",(K$19-SUM(BA$25:BA53))*VLOOKUP($O54,$A:$N,11,0)/VLOOKUP(K$15,$K$1:$M$4,2,0))</f>
        <v>67.968842528999957</v>
      </c>
      <c r="BA54" s="345">
        <f t="shared" si="41"/>
        <v>215.77410326666666</v>
      </c>
      <c r="BB54" s="345">
        <f t="shared" si="23"/>
        <v>283.74294579566663</v>
      </c>
      <c r="BC54" s="346">
        <f t="shared" si="55"/>
        <v>71.24118560520867</v>
      </c>
      <c r="BD54" s="348">
        <f>+IF($O54&gt;L$8,"FIN",(L$19-SUM(BE$25:BE53))*VLOOKUP($O54,$A:$N,12,0)/VLOOKUP(L$15,$K$1:$M$4,2,0))</f>
        <v>114.75</v>
      </c>
      <c r="BE54" s="345">
        <f t="shared" si="42"/>
        <v>191.25</v>
      </c>
      <c r="BF54" s="345">
        <f t="shared" si="25"/>
        <v>306</v>
      </c>
      <c r="BG54" s="346">
        <f t="shared" si="56"/>
        <v>76.82940886534908</v>
      </c>
      <c r="BH54" s="348">
        <f>+IF($O54&gt;M$8,"FIN",(M$19-SUM(BI$25:BI53))*VLOOKUP($O54,$A:$N,13,0)/VLOOKUP(M$15,$K$1:$M$4,2,0))</f>
        <v>8.3531250000000004</v>
      </c>
      <c r="BI54" s="345">
        <f t="shared" si="43"/>
        <v>16.875</v>
      </c>
      <c r="BJ54" s="345">
        <f t="shared" si="27"/>
        <v>25.228124999999999</v>
      </c>
      <c r="BK54" s="346">
        <f t="shared" si="57"/>
        <v>6.3341893154612245</v>
      </c>
      <c r="BL54" s="397"/>
      <c r="BM54" s="420">
        <f t="shared" si="44"/>
        <v>436.27019362173354</v>
      </c>
      <c r="BN54" s="421">
        <f t="shared" si="44"/>
        <v>2695.6263659453448</v>
      </c>
      <c r="BO54" s="422">
        <f t="shared" si="45"/>
        <v>3131.8965595670784</v>
      </c>
    </row>
    <row r="55" spans="1:67" x14ac:dyDescent="0.25">
      <c r="A55" s="27">
        <f t="shared" si="29"/>
        <v>49505</v>
      </c>
      <c r="B55" s="32"/>
      <c r="C55" s="5"/>
      <c r="D55" s="40"/>
      <c r="E55" s="40"/>
      <c r="F55" s="40">
        <v>0.05</v>
      </c>
      <c r="G55" s="40">
        <v>0.04</v>
      </c>
      <c r="H55" s="40">
        <v>0.05</v>
      </c>
      <c r="I55" s="40">
        <v>4.2500000000000003E-2</v>
      </c>
      <c r="J55" s="40">
        <v>4.8750000000000002E-2</v>
      </c>
      <c r="K55" s="40">
        <v>4.4999999999999998E-2</v>
      </c>
      <c r="L55" s="40">
        <v>0.05</v>
      </c>
      <c r="M55" s="41">
        <v>4.1250000000000002E-2</v>
      </c>
      <c r="N55" s="2">
        <f t="shared" si="30"/>
        <v>2035</v>
      </c>
      <c r="O55" s="32">
        <f t="shared" si="31"/>
        <v>49505</v>
      </c>
      <c r="P55" s="348"/>
      <c r="Q55" s="345"/>
      <c r="R55" s="345"/>
      <c r="S55" s="346"/>
      <c r="T55" s="348"/>
      <c r="U55" s="345"/>
      <c r="V55" s="345"/>
      <c r="W55" s="346"/>
      <c r="X55" s="348"/>
      <c r="Y55" s="345"/>
      <c r="Z55" s="345"/>
      <c r="AA55" s="346"/>
      <c r="AB55" s="348"/>
      <c r="AC55" s="345"/>
      <c r="AD55" s="345"/>
      <c r="AE55" s="346"/>
      <c r="AF55" s="348">
        <f>+IF($O55&gt;F$8,"FIN",(F$19-SUM(AG$25:AG54))*VLOOKUP($O55,$A:$N,6,0)/VLOOKUP(F$15,$K$1:$M$4,2,0))</f>
        <v>32.456250000000004</v>
      </c>
      <c r="AG55" s="345">
        <f t="shared" si="36"/>
        <v>1298.2499999999998</v>
      </c>
      <c r="AH55" s="345">
        <f t="shared" si="13"/>
        <v>1330.7062499999997</v>
      </c>
      <c r="AI55" s="346">
        <f t="shared" si="50"/>
        <v>318.56049629585425</v>
      </c>
      <c r="AJ55" s="348">
        <f>+IF($O55&gt;G$8,"FIN",(G$19-SUM(AK$25:AK54))*VLOOKUP($O55,$A:$N,7,0)/VLOOKUP(G$15,$K$1:$M$4,2,0))</f>
        <v>3.8525730550284698</v>
      </c>
      <c r="AK55" s="345">
        <f t="shared" si="37"/>
        <v>192.62865275142312</v>
      </c>
      <c r="AL55" s="345">
        <f t="shared" si="15"/>
        <v>196.48122580645159</v>
      </c>
      <c r="AM55" s="346">
        <f t="shared" si="51"/>
        <v>47.036043308371802</v>
      </c>
      <c r="AN55" s="348">
        <f>+IF($O55&gt;H$8,"FIN",(H$19-SUM(AO$25:AO54))*VLOOKUP($O55,$A:$N,8,0)/VLOOKUP(H$15,$K$1:$M$4,2,0))</f>
        <v>44.269366085397749</v>
      </c>
      <c r="AO55" s="345">
        <f t="shared" si="38"/>
        <v>252.96780620227273</v>
      </c>
      <c r="AP55" s="345">
        <f t="shared" si="17"/>
        <v>297.23717228767049</v>
      </c>
      <c r="AQ55" s="346">
        <f t="shared" si="52"/>
        <v>71.156215822640547</v>
      </c>
      <c r="AR55" s="348">
        <f>+IF($O55&gt;I$8,"FIN",(I$19-SUM(AS$25:AS54))*VLOOKUP($O55,$A:$N,9,0)/VLOOKUP(I$15,$K$1:$M$4,2,0))</f>
        <v>39.055556717819869</v>
      </c>
      <c r="AS55" s="345">
        <f t="shared" si="39"/>
        <v>262.55836448954545</v>
      </c>
      <c r="AT55" s="345">
        <f t="shared" si="19"/>
        <v>301.61392120736531</v>
      </c>
      <c r="AU55" s="346">
        <f t="shared" si="53"/>
        <v>72.203974716100561</v>
      </c>
      <c r="AV55" s="348">
        <f>+IF($O55&gt;J$8,"FIN",(J$19-SUM(AW$25:AW54))*VLOOKUP($O55,$A:$N,10,0)/VLOOKUP(J$15,$K$1:$M$4,2,0))</f>
        <v>56.970199700374991</v>
      </c>
      <c r="AW55" s="345">
        <f t="shared" si="40"/>
        <v>179.78761246666667</v>
      </c>
      <c r="AX55" s="345">
        <f t="shared" si="21"/>
        <v>236.75781216704166</v>
      </c>
      <c r="AY55" s="346">
        <f t="shared" si="54"/>
        <v>56.677937858827555</v>
      </c>
      <c r="AZ55" s="348">
        <f>+IF($O55&gt;K$8,"FIN",(K$19-SUM(BA$25:BA54))*VLOOKUP($O55,$A:$N,11,0)/VLOOKUP(K$15,$K$1:$M$4,2,0))</f>
        <v>63.113925205499953</v>
      </c>
      <c r="BA55" s="345">
        <f t="shared" si="41"/>
        <v>215.77410326666666</v>
      </c>
      <c r="BB55" s="345">
        <f t="shared" si="23"/>
        <v>278.88802847216664</v>
      </c>
      <c r="BC55" s="346">
        <f t="shared" si="55"/>
        <v>66.76357668047757</v>
      </c>
      <c r="BD55" s="348">
        <f>+IF($O55&gt;L$8,"FIN",(L$19-SUM(BE$25:BE54))*VLOOKUP($O55,$A:$N,12,0)/VLOOKUP(L$15,$K$1:$M$4,2,0))</f>
        <v>109.96875</v>
      </c>
      <c r="BE55" s="345">
        <f t="shared" si="42"/>
        <v>191.25</v>
      </c>
      <c r="BF55" s="345">
        <f t="shared" si="25"/>
        <v>301.21875</v>
      </c>
      <c r="BG55" s="346">
        <f t="shared" si="56"/>
        <v>72.109373870917693</v>
      </c>
      <c r="BH55" s="348">
        <f>+IF($O55&gt;M$8,"FIN",(M$19-SUM(BI$25:BI54))*VLOOKUP($O55,$A:$N,13,0)/VLOOKUP(M$15,$K$1:$M$4,2,0))</f>
        <v>8.0050781250000007</v>
      </c>
      <c r="BI55" s="345">
        <f t="shared" si="43"/>
        <v>16.875</v>
      </c>
      <c r="BJ55" s="345">
        <f t="shared" si="27"/>
        <v>24.880078125000001</v>
      </c>
      <c r="BK55" s="346">
        <f t="shared" si="57"/>
        <v>5.9560928908086428</v>
      </c>
      <c r="BL55" s="397"/>
      <c r="BM55" s="420">
        <f t="shared" si="44"/>
        <v>371.87137161368855</v>
      </c>
      <c r="BN55" s="421">
        <f t="shared" si="44"/>
        <v>2695.6263659453448</v>
      </c>
      <c r="BO55" s="422">
        <f t="shared" si="45"/>
        <v>3067.4977375590333</v>
      </c>
    </row>
    <row r="56" spans="1:67" x14ac:dyDescent="0.25">
      <c r="A56" s="27">
        <f t="shared" si="29"/>
        <v>49689</v>
      </c>
      <c r="B56" s="32"/>
      <c r="C56" s="5"/>
      <c r="D56" s="40"/>
      <c r="E56" s="40"/>
      <c r="F56" s="40"/>
      <c r="G56" s="40"/>
      <c r="H56" s="40">
        <v>0.05</v>
      </c>
      <c r="I56" s="40">
        <v>4.2500000000000003E-2</v>
      </c>
      <c r="J56" s="40">
        <v>4.8750000000000002E-2</v>
      </c>
      <c r="K56" s="40">
        <v>4.4999999999999998E-2</v>
      </c>
      <c r="L56" s="40">
        <v>0.05</v>
      </c>
      <c r="M56" s="41">
        <v>4.1250000000000002E-2</v>
      </c>
      <c r="N56" s="2">
        <f t="shared" si="30"/>
        <v>2036</v>
      </c>
      <c r="O56" s="32">
        <f t="shared" si="31"/>
        <v>49689</v>
      </c>
      <c r="P56" s="347"/>
      <c r="Q56" s="345"/>
      <c r="R56" s="345"/>
      <c r="S56" s="346"/>
      <c r="T56" s="348"/>
      <c r="U56" s="345"/>
      <c r="V56" s="345"/>
      <c r="W56" s="346"/>
      <c r="X56" s="348"/>
      <c r="Y56" s="345"/>
      <c r="Z56" s="345"/>
      <c r="AA56" s="346"/>
      <c r="AB56" s="348"/>
      <c r="AC56" s="345"/>
      <c r="AD56" s="345"/>
      <c r="AE56" s="346"/>
      <c r="AF56" s="348"/>
      <c r="AG56" s="345"/>
      <c r="AH56" s="345"/>
      <c r="AI56" s="346"/>
      <c r="AJ56" s="348"/>
      <c r="AK56" s="345"/>
      <c r="AL56" s="345"/>
      <c r="AM56" s="346"/>
      <c r="AN56" s="348">
        <f>+IF($O56&gt;H$8,"FIN",(H$19-SUM(AO$25:AO55))*VLOOKUP($O56,$A:$N,8,0)/VLOOKUP(H$15,$K$1:$M$4,2,0))</f>
        <v>37.945170930340929</v>
      </c>
      <c r="AO56" s="345">
        <f t="shared" si="38"/>
        <v>252.96780620227273</v>
      </c>
      <c r="AP56" s="345">
        <f t="shared" si="17"/>
        <v>290.91297713261366</v>
      </c>
      <c r="AQ56" s="346">
        <f t="shared" si="52"/>
        <v>66.401283613658705</v>
      </c>
      <c r="AR56" s="348">
        <f>+IF($O56&gt;I$8,"FIN",(I$19-SUM(AS$25:AS55))*VLOOKUP($O56,$A:$N,9,0)/VLOOKUP(I$15,$K$1:$M$4,2,0))</f>
        <v>33.476191472417035</v>
      </c>
      <c r="AS56" s="345">
        <f t="shared" si="39"/>
        <v>262.55836448954545</v>
      </c>
      <c r="AT56" s="345">
        <f t="shared" si="19"/>
        <v>296.0345559619625</v>
      </c>
      <c r="AU56" s="346">
        <f t="shared" si="53"/>
        <v>67.570290963379904</v>
      </c>
      <c r="AV56" s="348">
        <f>+IF($O56&gt;J$8,"FIN",(J$19-SUM(AW$25:AW55))*VLOOKUP($O56,$A:$N,10,0)/VLOOKUP(J$15,$K$1:$M$4,2,0))</f>
        <v>52.587876646499993</v>
      </c>
      <c r="AW56" s="345">
        <f t="shared" si="40"/>
        <v>179.78761246666667</v>
      </c>
      <c r="AX56" s="345">
        <f t="shared" si="21"/>
        <v>232.37548911316668</v>
      </c>
      <c r="AY56" s="346">
        <f t="shared" si="54"/>
        <v>53.040022172789527</v>
      </c>
      <c r="AZ56" s="348">
        <f>+IF($O56&gt;K$8,"FIN",(K$19-SUM(BA$25:BA55))*VLOOKUP($O56,$A:$N,11,0)/VLOOKUP(K$15,$K$1:$M$4,2,0))</f>
        <v>58.259007881999956</v>
      </c>
      <c r="BA56" s="345">
        <f t="shared" si="41"/>
        <v>215.77410326666666</v>
      </c>
      <c r="BB56" s="345">
        <f t="shared" si="23"/>
        <v>274.03311114866659</v>
      </c>
      <c r="BC56" s="346">
        <f t="shared" si="55"/>
        <v>62.548431191576213</v>
      </c>
      <c r="BD56" s="348">
        <f>+IF($O56&gt;L$8,"FIN",(L$19-SUM(BE$25:BE55))*VLOOKUP($O56,$A:$N,12,0)/VLOOKUP(L$15,$K$1:$M$4,2,0))</f>
        <v>105.1875</v>
      </c>
      <c r="BE56" s="345">
        <f t="shared" si="42"/>
        <v>191.25</v>
      </c>
      <c r="BF56" s="345">
        <f t="shared" si="25"/>
        <v>296.4375</v>
      </c>
      <c r="BG56" s="346">
        <f t="shared" si="56"/>
        <v>67.66226348936992</v>
      </c>
      <c r="BH56" s="348">
        <f>+IF($O56&gt;M$8,"FIN",(M$19-SUM(BI$25:BI55))*VLOOKUP($O56,$A:$N,13,0)/VLOOKUP(M$15,$K$1:$M$4,2,0))</f>
        <v>7.6570312500000002</v>
      </c>
      <c r="BI56" s="345">
        <f t="shared" si="43"/>
        <v>16.875</v>
      </c>
      <c r="BJ56" s="345">
        <f t="shared" si="27"/>
        <v>24.532031249999999</v>
      </c>
      <c r="BK56" s="346">
        <f t="shared" si="57"/>
        <v>5.5994695757687776</v>
      </c>
      <c r="BL56" s="397"/>
      <c r="BM56" s="420">
        <f t="shared" si="44"/>
        <v>307.47254960564351</v>
      </c>
      <c r="BN56" s="421">
        <f t="shared" si="44"/>
        <v>1180.7936666520877</v>
      </c>
      <c r="BO56" s="422">
        <f t="shared" si="45"/>
        <v>1488.2662162577312</v>
      </c>
    </row>
    <row r="57" spans="1:67" x14ac:dyDescent="0.25">
      <c r="A57" s="27">
        <f t="shared" si="29"/>
        <v>49871</v>
      </c>
      <c r="B57" s="32"/>
      <c r="C57" s="5"/>
      <c r="D57" s="40"/>
      <c r="E57" s="40"/>
      <c r="F57" s="40"/>
      <c r="G57" s="40"/>
      <c r="H57" s="40">
        <v>0.05</v>
      </c>
      <c r="I57" s="40">
        <v>4.2500000000000003E-2</v>
      </c>
      <c r="J57" s="40">
        <v>4.8750000000000002E-2</v>
      </c>
      <c r="K57" s="40">
        <v>4.4999999999999998E-2</v>
      </c>
      <c r="L57" s="40">
        <v>0.05</v>
      </c>
      <c r="M57" s="41">
        <v>4.1250000000000002E-2</v>
      </c>
      <c r="N57" s="2">
        <f t="shared" si="30"/>
        <v>2036</v>
      </c>
      <c r="O57" s="32">
        <f t="shared" si="31"/>
        <v>49871</v>
      </c>
      <c r="P57" s="347"/>
      <c r="Q57" s="345"/>
      <c r="R57" s="345"/>
      <c r="S57" s="346"/>
      <c r="T57" s="348"/>
      <c r="U57" s="345"/>
      <c r="V57" s="345"/>
      <c r="W57" s="346"/>
      <c r="X57" s="348"/>
      <c r="Y57" s="345"/>
      <c r="Z57" s="345"/>
      <c r="AA57" s="346"/>
      <c r="AB57" s="348"/>
      <c r="AC57" s="345"/>
      <c r="AD57" s="345"/>
      <c r="AE57" s="346"/>
      <c r="AF57" s="348"/>
      <c r="AG57" s="345"/>
      <c r="AH57" s="345"/>
      <c r="AI57" s="346"/>
      <c r="AJ57" s="348"/>
      <c r="AK57" s="345"/>
      <c r="AL57" s="345"/>
      <c r="AM57" s="346"/>
      <c r="AN57" s="348">
        <f>+IF($O57&gt;H$8,"FIN",(H$19-SUM(AO$25:AO56))*VLOOKUP($O57,$A:$N,8,0)/VLOOKUP(H$15,$K$1:$M$4,2,0))</f>
        <v>31.620975775284116</v>
      </c>
      <c r="AO57" s="345">
        <f t="shared" si="38"/>
        <v>252.96780620227273</v>
      </c>
      <c r="AP57" s="345">
        <f t="shared" si="17"/>
        <v>284.58878197755683</v>
      </c>
      <c r="AQ57" s="346">
        <f t="shared" si="52"/>
        <v>61.93481067734669</v>
      </c>
      <c r="AR57" s="348">
        <f>+IF($O57&gt;I$8,"FIN",(I$19-SUM(AS$25:AS56))*VLOOKUP($O57,$A:$N,9,0)/VLOOKUP(I$15,$K$1:$M$4,2,0))</f>
        <v>27.896826227014202</v>
      </c>
      <c r="AS57" s="345">
        <f t="shared" si="39"/>
        <v>262.55836448954545</v>
      </c>
      <c r="AT57" s="345">
        <f t="shared" si="19"/>
        <v>290.45519071655963</v>
      </c>
      <c r="AU57" s="346">
        <f t="shared" si="53"/>
        <v>63.211512141407646</v>
      </c>
      <c r="AV57" s="348">
        <f>+IF($O57&gt;J$8,"FIN",(J$19-SUM(AW$25:AW56))*VLOOKUP($O57,$A:$N,10,0)/VLOOKUP(J$15,$K$1:$M$4,2,0))</f>
        <v>48.205553592624987</v>
      </c>
      <c r="AW57" s="345">
        <f t="shared" si="40"/>
        <v>179.78761246666667</v>
      </c>
      <c r="AX57" s="345">
        <f t="shared" si="21"/>
        <v>227.99316605929167</v>
      </c>
      <c r="AY57" s="346">
        <f t="shared" si="54"/>
        <v>49.617955695543472</v>
      </c>
      <c r="AZ57" s="348">
        <f>+IF($O57&gt;K$8,"FIN",(K$19-SUM(BA$25:BA56))*VLOOKUP($O57,$A:$N,11,0)/VLOOKUP(K$15,$K$1:$M$4,2,0))</f>
        <v>53.404090558499952</v>
      </c>
      <c r="BA57" s="345">
        <f t="shared" si="41"/>
        <v>215.77410326666666</v>
      </c>
      <c r="BB57" s="345">
        <f t="shared" si="23"/>
        <v>269.1781938251666</v>
      </c>
      <c r="BC57" s="346">
        <f t="shared" si="55"/>
        <v>58.581017695724107</v>
      </c>
      <c r="BD57" s="348">
        <f>+IF($O57&gt;L$8,"FIN",(L$19-SUM(BE$25:BE56))*VLOOKUP($O57,$A:$N,12,0)/VLOOKUP(L$15,$K$1:$M$4,2,0))</f>
        <v>100.40625</v>
      </c>
      <c r="BE57" s="345">
        <f t="shared" si="42"/>
        <v>191.25</v>
      </c>
      <c r="BF57" s="345">
        <f t="shared" si="25"/>
        <v>291.65625</v>
      </c>
      <c r="BG57" s="346">
        <f t="shared" si="56"/>
        <v>63.47289763529551</v>
      </c>
      <c r="BH57" s="348">
        <f>+IF($O57&gt;M$8,"FIN",(M$19-SUM(BI$25:BI56))*VLOOKUP($O57,$A:$N,13,0)/VLOOKUP(M$15,$K$1:$M$4,2,0))</f>
        <v>7.3089843750000005</v>
      </c>
      <c r="BI57" s="345">
        <f t="shared" si="43"/>
        <v>16.875</v>
      </c>
      <c r="BJ57" s="345">
        <f t="shared" si="27"/>
        <v>24.183984375000001</v>
      </c>
      <c r="BK57" s="346">
        <f t="shared" si="57"/>
        <v>5.2631396194937059</v>
      </c>
      <c r="BL57" s="397"/>
      <c r="BM57" s="420">
        <f t="shared" si="44"/>
        <v>279.86163158346358</v>
      </c>
      <c r="BN57" s="421">
        <f t="shared" si="44"/>
        <v>1180.7936666520877</v>
      </c>
      <c r="BO57" s="422">
        <f t="shared" si="45"/>
        <v>1460.6552982355513</v>
      </c>
    </row>
    <row r="58" spans="1:67" x14ac:dyDescent="0.25">
      <c r="A58" s="27">
        <f t="shared" si="29"/>
        <v>50055</v>
      </c>
      <c r="B58" s="32"/>
      <c r="C58" s="5"/>
      <c r="D58" s="40"/>
      <c r="E58" s="40"/>
      <c r="F58" s="40"/>
      <c r="G58" s="40"/>
      <c r="H58" s="40">
        <v>0.05</v>
      </c>
      <c r="I58" s="40">
        <v>4.2500000000000003E-2</v>
      </c>
      <c r="J58" s="40">
        <v>4.8750000000000002E-2</v>
      </c>
      <c r="K58" s="40">
        <v>4.4999999999999998E-2</v>
      </c>
      <c r="L58" s="40">
        <v>0.05</v>
      </c>
      <c r="M58" s="41">
        <v>4.1250000000000002E-2</v>
      </c>
      <c r="N58" s="2">
        <f t="shared" si="30"/>
        <v>2037</v>
      </c>
      <c r="O58" s="32">
        <f t="shared" si="31"/>
        <v>50055</v>
      </c>
      <c r="P58" s="347"/>
      <c r="Q58" s="345"/>
      <c r="R58" s="345"/>
      <c r="S58" s="346"/>
      <c r="T58" s="348"/>
      <c r="U58" s="345"/>
      <c r="V58" s="345"/>
      <c r="W58" s="346"/>
      <c r="X58" s="348"/>
      <c r="Y58" s="345"/>
      <c r="Z58" s="345"/>
      <c r="AA58" s="346"/>
      <c r="AB58" s="348"/>
      <c r="AC58" s="345"/>
      <c r="AD58" s="345"/>
      <c r="AE58" s="346"/>
      <c r="AF58" s="348"/>
      <c r="AG58" s="345"/>
      <c r="AH58" s="345"/>
      <c r="AI58" s="346"/>
      <c r="AJ58" s="348"/>
      <c r="AK58" s="345"/>
      <c r="AL58" s="345"/>
      <c r="AM58" s="346"/>
      <c r="AN58" s="348">
        <f>+IF($O58&gt;H$8,"FIN",(H$19-SUM(AO$25:AO57))*VLOOKUP($O58,$A:$N,8,0)/VLOOKUP(H$15,$K$1:$M$4,2,0))</f>
        <v>25.296780620227288</v>
      </c>
      <c r="AO58" s="345">
        <f t="shared" si="38"/>
        <v>252.96780620227273</v>
      </c>
      <c r="AP58" s="345">
        <f t="shared" si="17"/>
        <v>278.26458682250001</v>
      </c>
      <c r="AQ58" s="346">
        <f t="shared" si="52"/>
        <v>57.740246620572783</v>
      </c>
      <c r="AR58" s="348">
        <f>+IF($O58&gt;I$8,"FIN",(I$19-SUM(AS$25:AS57))*VLOOKUP($O58,$A:$N,9,0)/VLOOKUP(I$15,$K$1:$M$4,2,0))</f>
        <v>22.317460981611369</v>
      </c>
      <c r="AS58" s="345">
        <f t="shared" si="39"/>
        <v>262.55836448954545</v>
      </c>
      <c r="AT58" s="345">
        <f t="shared" si="19"/>
        <v>284.87582547115682</v>
      </c>
      <c r="AU58" s="346">
        <f t="shared" si="53"/>
        <v>59.112086833515185</v>
      </c>
      <c r="AV58" s="348">
        <f>+IF($O58&gt;J$8,"FIN",(J$19-SUM(AW$25:AW57))*VLOOKUP($O58,$A:$N,10,0)/VLOOKUP(J$15,$K$1:$M$4,2,0))</f>
        <v>43.823230538749982</v>
      </c>
      <c r="AW58" s="345">
        <f t="shared" si="40"/>
        <v>179.78761246666667</v>
      </c>
      <c r="AX58" s="345">
        <f t="shared" si="21"/>
        <v>223.61084300541665</v>
      </c>
      <c r="AY58" s="346">
        <f t="shared" si="54"/>
        <v>46.399527045828712</v>
      </c>
      <c r="AZ58" s="348">
        <f>+IF($O58&gt;K$8,"FIN",(K$19-SUM(BA$25:BA57))*VLOOKUP($O58,$A:$N,11,0)/VLOOKUP(K$15,$K$1:$M$4,2,0))</f>
        <v>48.549173234999962</v>
      </c>
      <c r="BA58" s="345">
        <f t="shared" si="41"/>
        <v>215.77410326666666</v>
      </c>
      <c r="BB58" s="345">
        <f t="shared" si="23"/>
        <v>264.32327650166661</v>
      </c>
      <c r="BC58" s="346">
        <f t="shared" si="55"/>
        <v>54.847407451453734</v>
      </c>
      <c r="BD58" s="348">
        <f>+IF($O58&gt;L$8,"FIN",(L$19-SUM(BE$25:BE57))*VLOOKUP($O58,$A:$N,12,0)/VLOOKUP(L$15,$K$1:$M$4,2,0))</f>
        <v>95.625</v>
      </c>
      <c r="BE58" s="345">
        <f t="shared" si="42"/>
        <v>191.25</v>
      </c>
      <c r="BF58" s="345">
        <f t="shared" si="25"/>
        <v>286.875</v>
      </c>
      <c r="BG58" s="346">
        <f t="shared" si="56"/>
        <v>59.526918025838647</v>
      </c>
      <c r="BH58" s="348">
        <f>+IF($O58&gt;M$8,"FIN",(M$19-SUM(BI$25:BI57))*VLOOKUP($O58,$A:$N,13,0)/VLOOKUP(M$15,$K$1:$M$4,2,0))</f>
        <v>6.9609375</v>
      </c>
      <c r="BI58" s="345">
        <f t="shared" si="43"/>
        <v>16.875</v>
      </c>
      <c r="BJ58" s="345">
        <f t="shared" si="27"/>
        <v>23.8359375</v>
      </c>
      <c r="BK58" s="346">
        <f t="shared" si="57"/>
        <v>4.9459865712645348</v>
      </c>
      <c r="BL58" s="397"/>
      <c r="BM58" s="420">
        <f t="shared" si="44"/>
        <v>252.2507135612837</v>
      </c>
      <c r="BN58" s="421">
        <f t="shared" si="44"/>
        <v>1180.7936666520877</v>
      </c>
      <c r="BO58" s="422">
        <f t="shared" si="45"/>
        <v>1433.0443802133714</v>
      </c>
    </row>
    <row r="59" spans="1:67" x14ac:dyDescent="0.25">
      <c r="A59" s="27">
        <f t="shared" si="29"/>
        <v>50236</v>
      </c>
      <c r="B59" s="32"/>
      <c r="C59" s="5"/>
      <c r="D59" s="40"/>
      <c r="E59" s="40"/>
      <c r="F59" s="40"/>
      <c r="G59" s="40"/>
      <c r="H59" s="40">
        <v>0.05</v>
      </c>
      <c r="I59" s="40">
        <v>4.2500000000000003E-2</v>
      </c>
      <c r="J59" s="40">
        <v>4.8750000000000002E-2</v>
      </c>
      <c r="K59" s="40">
        <v>4.4999999999999998E-2</v>
      </c>
      <c r="L59" s="40">
        <v>0.05</v>
      </c>
      <c r="M59" s="41">
        <v>4.1250000000000002E-2</v>
      </c>
      <c r="N59" s="2">
        <f t="shared" si="30"/>
        <v>2037</v>
      </c>
      <c r="O59" s="32">
        <f t="shared" si="31"/>
        <v>50236</v>
      </c>
      <c r="P59" s="347"/>
      <c r="Q59" s="345"/>
      <c r="R59" s="345"/>
      <c r="S59" s="346"/>
      <c r="T59" s="348"/>
      <c r="U59" s="345"/>
      <c r="V59" s="345"/>
      <c r="W59" s="346"/>
      <c r="X59" s="348"/>
      <c r="Y59" s="345"/>
      <c r="Z59" s="345"/>
      <c r="AA59" s="346"/>
      <c r="AB59" s="348"/>
      <c r="AC59" s="345"/>
      <c r="AD59" s="345"/>
      <c r="AE59" s="346"/>
      <c r="AF59" s="348"/>
      <c r="AG59" s="345"/>
      <c r="AH59" s="345"/>
      <c r="AI59" s="346"/>
      <c r="AJ59" s="348"/>
      <c r="AK59" s="345"/>
      <c r="AL59" s="345"/>
      <c r="AM59" s="346"/>
      <c r="AN59" s="348">
        <f>+IF($O59&gt;H$8,"FIN",(H$19-SUM(AO$25:AO58))*VLOOKUP($O59,$A:$N,8,0)/VLOOKUP(H$15,$K$1:$M$4,2,0))</f>
        <v>18.972585465170461</v>
      </c>
      <c r="AO59" s="345">
        <f t="shared" si="38"/>
        <v>252.96780620227273</v>
      </c>
      <c r="AP59" s="345">
        <f t="shared" si="17"/>
        <v>271.94039166744318</v>
      </c>
      <c r="AQ59" s="346">
        <f t="shared" si="52"/>
        <v>53.801956750018334</v>
      </c>
      <c r="AR59" s="348">
        <f>+IF($O59&gt;I$8,"FIN",(I$19-SUM(AS$25:AS58))*VLOOKUP($O59,$A:$N,9,0)/VLOOKUP(I$15,$K$1:$M$4,2,0))</f>
        <v>16.738095736208535</v>
      </c>
      <c r="AS59" s="345">
        <f t="shared" si="39"/>
        <v>262.55836448954545</v>
      </c>
      <c r="AT59" s="345">
        <f t="shared" si="19"/>
        <v>279.296460225754</v>
      </c>
      <c r="AU59" s="346">
        <f t="shared" si="53"/>
        <v>55.25731569834403</v>
      </c>
      <c r="AV59" s="348">
        <f>+IF($O59&gt;J$8,"FIN",(J$19-SUM(AW$25:AW58))*VLOOKUP($O59,$A:$N,10,0)/VLOOKUP(J$15,$K$1:$M$4,2,0))</f>
        <v>39.440907484874977</v>
      </c>
      <c r="AW59" s="345">
        <f t="shared" si="40"/>
        <v>179.78761246666667</v>
      </c>
      <c r="AX59" s="345">
        <f t="shared" si="21"/>
        <v>219.22851995154164</v>
      </c>
      <c r="AY59" s="346">
        <f t="shared" si="54"/>
        <v>43.373193943279404</v>
      </c>
      <c r="AZ59" s="348">
        <f>+IF($O59&gt;K$8,"FIN",(K$19-SUM(BA$25:BA58))*VLOOKUP($O59,$A:$N,11,0)/VLOOKUP(K$15,$K$1:$M$4,2,0))</f>
        <v>43.694255911499965</v>
      </c>
      <c r="BA59" s="345">
        <f t="shared" si="41"/>
        <v>215.77410326666666</v>
      </c>
      <c r="BB59" s="345">
        <f t="shared" si="23"/>
        <v>259.46835917816662</v>
      </c>
      <c r="BC59" s="346">
        <f t="shared" si="55"/>
        <v>51.334431611665686</v>
      </c>
      <c r="BD59" s="348">
        <f>+IF($O59&gt;L$8,"FIN",(L$19-SUM(BE$25:BE58))*VLOOKUP($O59,$A:$N,12,0)/VLOOKUP(L$15,$K$1:$M$4,2,0))</f>
        <v>90.84375</v>
      </c>
      <c r="BE59" s="345">
        <f t="shared" si="42"/>
        <v>191.25</v>
      </c>
      <c r="BF59" s="345">
        <f t="shared" si="25"/>
        <v>282.09375</v>
      </c>
      <c r="BG59" s="346">
        <f t="shared" si="56"/>
        <v>55.810744567547466</v>
      </c>
      <c r="BH59" s="348">
        <f>+IF($O59&gt;M$8,"FIN",(M$19-SUM(BI$25:BI58))*VLOOKUP($O59,$A:$N,13,0)/VLOOKUP(M$15,$K$1:$M$4,2,0))</f>
        <v>6.6128906250000004</v>
      </c>
      <c r="BI59" s="345">
        <f t="shared" si="43"/>
        <v>16.875</v>
      </c>
      <c r="BJ59" s="345">
        <f t="shared" si="27"/>
        <v>23.487890624999999</v>
      </c>
      <c r="BK59" s="346">
        <f t="shared" si="57"/>
        <v>4.6469539438657099</v>
      </c>
      <c r="BL59" s="397"/>
      <c r="BM59" s="420">
        <f t="shared" si="44"/>
        <v>224.63979553910383</v>
      </c>
      <c r="BN59" s="421">
        <f t="shared" si="44"/>
        <v>1180.7936666520877</v>
      </c>
      <c r="BO59" s="422">
        <f t="shared" si="45"/>
        <v>1405.4334621911917</v>
      </c>
    </row>
    <row r="60" spans="1:67" x14ac:dyDescent="0.25">
      <c r="A60" s="27">
        <f t="shared" si="29"/>
        <v>50420</v>
      </c>
      <c r="B60" s="32"/>
      <c r="C60" s="5"/>
      <c r="D60" s="40"/>
      <c r="E60" s="40"/>
      <c r="F60" s="40"/>
      <c r="G60" s="40"/>
      <c r="H60" s="40">
        <v>0.05</v>
      </c>
      <c r="I60" s="40">
        <v>4.2500000000000003E-2</v>
      </c>
      <c r="J60" s="40">
        <v>4.8750000000000002E-2</v>
      </c>
      <c r="K60" s="40">
        <v>4.4999999999999998E-2</v>
      </c>
      <c r="L60" s="40">
        <v>0.05</v>
      </c>
      <c r="M60" s="41">
        <v>4.1250000000000002E-2</v>
      </c>
      <c r="N60" s="2">
        <f t="shared" si="30"/>
        <v>2038</v>
      </c>
      <c r="O60" s="32">
        <f t="shared" si="31"/>
        <v>50420</v>
      </c>
      <c r="P60" s="347"/>
      <c r="Q60" s="345"/>
      <c r="R60" s="345"/>
      <c r="S60" s="346"/>
      <c r="T60" s="348"/>
      <c r="U60" s="345"/>
      <c r="V60" s="345"/>
      <c r="W60" s="346"/>
      <c r="X60" s="348"/>
      <c r="Y60" s="345"/>
      <c r="Z60" s="345"/>
      <c r="AA60" s="346"/>
      <c r="AB60" s="348"/>
      <c r="AC60" s="345"/>
      <c r="AD60" s="345"/>
      <c r="AE60" s="346"/>
      <c r="AF60" s="348"/>
      <c r="AG60" s="345"/>
      <c r="AH60" s="345"/>
      <c r="AI60" s="346"/>
      <c r="AJ60" s="348"/>
      <c r="AK60" s="345"/>
      <c r="AL60" s="345"/>
      <c r="AM60" s="346"/>
      <c r="AN60" s="348">
        <f>+IF($O60&gt;H$8,"FIN",(H$19-SUM(AO$25:AO59))*VLOOKUP($O60,$A:$N,8,0)/VLOOKUP(H$15,$K$1:$M$4,2,0))</f>
        <v>12.648390310113633</v>
      </c>
      <c r="AO60" s="345">
        <f t="shared" si="38"/>
        <v>252.96780620227273</v>
      </c>
      <c r="AP60" s="345">
        <f t="shared" si="17"/>
        <v>265.61619651238635</v>
      </c>
      <c r="AQ60" s="346">
        <f t="shared" si="52"/>
        <v>50.105172687273893</v>
      </c>
      <c r="AR60" s="348">
        <f>+IF($O60&gt;I$8,"FIN",(I$19-SUM(AS$25:AS59))*VLOOKUP($O60,$A:$N,9,0)/VLOOKUP(I$15,$K$1:$M$4,2,0))</f>
        <v>11.158730490805704</v>
      </c>
      <c r="AS60" s="345">
        <f t="shared" si="39"/>
        <v>262.55836448954545</v>
      </c>
      <c r="AT60" s="345">
        <f t="shared" si="19"/>
        <v>273.71709498035113</v>
      </c>
      <c r="AU60" s="346">
        <f t="shared" si="53"/>
        <v>51.633305843267337</v>
      </c>
      <c r="AV60" s="348">
        <f>+IF($O60&gt;J$8,"FIN",(J$19-SUM(AW$25:AW59))*VLOOKUP($O60,$A:$N,10,0)/VLOOKUP(J$15,$K$1:$M$4,2,0))</f>
        <v>35.058584430999971</v>
      </c>
      <c r="AW60" s="345">
        <f t="shared" si="40"/>
        <v>179.78761246666667</v>
      </c>
      <c r="AX60" s="345">
        <f t="shared" si="21"/>
        <v>214.84619689766663</v>
      </c>
      <c r="AY60" s="346">
        <f t="shared" si="54"/>
        <v>40.528047378540187</v>
      </c>
      <c r="AZ60" s="348">
        <f>+IF($O60&gt;K$8,"FIN",(K$19-SUM(BA$25:BA59))*VLOOKUP($O60,$A:$N,11,0)/VLOOKUP(K$15,$K$1:$M$4,2,0))</f>
        <v>38.839338587999976</v>
      </c>
      <c r="BA60" s="345">
        <f t="shared" si="41"/>
        <v>215.77410326666666</v>
      </c>
      <c r="BB60" s="345">
        <f t="shared" si="23"/>
        <v>254.61344185466663</v>
      </c>
      <c r="BC60" s="346">
        <f t="shared" si="55"/>
        <v>48.029640662497513</v>
      </c>
      <c r="BD60" s="348">
        <f>+IF($O60&gt;L$8,"FIN",(L$19-SUM(BE$25:BE59))*VLOOKUP($O60,$A:$N,12,0)/VLOOKUP(L$15,$K$1:$M$4,2,0))</f>
        <v>86.0625</v>
      </c>
      <c r="BE60" s="345">
        <f t="shared" si="42"/>
        <v>191.25</v>
      </c>
      <c r="BF60" s="345">
        <f t="shared" si="25"/>
        <v>277.3125</v>
      </c>
      <c r="BG60" s="346">
        <f t="shared" si="56"/>
        <v>52.311534022706681</v>
      </c>
      <c r="BH60" s="348">
        <f>+IF($O60&gt;M$8,"FIN",(M$19-SUM(BI$25:BI59))*VLOOKUP($O60,$A:$N,13,0)/VLOOKUP(M$15,$K$1:$M$4,2,0))</f>
        <v>6.2648437500000007</v>
      </c>
      <c r="BI60" s="345">
        <f t="shared" si="43"/>
        <v>16.875</v>
      </c>
      <c r="BJ60" s="345">
        <f t="shared" si="27"/>
        <v>23.139843750000001</v>
      </c>
      <c r="BK60" s="346">
        <f t="shared" si="57"/>
        <v>4.3650420504241296</v>
      </c>
      <c r="BL60" s="397"/>
      <c r="BM60" s="420">
        <f t="shared" si="44"/>
        <v>197.0288775169239</v>
      </c>
      <c r="BN60" s="421">
        <f t="shared" si="44"/>
        <v>1180.7936666520877</v>
      </c>
      <c r="BO60" s="422">
        <f t="shared" si="45"/>
        <v>1377.8225441690115</v>
      </c>
    </row>
    <row r="61" spans="1:67" x14ac:dyDescent="0.25">
      <c r="A61" s="27">
        <f t="shared" si="29"/>
        <v>50601</v>
      </c>
      <c r="B61" s="32"/>
      <c r="C61" s="5"/>
      <c r="D61" s="40"/>
      <c r="E61" s="40"/>
      <c r="F61" s="40"/>
      <c r="G61" s="40"/>
      <c r="H61" s="40">
        <v>0.05</v>
      </c>
      <c r="I61" s="40">
        <v>4.2500000000000003E-2</v>
      </c>
      <c r="J61" s="40">
        <v>4.8750000000000002E-2</v>
      </c>
      <c r="K61" s="40">
        <v>4.4999999999999998E-2</v>
      </c>
      <c r="L61" s="40">
        <v>0.05</v>
      </c>
      <c r="M61" s="41">
        <v>4.1250000000000002E-2</v>
      </c>
      <c r="N61" s="2">
        <f t="shared" si="30"/>
        <v>2038</v>
      </c>
      <c r="O61" s="32">
        <f t="shared" si="31"/>
        <v>50601</v>
      </c>
      <c r="P61" s="347"/>
      <c r="Q61" s="345"/>
      <c r="R61" s="345"/>
      <c r="S61" s="346"/>
      <c r="T61" s="348"/>
      <c r="U61" s="345"/>
      <c r="V61" s="345"/>
      <c r="W61" s="346"/>
      <c r="X61" s="348"/>
      <c r="Y61" s="345"/>
      <c r="Z61" s="345"/>
      <c r="AA61" s="346"/>
      <c r="AB61" s="348"/>
      <c r="AC61" s="345"/>
      <c r="AD61" s="345"/>
      <c r="AE61" s="346"/>
      <c r="AF61" s="348"/>
      <c r="AG61" s="345"/>
      <c r="AH61" s="345"/>
      <c r="AI61" s="346"/>
      <c r="AJ61" s="348"/>
      <c r="AK61" s="345"/>
      <c r="AL61" s="345"/>
      <c r="AM61" s="346"/>
      <c r="AN61" s="348">
        <f>+IF($O61&gt;H$8,"FIN",(H$19-SUM(AO$25:AO60))*VLOOKUP($O61,$A:$N,8,0)/VLOOKUP(H$15,$K$1:$M$4,2,0))</f>
        <v>6.3241951550568052</v>
      </c>
      <c r="AO61" s="345">
        <f t="shared" si="38"/>
        <v>252.96780620227273</v>
      </c>
      <c r="AP61" s="345">
        <f t="shared" si="17"/>
        <v>259.29200135732953</v>
      </c>
      <c r="AQ61" s="346">
        <f t="shared" si="52"/>
        <v>46.635945597267472</v>
      </c>
      <c r="AR61" s="348">
        <f>+IF($O61&gt;I$8,"FIN",(I$19-SUM(AS$25:AS60))*VLOOKUP($O61,$A:$N,9,0)/VLOOKUP(I$15,$K$1:$M$4,2,0))</f>
        <v>5.5793652454028715</v>
      </c>
      <c r="AS61" s="345">
        <f t="shared" si="39"/>
        <v>262.55836448954545</v>
      </c>
      <c r="AT61" s="345">
        <f t="shared" si="19"/>
        <v>268.13772973494832</v>
      </c>
      <c r="AU61" s="346">
        <f t="shared" si="53"/>
        <v>48.226927599131578</v>
      </c>
      <c r="AV61" s="348">
        <f>+IF($O61&gt;J$8,"FIN",(J$19-SUM(AW$25:AW60))*VLOOKUP($O61,$A:$N,10,0)/VLOOKUP(J$15,$K$1:$M$4,2,0))</f>
        <v>30.67626137712497</v>
      </c>
      <c r="AW61" s="345">
        <f t="shared" si="40"/>
        <v>179.78761246666667</v>
      </c>
      <c r="AX61" s="345">
        <f t="shared" si="21"/>
        <v>210.46387384379165</v>
      </c>
      <c r="AY61" s="346">
        <f t="shared" si="54"/>
        <v>37.853777669149771</v>
      </c>
      <c r="AZ61" s="348">
        <f>+IF($O61&gt;K$8,"FIN",(K$19-SUM(BA$25:BA60))*VLOOKUP($O61,$A:$N,11,0)/VLOOKUP(K$15,$K$1:$M$4,2,0))</f>
        <v>33.984421264499986</v>
      </c>
      <c r="BA61" s="345">
        <f t="shared" si="41"/>
        <v>215.77410326666666</v>
      </c>
      <c r="BB61" s="345">
        <f t="shared" si="23"/>
        <v>249.75852453116664</v>
      </c>
      <c r="BC61" s="346">
        <f t="shared" si="55"/>
        <v>44.921265991686283</v>
      </c>
      <c r="BD61" s="348">
        <f>+IF($O61&gt;L$8,"FIN",(L$19-SUM(BE$25:BE60))*VLOOKUP($O61,$A:$N,12,0)/VLOOKUP(L$15,$K$1:$M$4,2,0))</f>
        <v>81.28125</v>
      </c>
      <c r="BE61" s="345">
        <f t="shared" si="42"/>
        <v>191.25</v>
      </c>
      <c r="BF61" s="345">
        <f t="shared" si="25"/>
        <v>272.53125</v>
      </c>
      <c r="BG61" s="346">
        <f t="shared" si="56"/>
        <v>49.017140837445382</v>
      </c>
      <c r="BH61" s="348">
        <f>+IF($O61&gt;M$8,"FIN",(M$19-SUM(BI$25:BI60))*VLOOKUP($O61,$A:$N,13,0)/VLOOKUP(M$15,$K$1:$M$4,2,0))</f>
        <v>5.9167968750000002</v>
      </c>
      <c r="BI61" s="345">
        <f t="shared" si="43"/>
        <v>16.875</v>
      </c>
      <c r="BJ61" s="345">
        <f t="shared" si="27"/>
        <v>22.791796874999999</v>
      </c>
      <c r="BK61" s="346">
        <f t="shared" si="57"/>
        <v>4.099305005794097</v>
      </c>
      <c r="BL61" s="397"/>
      <c r="BM61" s="420">
        <f t="shared" si="44"/>
        <v>169.41795949474403</v>
      </c>
      <c r="BN61" s="421">
        <f t="shared" si="44"/>
        <v>1180.7936666520877</v>
      </c>
      <c r="BO61" s="422">
        <f t="shared" si="45"/>
        <v>1350.2116261468318</v>
      </c>
    </row>
    <row r="62" spans="1:67" x14ac:dyDescent="0.25">
      <c r="A62" s="27">
        <f t="shared" si="29"/>
        <v>50785</v>
      </c>
      <c r="B62" s="32"/>
      <c r="C62" s="5"/>
      <c r="D62" s="47"/>
      <c r="E62" s="47"/>
      <c r="F62" s="47"/>
      <c r="G62" s="47"/>
      <c r="H62" s="40"/>
      <c r="I62" s="40"/>
      <c r="J62" s="40">
        <v>4.8750000000000002E-2</v>
      </c>
      <c r="K62" s="40">
        <v>4.4999999999999998E-2</v>
      </c>
      <c r="L62" s="40">
        <v>0.05</v>
      </c>
      <c r="M62" s="41">
        <v>4.1250000000000002E-2</v>
      </c>
      <c r="N62" s="2">
        <f t="shared" si="30"/>
        <v>2039</v>
      </c>
      <c r="O62" s="32">
        <f t="shared" si="31"/>
        <v>50785</v>
      </c>
      <c r="P62" s="347"/>
      <c r="Q62" s="345"/>
      <c r="R62" s="345"/>
      <c r="S62" s="346"/>
      <c r="T62" s="348"/>
      <c r="U62" s="345"/>
      <c r="V62" s="345"/>
      <c r="W62" s="346"/>
      <c r="X62" s="348"/>
      <c r="Y62" s="345"/>
      <c r="Z62" s="345"/>
      <c r="AA62" s="346"/>
      <c r="AB62" s="348"/>
      <c r="AC62" s="345"/>
      <c r="AD62" s="345"/>
      <c r="AE62" s="346"/>
      <c r="AF62" s="348"/>
      <c r="AG62" s="345"/>
      <c r="AH62" s="345"/>
      <c r="AI62" s="346"/>
      <c r="AJ62" s="348"/>
      <c r="AK62" s="345"/>
      <c r="AL62" s="345"/>
      <c r="AM62" s="346"/>
      <c r="AN62" s="348"/>
      <c r="AO62" s="345"/>
      <c r="AP62" s="345"/>
      <c r="AQ62" s="346"/>
      <c r="AR62" s="348"/>
      <c r="AS62" s="345"/>
      <c r="AT62" s="345"/>
      <c r="AU62" s="346"/>
      <c r="AV62" s="348">
        <f>+IF($O62&gt;J$8,"FIN",(J$19-SUM(AW$25:AW61))*VLOOKUP($O62,$A:$N,10,0)/VLOOKUP(J$15,$K$1:$M$4,2,0))</f>
        <v>26.293938323249979</v>
      </c>
      <c r="AW62" s="345">
        <f t="shared" si="40"/>
        <v>179.78761246666667</v>
      </c>
      <c r="AX62" s="345">
        <f t="shared" si="21"/>
        <v>206.08155078991666</v>
      </c>
      <c r="AY62" s="346">
        <f t="shared" si="54"/>
        <v>35.340642303272496</v>
      </c>
      <c r="AZ62" s="348">
        <f>+IF($O62&gt;K$8,"FIN",(K$19-SUM(BA$25:BA61))*VLOOKUP($O62,$A:$N,11,0)/VLOOKUP(K$15,$K$1:$M$4,2,0))</f>
        <v>29.129503940999992</v>
      </c>
      <c r="BA62" s="345">
        <f t="shared" si="41"/>
        <v>215.77410326666666</v>
      </c>
      <c r="BB62" s="345">
        <f t="shared" si="23"/>
        <v>244.90360720766665</v>
      </c>
      <c r="BC62" s="346">
        <f t="shared" si="55"/>
        <v>41.998183476066778</v>
      </c>
      <c r="BD62" s="348">
        <f>+IF($O62&gt;L$8,"FIN",(L$19-SUM(BE$25:BE61))*VLOOKUP($O62,$A:$N,12,0)/VLOOKUP(L$15,$K$1:$M$4,2,0))</f>
        <v>76.5</v>
      </c>
      <c r="BE62" s="345">
        <f t="shared" si="42"/>
        <v>191.25</v>
      </c>
      <c r="BF62" s="345">
        <f t="shared" si="25"/>
        <v>267.75</v>
      </c>
      <c r="BG62" s="346">
        <f t="shared" si="56"/>
        <v>45.916080019930618</v>
      </c>
      <c r="BH62" s="348">
        <f>+IF($O62&gt;M$8,"FIN",(M$19-SUM(BI$25:BI61))*VLOOKUP($O62,$A:$N,13,0)/VLOOKUP(M$15,$K$1:$M$4,2,0))</f>
        <v>5.5687500000000005</v>
      </c>
      <c r="BI62" s="345">
        <f t="shared" si="43"/>
        <v>16.875</v>
      </c>
      <c r="BJ62" s="345">
        <f t="shared" si="27"/>
        <v>22.443750000000001</v>
      </c>
      <c r="BK62" s="346">
        <f t="shared" si="57"/>
        <v>3.8488478840235967</v>
      </c>
      <c r="BL62" s="397"/>
      <c r="BM62" s="420">
        <f t="shared" si="44"/>
        <v>141.80704147256409</v>
      </c>
      <c r="BN62" s="421">
        <f t="shared" si="44"/>
        <v>632.61744523782329</v>
      </c>
      <c r="BO62" s="422">
        <f t="shared" si="45"/>
        <v>774.42448671038733</v>
      </c>
    </row>
    <row r="63" spans="1:67" x14ac:dyDescent="0.25">
      <c r="A63" s="27">
        <f t="shared" si="29"/>
        <v>50966</v>
      </c>
      <c r="B63" s="32"/>
      <c r="C63" s="5"/>
      <c r="D63" s="47"/>
      <c r="E63" s="47"/>
      <c r="F63" s="47"/>
      <c r="G63" s="47"/>
      <c r="H63" s="40"/>
      <c r="I63" s="40"/>
      <c r="J63" s="40">
        <v>4.8750000000000002E-2</v>
      </c>
      <c r="K63" s="40">
        <v>4.4999999999999998E-2</v>
      </c>
      <c r="L63" s="40">
        <v>0.05</v>
      </c>
      <c r="M63" s="41">
        <v>4.1250000000000002E-2</v>
      </c>
      <c r="N63" s="2">
        <f t="shared" si="30"/>
        <v>2039</v>
      </c>
      <c r="O63" s="32">
        <f t="shared" si="31"/>
        <v>50966</v>
      </c>
      <c r="P63" s="347"/>
      <c r="Q63" s="345"/>
      <c r="R63" s="345"/>
      <c r="S63" s="346"/>
      <c r="T63" s="348"/>
      <c r="U63" s="345"/>
      <c r="V63" s="345"/>
      <c r="W63" s="346"/>
      <c r="X63" s="348"/>
      <c r="Y63" s="345"/>
      <c r="Z63" s="345"/>
      <c r="AA63" s="346"/>
      <c r="AB63" s="348"/>
      <c r="AC63" s="345"/>
      <c r="AD63" s="345"/>
      <c r="AE63" s="346"/>
      <c r="AF63" s="348"/>
      <c r="AG63" s="345"/>
      <c r="AH63" s="345"/>
      <c r="AI63" s="346"/>
      <c r="AJ63" s="348"/>
      <c r="AK63" s="345"/>
      <c r="AL63" s="345"/>
      <c r="AM63" s="346"/>
      <c r="AN63" s="348"/>
      <c r="AO63" s="345"/>
      <c r="AP63" s="345"/>
      <c r="AQ63" s="346"/>
      <c r="AR63" s="348"/>
      <c r="AS63" s="345"/>
      <c r="AT63" s="345"/>
      <c r="AU63" s="346"/>
      <c r="AV63" s="348">
        <f>+IF($O63&gt;J$8,"FIN",(J$19-SUM(AW$25:AW62))*VLOOKUP($O63,$A:$N,10,0)/VLOOKUP(J$15,$K$1:$M$4,2,0))</f>
        <v>21.911615269374984</v>
      </c>
      <c r="AW63" s="345">
        <f t="shared" si="40"/>
        <v>179.78761246666667</v>
      </c>
      <c r="AX63" s="345">
        <f t="shared" si="21"/>
        <v>201.69922773604165</v>
      </c>
      <c r="AY63" s="346">
        <f t="shared" si="54"/>
        <v>32.979435478388496</v>
      </c>
      <c r="AZ63" s="348">
        <f>+IF($O63&gt;K$8,"FIN",(K$19-SUM(BA$25:BA62))*VLOOKUP($O63,$A:$N,11,0)/VLOOKUP(K$15,$K$1:$M$4,2,0))</f>
        <v>24.274586617499999</v>
      </c>
      <c r="BA63" s="345">
        <f t="shared" si="41"/>
        <v>215.77410326666666</v>
      </c>
      <c r="BB63" s="345">
        <f t="shared" si="23"/>
        <v>240.04868988416666</v>
      </c>
      <c r="BC63" s="346">
        <f t="shared" si="55"/>
        <v>39.24987898350755</v>
      </c>
      <c r="BD63" s="348">
        <f>+IF($O63&gt;L$8,"FIN",(L$19-SUM(BE$25:BE62))*VLOOKUP($O63,$A:$N,12,0)/VLOOKUP(L$15,$K$1:$M$4,2,0))</f>
        <v>71.71875</v>
      </c>
      <c r="BE63" s="345">
        <f t="shared" si="42"/>
        <v>191.25</v>
      </c>
      <c r="BF63" s="345">
        <f t="shared" si="25"/>
        <v>262.96875</v>
      </c>
      <c r="BG63" s="346">
        <f t="shared" si="56"/>
        <v>42.997491962671376</v>
      </c>
      <c r="BH63" s="348">
        <f>+IF($O63&gt;M$8,"FIN",(M$19-SUM(BI$25:BI62))*VLOOKUP($O63,$A:$N,13,0)/VLOOKUP(M$15,$K$1:$M$4,2,0))</f>
        <v>5.220703125</v>
      </c>
      <c r="BI63" s="345">
        <f t="shared" si="43"/>
        <v>16.875</v>
      </c>
      <c r="BJ63" s="345">
        <f t="shared" si="27"/>
        <v>22.095703125</v>
      </c>
      <c r="BK63" s="346">
        <f t="shared" si="57"/>
        <v>3.6128240238688449</v>
      </c>
      <c r="BL63" s="397"/>
      <c r="BM63" s="420">
        <f t="shared" si="44"/>
        <v>126.79349742869587</v>
      </c>
      <c r="BN63" s="421">
        <f t="shared" si="44"/>
        <v>632.61744523782329</v>
      </c>
      <c r="BO63" s="422">
        <f t="shared" si="45"/>
        <v>759.41094266651919</v>
      </c>
    </row>
    <row r="64" spans="1:67" x14ac:dyDescent="0.25">
      <c r="A64" s="27">
        <f t="shared" si="29"/>
        <v>51150</v>
      </c>
      <c r="B64" s="32"/>
      <c r="C64" s="5"/>
      <c r="D64" s="47"/>
      <c r="E64" s="47"/>
      <c r="F64" s="47"/>
      <c r="G64" s="47"/>
      <c r="H64" s="40"/>
      <c r="I64" s="40"/>
      <c r="J64" s="40">
        <v>4.8750000000000002E-2</v>
      </c>
      <c r="K64" s="40">
        <v>4.4999999999999998E-2</v>
      </c>
      <c r="L64" s="40">
        <v>0.05</v>
      </c>
      <c r="M64" s="41">
        <v>4.1250000000000002E-2</v>
      </c>
      <c r="N64" s="2">
        <f t="shared" si="30"/>
        <v>2040</v>
      </c>
      <c r="O64" s="32">
        <f t="shared" si="31"/>
        <v>51150</v>
      </c>
      <c r="P64" s="347"/>
      <c r="Q64" s="345"/>
      <c r="R64" s="345"/>
      <c r="S64" s="346"/>
      <c r="T64" s="348"/>
      <c r="U64" s="345"/>
      <c r="V64" s="345"/>
      <c r="W64" s="346"/>
      <c r="X64" s="348"/>
      <c r="Y64" s="345"/>
      <c r="Z64" s="345"/>
      <c r="AA64" s="346"/>
      <c r="AB64" s="348"/>
      <c r="AC64" s="345"/>
      <c r="AD64" s="345"/>
      <c r="AE64" s="346"/>
      <c r="AF64" s="345"/>
      <c r="AG64" s="345"/>
      <c r="AH64" s="345"/>
      <c r="AI64" s="346"/>
      <c r="AJ64" s="345"/>
      <c r="AK64" s="345"/>
      <c r="AL64" s="345"/>
      <c r="AM64" s="346"/>
      <c r="AN64" s="348"/>
      <c r="AO64" s="345"/>
      <c r="AP64" s="345"/>
      <c r="AQ64" s="346"/>
      <c r="AR64" s="348"/>
      <c r="AS64" s="345"/>
      <c r="AT64" s="345"/>
      <c r="AU64" s="346"/>
      <c r="AV64" s="348">
        <f>+IF($O64&gt;J$8,"FIN",(J$19-SUM(AW$25:AW63))*VLOOKUP($O64,$A:$N,10,0)/VLOOKUP(J$15,$K$1:$M$4,2,0))</f>
        <v>17.529292215499993</v>
      </c>
      <c r="AW64" s="345">
        <f t="shared" si="40"/>
        <v>179.78761246666667</v>
      </c>
      <c r="AX64" s="345">
        <f t="shared" si="21"/>
        <v>197.31690468216667</v>
      </c>
      <c r="AY64" s="346">
        <f>AX64/(1+$B$5)^(YEARFRAC($O$25,$O64))</f>
        <v>30.761459246825861</v>
      </c>
      <c r="AZ64" s="348">
        <f>+IF($O64&gt;K$8,"FIN",(K$19-SUM(BA$25:BA63))*VLOOKUP($O64,$A:$N,11,0)/VLOOKUP(K$15,$K$1:$M$4,2,0))</f>
        <v>19.419669294000009</v>
      </c>
      <c r="BA64" s="345">
        <f t="shared" si="41"/>
        <v>215.77410326666666</v>
      </c>
      <c r="BB64" s="345">
        <f t="shared" si="23"/>
        <v>235.19377256066667</v>
      </c>
      <c r="BC64" s="346">
        <f>BB64/(1+$B$5)^(YEARFRAC($O$25,$O64))</f>
        <v>36.666415689958178</v>
      </c>
      <c r="BD64" s="348">
        <f>+IF($O64&gt;L$8,"FIN",(L$19-SUM(BE$25:BE63))*VLOOKUP($O64,$A:$N,12,0)/VLOOKUP(L$15,$K$1:$M$4,2,0))</f>
        <v>66.9375</v>
      </c>
      <c r="BE64" s="345">
        <f t="shared" si="42"/>
        <v>191.25</v>
      </c>
      <c r="BF64" s="345">
        <f t="shared" si="25"/>
        <v>258.1875</v>
      </c>
      <c r="BG64" s="346">
        <f>BF64/(1+$B$5)^(YEARFRAC($O$25,$O64))</f>
        <v>40.251109108380732</v>
      </c>
      <c r="BH64" s="348">
        <f>+IF($O64&gt;M$8,"FIN",(M$19-SUM(BI$25:BI63))*VLOOKUP($O64,$A:$N,13,0)/VLOOKUP(M$15,$K$1:$M$4,2,0))</f>
        <v>4.8726562500000004</v>
      </c>
      <c r="BI64" s="345">
        <f t="shared" si="43"/>
        <v>16.875</v>
      </c>
      <c r="BJ64" s="345">
        <f t="shared" si="27"/>
        <v>21.747656249999999</v>
      </c>
      <c r="BK64" s="346">
        <f>BJ64/(1+$B$5)^(YEARFRAC($O$25,$O64))</f>
        <v>3.390432474733704</v>
      </c>
      <c r="BL64" s="397"/>
      <c r="BM64" s="420">
        <f t="shared" si="44"/>
        <v>111.77995338482764</v>
      </c>
      <c r="BN64" s="421">
        <f t="shared" si="44"/>
        <v>632.61744523782329</v>
      </c>
      <c r="BO64" s="422">
        <f t="shared" si="45"/>
        <v>744.39739862265094</v>
      </c>
    </row>
    <row r="65" spans="1:67" x14ac:dyDescent="0.25">
      <c r="A65" s="27">
        <f t="shared" si="29"/>
        <v>51332</v>
      </c>
      <c r="B65" s="32"/>
      <c r="C65" s="5"/>
      <c r="D65" s="47"/>
      <c r="E65" s="47"/>
      <c r="F65" s="47"/>
      <c r="G65" s="47"/>
      <c r="H65" s="40"/>
      <c r="I65" s="40"/>
      <c r="J65" s="40">
        <v>4.8750000000000002E-2</v>
      </c>
      <c r="K65" s="40">
        <v>4.4999999999999998E-2</v>
      </c>
      <c r="L65" s="40">
        <v>0.05</v>
      </c>
      <c r="M65" s="41">
        <v>4.1250000000000002E-2</v>
      </c>
      <c r="N65" s="2">
        <f t="shared" si="30"/>
        <v>2040</v>
      </c>
      <c r="O65" s="32">
        <f t="shared" si="31"/>
        <v>51332</v>
      </c>
      <c r="P65" s="347"/>
      <c r="Q65" s="345"/>
      <c r="R65" s="345"/>
      <c r="S65" s="346"/>
      <c r="T65" s="348"/>
      <c r="U65" s="345"/>
      <c r="V65" s="345"/>
      <c r="W65" s="346"/>
      <c r="X65" s="348"/>
      <c r="Y65" s="345"/>
      <c r="Z65" s="345"/>
      <c r="AA65" s="346"/>
      <c r="AB65" s="348"/>
      <c r="AC65" s="345"/>
      <c r="AD65" s="345"/>
      <c r="AE65" s="346"/>
      <c r="AF65" s="345"/>
      <c r="AG65" s="345"/>
      <c r="AH65" s="345"/>
      <c r="AI65" s="346"/>
      <c r="AJ65" s="345"/>
      <c r="AK65" s="345"/>
      <c r="AL65" s="345"/>
      <c r="AM65" s="346"/>
      <c r="AN65" s="348"/>
      <c r="AO65" s="345"/>
      <c r="AP65" s="345"/>
      <c r="AQ65" s="346"/>
      <c r="AR65" s="348"/>
      <c r="AS65" s="345"/>
      <c r="AT65" s="345"/>
      <c r="AU65" s="346"/>
      <c r="AV65" s="348">
        <f>+IF($O65&gt;J$8,"FIN",(J$19-SUM(AW$25:AW64))*VLOOKUP($O65,$A:$N,10,0)/VLOOKUP(J$15,$K$1:$M$4,2,0))</f>
        <v>13.146969161625</v>
      </c>
      <c r="AW65" s="345">
        <f t="shared" si="40"/>
        <v>179.78761246666667</v>
      </c>
      <c r="AX65" s="345">
        <f t="shared" si="21"/>
        <v>192.93458162829168</v>
      </c>
      <c r="AY65" s="346">
        <f t="shared" si="54"/>
        <v>28.678496184549537</v>
      </c>
      <c r="AZ65" s="348">
        <f>+IF($O65&gt;K$8,"FIN",(K$19-SUM(BA$25:BA64))*VLOOKUP($O65,$A:$N,11,0)/VLOOKUP(K$15,$K$1:$M$4,2,0))</f>
        <v>14.564751970500017</v>
      </c>
      <c r="BA65" s="345">
        <f t="shared" si="41"/>
        <v>215.77410326666666</v>
      </c>
      <c r="BB65" s="345">
        <f t="shared" si="23"/>
        <v>230.33885523716668</v>
      </c>
      <c r="BC65" s="346">
        <f t="shared" si="55"/>
        <v>34.238403117380436</v>
      </c>
      <c r="BD65" s="348">
        <f>+IF($O65&gt;L$8,"FIN",(L$19-SUM(BE$25:BE64))*VLOOKUP($O65,$A:$N,12,0)/VLOOKUP(L$15,$K$1:$M$4,2,0))</f>
        <v>62.15625</v>
      </c>
      <c r="BE65" s="345">
        <f t="shared" si="42"/>
        <v>191.25</v>
      </c>
      <c r="BF65" s="345">
        <f t="shared" si="25"/>
        <v>253.40625</v>
      </c>
      <c r="BG65" s="346">
        <f t="shared" si="56"/>
        <v>37.667224363993114</v>
      </c>
      <c r="BH65" s="348">
        <f>+IF($O65&gt;M$8,"FIN",(M$19-SUM(BI$25:BI64))*VLOOKUP($O65,$A:$N,13,0)/VLOOKUP(M$15,$K$1:$M$4,2,0))</f>
        <v>4.5246093749999998</v>
      </c>
      <c r="BI65" s="345">
        <f t="shared" si="43"/>
        <v>16.875</v>
      </c>
      <c r="BJ65" s="345">
        <f t="shared" si="27"/>
        <v>21.399609375000001</v>
      </c>
      <c r="BK65" s="346">
        <f t="shared" si="57"/>
        <v>3.1809155757994736</v>
      </c>
      <c r="BL65" s="397"/>
      <c r="BM65" s="420">
        <f t="shared" si="44"/>
        <v>96.766409340959399</v>
      </c>
      <c r="BN65" s="421">
        <f t="shared" si="44"/>
        <v>632.61744523782329</v>
      </c>
      <c r="BO65" s="422">
        <f t="shared" si="45"/>
        <v>729.38385457878269</v>
      </c>
    </row>
    <row r="66" spans="1:67" x14ac:dyDescent="0.25">
      <c r="A66" s="27">
        <f t="shared" si="29"/>
        <v>51516</v>
      </c>
      <c r="B66" s="32"/>
      <c r="C66" s="5"/>
      <c r="D66" s="47"/>
      <c r="E66" s="47"/>
      <c r="F66" s="47"/>
      <c r="G66" s="47"/>
      <c r="H66" s="47"/>
      <c r="I66" s="40"/>
      <c r="J66" s="40">
        <v>4.8750000000000002E-2</v>
      </c>
      <c r="K66" s="40">
        <v>4.4999999999999998E-2</v>
      </c>
      <c r="L66" s="40">
        <v>0.05</v>
      </c>
      <c r="M66" s="41">
        <v>4.1250000000000002E-2</v>
      </c>
      <c r="N66" s="2">
        <f t="shared" si="30"/>
        <v>2041</v>
      </c>
      <c r="O66" s="32">
        <f t="shared" si="31"/>
        <v>51516</v>
      </c>
      <c r="P66" s="347"/>
      <c r="Q66" s="345"/>
      <c r="R66" s="345"/>
      <c r="S66" s="346"/>
      <c r="T66" s="348"/>
      <c r="U66" s="345"/>
      <c r="V66" s="345"/>
      <c r="W66" s="346"/>
      <c r="X66" s="348"/>
      <c r="Y66" s="345"/>
      <c r="Z66" s="345"/>
      <c r="AA66" s="346"/>
      <c r="AB66" s="348"/>
      <c r="AC66" s="345"/>
      <c r="AD66" s="345"/>
      <c r="AE66" s="346"/>
      <c r="AF66" s="345"/>
      <c r="AG66" s="345"/>
      <c r="AH66" s="345"/>
      <c r="AI66" s="346"/>
      <c r="AJ66" s="345"/>
      <c r="AK66" s="345"/>
      <c r="AL66" s="345"/>
      <c r="AM66" s="346"/>
      <c r="AN66" s="345"/>
      <c r="AO66" s="345"/>
      <c r="AP66" s="345"/>
      <c r="AQ66" s="346"/>
      <c r="AR66" s="345"/>
      <c r="AS66" s="345"/>
      <c r="AT66" s="345"/>
      <c r="AU66" s="346"/>
      <c r="AV66" s="348">
        <f>+IF($O66&gt;J$8,"FIN",(J$19-SUM(AW$25:AW65))*VLOOKUP($O66,$A:$N,10,0)/VLOOKUP(J$15,$K$1:$M$4,2,0))</f>
        <v>8.7646461077500071</v>
      </c>
      <c r="AW66" s="345">
        <f t="shared" si="40"/>
        <v>179.78761246666667</v>
      </c>
      <c r="AX66" s="345">
        <f t="shared" si="21"/>
        <v>188.55225857441667</v>
      </c>
      <c r="AY66" s="346">
        <f t="shared" si="54"/>
        <v>26.722783503920997</v>
      </c>
      <c r="AZ66" s="348">
        <f>+IF($O66&gt;K$8,"FIN",(K$19-SUM(BA$25:BA65))*VLOOKUP($O66,$A:$N,11,0)/VLOOKUP(K$15,$K$1:$M$4,2,0))</f>
        <v>9.7098346470000241</v>
      </c>
      <c r="BA66" s="345">
        <f t="shared" si="41"/>
        <v>215.77410326666666</v>
      </c>
      <c r="BB66" s="345">
        <f t="shared" si="23"/>
        <v>225.48393791366669</v>
      </c>
      <c r="BC66" s="346">
        <f t="shared" si="55"/>
        <v>31.956967803174564</v>
      </c>
      <c r="BD66" s="348">
        <f>+IF($O66&gt;L$8,"FIN",(L$19-SUM(BE$25:BE65))*VLOOKUP($O66,$A:$N,12,0)/VLOOKUP(L$15,$K$1:$M$4,2,0))</f>
        <v>57.375</v>
      </c>
      <c r="BE66" s="345">
        <f t="shared" si="42"/>
        <v>191.25</v>
      </c>
      <c r="BF66" s="345">
        <f t="shared" si="25"/>
        <v>248.625</v>
      </c>
      <c r="BG66" s="346">
        <f t="shared" si="56"/>
        <v>35.236661172319835</v>
      </c>
      <c r="BH66" s="348">
        <f>+IF($O66&gt;M$8,"FIN",(M$19-SUM(BI$25:BI65))*VLOOKUP($O66,$A:$N,13,0)/VLOOKUP(M$15,$K$1:$M$4,2,0))</f>
        <v>4.1765625000000002</v>
      </c>
      <c r="BI66" s="345">
        <f t="shared" si="43"/>
        <v>16.875</v>
      </c>
      <c r="BJ66" s="345">
        <f t="shared" si="27"/>
        <v>21.051562499999999</v>
      </c>
      <c r="BK66" s="346">
        <f t="shared" si="57"/>
        <v>2.9835566614797959</v>
      </c>
      <c r="BL66" s="397"/>
      <c r="BM66" s="420">
        <f t="shared" si="44"/>
        <v>81.752865297091162</v>
      </c>
      <c r="BN66" s="421">
        <f t="shared" si="44"/>
        <v>632.61744523782329</v>
      </c>
      <c r="BO66" s="422">
        <f t="shared" si="45"/>
        <v>714.37031053491444</v>
      </c>
    </row>
    <row r="67" spans="1:67" x14ac:dyDescent="0.25">
      <c r="A67" s="27">
        <f t="shared" si="29"/>
        <v>51697</v>
      </c>
      <c r="B67" s="32"/>
      <c r="C67" s="5"/>
      <c r="D67" s="47"/>
      <c r="E67" s="47"/>
      <c r="F67" s="47"/>
      <c r="G67" s="47"/>
      <c r="H67" s="47"/>
      <c r="I67" s="40"/>
      <c r="J67" s="40">
        <v>4.8750000000000002E-2</v>
      </c>
      <c r="K67" s="40">
        <v>4.4999999999999998E-2</v>
      </c>
      <c r="L67" s="40">
        <v>0.05</v>
      </c>
      <c r="M67" s="41">
        <v>4.1250000000000002E-2</v>
      </c>
      <c r="N67" s="2">
        <f t="shared" si="30"/>
        <v>2041</v>
      </c>
      <c r="O67" s="32">
        <f t="shared" si="31"/>
        <v>51697</v>
      </c>
      <c r="P67" s="347"/>
      <c r="Q67" s="345"/>
      <c r="R67" s="345"/>
      <c r="S67" s="346"/>
      <c r="T67" s="348"/>
      <c r="U67" s="345"/>
      <c r="V67" s="345"/>
      <c r="W67" s="346"/>
      <c r="X67" s="348"/>
      <c r="Y67" s="345"/>
      <c r="Z67" s="345"/>
      <c r="AA67" s="346"/>
      <c r="AB67" s="348"/>
      <c r="AC67" s="345"/>
      <c r="AD67" s="345"/>
      <c r="AE67" s="346"/>
      <c r="AF67" s="345"/>
      <c r="AG67" s="345"/>
      <c r="AH67" s="345"/>
      <c r="AI67" s="346"/>
      <c r="AJ67" s="345"/>
      <c r="AK67" s="345"/>
      <c r="AL67" s="345"/>
      <c r="AM67" s="346"/>
      <c r="AN67" s="345"/>
      <c r="AO67" s="345"/>
      <c r="AP67" s="345"/>
      <c r="AQ67" s="346"/>
      <c r="AR67" s="345"/>
      <c r="AS67" s="345"/>
      <c r="AT67" s="345"/>
      <c r="AU67" s="346"/>
      <c r="AV67" s="348">
        <f>+IF($O67&gt;J$8,"FIN",(J$19-SUM(AW$25:AW66))*VLOOKUP($O67,$A:$N,10,0)/VLOOKUP(J$15,$K$1:$M$4,2,0))</f>
        <v>4.3823230538750151</v>
      </c>
      <c r="AW67" s="345">
        <f t="shared" si="40"/>
        <v>179.78761246666667</v>
      </c>
      <c r="AX67" s="345">
        <f t="shared" si="21"/>
        <v>184.16993552054169</v>
      </c>
      <c r="AY67" s="346">
        <f t="shared" si="54"/>
        <v>24.886988535223534</v>
      </c>
      <c r="AZ67" s="348">
        <f>+IF($O67&gt;K$8,"FIN",(K$19-SUM(BA$25:BA66))*VLOOKUP($O67,$A:$N,11,0)/VLOOKUP(K$15,$K$1:$M$4,2,0))</f>
        <v>4.8549173235000325</v>
      </c>
      <c r="BA67" s="345">
        <f t="shared" si="41"/>
        <v>215.77410326666666</v>
      </c>
      <c r="BB67" s="345">
        <f t="shared" si="23"/>
        <v>220.6290205901667</v>
      </c>
      <c r="BC67" s="346">
        <f t="shared" si="55"/>
        <v>29.813725516305301</v>
      </c>
      <c r="BD67" s="348">
        <f>+IF($O67&gt;L$8,"FIN",(L$19-SUM(BE$25:BE66))*VLOOKUP($O67,$A:$N,12,0)/VLOOKUP(L$15,$K$1:$M$4,2,0))</f>
        <v>52.59375</v>
      </c>
      <c r="BE67" s="345">
        <f t="shared" si="42"/>
        <v>191.25</v>
      </c>
      <c r="BF67" s="345">
        <f t="shared" si="25"/>
        <v>243.84375</v>
      </c>
      <c r="BG67" s="346">
        <f t="shared" si="56"/>
        <v>32.950745155465668</v>
      </c>
      <c r="BH67" s="348">
        <f>+IF($O67&gt;M$8,"FIN",(M$19-SUM(BI$25:BI66))*VLOOKUP($O67,$A:$N,13,0)/VLOOKUP(M$15,$K$1:$M$4,2,0))</f>
        <v>3.8285156250000001</v>
      </c>
      <c r="BI67" s="345">
        <f t="shared" si="43"/>
        <v>16.875</v>
      </c>
      <c r="BJ67" s="345">
        <f t="shared" si="27"/>
        <v>20.703515625000001</v>
      </c>
      <c r="BK67" s="346">
        <f t="shared" si="57"/>
        <v>2.7976778866859475</v>
      </c>
      <c r="BL67" s="397"/>
      <c r="BM67" s="420">
        <f t="shared" si="44"/>
        <v>66.739321253222926</v>
      </c>
      <c r="BN67" s="421">
        <f t="shared" si="44"/>
        <v>632.61744523782329</v>
      </c>
      <c r="BO67" s="422">
        <f t="shared" si="45"/>
        <v>699.35676649104619</v>
      </c>
    </row>
    <row r="68" spans="1:67" x14ac:dyDescent="0.25">
      <c r="A68" s="27">
        <f t="shared" si="29"/>
        <v>51881</v>
      </c>
      <c r="B68" s="32"/>
      <c r="C68" s="5"/>
      <c r="D68" s="47"/>
      <c r="E68" s="47"/>
      <c r="F68" s="47"/>
      <c r="G68" s="47"/>
      <c r="H68" s="47"/>
      <c r="I68" s="40"/>
      <c r="J68" s="40"/>
      <c r="K68" s="40"/>
      <c r="L68" s="40">
        <v>0.05</v>
      </c>
      <c r="M68" s="41">
        <v>4.1250000000000002E-2</v>
      </c>
      <c r="N68" s="2">
        <f t="shared" si="30"/>
        <v>2042</v>
      </c>
      <c r="O68" s="32">
        <f t="shared" si="31"/>
        <v>51881</v>
      </c>
      <c r="P68" s="347"/>
      <c r="Q68" s="345"/>
      <c r="R68" s="345"/>
      <c r="S68" s="346"/>
      <c r="T68" s="348"/>
      <c r="U68" s="345"/>
      <c r="V68" s="345"/>
      <c r="W68" s="346"/>
      <c r="X68" s="348"/>
      <c r="Y68" s="345"/>
      <c r="Z68" s="345"/>
      <c r="AA68" s="346"/>
      <c r="AB68" s="348"/>
      <c r="AC68" s="345"/>
      <c r="AD68" s="345"/>
      <c r="AE68" s="346"/>
      <c r="AF68" s="345"/>
      <c r="AG68" s="345"/>
      <c r="AH68" s="345"/>
      <c r="AI68" s="346"/>
      <c r="AJ68" s="345"/>
      <c r="AK68" s="345"/>
      <c r="AL68" s="345"/>
      <c r="AM68" s="346"/>
      <c r="AN68" s="345"/>
      <c r="AO68" s="345"/>
      <c r="AP68" s="345"/>
      <c r="AQ68" s="346"/>
      <c r="AR68" s="345"/>
      <c r="AS68" s="345"/>
      <c r="AT68" s="345"/>
      <c r="AU68" s="346"/>
      <c r="AV68" s="348"/>
      <c r="AW68" s="345"/>
      <c r="AX68" s="345"/>
      <c r="AY68" s="346"/>
      <c r="AZ68" s="348"/>
      <c r="BA68" s="345"/>
      <c r="BB68" s="345"/>
      <c r="BC68" s="346"/>
      <c r="BD68" s="348">
        <f>+IF($O68&gt;L$8,"FIN",(L$19-SUM(BE$25:BE67))*VLOOKUP($O68,$A:$N,12,0)/VLOOKUP(L$15,$K$1:$M$4,2,0))</f>
        <v>47.8125</v>
      </c>
      <c r="BE68" s="345">
        <f t="shared" si="42"/>
        <v>191.25</v>
      </c>
      <c r="BF68" s="345">
        <f t="shared" si="25"/>
        <v>239.0625</v>
      </c>
      <c r="BG68" s="346">
        <f t="shared" si="56"/>
        <v>30.801277248531321</v>
      </c>
      <c r="BH68" s="348">
        <f>+IF($O68&gt;M$8,"FIN",(M$19-SUM(BI$25:BI67))*VLOOKUP($O68,$A:$N,13,0)/VLOOKUP(M$15,$K$1:$M$4,2,0))</f>
        <v>3.48046875</v>
      </c>
      <c r="BI68" s="345">
        <f t="shared" si="43"/>
        <v>16.875</v>
      </c>
      <c r="BJ68" s="345">
        <f t="shared" si="27"/>
        <v>20.35546875</v>
      </c>
      <c r="BK68" s="346">
        <f t="shared" si="57"/>
        <v>2.6226381657205349</v>
      </c>
      <c r="BL68" s="397"/>
      <c r="BM68" s="420">
        <f t="shared" si="44"/>
        <v>51.725777209354618</v>
      </c>
      <c r="BN68" s="421">
        <f t="shared" si="44"/>
        <v>210.22346525747696</v>
      </c>
      <c r="BO68" s="422">
        <f t="shared" si="45"/>
        <v>261.94924246683161</v>
      </c>
    </row>
    <row r="69" spans="1:67" x14ac:dyDescent="0.25">
      <c r="A69" s="27">
        <f t="shared" si="29"/>
        <v>52062</v>
      </c>
      <c r="B69" s="32"/>
      <c r="C69" s="5"/>
      <c r="D69" s="47"/>
      <c r="E69" s="47"/>
      <c r="F69" s="47"/>
      <c r="G69" s="47"/>
      <c r="H69" s="47"/>
      <c r="I69" s="40"/>
      <c r="J69" s="40"/>
      <c r="K69" s="40"/>
      <c r="L69" s="40">
        <v>0.05</v>
      </c>
      <c r="M69" s="41">
        <v>4.1250000000000002E-2</v>
      </c>
      <c r="N69" s="2">
        <f t="shared" si="30"/>
        <v>2042</v>
      </c>
      <c r="O69" s="32">
        <f t="shared" si="31"/>
        <v>52062</v>
      </c>
      <c r="P69" s="347"/>
      <c r="Q69" s="345"/>
      <c r="R69" s="345"/>
      <c r="S69" s="346"/>
      <c r="T69" s="348"/>
      <c r="U69" s="345"/>
      <c r="V69" s="345"/>
      <c r="W69" s="346"/>
      <c r="X69" s="348"/>
      <c r="Y69" s="345"/>
      <c r="Z69" s="345"/>
      <c r="AA69" s="346"/>
      <c r="AB69" s="348"/>
      <c r="AC69" s="345"/>
      <c r="AD69" s="345"/>
      <c r="AE69" s="346"/>
      <c r="AF69" s="345"/>
      <c r="AG69" s="345"/>
      <c r="AH69" s="345"/>
      <c r="AI69" s="346"/>
      <c r="AJ69" s="345"/>
      <c r="AK69" s="345"/>
      <c r="AL69" s="345"/>
      <c r="AM69" s="346"/>
      <c r="AN69" s="345"/>
      <c r="AO69" s="345"/>
      <c r="AP69" s="345"/>
      <c r="AQ69" s="346"/>
      <c r="AR69" s="345"/>
      <c r="AS69" s="345"/>
      <c r="AT69" s="345"/>
      <c r="AU69" s="346"/>
      <c r="AV69" s="348"/>
      <c r="AW69" s="345"/>
      <c r="AX69" s="345"/>
      <c r="AY69" s="346"/>
      <c r="AZ69" s="348"/>
      <c r="BA69" s="345"/>
      <c r="BB69" s="345"/>
      <c r="BC69" s="346"/>
      <c r="BD69" s="348">
        <f>+IF($O69&gt;L$8,"FIN",(L$19-SUM(BE$25:BE68))*VLOOKUP($O69,$A:$N,12,0)/VLOOKUP(L$15,$K$1:$M$4,2,0))</f>
        <v>43.03125</v>
      </c>
      <c r="BE69" s="345">
        <f t="shared" si="42"/>
        <v>191.25</v>
      </c>
      <c r="BF69" s="345">
        <f t="shared" si="25"/>
        <v>234.28125</v>
      </c>
      <c r="BG69" s="346">
        <f t="shared" si="56"/>
        <v>28.780508246306908</v>
      </c>
      <c r="BH69" s="348">
        <f>+IF($O69&gt;M$8,"FIN",(M$19-SUM(BI$25:BI68))*VLOOKUP($O69,$A:$N,13,0)/VLOOKUP(M$15,$K$1:$M$4,2,0))</f>
        <v>3.1324218750000004</v>
      </c>
      <c r="BI69" s="345">
        <f t="shared" si="43"/>
        <v>16.875</v>
      </c>
      <c r="BJ69" s="345">
        <f t="shared" si="27"/>
        <v>20.007421874999999</v>
      </c>
      <c r="BK69" s="346">
        <f t="shared" si="57"/>
        <v>2.4578312189335625</v>
      </c>
      <c r="BL69" s="397"/>
      <c r="BM69" s="420">
        <f t="shared" si="44"/>
        <v>46.55319948841916</v>
      </c>
      <c r="BN69" s="421">
        <f t="shared" si="44"/>
        <v>210.22346525747696</v>
      </c>
      <c r="BO69" s="422">
        <f t="shared" si="45"/>
        <v>256.77666474589614</v>
      </c>
    </row>
    <row r="70" spans="1:67" x14ac:dyDescent="0.25">
      <c r="A70" s="27">
        <f t="shared" si="29"/>
        <v>52246</v>
      </c>
      <c r="B70" s="32"/>
      <c r="C70" s="5"/>
      <c r="D70" s="47"/>
      <c r="E70" s="47"/>
      <c r="F70" s="47"/>
      <c r="G70" s="47"/>
      <c r="H70" s="47"/>
      <c r="I70" s="40"/>
      <c r="J70" s="40"/>
      <c r="K70" s="40"/>
      <c r="L70" s="40">
        <v>0.05</v>
      </c>
      <c r="M70" s="41">
        <v>4.1250000000000002E-2</v>
      </c>
      <c r="N70" s="2">
        <f t="shared" si="30"/>
        <v>2043</v>
      </c>
      <c r="O70" s="32">
        <f t="shared" si="31"/>
        <v>52246</v>
      </c>
      <c r="P70" s="347"/>
      <c r="Q70" s="345"/>
      <c r="R70" s="345"/>
      <c r="S70" s="346"/>
      <c r="T70" s="347"/>
      <c r="U70" s="345"/>
      <c r="V70" s="345"/>
      <c r="W70" s="346"/>
      <c r="X70" s="348"/>
      <c r="Y70" s="345"/>
      <c r="Z70" s="345"/>
      <c r="AA70" s="346"/>
      <c r="AB70" s="348"/>
      <c r="AC70" s="345"/>
      <c r="AD70" s="345"/>
      <c r="AE70" s="346"/>
      <c r="AF70" s="345"/>
      <c r="AG70" s="345"/>
      <c r="AH70" s="345"/>
      <c r="AI70" s="346"/>
      <c r="AJ70" s="345"/>
      <c r="AK70" s="345"/>
      <c r="AL70" s="345"/>
      <c r="AM70" s="346"/>
      <c r="AN70" s="345"/>
      <c r="AO70" s="345"/>
      <c r="AP70" s="345"/>
      <c r="AQ70" s="346"/>
      <c r="AR70" s="345"/>
      <c r="AS70" s="345"/>
      <c r="AT70" s="345"/>
      <c r="AU70" s="346"/>
      <c r="AV70" s="348"/>
      <c r="AW70" s="345"/>
      <c r="AX70" s="345"/>
      <c r="AY70" s="346"/>
      <c r="AZ70" s="348"/>
      <c r="BA70" s="345"/>
      <c r="BB70" s="345"/>
      <c r="BC70" s="346"/>
      <c r="BD70" s="348">
        <f>+IF($O70&gt;L$8,"FIN",(L$19-SUM(BE$25:BE69))*VLOOKUP($O70,$A:$N,12,0)/VLOOKUP(L$15,$K$1:$M$4,2,0))</f>
        <v>38.25</v>
      </c>
      <c r="BE70" s="345">
        <f t="shared" si="42"/>
        <v>191.25</v>
      </c>
      <c r="BF70" s="345">
        <f t="shared" si="25"/>
        <v>229.5</v>
      </c>
      <c r="BG70" s="346">
        <f t="shared" si="56"/>
        <v>26.881114689627339</v>
      </c>
      <c r="BH70" s="348">
        <f>+IF($O70&gt;M$8,"FIN",(M$19-SUM(BI$25:BI69))*VLOOKUP($O70,$A:$N,13,0)/VLOOKUP(M$15,$K$1:$M$4,2,0))</f>
        <v>2.7843750000000003</v>
      </c>
      <c r="BI70" s="345">
        <f t="shared" si="43"/>
        <v>16.875</v>
      </c>
      <c r="BJ70" s="345">
        <f t="shared" si="27"/>
        <v>19.659375000000001</v>
      </c>
      <c r="BK70" s="346">
        <f t="shared" si="57"/>
        <v>2.3026837215746947</v>
      </c>
      <c r="BL70" s="397"/>
      <c r="BM70" s="420">
        <f t="shared" si="44"/>
        <v>41.380621767483696</v>
      </c>
      <c r="BN70" s="421">
        <f t="shared" si="44"/>
        <v>210.22346525747696</v>
      </c>
      <c r="BO70" s="422">
        <f t="shared" si="45"/>
        <v>251.60408702496065</v>
      </c>
    </row>
    <row r="71" spans="1:67" x14ac:dyDescent="0.25">
      <c r="A71" s="27">
        <f t="shared" si="29"/>
        <v>52427</v>
      </c>
      <c r="B71" s="32"/>
      <c r="C71" s="5"/>
      <c r="D71" s="47"/>
      <c r="E71" s="47"/>
      <c r="F71" s="47"/>
      <c r="G71" s="47"/>
      <c r="H71" s="47"/>
      <c r="I71" s="40"/>
      <c r="J71" s="40"/>
      <c r="K71" s="40"/>
      <c r="L71" s="40">
        <v>0.05</v>
      </c>
      <c r="M71" s="41">
        <v>4.1250000000000002E-2</v>
      </c>
      <c r="N71" s="2">
        <f t="shared" si="30"/>
        <v>2043</v>
      </c>
      <c r="O71" s="32">
        <f t="shared" si="31"/>
        <v>52427</v>
      </c>
      <c r="P71" s="347"/>
      <c r="Q71" s="345"/>
      <c r="R71" s="345"/>
      <c r="S71" s="346"/>
      <c r="T71" s="347"/>
      <c r="U71" s="345"/>
      <c r="V71" s="345"/>
      <c r="W71" s="346"/>
      <c r="X71" s="348"/>
      <c r="Y71" s="345"/>
      <c r="Z71" s="345"/>
      <c r="AA71" s="346"/>
      <c r="AB71" s="348"/>
      <c r="AC71" s="345"/>
      <c r="AD71" s="345"/>
      <c r="AE71" s="346"/>
      <c r="AF71" s="345"/>
      <c r="AG71" s="345"/>
      <c r="AH71" s="345"/>
      <c r="AI71" s="346"/>
      <c r="AJ71" s="345"/>
      <c r="AK71" s="345"/>
      <c r="AL71" s="345"/>
      <c r="AM71" s="346"/>
      <c r="AN71" s="345"/>
      <c r="AO71" s="345"/>
      <c r="AP71" s="345"/>
      <c r="AQ71" s="346"/>
      <c r="AR71" s="345"/>
      <c r="AS71" s="345"/>
      <c r="AT71" s="345"/>
      <c r="AU71" s="346"/>
      <c r="AV71" s="348"/>
      <c r="AW71" s="345"/>
      <c r="AX71" s="345"/>
      <c r="AY71" s="346"/>
      <c r="AZ71" s="348"/>
      <c r="BA71" s="345"/>
      <c r="BB71" s="345"/>
      <c r="BC71" s="346"/>
      <c r="BD71" s="348">
        <f>+IF($O71&gt;L$8,"FIN",(L$19-SUM(BE$25:BE70))*VLOOKUP($O71,$A:$N,12,0)/VLOOKUP(L$15,$K$1:$M$4,2,0))</f>
        <v>33.46875</v>
      </c>
      <c r="BE71" s="345">
        <f t="shared" si="42"/>
        <v>191.25</v>
      </c>
      <c r="BF71" s="345">
        <f t="shared" si="25"/>
        <v>224.71875</v>
      </c>
      <c r="BG71" s="346">
        <f t="shared" si="56"/>
        <v>25.096176021826057</v>
      </c>
      <c r="BH71" s="348">
        <f>+IF($O71&gt;M$8,"FIN",(M$19-SUM(BI$25:BI70))*VLOOKUP($O71,$A:$N,13,0)/VLOOKUP(M$15,$K$1:$M$4,2,0))</f>
        <v>2.4363281250000002</v>
      </c>
      <c r="BI71" s="345">
        <f t="shared" si="43"/>
        <v>16.875</v>
      </c>
      <c r="BJ71" s="345">
        <f t="shared" si="27"/>
        <v>19.311328124999999</v>
      </c>
      <c r="BK71" s="346">
        <f t="shared" si="57"/>
        <v>2.1566535495602399</v>
      </c>
      <c r="BL71" s="397"/>
      <c r="BM71" s="420">
        <f t="shared" si="44"/>
        <v>36.208044046548238</v>
      </c>
      <c r="BN71" s="421">
        <f t="shared" si="44"/>
        <v>210.22346525747696</v>
      </c>
      <c r="BO71" s="422">
        <f t="shared" si="45"/>
        <v>246.43150930402521</v>
      </c>
    </row>
    <row r="72" spans="1:67" x14ac:dyDescent="0.25">
      <c r="A72" s="27">
        <f t="shared" si="29"/>
        <v>52611</v>
      </c>
      <c r="B72" s="32"/>
      <c r="C72" s="5"/>
      <c r="D72" s="47"/>
      <c r="E72" s="47"/>
      <c r="F72" s="47"/>
      <c r="G72" s="47"/>
      <c r="H72" s="47"/>
      <c r="I72" s="40"/>
      <c r="J72" s="40"/>
      <c r="K72" s="40"/>
      <c r="L72" s="40">
        <v>0.05</v>
      </c>
      <c r="M72" s="41">
        <v>4.1250000000000002E-2</v>
      </c>
      <c r="N72" s="2">
        <f t="shared" si="30"/>
        <v>2044</v>
      </c>
      <c r="O72" s="32">
        <f t="shared" si="31"/>
        <v>52611</v>
      </c>
      <c r="P72" s="347"/>
      <c r="Q72" s="345"/>
      <c r="R72" s="345"/>
      <c r="S72" s="346"/>
      <c r="T72" s="347"/>
      <c r="U72" s="345"/>
      <c r="V72" s="345"/>
      <c r="W72" s="346"/>
      <c r="X72" s="348"/>
      <c r="Y72" s="345"/>
      <c r="Z72" s="345"/>
      <c r="AA72" s="346"/>
      <c r="AB72" s="348"/>
      <c r="AC72" s="345"/>
      <c r="AD72" s="345"/>
      <c r="AE72" s="346"/>
      <c r="AF72" s="345"/>
      <c r="AG72" s="345"/>
      <c r="AH72" s="345"/>
      <c r="AI72" s="346"/>
      <c r="AJ72" s="345"/>
      <c r="AK72" s="345"/>
      <c r="AL72" s="345"/>
      <c r="AM72" s="346"/>
      <c r="AN72" s="345"/>
      <c r="AO72" s="345"/>
      <c r="AP72" s="345"/>
      <c r="AQ72" s="346"/>
      <c r="AR72" s="345"/>
      <c r="AS72" s="345"/>
      <c r="AT72" s="345"/>
      <c r="AU72" s="346"/>
      <c r="AV72" s="348"/>
      <c r="AW72" s="345"/>
      <c r="AX72" s="345"/>
      <c r="AY72" s="346"/>
      <c r="AZ72" s="348"/>
      <c r="BA72" s="345"/>
      <c r="BB72" s="345"/>
      <c r="BC72" s="346"/>
      <c r="BD72" s="348">
        <f>+IF($O72&gt;L$8,"FIN",(L$19-SUM(BE$25:BE71))*VLOOKUP($O72,$A:$N,12,0)/VLOOKUP(L$15,$K$1:$M$4,2,0))</f>
        <v>28.6875</v>
      </c>
      <c r="BE72" s="345">
        <f t="shared" si="42"/>
        <v>191.25</v>
      </c>
      <c r="BF72" s="345">
        <f t="shared" si="25"/>
        <v>219.9375</v>
      </c>
      <c r="BG72" s="346">
        <f t="shared" si="56"/>
        <v>23.419152949296539</v>
      </c>
      <c r="BH72" s="348">
        <f>+IF($O72&gt;M$8,"FIN",(M$19-SUM(BI$25:BI71))*VLOOKUP($O72,$A:$N,13,0)/VLOOKUP(M$15,$K$1:$M$4,2,0))</f>
        <v>2.0882812500000001</v>
      </c>
      <c r="BI72" s="345">
        <f t="shared" si="43"/>
        <v>16.875</v>
      </c>
      <c r="BJ72" s="345">
        <f t="shared" si="27"/>
        <v>18.963281250000001</v>
      </c>
      <c r="BK72" s="346">
        <f t="shared" si="57"/>
        <v>2.0192281171436308</v>
      </c>
      <c r="BL72" s="397"/>
      <c r="BM72" s="420">
        <f t="shared" si="44"/>
        <v>31.035466325612774</v>
      </c>
      <c r="BN72" s="421">
        <f t="shared" si="44"/>
        <v>210.22346525747696</v>
      </c>
      <c r="BO72" s="422">
        <f t="shared" si="45"/>
        <v>241.25893158308975</v>
      </c>
    </row>
    <row r="73" spans="1:67" x14ac:dyDescent="0.25">
      <c r="A73" s="27">
        <f t="shared" si="29"/>
        <v>52793</v>
      </c>
      <c r="B73" s="32"/>
      <c r="C73" s="5"/>
      <c r="D73" s="47"/>
      <c r="E73" s="47"/>
      <c r="F73" s="47"/>
      <c r="G73" s="47"/>
      <c r="H73" s="47"/>
      <c r="I73" s="40"/>
      <c r="J73" s="47"/>
      <c r="K73" s="47"/>
      <c r="L73" s="40">
        <v>0.05</v>
      </c>
      <c r="M73" s="41">
        <v>4.1250000000000002E-2</v>
      </c>
      <c r="N73" s="2">
        <f t="shared" si="30"/>
        <v>2044</v>
      </c>
      <c r="O73" s="32">
        <f t="shared" si="31"/>
        <v>52793</v>
      </c>
      <c r="P73" s="347"/>
      <c r="Q73" s="345"/>
      <c r="R73" s="345"/>
      <c r="S73" s="346"/>
      <c r="T73" s="347"/>
      <c r="U73" s="345"/>
      <c r="V73" s="345"/>
      <c r="W73" s="346"/>
      <c r="X73" s="348"/>
      <c r="Y73" s="345"/>
      <c r="Z73" s="345"/>
      <c r="AA73" s="346"/>
      <c r="AB73" s="348"/>
      <c r="AC73" s="345"/>
      <c r="AD73" s="345"/>
      <c r="AE73" s="346"/>
      <c r="AF73" s="345"/>
      <c r="AG73" s="345"/>
      <c r="AH73" s="345"/>
      <c r="AI73" s="346"/>
      <c r="AJ73" s="345"/>
      <c r="AK73" s="345"/>
      <c r="AL73" s="345"/>
      <c r="AM73" s="346"/>
      <c r="AN73" s="345"/>
      <c r="AO73" s="345"/>
      <c r="AP73" s="345"/>
      <c r="AQ73" s="346"/>
      <c r="AR73" s="345"/>
      <c r="AS73" s="345"/>
      <c r="AT73" s="345"/>
      <c r="AU73" s="346"/>
      <c r="AV73" s="345"/>
      <c r="AW73" s="345"/>
      <c r="AX73" s="345"/>
      <c r="AY73" s="346"/>
      <c r="AZ73" s="348"/>
      <c r="BA73" s="345"/>
      <c r="BB73" s="345"/>
      <c r="BC73" s="346"/>
      <c r="BD73" s="348">
        <f>+IF($O73&gt;L$8,"FIN",(L$19-SUM(BE$25:BE72))*VLOOKUP($O73,$A:$N,12,0)/VLOOKUP(L$15,$K$1:$M$4,2,0))</f>
        <v>23.90625</v>
      </c>
      <c r="BE73" s="345">
        <f t="shared" si="42"/>
        <v>191.25</v>
      </c>
      <c r="BF73" s="345">
        <f t="shared" si="25"/>
        <v>215.15625</v>
      </c>
      <c r="BG73" s="346">
        <f t="shared" si="56"/>
        <v>21.843866943562336</v>
      </c>
      <c r="BH73" s="348">
        <f>+IF($O73&gt;M$8,"FIN",(M$19-SUM(BI$25:BI72))*VLOOKUP($O73,$A:$N,13,0)/VLOOKUP(M$15,$K$1:$M$4,2,0))</f>
        <v>1.740234375</v>
      </c>
      <c r="BI73" s="345">
        <f t="shared" si="43"/>
        <v>16.875</v>
      </c>
      <c r="BJ73" s="345">
        <f t="shared" si="27"/>
        <v>18.615234375</v>
      </c>
      <c r="BK73" s="346">
        <f t="shared" si="57"/>
        <v>1.8899228017346825</v>
      </c>
      <c r="BL73" s="397"/>
      <c r="BM73" s="420">
        <f t="shared" si="44"/>
        <v>25.862888604677309</v>
      </c>
      <c r="BN73" s="421">
        <f t="shared" si="44"/>
        <v>210.22346525747696</v>
      </c>
      <c r="BO73" s="422">
        <f t="shared" si="45"/>
        <v>236.08635386215428</v>
      </c>
    </row>
    <row r="74" spans="1:67" x14ac:dyDescent="0.25">
      <c r="A74" s="27">
        <f t="shared" si="29"/>
        <v>52977</v>
      </c>
      <c r="B74" s="32"/>
      <c r="C74" s="5"/>
      <c r="D74" s="47"/>
      <c r="E74" s="47"/>
      <c r="F74" s="47"/>
      <c r="G74" s="47"/>
      <c r="H74" s="47"/>
      <c r="I74" s="40"/>
      <c r="J74" s="47"/>
      <c r="K74" s="47"/>
      <c r="L74" s="40">
        <v>0.05</v>
      </c>
      <c r="M74" s="41">
        <v>4.1250000000000002E-2</v>
      </c>
      <c r="N74" s="2">
        <f t="shared" si="30"/>
        <v>2045</v>
      </c>
      <c r="O74" s="32">
        <f t="shared" si="31"/>
        <v>52977</v>
      </c>
      <c r="P74" s="347"/>
      <c r="Q74" s="345"/>
      <c r="R74" s="345"/>
      <c r="S74" s="346"/>
      <c r="T74" s="347"/>
      <c r="U74" s="345"/>
      <c r="V74" s="345"/>
      <c r="W74" s="346"/>
      <c r="X74" s="348"/>
      <c r="Y74" s="345"/>
      <c r="Z74" s="345"/>
      <c r="AA74" s="346"/>
      <c r="AB74" s="348"/>
      <c r="AC74" s="345"/>
      <c r="AD74" s="345"/>
      <c r="AE74" s="346"/>
      <c r="AF74" s="345"/>
      <c r="AG74" s="345"/>
      <c r="AH74" s="345"/>
      <c r="AI74" s="346"/>
      <c r="AJ74" s="345"/>
      <c r="AK74" s="345"/>
      <c r="AL74" s="345"/>
      <c r="AM74" s="346"/>
      <c r="AN74" s="345"/>
      <c r="AO74" s="345"/>
      <c r="AP74" s="345"/>
      <c r="AQ74" s="346"/>
      <c r="AR74" s="345"/>
      <c r="AS74" s="345"/>
      <c r="AT74" s="345"/>
      <c r="AU74" s="346"/>
      <c r="AV74" s="345"/>
      <c r="AW74" s="345"/>
      <c r="AX74" s="345"/>
      <c r="AY74" s="346"/>
      <c r="AZ74" s="348"/>
      <c r="BA74" s="345"/>
      <c r="BB74" s="345"/>
      <c r="BC74" s="346"/>
      <c r="BD74" s="348">
        <f>+IF($O74&gt;L$8,"FIN",(L$19-SUM(BE$25:BE73))*VLOOKUP($O74,$A:$N,12,0)/VLOOKUP(L$15,$K$1:$M$4,2,0))</f>
        <v>19.125</v>
      </c>
      <c r="BE74" s="345">
        <f t="shared" si="42"/>
        <v>191.25</v>
      </c>
      <c r="BF74" s="345">
        <f t="shared" si="25"/>
        <v>210.375</v>
      </c>
      <c r="BG74" s="346">
        <f t="shared" si="56"/>
        <v>20.364480825475251</v>
      </c>
      <c r="BH74" s="348">
        <f>+IF($O74&gt;M$8,"FIN",(M$19-SUM(BI$25:BI73))*VLOOKUP($O74,$A:$N,13,0)/VLOOKUP(M$15,$K$1:$M$4,2,0))</f>
        <v>1.3921875000000001</v>
      </c>
      <c r="BI74" s="345">
        <f t="shared" si="43"/>
        <v>16.875</v>
      </c>
      <c r="BJ74" s="345">
        <f t="shared" si="27"/>
        <v>18.267187499999999</v>
      </c>
      <c r="BK74" s="346">
        <f t="shared" si="57"/>
        <v>1.7682794513564406</v>
      </c>
      <c r="BL74" s="397"/>
      <c r="BM74" s="420">
        <f t="shared" si="44"/>
        <v>20.690310883741848</v>
      </c>
      <c r="BN74" s="421">
        <f t="shared" si="44"/>
        <v>210.22346525747696</v>
      </c>
      <c r="BO74" s="422">
        <f t="shared" si="45"/>
        <v>230.91377614121882</v>
      </c>
    </row>
    <row r="75" spans="1:67" x14ac:dyDescent="0.25">
      <c r="A75" s="27">
        <f t="shared" si="29"/>
        <v>53158</v>
      </c>
      <c r="B75" s="32"/>
      <c r="C75" s="5"/>
      <c r="D75" s="47"/>
      <c r="E75" s="47"/>
      <c r="F75" s="47"/>
      <c r="G75" s="47"/>
      <c r="H75" s="47"/>
      <c r="I75" s="40"/>
      <c r="J75" s="47"/>
      <c r="K75" s="47"/>
      <c r="L75" s="40">
        <v>0.05</v>
      </c>
      <c r="M75" s="41">
        <v>4.1250000000000002E-2</v>
      </c>
      <c r="N75" s="2">
        <f t="shared" si="30"/>
        <v>2045</v>
      </c>
      <c r="O75" s="32">
        <f t="shared" si="31"/>
        <v>53158</v>
      </c>
      <c r="P75" s="347"/>
      <c r="Q75" s="345"/>
      <c r="R75" s="345"/>
      <c r="S75" s="346"/>
      <c r="T75" s="347"/>
      <c r="U75" s="345"/>
      <c r="V75" s="345"/>
      <c r="W75" s="346"/>
      <c r="X75" s="348"/>
      <c r="Y75" s="345"/>
      <c r="Z75" s="345"/>
      <c r="AA75" s="346"/>
      <c r="AB75" s="348"/>
      <c r="AC75" s="345"/>
      <c r="AD75" s="345"/>
      <c r="AE75" s="346"/>
      <c r="AF75" s="345"/>
      <c r="AG75" s="345"/>
      <c r="AH75" s="345"/>
      <c r="AI75" s="346"/>
      <c r="AJ75" s="345"/>
      <c r="AK75" s="345"/>
      <c r="AL75" s="345"/>
      <c r="AM75" s="346"/>
      <c r="AN75" s="345"/>
      <c r="AO75" s="345"/>
      <c r="AP75" s="345"/>
      <c r="AQ75" s="346"/>
      <c r="AR75" s="345"/>
      <c r="AS75" s="345"/>
      <c r="AT75" s="345"/>
      <c r="AU75" s="346"/>
      <c r="AV75" s="345"/>
      <c r="AW75" s="345"/>
      <c r="AX75" s="345"/>
      <c r="AY75" s="346"/>
      <c r="AZ75" s="348"/>
      <c r="BA75" s="345"/>
      <c r="BB75" s="345"/>
      <c r="BC75" s="346"/>
      <c r="BD75" s="348">
        <f>+IF($O75&gt;L$8,"FIN",(L$19-SUM(BE$25:BE74))*VLOOKUP($O75,$A:$N,12,0)/VLOOKUP(L$15,$K$1:$M$4,2,0))</f>
        <v>14.34375</v>
      </c>
      <c r="BE75" s="345">
        <f t="shared" si="42"/>
        <v>191.25</v>
      </c>
      <c r="BF75" s="345">
        <f t="shared" si="25"/>
        <v>205.59375</v>
      </c>
      <c r="BG75" s="346">
        <f t="shared" si="56"/>
        <v>18.975480375215763</v>
      </c>
      <c r="BH75" s="348">
        <f>+IF($O75&gt;M$8,"FIN",(M$19-SUM(BI$25:BI74))*VLOOKUP($O75,$A:$N,13,0)/VLOOKUP(M$15,$K$1:$M$4,2,0))</f>
        <v>1.044140625</v>
      </c>
      <c r="BI75" s="345">
        <f t="shared" si="43"/>
        <v>16.875</v>
      </c>
      <c r="BJ75" s="345">
        <f t="shared" si="27"/>
        <v>17.919140625000001</v>
      </c>
      <c r="BK75" s="346">
        <f t="shared" si="57"/>
        <v>1.6538649704595545</v>
      </c>
      <c r="BL75" s="397"/>
      <c r="BM75" s="420">
        <f t="shared" si="44"/>
        <v>15.517733162806387</v>
      </c>
      <c r="BN75" s="421">
        <f t="shared" si="44"/>
        <v>210.22346525747696</v>
      </c>
      <c r="BO75" s="422">
        <f t="shared" si="45"/>
        <v>225.74119842028335</v>
      </c>
    </row>
    <row r="76" spans="1:67" x14ac:dyDescent="0.25">
      <c r="A76" s="27">
        <f t="shared" si="29"/>
        <v>53342</v>
      </c>
      <c r="B76" s="32"/>
      <c r="C76" s="5"/>
      <c r="D76" s="47"/>
      <c r="E76" s="47"/>
      <c r="F76" s="47"/>
      <c r="G76" s="47"/>
      <c r="H76" s="47"/>
      <c r="I76" s="40"/>
      <c r="J76" s="47"/>
      <c r="K76" s="47"/>
      <c r="L76" s="40">
        <v>0.05</v>
      </c>
      <c r="M76" s="41">
        <v>4.1250000000000002E-2</v>
      </c>
      <c r="N76" s="2">
        <f t="shared" si="30"/>
        <v>2046</v>
      </c>
      <c r="O76" s="32">
        <f t="shared" si="31"/>
        <v>53342</v>
      </c>
      <c r="P76" s="347"/>
      <c r="Q76" s="345"/>
      <c r="R76" s="345"/>
      <c r="S76" s="346"/>
      <c r="T76" s="347"/>
      <c r="U76" s="345"/>
      <c r="V76" s="345"/>
      <c r="W76" s="346"/>
      <c r="X76" s="348"/>
      <c r="Y76" s="345"/>
      <c r="Z76" s="345"/>
      <c r="AA76" s="346"/>
      <c r="AB76" s="345"/>
      <c r="AC76" s="345"/>
      <c r="AD76" s="345"/>
      <c r="AE76" s="346"/>
      <c r="AF76" s="345"/>
      <c r="AG76" s="345"/>
      <c r="AH76" s="345"/>
      <c r="AI76" s="346"/>
      <c r="AJ76" s="345"/>
      <c r="AK76" s="345"/>
      <c r="AL76" s="345"/>
      <c r="AM76" s="346"/>
      <c r="AN76" s="345"/>
      <c r="AO76" s="345"/>
      <c r="AP76" s="345"/>
      <c r="AQ76" s="346"/>
      <c r="AR76" s="345"/>
      <c r="AS76" s="345"/>
      <c r="AT76" s="345"/>
      <c r="AU76" s="346"/>
      <c r="AV76" s="345"/>
      <c r="AW76" s="345"/>
      <c r="AX76" s="345"/>
      <c r="AY76" s="346"/>
      <c r="AZ76" s="345"/>
      <c r="BA76" s="345"/>
      <c r="BB76" s="345"/>
      <c r="BC76" s="346"/>
      <c r="BD76" s="348">
        <f>+IF($O76&gt;L$8,"FIN",(L$19-SUM(BE$25:BE75))*VLOOKUP($O76,$A:$N,12,0)/VLOOKUP(L$15,$K$1:$M$4,2,0))</f>
        <v>9.5625</v>
      </c>
      <c r="BE76" s="345">
        <f t="shared" si="42"/>
        <v>191.25</v>
      </c>
      <c r="BF76" s="345">
        <f t="shared" si="25"/>
        <v>200.8125</v>
      </c>
      <c r="BG76" s="346">
        <f t="shared" si="56"/>
        <v>17.671656914668599</v>
      </c>
      <c r="BH76" s="348">
        <f>+IF($O76&gt;M$8,"FIN",(M$19-SUM(BI$25:BI75))*VLOOKUP($O76,$A:$N,13,0)/VLOOKUP(M$15,$K$1:$M$4,2,0))</f>
        <v>0.69609375000000007</v>
      </c>
      <c r="BI76" s="345">
        <f t="shared" si="43"/>
        <v>16.875</v>
      </c>
      <c r="BJ76" s="345">
        <f t="shared" si="27"/>
        <v>17.571093749999999</v>
      </c>
      <c r="BK76" s="346">
        <f t="shared" si="57"/>
        <v>1.5462699800335025</v>
      </c>
      <c r="BL76" s="397"/>
      <c r="BM76" s="420">
        <f t="shared" si="44"/>
        <v>10.345155441870924</v>
      </c>
      <c r="BN76" s="421">
        <f t="shared" si="44"/>
        <v>210.22346525747696</v>
      </c>
      <c r="BO76" s="422">
        <f t="shared" si="45"/>
        <v>220.56862069934789</v>
      </c>
    </row>
    <row r="77" spans="1:67" x14ac:dyDescent="0.25">
      <c r="A77" s="27">
        <f t="shared" si="29"/>
        <v>53523</v>
      </c>
      <c r="B77" s="32"/>
      <c r="C77" s="5"/>
      <c r="D77" s="47"/>
      <c r="E77" s="47"/>
      <c r="F77" s="47"/>
      <c r="G77" s="47"/>
      <c r="H77" s="47"/>
      <c r="I77" s="40"/>
      <c r="J77" s="47"/>
      <c r="K77" s="47"/>
      <c r="L77" s="40">
        <v>0.05</v>
      </c>
      <c r="M77" s="41">
        <v>4.1250000000000002E-2</v>
      </c>
      <c r="N77" s="2">
        <f t="shared" si="30"/>
        <v>2046</v>
      </c>
      <c r="O77" s="32">
        <f t="shared" si="31"/>
        <v>53523</v>
      </c>
      <c r="P77" s="347"/>
      <c r="Q77" s="345"/>
      <c r="R77" s="345"/>
      <c r="S77" s="346"/>
      <c r="T77" s="347"/>
      <c r="U77" s="345"/>
      <c r="V77" s="345"/>
      <c r="W77" s="346"/>
      <c r="X77" s="348"/>
      <c r="Y77" s="345"/>
      <c r="Z77" s="345"/>
      <c r="AA77" s="346"/>
      <c r="AB77" s="345"/>
      <c r="AC77" s="345"/>
      <c r="AD77" s="345"/>
      <c r="AE77" s="346"/>
      <c r="AF77" s="345"/>
      <c r="AG77" s="345"/>
      <c r="AH77" s="345"/>
      <c r="AI77" s="346"/>
      <c r="AJ77" s="345"/>
      <c r="AK77" s="345"/>
      <c r="AL77" s="345"/>
      <c r="AM77" s="346"/>
      <c r="AN77" s="345"/>
      <c r="AO77" s="345"/>
      <c r="AP77" s="345"/>
      <c r="AQ77" s="346"/>
      <c r="AR77" s="345"/>
      <c r="AS77" s="345"/>
      <c r="AT77" s="345"/>
      <c r="AU77" s="346"/>
      <c r="AV77" s="345"/>
      <c r="AW77" s="345"/>
      <c r="AX77" s="345"/>
      <c r="AY77" s="346"/>
      <c r="AZ77" s="345"/>
      <c r="BA77" s="345"/>
      <c r="BB77" s="345"/>
      <c r="BC77" s="346"/>
      <c r="BD77" s="348">
        <f>+IF($O77&gt;L$8,"FIN",(L$19-SUM(BE$25:BE76))*VLOOKUP($O77,$A:$N,12,0)/VLOOKUP(L$15,$K$1:$M$4,2,0))</f>
        <v>4.78125</v>
      </c>
      <c r="BE77" s="345">
        <f t="shared" si="42"/>
        <v>191.25</v>
      </c>
      <c r="BF77" s="345">
        <f t="shared" si="25"/>
        <v>196.03125</v>
      </c>
      <c r="BG77" s="346">
        <f t="shared" si="56"/>
        <v>16.448090811497806</v>
      </c>
      <c r="BH77" s="348">
        <f>+IF($O77&gt;M$8,"FIN",(M$19-SUM(BI$25:BI76))*VLOOKUP($O77,$A:$N,13,0)/VLOOKUP(M$15,$K$1:$M$4,2,0))</f>
        <v>0.34804687500000003</v>
      </c>
      <c r="BI77" s="345">
        <f t="shared" si="43"/>
        <v>16.875</v>
      </c>
      <c r="BJ77" s="345">
        <f t="shared" si="27"/>
        <v>17.223046875000001</v>
      </c>
      <c r="BK77" s="346">
        <f t="shared" si="57"/>
        <v>1.4451075481622626</v>
      </c>
      <c r="BL77" s="397"/>
      <c r="BM77" s="420">
        <f t="shared" si="44"/>
        <v>5.172577720935462</v>
      </c>
      <c r="BN77" s="421">
        <f t="shared" si="44"/>
        <v>210.22346525747696</v>
      </c>
      <c r="BO77" s="422">
        <f t="shared" si="45"/>
        <v>215.39604297841242</v>
      </c>
    </row>
    <row r="78" spans="1:67" x14ac:dyDescent="0.25">
      <c r="A78" s="27">
        <f t="shared" si="29"/>
        <v>53707</v>
      </c>
      <c r="B78" s="48"/>
      <c r="C78" s="49"/>
      <c r="D78" s="50"/>
      <c r="E78" s="50"/>
      <c r="F78" s="50"/>
      <c r="G78" s="50"/>
      <c r="H78" s="50"/>
      <c r="I78" s="51"/>
      <c r="J78" s="50"/>
      <c r="K78" s="50"/>
      <c r="L78" s="51"/>
      <c r="M78" s="52"/>
      <c r="N78" s="2">
        <f t="shared" si="30"/>
        <v>2047</v>
      </c>
      <c r="O78" s="32">
        <f t="shared" si="31"/>
        <v>53707</v>
      </c>
      <c r="P78" s="347"/>
      <c r="Q78" s="345"/>
      <c r="R78" s="345"/>
      <c r="S78" s="346"/>
      <c r="T78" s="347"/>
      <c r="U78" s="345"/>
      <c r="V78" s="345"/>
      <c r="W78" s="346"/>
      <c r="X78" s="348"/>
      <c r="Y78" s="345"/>
      <c r="Z78" s="345"/>
      <c r="AA78" s="346"/>
      <c r="AB78" s="345"/>
      <c r="AC78" s="345"/>
      <c r="AD78" s="345"/>
      <c r="AE78" s="346"/>
      <c r="AF78" s="345"/>
      <c r="AG78" s="345"/>
      <c r="AH78" s="345"/>
      <c r="AI78" s="346"/>
      <c r="AJ78" s="345"/>
      <c r="AK78" s="345"/>
      <c r="AL78" s="345"/>
      <c r="AM78" s="346"/>
      <c r="AN78" s="345"/>
      <c r="AO78" s="345"/>
      <c r="AP78" s="345"/>
      <c r="AQ78" s="346"/>
      <c r="AR78" s="345"/>
      <c r="AS78" s="345"/>
      <c r="AT78" s="345"/>
      <c r="AU78" s="346"/>
      <c r="AV78" s="345"/>
      <c r="AW78" s="345"/>
      <c r="AX78" s="345"/>
      <c r="AY78" s="346"/>
      <c r="AZ78" s="345"/>
      <c r="BA78" s="345"/>
      <c r="BB78" s="345"/>
      <c r="BC78" s="346"/>
      <c r="BD78" s="348"/>
      <c r="BE78" s="345"/>
      <c r="BF78" s="345"/>
      <c r="BG78" s="346"/>
      <c r="BH78" s="348"/>
      <c r="BI78" s="345"/>
      <c r="BJ78" s="345"/>
      <c r="BK78" s="346"/>
      <c r="BL78" s="397"/>
      <c r="BM78" s="420">
        <f t="shared" si="44"/>
        <v>0</v>
      </c>
      <c r="BN78" s="421">
        <f t="shared" si="44"/>
        <v>0</v>
      </c>
      <c r="BO78" s="422">
        <f t="shared" si="45"/>
        <v>0</v>
      </c>
    </row>
    <row r="79" spans="1:67" x14ac:dyDescent="0.25">
      <c r="A79" s="3"/>
      <c r="N79" s="2">
        <f t="shared" si="30"/>
        <v>2047</v>
      </c>
      <c r="O79" s="32">
        <f t="shared" si="31"/>
        <v>53888</v>
      </c>
      <c r="P79" s="347"/>
      <c r="Q79" s="345"/>
      <c r="R79" s="345"/>
      <c r="S79" s="346"/>
      <c r="T79" s="347"/>
      <c r="U79" s="345"/>
      <c r="V79" s="345"/>
      <c r="W79" s="346"/>
      <c r="X79" s="347"/>
      <c r="Y79" s="345"/>
      <c r="Z79" s="345"/>
      <c r="AA79" s="346"/>
      <c r="AB79" s="345"/>
      <c r="AC79" s="345"/>
      <c r="AD79" s="345"/>
      <c r="AE79" s="346"/>
      <c r="AF79" s="345"/>
      <c r="AG79" s="345"/>
      <c r="AH79" s="345"/>
      <c r="AI79" s="346"/>
      <c r="AJ79" s="345"/>
      <c r="AK79" s="345"/>
      <c r="AL79" s="345"/>
      <c r="AM79" s="346"/>
      <c r="AN79" s="345"/>
      <c r="AO79" s="345"/>
      <c r="AP79" s="345"/>
      <c r="AQ79" s="346"/>
      <c r="AR79" s="345"/>
      <c r="AS79" s="345"/>
      <c r="AT79" s="345"/>
      <c r="AU79" s="346"/>
      <c r="AV79" s="345"/>
      <c r="AW79" s="345"/>
      <c r="AX79" s="345"/>
      <c r="AY79" s="346"/>
      <c r="AZ79" s="345"/>
      <c r="BA79" s="345"/>
      <c r="BB79" s="345"/>
      <c r="BC79" s="346"/>
      <c r="BD79" s="348"/>
      <c r="BE79" s="345"/>
      <c r="BF79" s="345"/>
      <c r="BG79" s="346"/>
      <c r="BH79" s="348"/>
      <c r="BI79" s="345"/>
      <c r="BJ79" s="345"/>
      <c r="BK79" s="346"/>
      <c r="BL79" s="397"/>
      <c r="BM79" s="420"/>
      <c r="BN79" s="421"/>
      <c r="BO79" s="422"/>
    </row>
    <row r="80" spans="1:67" x14ac:dyDescent="0.25">
      <c r="O80" s="56" t="s">
        <v>45</v>
      </c>
      <c r="P80" s="394">
        <f>+SUM(P25:P79)</f>
        <v>134.28124678874832</v>
      </c>
      <c r="Q80" s="395">
        <f>+SUM(Q25:Q79)</f>
        <v>1732.6612488870744</v>
      </c>
      <c r="R80" s="395"/>
      <c r="S80" s="396">
        <f>+SUM(S25:S79)</f>
        <v>924.92273719161813</v>
      </c>
      <c r="T80" s="394">
        <f>+SUM(T25:T79)</f>
        <v>34.775223051671794</v>
      </c>
      <c r="U80" s="395">
        <f>+SUM(U25:U79)</f>
        <v>448.71255550544254</v>
      </c>
      <c r="V80" s="395"/>
      <c r="W80" s="396">
        <f>+SUM(W25:W79)</f>
        <v>239.53005546636351</v>
      </c>
      <c r="X80" s="394">
        <f>+SUM(X25:X79)</f>
        <v>700.3125</v>
      </c>
      <c r="Y80" s="395">
        <f>+SUM(Y25:Y79)</f>
        <v>13500</v>
      </c>
      <c r="Z80" s="395"/>
      <c r="AA80" s="396">
        <f>+SUM(AA25:AA79)</f>
        <v>7287.2384813068074</v>
      </c>
      <c r="AB80" s="395">
        <f>+SUM(AB25:AB79)</f>
        <v>26.28125</v>
      </c>
      <c r="AC80" s="395">
        <f>+SUM(AC25:AC79)</f>
        <v>2899.9999999999995</v>
      </c>
      <c r="AD80" s="395"/>
      <c r="AE80" s="396">
        <f>+SUM(AE25:AE79)</f>
        <v>1491.1350782568729</v>
      </c>
      <c r="AF80" s="395">
        <f>+SUM(AF25:AF79)</f>
        <v>6182.9156249999996</v>
      </c>
      <c r="AG80" s="395">
        <f>+SUM(AG25:AG79)</f>
        <v>12982.499999999998</v>
      </c>
      <c r="AH80" s="395"/>
      <c r="AI80" s="396">
        <f>+SUM(AI25:AI79)</f>
        <v>6876.0523423210352</v>
      </c>
      <c r="AJ80" s="395">
        <f>+SUM(AJ25:AJ79)</f>
        <v>751.25174573055006</v>
      </c>
      <c r="AK80" s="395">
        <f>+SUM(AK25:AK79)</f>
        <v>1926.2865275142308</v>
      </c>
      <c r="AL80" s="395"/>
      <c r="AM80" s="396">
        <f>+SUM(AM25:AM79)</f>
        <v>937.64185533968566</v>
      </c>
      <c r="AN80" s="395">
        <f>+SUM(AN25:AN79)</f>
        <v>2859.1686296011871</v>
      </c>
      <c r="AO80" s="395">
        <f>+SUM(AO25:AO79)</f>
        <v>5565.2917364500008</v>
      </c>
      <c r="AP80" s="395"/>
      <c r="AQ80" s="396">
        <f>+SUM(AQ25:AQ79)</f>
        <v>3118.7343070778488</v>
      </c>
      <c r="AR80" s="395">
        <f>+SUM(AR25:AR79)</f>
        <v>2494.6326606062935</v>
      </c>
      <c r="AS80" s="395">
        <f>+SUM(AS25:AS79)</f>
        <v>5776.2840187699976</v>
      </c>
      <c r="AT80" s="395"/>
      <c r="AU80" s="396">
        <f>+SUM(AU25:AU79)</f>
        <v>2993.3567253809961</v>
      </c>
      <c r="AV80" s="395">
        <f>+SUM(AV25:AV79)</f>
        <v>2687.2629700877083</v>
      </c>
      <c r="AW80" s="395">
        <f>+SUM(AW25:AW79)</f>
        <v>5393.628373999999</v>
      </c>
      <c r="AX80" s="395"/>
      <c r="AY80" s="396">
        <f>+SUM(AY25:AY79)</f>
        <v>2793.3332596692912</v>
      </c>
      <c r="AZ80" s="395">
        <f>+SUM(AZ25:AZ79)</f>
        <v>2807.7605187574995</v>
      </c>
      <c r="BA80" s="395">
        <f>+SUM(BA25:BA79)</f>
        <v>6473.2230979999977</v>
      </c>
      <c r="BB80" s="395"/>
      <c r="BC80" s="396">
        <f>+SUM(BC25:BC79)</f>
        <v>3122.8331057799569</v>
      </c>
      <c r="BD80" s="395">
        <f>+SUM(BD25:BD79)</f>
        <v>5076.2531250000002</v>
      </c>
      <c r="BE80" s="395">
        <f>+SUM(BE25:BE79)</f>
        <v>8415</v>
      </c>
      <c r="BF80" s="395"/>
      <c r="BG80" s="396">
        <f>+SUM(BG25:BG79)</f>
        <v>4381.5198522226465</v>
      </c>
      <c r="BH80" s="395">
        <f>+SUM(BH25:BH79)</f>
        <v>372.49453125000002</v>
      </c>
      <c r="BI80" s="395">
        <f>+SUM(BI25:BI79)</f>
        <v>742.5</v>
      </c>
      <c r="BJ80" s="395"/>
      <c r="BK80" s="396">
        <f>+SUM(BK25:BK79)</f>
        <v>355.2145685366857</v>
      </c>
      <c r="BL80" s="397"/>
      <c r="BM80" s="394">
        <f>+SUM(BM25:BM79)</f>
        <v>24934.09552372749</v>
      </c>
      <c r="BN80" s="395">
        <f t="shared" ref="BN80:BO80" si="58">+SUM(BN25:BN79)</f>
        <v>68127.653655030401</v>
      </c>
      <c r="BO80" s="396">
        <f t="shared" si="58"/>
        <v>93061.749178757891</v>
      </c>
    </row>
  </sheetData>
  <mergeCells count="13">
    <mergeCell ref="BD23:BG23"/>
    <mergeCell ref="BH23:BK23"/>
    <mergeCell ref="P23:S23"/>
    <mergeCell ref="T23:W23"/>
    <mergeCell ref="X23:AA23"/>
    <mergeCell ref="AB23:AE23"/>
    <mergeCell ref="AF23:AI23"/>
    <mergeCell ref="AJ23:AM23"/>
    <mergeCell ref="B24:M24"/>
    <mergeCell ref="AN23:AQ23"/>
    <mergeCell ref="AR23:AU23"/>
    <mergeCell ref="AV23:AY23"/>
    <mergeCell ref="AZ23:BC2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EC5B-BC8C-4008-8957-D6D043A527E3}">
  <sheetPr codeName="Hoja11">
    <tabColor rgb="FFFFC000"/>
  </sheetPr>
  <dimension ref="A1:T36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88"/>
    <col min="2" max="2" width="19" style="88" bestFit="1" customWidth="1"/>
    <col min="3" max="4" width="13" style="88" customWidth="1"/>
    <col min="5" max="6" width="10.5703125" style="88" customWidth="1"/>
    <col min="7" max="7" width="10.5703125" style="88" bestFit="1" customWidth="1"/>
    <col min="8" max="16" width="11.140625" style="88" customWidth="1"/>
    <col min="17" max="18" width="16.42578125" style="88" customWidth="1"/>
    <col min="19" max="19" width="15.5703125" style="88" bestFit="1" customWidth="1"/>
    <col min="20" max="20" width="13.5703125" style="88" bestFit="1" customWidth="1"/>
    <col min="21" max="16384" width="11.42578125" style="88"/>
  </cols>
  <sheetData>
    <row r="1" spans="1:19" s="85" customFormat="1" ht="15" x14ac:dyDescent="0.25">
      <c r="A1" s="85" t="s">
        <v>194</v>
      </c>
      <c r="R1" s="329" t="s">
        <v>215</v>
      </c>
      <c r="S1" s="402">
        <v>43999</v>
      </c>
    </row>
    <row r="2" spans="1:19" x14ac:dyDescent="0.2">
      <c r="A2" s="2" t="s">
        <v>195</v>
      </c>
      <c r="H2" s="89"/>
      <c r="I2" s="90"/>
      <c r="J2" s="90"/>
      <c r="R2" s="403" t="s">
        <v>15</v>
      </c>
      <c r="S2" s="403">
        <v>0.88939999999999997</v>
      </c>
    </row>
    <row r="3" spans="1:19" s="91" customFormat="1" ht="20.25" customHeight="1" x14ac:dyDescent="0.25">
      <c r="D3" s="92"/>
      <c r="G3" s="472" t="s">
        <v>80</v>
      </c>
      <c r="H3" s="473"/>
      <c r="I3" s="473"/>
      <c r="J3" s="473"/>
      <c r="K3" s="473"/>
      <c r="L3" s="473"/>
      <c r="M3" s="473"/>
      <c r="N3" s="473"/>
      <c r="O3" s="473"/>
      <c r="P3" s="474"/>
      <c r="Q3" s="93"/>
      <c r="R3" s="403" t="s">
        <v>17</v>
      </c>
      <c r="S3" s="403">
        <v>0.9486</v>
      </c>
    </row>
    <row r="4" spans="1:19" s="93" customFormat="1" ht="20.25" customHeight="1" x14ac:dyDescent="0.25">
      <c r="D4" s="94"/>
      <c r="E4" s="95"/>
      <c r="F4" s="95"/>
      <c r="G4" s="95">
        <v>0.99</v>
      </c>
      <c r="H4" s="95">
        <v>0.99</v>
      </c>
      <c r="I4" s="95">
        <v>1</v>
      </c>
      <c r="J4" s="95">
        <v>1</v>
      </c>
      <c r="K4" s="95">
        <v>0.99</v>
      </c>
      <c r="L4" s="95">
        <v>0.99</v>
      </c>
      <c r="M4" s="95">
        <v>0.99</v>
      </c>
      <c r="N4" s="95">
        <v>1</v>
      </c>
      <c r="O4" s="95">
        <v>1</v>
      </c>
      <c r="P4" s="95">
        <v>0.99</v>
      </c>
    </row>
    <row r="5" spans="1:19" s="93" customFormat="1" ht="27" customHeight="1" x14ac:dyDescent="0.25">
      <c r="A5" s="70" t="s">
        <v>23</v>
      </c>
      <c r="B5" s="70" t="s">
        <v>81</v>
      </c>
      <c r="C5" s="70" t="s">
        <v>82</v>
      </c>
      <c r="D5" s="70" t="s">
        <v>83</v>
      </c>
      <c r="E5" s="70" t="s">
        <v>135</v>
      </c>
      <c r="F5" s="96" t="s">
        <v>182</v>
      </c>
      <c r="G5" s="96" t="s">
        <v>2</v>
      </c>
      <c r="H5" s="96" t="s">
        <v>3</v>
      </c>
      <c r="I5" s="96" t="s">
        <v>4</v>
      </c>
      <c r="J5" s="96" t="s">
        <v>5</v>
      </c>
      <c r="K5" s="96" t="s">
        <v>6</v>
      </c>
      <c r="L5" s="96" t="s">
        <v>7</v>
      </c>
      <c r="M5" s="96" t="s">
        <v>8</v>
      </c>
      <c r="N5" s="97" t="s">
        <v>9</v>
      </c>
      <c r="O5" s="98" t="s">
        <v>10</v>
      </c>
      <c r="P5" s="96" t="s">
        <v>11</v>
      </c>
      <c r="Q5" s="70" t="s">
        <v>84</v>
      </c>
      <c r="R5" s="70" t="s">
        <v>85</v>
      </c>
      <c r="S5" s="70" t="s">
        <v>86</v>
      </c>
    </row>
    <row r="6" spans="1:19" s="87" customFormat="1" ht="11.25" x14ac:dyDescent="0.15">
      <c r="A6" s="99" t="s">
        <v>24</v>
      </c>
      <c r="B6" s="100" t="s">
        <v>64</v>
      </c>
      <c r="C6" s="101">
        <v>4500</v>
      </c>
      <c r="D6" s="102">
        <f>+VLOOKUP(B6,'Intereses corridos'!$A$5:$I$25,8,FALSE)</f>
        <v>226.01562500000003</v>
      </c>
      <c r="E6" s="102">
        <f>+D6</f>
        <v>226.01562500000003</v>
      </c>
      <c r="F6" s="102"/>
      <c r="G6" s="103">
        <f>+C6*G$4</f>
        <v>4455</v>
      </c>
      <c r="H6" s="104"/>
      <c r="I6" s="104"/>
      <c r="J6" s="104"/>
      <c r="K6" s="105"/>
      <c r="L6" s="106"/>
      <c r="M6" s="104"/>
      <c r="N6" s="104"/>
      <c r="O6" s="104"/>
      <c r="P6" s="107"/>
      <c r="Q6" s="108">
        <f>+SUM(G6:K6)+E6</f>
        <v>4681.015625</v>
      </c>
      <c r="R6" s="101">
        <f>+Q6</f>
        <v>4681.015625</v>
      </c>
      <c r="S6" s="101">
        <f>+SUM(G6:P6)</f>
        <v>4455</v>
      </c>
    </row>
    <row r="7" spans="1:19" s="87" customFormat="1" ht="11.25" x14ac:dyDescent="0.15">
      <c r="A7" s="109" t="s">
        <v>24</v>
      </c>
      <c r="B7" s="110" t="s">
        <v>60</v>
      </c>
      <c r="C7" s="111">
        <v>3250</v>
      </c>
      <c r="D7" s="112">
        <f>+VLOOKUP(B7,'Intereses corridos'!$A$5:$I$25,8,FALSE)</f>
        <v>85.8203125</v>
      </c>
      <c r="E7" s="112">
        <f t="shared" ref="E7:E8" si="0">+D7</f>
        <v>85.8203125</v>
      </c>
      <c r="F7" s="112"/>
      <c r="G7" s="113">
        <f t="shared" ref="G7:G8" si="1">+C7*G$4</f>
        <v>3217.5</v>
      </c>
      <c r="H7" s="114"/>
      <c r="I7" s="114"/>
      <c r="J7" s="114"/>
      <c r="K7" s="115"/>
      <c r="L7" s="116"/>
      <c r="M7" s="114"/>
      <c r="N7" s="114"/>
      <c r="O7" s="114"/>
      <c r="P7" s="117"/>
      <c r="Q7" s="118">
        <f t="shared" ref="Q7:Q8" si="2">+SUM(G7:K7)+E7</f>
        <v>3303.3203125</v>
      </c>
      <c r="R7" s="111">
        <f t="shared" ref="R7:R8" si="3">+Q7</f>
        <v>3303.3203125</v>
      </c>
      <c r="S7" s="111">
        <f t="shared" ref="S7:S26" si="4">+SUM(G7:P7)</f>
        <v>3217.5</v>
      </c>
    </row>
    <row r="8" spans="1:19" s="87" customFormat="1" ht="11.25" x14ac:dyDescent="0.15">
      <c r="A8" s="109" t="s">
        <v>24</v>
      </c>
      <c r="B8" s="110" t="s">
        <v>59</v>
      </c>
      <c r="C8" s="111">
        <v>1750</v>
      </c>
      <c r="D8" s="112">
        <f>+VLOOKUP(B8,'Intereses corridos'!$A$5:$I$25,8,FALSE)</f>
        <v>41.368055555555557</v>
      </c>
      <c r="E8" s="112">
        <f t="shared" si="0"/>
        <v>41.368055555555557</v>
      </c>
      <c r="F8" s="112"/>
      <c r="G8" s="113">
        <f t="shared" si="1"/>
        <v>1732.5</v>
      </c>
      <c r="H8" s="114"/>
      <c r="I8" s="114"/>
      <c r="J8" s="114"/>
      <c r="K8" s="115"/>
      <c r="L8" s="116"/>
      <c r="M8" s="114"/>
      <c r="N8" s="114"/>
      <c r="O8" s="114"/>
      <c r="P8" s="117"/>
      <c r="Q8" s="118">
        <f t="shared" si="2"/>
        <v>1773.8680555555557</v>
      </c>
      <c r="R8" s="111">
        <f t="shared" si="3"/>
        <v>1773.8680555555557</v>
      </c>
      <c r="S8" s="111">
        <f t="shared" si="4"/>
        <v>1732.5</v>
      </c>
    </row>
    <row r="9" spans="1:19" s="87" customFormat="1" ht="11.25" x14ac:dyDescent="0.15">
      <c r="A9" s="109" t="s">
        <v>17</v>
      </c>
      <c r="B9" s="110" t="s">
        <v>75</v>
      </c>
      <c r="C9" s="111">
        <v>400</v>
      </c>
      <c r="D9" s="119">
        <f>+VLOOKUP(B9,'Intereses corridos'!$A$5:$I$25,8,FALSE)</f>
        <v>10.237500000000001</v>
      </c>
      <c r="E9" s="120"/>
      <c r="F9" s="121">
        <f>+D9*$S$2/$S$3</f>
        <v>9.5986005692599612</v>
      </c>
      <c r="G9" s="116"/>
      <c r="H9" s="114"/>
      <c r="I9" s="114"/>
      <c r="J9" s="114"/>
      <c r="K9" s="117"/>
      <c r="L9" s="113">
        <f>+C9*L4/$S$3*$S$2</f>
        <v>371.28652751423147</v>
      </c>
      <c r="M9" s="114"/>
      <c r="N9" s="114"/>
      <c r="O9" s="114"/>
      <c r="P9" s="115"/>
      <c r="Q9" s="118">
        <f>+F9+SUM(L9:P9)</f>
        <v>380.88512808349145</v>
      </c>
      <c r="R9" s="111">
        <f>+Q9/$S$2</f>
        <v>428.24952561669829</v>
      </c>
      <c r="S9" s="111">
        <f t="shared" si="4"/>
        <v>371.28652751423147</v>
      </c>
    </row>
    <row r="10" spans="1:19" s="87" customFormat="1" ht="11.25" x14ac:dyDescent="0.15">
      <c r="A10" s="109" t="s">
        <v>15</v>
      </c>
      <c r="B10" s="110" t="s">
        <v>71</v>
      </c>
      <c r="C10" s="111">
        <v>1250</v>
      </c>
      <c r="D10" s="112">
        <f>+VLOOKUP(B10,'Intereses corridos'!$A$5:$I$25,8,FALSE)</f>
        <v>24.218749999999982</v>
      </c>
      <c r="E10" s="112"/>
      <c r="F10" s="112">
        <f>+D10</f>
        <v>24.218749999999982</v>
      </c>
      <c r="G10" s="116"/>
      <c r="H10" s="114"/>
      <c r="I10" s="114"/>
      <c r="J10" s="114"/>
      <c r="K10" s="117"/>
      <c r="L10" s="113">
        <f>+C10*L$4</f>
        <v>1237.5</v>
      </c>
      <c r="M10" s="114"/>
      <c r="N10" s="114"/>
      <c r="O10" s="114"/>
      <c r="P10" s="115"/>
      <c r="Q10" s="118">
        <f t="shared" ref="Q10:Q11" si="5">+F10+SUM(L10:P10)</f>
        <v>1261.71875</v>
      </c>
      <c r="R10" s="111">
        <f t="shared" ref="R10:R11" si="6">+Q10/$S$2</f>
        <v>1418.6178884641331</v>
      </c>
      <c r="S10" s="111">
        <f t="shared" si="4"/>
        <v>1237.5</v>
      </c>
    </row>
    <row r="11" spans="1:19" s="87" customFormat="1" ht="11.25" x14ac:dyDescent="0.15">
      <c r="A11" s="122" t="s">
        <v>15</v>
      </c>
      <c r="B11" s="123" t="s">
        <v>70</v>
      </c>
      <c r="C11" s="124">
        <v>1000</v>
      </c>
      <c r="D11" s="125">
        <f>+VLOOKUP(B11,'Intereses corridos'!$A$5:$I$25,8,FALSE)</f>
        <v>16.874999999999989</v>
      </c>
      <c r="E11" s="125"/>
      <c r="F11" s="125">
        <f>+D11</f>
        <v>16.874999999999989</v>
      </c>
      <c r="G11" s="126"/>
      <c r="H11" s="127"/>
      <c r="I11" s="127"/>
      <c r="J11" s="127"/>
      <c r="K11" s="128"/>
      <c r="L11" s="129">
        <f>+C11*L$4</f>
        <v>990</v>
      </c>
      <c r="M11" s="127"/>
      <c r="N11" s="127"/>
      <c r="O11" s="127"/>
      <c r="P11" s="130"/>
      <c r="Q11" s="131">
        <f t="shared" si="5"/>
        <v>1006.875</v>
      </c>
      <c r="R11" s="124">
        <f t="shared" si="6"/>
        <v>1132.0834270294581</v>
      </c>
      <c r="S11" s="124">
        <f t="shared" si="4"/>
        <v>990</v>
      </c>
    </row>
    <row r="12" spans="1:19" s="87" customFormat="1" ht="11.25" x14ac:dyDescent="0.15">
      <c r="A12" s="99" t="s">
        <v>24</v>
      </c>
      <c r="B12" s="100" t="s">
        <v>68</v>
      </c>
      <c r="C12" s="101">
        <v>6500</v>
      </c>
      <c r="D12" s="102">
        <f>+VLOOKUP(B12,'Intereses corridos'!$A$5:$I$25,8,FALSE)</f>
        <v>356.14583333333331</v>
      </c>
      <c r="E12" s="102">
        <f>+D12</f>
        <v>356.14583333333331</v>
      </c>
      <c r="F12" s="102"/>
      <c r="G12" s="132">
        <f>+($G$28-SUM($G$6:$G$8))*C12/(SUM($C$12:$C$16)*0.99)*$G$4</f>
        <v>1543.0434782608695</v>
      </c>
      <c r="H12" s="133">
        <f>+C12*$H$4-G12</f>
        <v>4891.95652173913</v>
      </c>
      <c r="I12" s="104"/>
      <c r="J12" s="104"/>
      <c r="K12" s="105"/>
      <c r="L12" s="106"/>
      <c r="M12" s="104"/>
      <c r="N12" s="104"/>
      <c r="O12" s="104"/>
      <c r="P12" s="107"/>
      <c r="Q12" s="108">
        <f t="shared" ref="Q12:Q16" si="7">+SUM(G12:K12)+E12</f>
        <v>6791.145833333333</v>
      </c>
      <c r="R12" s="101">
        <f t="shared" ref="R12:R16" si="8">+Q12</f>
        <v>6791.145833333333</v>
      </c>
      <c r="S12" s="101">
        <f t="shared" si="4"/>
        <v>6435</v>
      </c>
    </row>
    <row r="13" spans="1:19" s="87" customFormat="1" ht="11.25" x14ac:dyDescent="0.15">
      <c r="A13" s="109" t="s">
        <v>24</v>
      </c>
      <c r="B13" s="110" t="s">
        <v>65</v>
      </c>
      <c r="C13" s="111">
        <v>3750</v>
      </c>
      <c r="D13" s="112">
        <f>+VLOOKUP(B13,'Intereses corridos'!$A$5:$I$25,8,FALSE)</f>
        <v>121.02864583333333</v>
      </c>
      <c r="E13" s="112">
        <f t="shared" ref="E13:E16" si="9">+D13</f>
        <v>121.02864583333333</v>
      </c>
      <c r="F13" s="112"/>
      <c r="G13" s="134">
        <f>+($G$28-SUM($G$6:$G$8))*C13/(SUM($C$12:$C$16)*0.99)*$G$4</f>
        <v>890.21739130434776</v>
      </c>
      <c r="H13" s="135">
        <f t="shared" ref="H13:H16" si="10">+C13*$H$4-G13</f>
        <v>2822.282608695652</v>
      </c>
      <c r="I13" s="114"/>
      <c r="J13" s="114"/>
      <c r="K13" s="115"/>
      <c r="L13" s="116"/>
      <c r="M13" s="114"/>
      <c r="N13" s="114"/>
      <c r="O13" s="114"/>
      <c r="P13" s="117"/>
      <c r="Q13" s="118">
        <f t="shared" si="7"/>
        <v>3833.5286458333335</v>
      </c>
      <c r="R13" s="111">
        <f t="shared" si="8"/>
        <v>3833.5286458333335</v>
      </c>
      <c r="S13" s="111">
        <f t="shared" si="4"/>
        <v>3712.5</v>
      </c>
    </row>
    <row r="14" spans="1:19" s="87" customFormat="1" ht="11.25" x14ac:dyDescent="0.15">
      <c r="A14" s="109" t="s">
        <v>24</v>
      </c>
      <c r="B14" s="110" t="s">
        <v>61</v>
      </c>
      <c r="C14" s="111">
        <v>4250</v>
      </c>
      <c r="D14" s="112">
        <f>+VLOOKUP(B14,'Intereses corridos'!$A$5:$I$25,8,FALSE)</f>
        <v>127.61805555555554</v>
      </c>
      <c r="E14" s="112">
        <f t="shared" si="9"/>
        <v>127.61805555555554</v>
      </c>
      <c r="F14" s="112"/>
      <c r="G14" s="134">
        <f>+($G$28-SUM($G$6:$G$8))*C14/(SUM($C$12:$C$16)*0.99)*$G$4</f>
        <v>1008.9130434782609</v>
      </c>
      <c r="H14" s="135">
        <f t="shared" si="10"/>
        <v>3198.586956521739</v>
      </c>
      <c r="I14" s="114"/>
      <c r="J14" s="114"/>
      <c r="K14" s="115"/>
      <c r="L14" s="116"/>
      <c r="M14" s="114"/>
      <c r="N14" s="114"/>
      <c r="O14" s="114"/>
      <c r="P14" s="117"/>
      <c r="Q14" s="118">
        <f t="shared" si="7"/>
        <v>4335.1180555555557</v>
      </c>
      <c r="R14" s="111">
        <f t="shared" si="8"/>
        <v>4335.1180555555557</v>
      </c>
      <c r="S14" s="111">
        <f t="shared" si="4"/>
        <v>4207.5</v>
      </c>
    </row>
    <row r="15" spans="1:19" s="87" customFormat="1" ht="11.25" x14ac:dyDescent="0.15">
      <c r="A15" s="109" t="s">
        <v>24</v>
      </c>
      <c r="B15" s="110" t="s">
        <v>62</v>
      </c>
      <c r="C15" s="111">
        <v>1000</v>
      </c>
      <c r="D15" s="112">
        <f>+VLOOKUP(B15,'Intereses corridos'!$A$5:$I$25,8,FALSE)</f>
        <v>34.78125</v>
      </c>
      <c r="E15" s="112">
        <f t="shared" si="9"/>
        <v>34.78125</v>
      </c>
      <c r="F15" s="112"/>
      <c r="G15" s="134">
        <f>+($G$28-SUM($G$6:$G$8))*C15/(SUM($C$12:$C$16)*0.99)*$G$4</f>
        <v>237.39130434782609</v>
      </c>
      <c r="H15" s="135">
        <f t="shared" si="10"/>
        <v>752.60869565217388</v>
      </c>
      <c r="I15" s="114"/>
      <c r="J15" s="114"/>
      <c r="K15" s="115"/>
      <c r="L15" s="116"/>
      <c r="M15" s="114"/>
      <c r="N15" s="114"/>
      <c r="O15" s="114"/>
      <c r="P15" s="117"/>
      <c r="Q15" s="118">
        <f t="shared" si="7"/>
        <v>1024.78125</v>
      </c>
      <c r="R15" s="111">
        <f t="shared" si="8"/>
        <v>1024.78125</v>
      </c>
      <c r="S15" s="111">
        <f t="shared" si="4"/>
        <v>990</v>
      </c>
    </row>
    <row r="16" spans="1:19" s="87" customFormat="1" ht="11.25" x14ac:dyDescent="0.15">
      <c r="A16" s="109" t="s">
        <v>24</v>
      </c>
      <c r="B16" s="110" t="s">
        <v>66</v>
      </c>
      <c r="C16" s="71">
        <v>1750</v>
      </c>
      <c r="D16" s="136">
        <f>+VLOOKUP(B16,'Intereses corridos'!$A$5:$I$25,8,FALSE)</f>
        <v>65.460937499999986</v>
      </c>
      <c r="E16" s="136">
        <f t="shared" si="9"/>
        <v>65.460937499999986</v>
      </c>
      <c r="F16" s="136"/>
      <c r="G16" s="134">
        <f>+($G$28-SUM($G$6:$G$8))*C16/(SUM($C$12:$C$16)*0.99)*$G$4</f>
        <v>415.43478260869563</v>
      </c>
      <c r="H16" s="135">
        <f t="shared" si="10"/>
        <v>1317.0652173913045</v>
      </c>
      <c r="I16" s="114"/>
      <c r="J16" s="114"/>
      <c r="K16" s="115"/>
      <c r="L16" s="116"/>
      <c r="M16" s="114"/>
      <c r="N16" s="114"/>
      <c r="O16" s="114"/>
      <c r="P16" s="117"/>
      <c r="Q16" s="118">
        <f t="shared" si="7"/>
        <v>1797.9609375</v>
      </c>
      <c r="R16" s="71">
        <f t="shared" si="8"/>
        <v>1797.9609375</v>
      </c>
      <c r="S16" s="71">
        <f t="shared" si="4"/>
        <v>1732.5</v>
      </c>
    </row>
    <row r="17" spans="1:20" s="87" customFormat="1" ht="11.25" x14ac:dyDescent="0.15">
      <c r="A17" s="109" t="s">
        <v>15</v>
      </c>
      <c r="B17" s="110" t="s">
        <v>72</v>
      </c>
      <c r="C17" s="111">
        <v>1250</v>
      </c>
      <c r="D17" s="112">
        <f>+VLOOKUP(B17,'Intereses corridos'!$A$5:$I$25,8,FALSE)</f>
        <v>31.249999999999979</v>
      </c>
      <c r="E17" s="112"/>
      <c r="F17" s="112">
        <f t="shared" ref="F17:F18" si="11">+D17</f>
        <v>31.249999999999979</v>
      </c>
      <c r="G17" s="116"/>
      <c r="H17" s="114"/>
      <c r="I17" s="114"/>
      <c r="J17" s="114"/>
      <c r="K17" s="117"/>
      <c r="L17" s="134">
        <f>+($L$28-SUM($L$9:$L$11))*C17/(SUM($C$17:$C$18)*0.99)*$L$4</f>
        <v>167.34081804764932</v>
      </c>
      <c r="M17" s="135">
        <f>+C17*$M$4-L17</f>
        <v>1070.1591819523508</v>
      </c>
      <c r="N17" s="114"/>
      <c r="O17" s="114"/>
      <c r="P17" s="115"/>
      <c r="Q17" s="118">
        <f t="shared" ref="Q17:Q18" si="12">+F17+SUM(L17:P17)</f>
        <v>1268.75</v>
      </c>
      <c r="R17" s="111">
        <f t="shared" ref="R17:R18" si="13">+Q17/$S$2</f>
        <v>1426.5234989880819</v>
      </c>
      <c r="S17" s="111">
        <f t="shared" si="4"/>
        <v>1237.5</v>
      </c>
      <c r="T17" s="137"/>
    </row>
    <row r="18" spans="1:20" s="87" customFormat="1" ht="11.25" x14ac:dyDescent="0.15">
      <c r="A18" s="122" t="s">
        <v>15</v>
      </c>
      <c r="B18" s="123" t="s">
        <v>73</v>
      </c>
      <c r="C18" s="124">
        <v>1000</v>
      </c>
      <c r="D18" s="125">
        <f>+VLOOKUP(B18,'Intereses corridos'!$A$5:$I$25,8,FALSE)</f>
        <v>26.249999999999982</v>
      </c>
      <c r="E18" s="125"/>
      <c r="F18" s="125">
        <f t="shared" si="11"/>
        <v>26.249999999999982</v>
      </c>
      <c r="G18" s="126"/>
      <c r="H18" s="127"/>
      <c r="I18" s="127"/>
      <c r="J18" s="127"/>
      <c r="K18" s="128"/>
      <c r="L18" s="138">
        <f>+($L$28-SUM($L$9:$L$11))*C18/(SUM($C$17:$C$18)*0.99)*$L$4</f>
        <v>133.87265443811944</v>
      </c>
      <c r="M18" s="139">
        <f>+C18*$M$4-L18</f>
        <v>856.12734556188059</v>
      </c>
      <c r="N18" s="127"/>
      <c r="O18" s="127"/>
      <c r="P18" s="115"/>
      <c r="Q18" s="131">
        <f t="shared" si="12"/>
        <v>1016.25</v>
      </c>
      <c r="R18" s="124">
        <f t="shared" si="13"/>
        <v>1142.6242410613897</v>
      </c>
      <c r="S18" s="124">
        <f t="shared" si="4"/>
        <v>990</v>
      </c>
      <c r="T18" s="137"/>
    </row>
    <row r="19" spans="1:20" s="87" customFormat="1" ht="11.25" x14ac:dyDescent="0.15">
      <c r="A19" s="99" t="s">
        <v>24</v>
      </c>
      <c r="B19" s="100" t="s">
        <v>69</v>
      </c>
      <c r="C19" s="101">
        <v>2750</v>
      </c>
      <c r="D19" s="102">
        <f>+VLOOKUP(B19,'Intereses corridos'!$A$5:$I$25,8,FALSE)</f>
        <v>153.18836805555557</v>
      </c>
      <c r="E19" s="102">
        <f t="shared" ref="E19:E21" si="14">+D19</f>
        <v>153.18836805555557</v>
      </c>
      <c r="F19" s="102"/>
      <c r="G19" s="132"/>
      <c r="H19" s="104"/>
      <c r="I19" s="104"/>
      <c r="J19" s="104"/>
      <c r="K19" s="105">
        <f>+C19*K$4</f>
        <v>2722.5</v>
      </c>
      <c r="L19" s="106"/>
      <c r="M19" s="104"/>
      <c r="N19" s="104"/>
      <c r="O19" s="104"/>
      <c r="P19" s="107"/>
      <c r="Q19" s="108">
        <f t="shared" ref="Q19:Q21" si="15">+SUM(G19:K19)+E19</f>
        <v>2875.6883680555557</v>
      </c>
      <c r="R19" s="101">
        <f t="shared" ref="R19:R21" si="16">+Q19</f>
        <v>2875.6883680555557</v>
      </c>
      <c r="S19" s="101">
        <f t="shared" si="4"/>
        <v>2722.5</v>
      </c>
    </row>
    <row r="20" spans="1:20" s="87" customFormat="1" ht="11.25" x14ac:dyDescent="0.15">
      <c r="A20" s="109" t="s">
        <v>24</v>
      </c>
      <c r="B20" s="110" t="s">
        <v>63</v>
      </c>
      <c r="C20" s="111">
        <v>3000</v>
      </c>
      <c r="D20" s="112">
        <f>+VLOOKUP(B20,'Intereses corridos'!$A$5:$I$25,8,FALSE)</f>
        <v>105.41666666666669</v>
      </c>
      <c r="E20" s="112">
        <f t="shared" si="14"/>
        <v>105.41666666666669</v>
      </c>
      <c r="F20" s="112"/>
      <c r="G20" s="134"/>
      <c r="H20" s="114"/>
      <c r="I20" s="114"/>
      <c r="J20" s="114"/>
      <c r="K20" s="115">
        <f t="shared" ref="K20:K21" si="17">+C20*K$4</f>
        <v>2970</v>
      </c>
      <c r="L20" s="116"/>
      <c r="M20" s="114"/>
      <c r="N20" s="114"/>
      <c r="O20" s="114"/>
      <c r="P20" s="117"/>
      <c r="Q20" s="118">
        <f t="shared" si="15"/>
        <v>3075.4166666666665</v>
      </c>
      <c r="R20" s="111">
        <f t="shared" si="16"/>
        <v>3075.4166666666665</v>
      </c>
      <c r="S20" s="111">
        <f t="shared" si="4"/>
        <v>2970</v>
      </c>
    </row>
    <row r="21" spans="1:20" s="87" customFormat="1" ht="11.25" x14ac:dyDescent="0.15">
      <c r="A21" s="109" t="s">
        <v>24</v>
      </c>
      <c r="B21" s="110" t="s">
        <v>67</v>
      </c>
      <c r="C21" s="111">
        <v>2750</v>
      </c>
      <c r="D21" s="112">
        <f>+VLOOKUP(B21,'Intereses corridos'!$A$5:$I$25,8,FALSE)</f>
        <v>107.22135416666666</v>
      </c>
      <c r="E21" s="112">
        <f t="shared" si="14"/>
        <v>107.22135416666666</v>
      </c>
      <c r="F21" s="112"/>
      <c r="G21" s="134"/>
      <c r="H21" s="114"/>
      <c r="I21" s="114"/>
      <c r="J21" s="114"/>
      <c r="K21" s="115">
        <f t="shared" si="17"/>
        <v>2722.5</v>
      </c>
      <c r="L21" s="116"/>
      <c r="M21" s="114"/>
      <c r="N21" s="114"/>
      <c r="O21" s="114"/>
      <c r="P21" s="117"/>
      <c r="Q21" s="118">
        <f t="shared" si="15"/>
        <v>2829.7213541666665</v>
      </c>
      <c r="R21" s="111">
        <f t="shared" si="16"/>
        <v>2829.7213541666665</v>
      </c>
      <c r="S21" s="111">
        <f t="shared" si="4"/>
        <v>2722.5</v>
      </c>
    </row>
    <row r="22" spans="1:20" s="87" customFormat="1" ht="11.25" x14ac:dyDescent="0.15">
      <c r="A22" s="122" t="s">
        <v>15</v>
      </c>
      <c r="B22" s="123" t="s">
        <v>74</v>
      </c>
      <c r="C22" s="124">
        <v>750</v>
      </c>
      <c r="D22" s="125">
        <f>+VLOOKUP(B22,'Intereses corridos'!$A$5:$I$25,8,FALSE)</f>
        <v>32.031249999999979</v>
      </c>
      <c r="E22" s="125"/>
      <c r="F22" s="125">
        <f>+D22</f>
        <v>32.031249999999979</v>
      </c>
      <c r="G22" s="138"/>
      <c r="H22" s="127"/>
      <c r="I22" s="127"/>
      <c r="J22" s="127"/>
      <c r="K22" s="128"/>
      <c r="L22" s="138"/>
      <c r="M22" s="127"/>
      <c r="N22" s="127"/>
      <c r="O22" s="127"/>
      <c r="P22" s="130">
        <f>+C22*P$4</f>
        <v>742.5</v>
      </c>
      <c r="Q22" s="131">
        <f>+F22+SUM(L22:P22)</f>
        <v>774.53125</v>
      </c>
      <c r="R22" s="124">
        <f>+Q22/$S$2</f>
        <v>870.84691927141898</v>
      </c>
      <c r="S22" s="124">
        <f t="shared" si="4"/>
        <v>742.5</v>
      </c>
    </row>
    <row r="23" spans="1:20" s="87" customFormat="1" ht="11.25" x14ac:dyDescent="0.15">
      <c r="A23" s="99" t="s">
        <v>24</v>
      </c>
      <c r="B23" s="100" t="s">
        <v>77</v>
      </c>
      <c r="C23" s="101">
        <v>5565.2917364499999</v>
      </c>
      <c r="D23" s="102">
        <f>+VLOOKUP(B23,'Intereses corridos'!$A$5:$I$25,8,FALSE)</f>
        <v>249.60333437978255</v>
      </c>
      <c r="E23" s="102">
        <f t="shared" ref="E23" si="18">+D23</f>
        <v>249.60333437978255</v>
      </c>
      <c r="F23" s="102"/>
      <c r="G23" s="106"/>
      <c r="H23" s="104"/>
      <c r="I23" s="133">
        <f>+C23*I$4</f>
        <v>5565.2917364499999</v>
      </c>
      <c r="J23" s="133"/>
      <c r="K23" s="105"/>
      <c r="L23" s="106"/>
      <c r="M23" s="104"/>
      <c r="N23" s="104"/>
      <c r="O23" s="104"/>
      <c r="P23" s="107"/>
      <c r="Q23" s="108">
        <f t="shared" ref="Q23" si="19">+SUM(G23:K23)+E23</f>
        <v>5814.8950708297825</v>
      </c>
      <c r="R23" s="101">
        <f>+Q23</f>
        <v>5814.8950708297825</v>
      </c>
      <c r="S23" s="101">
        <f t="shared" si="4"/>
        <v>5565.2917364499999</v>
      </c>
    </row>
    <row r="24" spans="1:20" s="87" customFormat="1" ht="11.25" x14ac:dyDescent="0.15">
      <c r="A24" s="122" t="s">
        <v>15</v>
      </c>
      <c r="B24" s="123" t="s">
        <v>76</v>
      </c>
      <c r="C24" s="124">
        <v>5776.2840187699994</v>
      </c>
      <c r="D24" s="125">
        <f>+VLOOKUP(B24,'Intereses corridos'!$A$5:$I$25,8,FALSE)</f>
        <v>244.67376389506592</v>
      </c>
      <c r="E24" s="125"/>
      <c r="F24" s="125">
        <f>+D24</f>
        <v>244.67376389506592</v>
      </c>
      <c r="G24" s="126"/>
      <c r="H24" s="127"/>
      <c r="I24" s="127"/>
      <c r="J24" s="127"/>
      <c r="K24" s="128"/>
      <c r="L24" s="126"/>
      <c r="M24" s="127"/>
      <c r="N24" s="139">
        <f>+C24*N$4</f>
        <v>5776.2840187699994</v>
      </c>
      <c r="O24" s="139"/>
      <c r="P24" s="130"/>
      <c r="Q24" s="131">
        <f>+F24+SUM(L24:P24)</f>
        <v>6020.9577826650657</v>
      </c>
      <c r="R24" s="124">
        <f>+Q24/$S$2</f>
        <v>6769.6849366596198</v>
      </c>
      <c r="S24" s="124">
        <f t="shared" si="4"/>
        <v>5776.2840187699994</v>
      </c>
    </row>
    <row r="25" spans="1:20" s="87" customFormat="1" ht="11.25" x14ac:dyDescent="0.15">
      <c r="A25" s="99" t="s">
        <v>24</v>
      </c>
      <c r="B25" s="100" t="s">
        <v>79</v>
      </c>
      <c r="C25" s="101">
        <v>5393.6283739999999</v>
      </c>
      <c r="D25" s="102">
        <f>+VLOOKUP(B25,'Intereses corridos'!$A$5:$I$25,8,FALSE)</f>
        <v>58.992810340624992</v>
      </c>
      <c r="E25" s="102">
        <f t="shared" ref="E25" si="20">+D25</f>
        <v>58.992810340624992</v>
      </c>
      <c r="F25" s="102"/>
      <c r="G25" s="106"/>
      <c r="H25" s="104"/>
      <c r="I25" s="104"/>
      <c r="J25" s="133">
        <f>+C25*J$4</f>
        <v>5393.6283739999999</v>
      </c>
      <c r="K25" s="105"/>
      <c r="L25" s="106"/>
      <c r="M25" s="104"/>
      <c r="N25" s="104"/>
      <c r="O25" s="104"/>
      <c r="P25" s="107"/>
      <c r="Q25" s="108">
        <f t="shared" ref="Q25" si="21">+SUM(G25:K25)+E25</f>
        <v>5452.6211843406245</v>
      </c>
      <c r="R25" s="101">
        <f>+Q25</f>
        <v>5452.6211843406245</v>
      </c>
      <c r="S25" s="101">
        <f t="shared" si="4"/>
        <v>5393.6283739999999</v>
      </c>
    </row>
    <row r="26" spans="1:20" s="87" customFormat="1" ht="11.25" x14ac:dyDescent="0.15">
      <c r="A26" s="122" t="s">
        <v>15</v>
      </c>
      <c r="B26" s="123" t="s">
        <v>78</v>
      </c>
      <c r="C26" s="124">
        <v>6473.2230979999995</v>
      </c>
      <c r="D26" s="125">
        <f>+VLOOKUP(B26,'Intereses corridos'!$A$5:$I$25,8,FALSE)</f>
        <v>63.815191041116663</v>
      </c>
      <c r="E26" s="125"/>
      <c r="F26" s="125">
        <f>+D26</f>
        <v>63.815191041116663</v>
      </c>
      <c r="G26" s="126"/>
      <c r="H26" s="127"/>
      <c r="I26" s="127"/>
      <c r="J26" s="127"/>
      <c r="K26" s="128"/>
      <c r="L26" s="126"/>
      <c r="M26" s="127"/>
      <c r="N26" s="127"/>
      <c r="O26" s="139">
        <f>+C26*O$4</f>
        <v>6473.2230979999995</v>
      </c>
      <c r="P26" s="130"/>
      <c r="Q26" s="131">
        <f>+F26+SUM(L26:P26)</f>
        <v>6537.0382890411165</v>
      </c>
      <c r="R26" s="124">
        <f>+Q26/$S$2</f>
        <v>7349.9418586025595</v>
      </c>
      <c r="S26" s="124">
        <f t="shared" si="4"/>
        <v>6473.2230979999995</v>
      </c>
    </row>
    <row r="27" spans="1:20" s="93" customFormat="1" ht="18" customHeight="1" x14ac:dyDescent="0.25">
      <c r="A27" s="475" t="s">
        <v>45</v>
      </c>
      <c r="B27" s="476"/>
      <c r="C27" s="477"/>
      <c r="D27" s="247"/>
      <c r="E27" s="140">
        <f t="shared" ref="E27:F27" si="22">+SUM(E6:E26)</f>
        <v>1732.6612488870746</v>
      </c>
      <c r="F27" s="140">
        <f t="shared" si="22"/>
        <v>448.71255550544242</v>
      </c>
      <c r="G27" s="141">
        <f t="shared" ref="G27:P27" si="23">+SUM(G6:G26)</f>
        <v>13500</v>
      </c>
      <c r="H27" s="141">
        <f t="shared" si="23"/>
        <v>12982.499999999998</v>
      </c>
      <c r="I27" s="141">
        <f t="shared" si="23"/>
        <v>5565.2917364499999</v>
      </c>
      <c r="J27" s="141">
        <f t="shared" si="23"/>
        <v>5393.6283739999999</v>
      </c>
      <c r="K27" s="141">
        <f t="shared" si="23"/>
        <v>8415</v>
      </c>
      <c r="L27" s="141">
        <f t="shared" si="23"/>
        <v>2900</v>
      </c>
      <c r="M27" s="141">
        <f t="shared" si="23"/>
        <v>1926.2865275142312</v>
      </c>
      <c r="N27" s="141">
        <f t="shared" si="23"/>
        <v>5776.2840187699994</v>
      </c>
      <c r="O27" s="141">
        <f t="shared" si="23"/>
        <v>6473.2230979999995</v>
      </c>
      <c r="P27" s="142">
        <f t="shared" si="23"/>
        <v>742.5</v>
      </c>
      <c r="Q27" s="140"/>
      <c r="R27" s="140">
        <f>+SUM(R6:R26)</f>
        <v>68127.65365503043</v>
      </c>
      <c r="S27" s="140"/>
    </row>
    <row r="28" spans="1:20" s="93" customFormat="1" ht="18" customHeight="1" x14ac:dyDescent="0.25">
      <c r="A28" s="478" t="s">
        <v>87</v>
      </c>
      <c r="B28" s="479"/>
      <c r="C28" s="480"/>
      <c r="D28" s="143"/>
      <c r="E28" s="144"/>
      <c r="F28" s="144"/>
      <c r="G28" s="144">
        <v>13500</v>
      </c>
      <c r="H28" s="144">
        <v>22900</v>
      </c>
      <c r="I28" s="144"/>
      <c r="J28" s="144"/>
      <c r="K28" s="144"/>
      <c r="L28" s="144">
        <v>2900</v>
      </c>
      <c r="M28" s="144">
        <v>2500</v>
      </c>
      <c r="N28" s="144"/>
      <c r="O28" s="144"/>
      <c r="P28" s="145"/>
      <c r="Q28" s="144"/>
      <c r="R28" s="144"/>
      <c r="S28" s="144"/>
    </row>
    <row r="29" spans="1:20" x14ac:dyDescent="0.2">
      <c r="A29" s="146" t="s">
        <v>88</v>
      </c>
      <c r="C29" s="147"/>
      <c r="D29" s="147"/>
      <c r="E29" s="147"/>
      <c r="F29" s="147"/>
      <c r="G29" s="148"/>
      <c r="I29" s="148"/>
      <c r="J29" s="148"/>
      <c r="K29" s="148"/>
      <c r="L29" s="148"/>
      <c r="M29" s="148"/>
      <c r="N29" s="148"/>
      <c r="O29" s="148"/>
      <c r="P29" s="148"/>
    </row>
    <row r="30" spans="1:20" s="147" customFormat="1" x14ac:dyDescent="0.2">
      <c r="A30" s="149"/>
      <c r="B30" s="149"/>
      <c r="C30" s="149"/>
      <c r="D30" s="149"/>
      <c r="E30" s="149"/>
      <c r="F30" s="149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49"/>
      <c r="R30" s="149"/>
    </row>
    <row r="31" spans="1:20" x14ac:dyDescent="0.2"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</row>
    <row r="32" spans="1:20" x14ac:dyDescent="0.2">
      <c r="C32" s="151"/>
      <c r="D32" s="151"/>
      <c r="E32" s="151"/>
      <c r="F32" s="151"/>
      <c r="G32" s="151"/>
      <c r="H32" s="152"/>
      <c r="I32" s="151"/>
      <c r="J32" s="151"/>
      <c r="K32" s="151"/>
      <c r="L32" s="151"/>
      <c r="M32" s="151"/>
      <c r="N32" s="151"/>
      <c r="O32" s="151"/>
    </row>
    <row r="33" spans="3:15" x14ac:dyDescent="0.2">
      <c r="C33" s="151"/>
      <c r="D33" s="151"/>
      <c r="E33" s="151"/>
      <c r="F33" s="151"/>
      <c r="G33" s="153"/>
      <c r="H33" s="154"/>
      <c r="I33" s="151"/>
      <c r="J33" s="151"/>
      <c r="K33" s="151"/>
      <c r="L33" s="153"/>
      <c r="M33" s="151"/>
      <c r="N33" s="151"/>
      <c r="O33" s="151"/>
    </row>
    <row r="34" spans="3:15" x14ac:dyDescent="0.2"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</row>
    <row r="35" spans="3:15" x14ac:dyDescent="0.2"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</row>
    <row r="36" spans="3:15" x14ac:dyDescent="0.2"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</row>
  </sheetData>
  <mergeCells count="3">
    <mergeCell ref="G3:P3"/>
    <mergeCell ref="A27:C27"/>
    <mergeCell ref="A28:C28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CF16E-0CF3-4C09-87A5-03E02593CBF7}">
  <sheetPr codeName="Hoja12">
    <tabColor rgb="FFFFC000"/>
  </sheetPr>
  <dimension ref="A1:K28"/>
  <sheetViews>
    <sheetView showGridLines="0" zoomScale="90" zoomScaleNormal="90" workbookViewId="0"/>
  </sheetViews>
  <sheetFormatPr baseColWidth="10" defaultColWidth="11.42578125" defaultRowHeight="15" x14ac:dyDescent="0.25"/>
  <cols>
    <col min="1" max="1" width="17" bestFit="1" customWidth="1"/>
    <col min="2" max="2" width="17" style="308" customWidth="1"/>
    <col min="3" max="3" width="11.42578125" customWidth="1"/>
    <col min="10" max="10" width="13.85546875" bestFit="1" customWidth="1"/>
  </cols>
  <sheetData>
    <row r="1" spans="1:11" s="155" customFormat="1" x14ac:dyDescent="0.2">
      <c r="A1" s="155" t="s">
        <v>189</v>
      </c>
      <c r="B1" s="305"/>
    </row>
    <row r="2" spans="1:11" x14ac:dyDescent="0.25">
      <c r="A2" s="2" t="s">
        <v>13</v>
      </c>
    </row>
    <row r="3" spans="1:11" ht="22.5" x14ac:dyDescent="0.25">
      <c r="A3" s="156" t="s">
        <v>51</v>
      </c>
      <c r="B3" s="300" t="s">
        <v>89</v>
      </c>
      <c r="C3" s="157" t="s">
        <v>90</v>
      </c>
      <c r="D3" s="157" t="s">
        <v>2</v>
      </c>
      <c r="E3" s="156" t="s">
        <v>3</v>
      </c>
      <c r="F3" s="156" t="s">
        <v>4</v>
      </c>
      <c r="G3" s="156" t="s">
        <v>5</v>
      </c>
      <c r="H3" s="156" t="s">
        <v>6</v>
      </c>
      <c r="J3" s="158" t="s">
        <v>91</v>
      </c>
      <c r="K3" s="159" t="s">
        <v>92</v>
      </c>
    </row>
    <row r="4" spans="1:11" x14ac:dyDescent="0.25">
      <c r="A4" s="160" t="s">
        <v>64</v>
      </c>
      <c r="B4" s="301">
        <f>+C4*$K$9+D4*$K$4+E4*$K$5+F4*$K$6+G4*$K$7+H4*$K$8</f>
        <v>56.12087806879827</v>
      </c>
      <c r="C4" s="161">
        <f>+VLOOKUP(A4,'Intereses corridos'!$A$5:$G$25,7,FALSE)</f>
        <v>5.0225694444444448E-2</v>
      </c>
      <c r="D4" s="161">
        <f>+VLOOKUP($A4,'BG - Canje optimo'!$B$6:$S$26,6,FALSE)/VLOOKUP($A4,'BG - Canje optimo'!$B$6:$S$26,18,FALSE)</f>
        <v>1</v>
      </c>
      <c r="E4" s="161">
        <f>+VLOOKUP($A4,'BG - Canje optimo'!$B$6:$S$26,7,FALSE)/VLOOKUP($A4,'BG - Canje optimo'!$B$6:$S$26,18,FALSE)</f>
        <v>0</v>
      </c>
      <c r="F4" s="161">
        <f>+VLOOKUP($A4,'BG - Canje optimo'!$B$6:$S$26,8,FALSE)/VLOOKUP($A4,'BG - Canje optimo'!$B$6:$S$26,18,FALSE)</f>
        <v>0</v>
      </c>
      <c r="G4" s="161">
        <f>+VLOOKUP($A4,'BG - Canje optimo'!$B$6:$S$26,9,FALSE)/VLOOKUP($A4,'BG - Canje optimo'!$B$6:$S$26,18,FALSE)</f>
        <v>0</v>
      </c>
      <c r="H4" s="161">
        <f>+VLOOKUP($A4,'BG - Canje optimo'!$B$6:$S$26,10,FALSE)/VLOOKUP($A4,'BG - Canje optimo'!$B$6:$S$26,18,FALSE)</f>
        <v>0</v>
      </c>
      <c r="I4" s="162"/>
      <c r="J4" s="163" t="s">
        <v>2</v>
      </c>
      <c r="K4" s="164">
        <f>+HLOOKUP(J4,'BG - Nuevos Bonos 100VN'!$B$6:$M$21,15,FALSE)</f>
        <v>53.439748862916602</v>
      </c>
    </row>
    <row r="5" spans="1:11" x14ac:dyDescent="0.25">
      <c r="A5" s="160" t="s">
        <v>60</v>
      </c>
      <c r="B5" s="302">
        <f t="shared" ref="B5:B16" si="0">+C5*$K$9+D5*$K$4+E5*$K$5+F5*$K$6+G5*$K$7+H5*$K$8</f>
        <v>54.849357408421618</v>
      </c>
      <c r="C5" s="165">
        <f>+VLOOKUP(A5,'Intereses corridos'!$A$5:$G$25,7,FALSE)</f>
        <v>2.6406249999999999E-2</v>
      </c>
      <c r="D5" s="165">
        <f>+VLOOKUP($A5,'BG - Canje optimo'!$B$6:$S$26,6,FALSE)/VLOOKUP($A5,'BG - Canje optimo'!$B$6:$S$26,18,FALSE)</f>
        <v>1</v>
      </c>
      <c r="E5" s="165">
        <f>+VLOOKUP($A5,'BG - Canje optimo'!$B$6:$S$26,7,FALSE)/VLOOKUP($A5,'BG - Canje optimo'!$B$6:$S$26,18,FALSE)</f>
        <v>0</v>
      </c>
      <c r="F5" s="165">
        <f>+VLOOKUP($A5,'BG - Canje optimo'!$B$6:$S$26,8,FALSE)/VLOOKUP($A5,'BG - Canje optimo'!$B$6:$S$26,18,FALSE)</f>
        <v>0</v>
      </c>
      <c r="G5" s="165">
        <f>+VLOOKUP($A5,'BG - Canje optimo'!$B$6:$S$26,9,FALSE)/VLOOKUP($A5,'BG - Canje optimo'!$B$6:$S$26,18,FALSE)</f>
        <v>0</v>
      </c>
      <c r="H5" s="165">
        <f>+VLOOKUP($A5,'BG - Canje optimo'!$B$6:$S$26,10,FALSE)/VLOOKUP($A5,'BG - Canje optimo'!$B$6:$S$26,18,FALSE)</f>
        <v>0</v>
      </c>
      <c r="I5" s="162"/>
      <c r="J5" s="163" t="s">
        <v>3</v>
      </c>
      <c r="K5" s="164">
        <f>+HLOOKUP(J5,'BG - Nuevos Bonos 100VN'!$B$6:$M$21,15,FALSE)</f>
        <v>52.434367948375325</v>
      </c>
    </row>
    <row r="6" spans="1:11" x14ac:dyDescent="0.25">
      <c r="A6" s="160" t="s">
        <v>59</v>
      </c>
      <c r="B6" s="302">
        <f t="shared" si="0"/>
        <v>54.701631174264158</v>
      </c>
      <c r="C6" s="165">
        <f>+VLOOKUP(A6,'Intereses corridos'!$A$5:$G$25,7,FALSE)</f>
        <v>2.363888888888889E-2</v>
      </c>
      <c r="D6" s="165">
        <f>+VLOOKUP($A6,'BG - Canje optimo'!$B$6:$S$26,6,FALSE)/VLOOKUP($A6,'BG - Canje optimo'!$B$6:$S$26,18,FALSE)</f>
        <v>1</v>
      </c>
      <c r="E6" s="165">
        <f>+VLOOKUP($A6,'BG - Canje optimo'!$B$6:$S$26,7,FALSE)/VLOOKUP($A6,'BG - Canje optimo'!$B$6:$S$26,18,FALSE)</f>
        <v>0</v>
      </c>
      <c r="F6" s="165">
        <f>+VLOOKUP($A6,'BG - Canje optimo'!$B$6:$S$26,8,FALSE)/VLOOKUP($A6,'BG - Canje optimo'!$B$6:$S$26,18,FALSE)</f>
        <v>0</v>
      </c>
      <c r="G6" s="165">
        <f>+VLOOKUP($A6,'BG - Canje optimo'!$B$6:$S$26,9,FALSE)/VLOOKUP($A6,'BG - Canje optimo'!$B$6:$S$26,18,FALSE)</f>
        <v>0</v>
      </c>
      <c r="H6" s="165">
        <f>+VLOOKUP($A6,'BG - Canje optimo'!$B$6:$S$26,10,FALSE)/VLOOKUP($A6,'BG - Canje optimo'!$B$6:$S$26,18,FALSE)</f>
        <v>0</v>
      </c>
      <c r="I6" s="162"/>
      <c r="J6" s="163" t="s">
        <v>4</v>
      </c>
      <c r="K6" s="164">
        <f>+HLOOKUP(J6,'BG - Nuevos Bonos 100VN'!$B$6:$M$21,15,FALSE)</f>
        <v>56.039008461167128</v>
      </c>
    </row>
    <row r="7" spans="1:11" x14ac:dyDescent="0.25">
      <c r="A7" s="160" t="s">
        <v>68</v>
      </c>
      <c r="B7" s="302">
        <f t="shared" si="0"/>
        <v>55.60031565445771</v>
      </c>
      <c r="C7" s="165">
        <f>+VLOOKUP(A7,'Intereses corridos'!$A$5:$G$25,7,FALSE)</f>
        <v>5.4791666666666662E-2</v>
      </c>
      <c r="D7" s="165">
        <f>+VLOOKUP($A7,'BG - Canje optimo'!$B$6:$S$26,6,FALSE)/VLOOKUP($A7,'BG - Canje optimo'!$B$6:$S$26,18,FALSE)</f>
        <v>0.23978919631093543</v>
      </c>
      <c r="E7" s="165">
        <f>+VLOOKUP($A7,'BG - Canje optimo'!$B$6:$S$26,7,FALSE)/VLOOKUP($A7,'BG - Canje optimo'!$B$6:$S$26,18,FALSE)</f>
        <v>0.76021080368906446</v>
      </c>
      <c r="F7" s="165">
        <f>+VLOOKUP($A7,'BG - Canje optimo'!$B$6:$S$26,8,FALSE)/VLOOKUP($A7,'BG - Canje optimo'!$B$6:$S$26,18,FALSE)</f>
        <v>0</v>
      </c>
      <c r="G7" s="165">
        <f>+VLOOKUP($A7,'BG - Canje optimo'!$B$6:$S$26,9,FALSE)/VLOOKUP($A7,'BG - Canje optimo'!$B$6:$S$26,18,FALSE)</f>
        <v>0</v>
      </c>
      <c r="H7" s="165">
        <f>+VLOOKUP($A7,'BG - Canje optimo'!$B$6:$S$26,10,FALSE)/VLOOKUP($A7,'BG - Canje optimo'!$B$6:$S$26,18,FALSE)</f>
        <v>0</v>
      </c>
      <c r="I7" s="162"/>
      <c r="J7" s="163" t="s">
        <v>5</v>
      </c>
      <c r="K7" s="164">
        <f>+HLOOKUP(J7,'BG - Nuevos Bonos 100VN'!$B$6:$M$21,15,FALSE)</f>
        <v>51.789501722709737</v>
      </c>
    </row>
    <row r="8" spans="1:11" x14ac:dyDescent="0.25">
      <c r="A8" s="160" t="s">
        <v>65</v>
      </c>
      <c r="B8" s="302">
        <f t="shared" si="0"/>
        <v>54.398302318810103</v>
      </c>
      <c r="C8" s="165">
        <f>+VLOOKUP(A8,'Intereses corridos'!$A$5:$G$25,7,FALSE)</f>
        <v>3.2274305555555556E-2</v>
      </c>
      <c r="D8" s="165">
        <f>+VLOOKUP($A8,'BG - Canje optimo'!$B$6:$S$26,6,FALSE)/VLOOKUP($A8,'BG - Canje optimo'!$B$6:$S$26,18,FALSE)</f>
        <v>0.23978919631093543</v>
      </c>
      <c r="E8" s="165">
        <f>+VLOOKUP($A8,'BG - Canje optimo'!$B$6:$S$26,7,FALSE)/VLOOKUP($A8,'BG - Canje optimo'!$B$6:$S$26,18,FALSE)</f>
        <v>0.76021080368906446</v>
      </c>
      <c r="F8" s="165">
        <f>+VLOOKUP($A8,'BG - Canje optimo'!$B$6:$S$26,8,FALSE)/VLOOKUP($A8,'BG - Canje optimo'!$B$6:$S$26,18,FALSE)</f>
        <v>0</v>
      </c>
      <c r="G8" s="165">
        <f>+VLOOKUP($A8,'BG - Canje optimo'!$B$6:$S$26,9,FALSE)/VLOOKUP($A8,'BG - Canje optimo'!$B$6:$S$26,18,FALSE)</f>
        <v>0</v>
      </c>
      <c r="H8" s="165">
        <f>+VLOOKUP($A8,'BG - Canje optimo'!$B$6:$S$26,10,FALSE)/VLOOKUP($A8,'BG - Canje optimo'!$B$6:$S$26,18,FALSE)</f>
        <v>0</v>
      </c>
      <c r="I8" s="162"/>
      <c r="J8" s="166" t="s">
        <v>6</v>
      </c>
      <c r="K8" s="167">
        <f>+HLOOKUP(J8,'BG - Nuevos Bonos 100VN'!$B$6:$M$21,15,FALSE)</f>
        <v>51.547292379089953</v>
      </c>
    </row>
    <row r="9" spans="1:11" x14ac:dyDescent="0.25">
      <c r="A9" s="160" t="s">
        <v>61</v>
      </c>
      <c r="B9" s="302">
        <f t="shared" si="0"/>
        <v>54.278379014544264</v>
      </c>
      <c r="C9" s="165">
        <f>+VLOOKUP(A9,'Intereses corridos'!$A$5:$G$25,7,FALSE)</f>
        <v>3.0027777777777775E-2</v>
      </c>
      <c r="D9" s="165">
        <f>+VLOOKUP($A9,'BG - Canje optimo'!$B$6:$S$26,6,FALSE)/VLOOKUP($A9,'BG - Canje optimo'!$B$6:$S$26,18,FALSE)</f>
        <v>0.23978919631093545</v>
      </c>
      <c r="E9" s="165">
        <f>+VLOOKUP($A9,'BG - Canje optimo'!$B$6:$S$26,7,FALSE)/VLOOKUP($A9,'BG - Canje optimo'!$B$6:$S$26,18,FALSE)</f>
        <v>0.76021080368906457</v>
      </c>
      <c r="F9" s="165">
        <f>+VLOOKUP($A9,'BG - Canje optimo'!$B$6:$S$26,8,FALSE)/VLOOKUP($A9,'BG - Canje optimo'!$B$6:$S$26,18,FALSE)</f>
        <v>0</v>
      </c>
      <c r="G9" s="165">
        <f>+VLOOKUP($A9,'BG - Canje optimo'!$B$6:$S$26,9,FALSE)/VLOOKUP($A9,'BG - Canje optimo'!$B$6:$S$26,18,FALSE)</f>
        <v>0</v>
      </c>
      <c r="H9" s="165">
        <f>+VLOOKUP($A9,'BG - Canje optimo'!$B$6:$S$26,10,FALSE)/VLOOKUP($A9,'BG - Canje optimo'!$B$6:$S$26,18,FALSE)</f>
        <v>0</v>
      </c>
      <c r="I9" s="162"/>
      <c r="J9" s="158" t="s">
        <v>135</v>
      </c>
      <c r="K9" s="167">
        <f>+HLOOKUP(J9,'BG - Nuevos Bonos 100VN'!$B$6:$M$21,15,FALSE)</f>
        <v>53.381625391905992</v>
      </c>
    </row>
    <row r="10" spans="1:11" x14ac:dyDescent="0.25">
      <c r="A10" s="160" t="s">
        <v>62</v>
      </c>
      <c r="B10" s="302">
        <f t="shared" si="0"/>
        <v>54.53212708802176</v>
      </c>
      <c r="C10" s="165">
        <f>+VLOOKUP(A10,'Intereses corridos'!$A$5:$G$25,7,FALSE)</f>
        <v>3.478125E-2</v>
      </c>
      <c r="D10" s="165">
        <f>+VLOOKUP($A10,'BG - Canje optimo'!$B$6:$S$26,6,FALSE)/VLOOKUP($A10,'BG - Canje optimo'!$B$6:$S$26,18,FALSE)</f>
        <v>0.23978919631093545</v>
      </c>
      <c r="E10" s="165">
        <f>+VLOOKUP($A10,'BG - Canje optimo'!$B$6:$S$26,7,FALSE)/VLOOKUP($A10,'BG - Canje optimo'!$B$6:$S$26,18,FALSE)</f>
        <v>0.76021080368906457</v>
      </c>
      <c r="F10" s="165">
        <f>+VLOOKUP($A10,'BG - Canje optimo'!$B$6:$S$26,8,FALSE)/VLOOKUP($A10,'BG - Canje optimo'!$B$6:$S$26,18,FALSE)</f>
        <v>0</v>
      </c>
      <c r="G10" s="165">
        <f>+VLOOKUP($A10,'BG - Canje optimo'!$B$6:$S$26,9,FALSE)/VLOOKUP($A10,'BG - Canje optimo'!$B$6:$S$26,18,FALSE)</f>
        <v>0</v>
      </c>
      <c r="H10" s="165">
        <f>+VLOOKUP($A10,'BG - Canje optimo'!$B$6:$S$26,10,FALSE)/VLOOKUP($A10,'BG - Canje optimo'!$B$6:$S$26,18,FALSE)</f>
        <v>0</v>
      </c>
      <c r="I10" s="162"/>
      <c r="J10" s="168"/>
      <c r="K10" s="169"/>
    </row>
    <row r="11" spans="1:11" x14ac:dyDescent="0.25">
      <c r="A11" s="160" t="s">
        <v>66</v>
      </c>
      <c r="B11" s="302">
        <f t="shared" si="0"/>
        <v>54.672253854675517</v>
      </c>
      <c r="C11" s="165">
        <f>+VLOOKUP(A11,'Intereses corridos'!$A$5:$G$25,7,FALSE)</f>
        <v>3.7406249999999995E-2</v>
      </c>
      <c r="D11" s="165">
        <f>+VLOOKUP($A11,'BG - Canje optimo'!$B$6:$S$26,6,FALSE)/VLOOKUP($A11,'BG - Canje optimo'!$B$6:$S$26,18,FALSE)</f>
        <v>0.23978919631093543</v>
      </c>
      <c r="E11" s="165">
        <f>+VLOOKUP($A11,'BG - Canje optimo'!$B$6:$S$26,7,FALSE)/VLOOKUP($A11,'BG - Canje optimo'!$B$6:$S$26,18,FALSE)</f>
        <v>0.76021080368906468</v>
      </c>
      <c r="F11" s="165">
        <f>+VLOOKUP($A11,'BG - Canje optimo'!$B$6:$S$26,8,FALSE)/VLOOKUP($A11,'BG - Canje optimo'!$B$6:$S$26,18,FALSE)</f>
        <v>0</v>
      </c>
      <c r="G11" s="165">
        <f>+VLOOKUP($A11,'BG - Canje optimo'!$B$6:$S$26,9,FALSE)/VLOOKUP($A11,'BG - Canje optimo'!$B$6:$S$26,18,FALSE)</f>
        <v>0</v>
      </c>
      <c r="H11" s="165">
        <f>+VLOOKUP($A11,'BG - Canje optimo'!$B$6:$S$26,10,FALSE)/VLOOKUP($A11,'BG - Canje optimo'!$B$6:$S$26,18,FALSE)</f>
        <v>0</v>
      </c>
      <c r="I11" s="162"/>
      <c r="J11" s="170"/>
      <c r="K11" s="87"/>
    </row>
    <row r="12" spans="1:11" x14ac:dyDescent="0.25">
      <c r="A12" s="160" t="s">
        <v>69</v>
      </c>
      <c r="B12" s="302">
        <f t="shared" si="0"/>
        <v>54.520908407431442</v>
      </c>
      <c r="C12" s="165">
        <f>+VLOOKUP(A12,'Intereses corridos'!$A$5:$G$25,7,FALSE)</f>
        <v>5.5704861111111115E-2</v>
      </c>
      <c r="D12" s="165">
        <f>+VLOOKUP($A12,'BG - Canje optimo'!$B$6:$S$26,6,FALSE)/VLOOKUP($A12,'BG - Canje optimo'!$B$6:$S$26,18,FALSE)</f>
        <v>0</v>
      </c>
      <c r="E12" s="165">
        <f>+VLOOKUP($A12,'BG - Canje optimo'!$B$6:$S$26,7,FALSE)/VLOOKUP($A12,'BG - Canje optimo'!$B$6:$S$26,18,FALSE)</f>
        <v>0</v>
      </c>
      <c r="F12" s="165">
        <f>+VLOOKUP($A12,'BG - Canje optimo'!$B$6:$S$26,8,FALSE)/VLOOKUP($A12,'BG - Canje optimo'!$B$6:$S$26,18,FALSE)</f>
        <v>0</v>
      </c>
      <c r="G12" s="165">
        <f>+VLOOKUP($A12,'BG - Canje optimo'!$B$6:$S$26,9,FALSE)/VLOOKUP($A12,'BG - Canje optimo'!$B$6:$S$26,18,FALSE)</f>
        <v>0</v>
      </c>
      <c r="H12" s="165">
        <f>+VLOOKUP($A12,'BG - Canje optimo'!$B$6:$S$26,10,FALSE)/VLOOKUP($A12,'BG - Canje optimo'!$B$6:$S$26,18,FALSE)</f>
        <v>1</v>
      </c>
      <c r="I12" s="162"/>
      <c r="J12" s="168"/>
      <c r="K12" s="87"/>
    </row>
    <row r="13" spans="1:11" x14ac:dyDescent="0.25">
      <c r="A13" s="160" t="s">
        <v>63</v>
      </c>
      <c r="B13" s="302">
        <f t="shared" si="0"/>
        <v>53.423063382444425</v>
      </c>
      <c r="C13" s="165">
        <f>+VLOOKUP(A13,'Intereses corridos'!$A$5:$G$25,7,FALSE)</f>
        <v>3.5138888888888893E-2</v>
      </c>
      <c r="D13" s="165">
        <f>+VLOOKUP($A13,'BG - Canje optimo'!$B$6:$S$26,6,FALSE)/VLOOKUP($A13,'BG - Canje optimo'!$B$6:$S$26,18,FALSE)</f>
        <v>0</v>
      </c>
      <c r="E13" s="165">
        <f>+VLOOKUP($A13,'BG - Canje optimo'!$B$6:$S$26,7,FALSE)/VLOOKUP($A13,'BG - Canje optimo'!$B$6:$S$26,18,FALSE)</f>
        <v>0</v>
      </c>
      <c r="F13" s="165">
        <f>+VLOOKUP($A13,'BG - Canje optimo'!$B$6:$S$26,8,FALSE)/VLOOKUP($A13,'BG - Canje optimo'!$B$6:$S$26,18,FALSE)</f>
        <v>0</v>
      </c>
      <c r="G13" s="165">
        <f>+VLOOKUP($A13,'BG - Canje optimo'!$B$6:$S$26,9,FALSE)/VLOOKUP($A13,'BG - Canje optimo'!$B$6:$S$26,18,FALSE)</f>
        <v>0</v>
      </c>
      <c r="H13" s="165">
        <f>+VLOOKUP($A13,'BG - Canje optimo'!$B$6:$S$26,10,FALSE)/VLOOKUP($A13,'BG - Canje optimo'!$B$6:$S$26,18,FALSE)</f>
        <v>1</v>
      </c>
      <c r="I13" s="162"/>
      <c r="J13" s="168"/>
      <c r="K13" s="87"/>
    </row>
    <row r="14" spans="1:11" x14ac:dyDescent="0.25">
      <c r="A14" s="160" t="s">
        <v>67</v>
      </c>
      <c r="B14" s="302">
        <f t="shared" si="0"/>
        <v>53.628619710776455</v>
      </c>
      <c r="C14" s="165">
        <f>+VLOOKUP(A14,'Intereses corridos'!$A$5:$G$25,7,FALSE)</f>
        <v>3.8989583333333327E-2</v>
      </c>
      <c r="D14" s="165">
        <f>+VLOOKUP($A14,'BG - Canje optimo'!$B$6:$S$26,6,FALSE)/VLOOKUP($A14,'BG - Canje optimo'!$B$6:$S$26,18,FALSE)</f>
        <v>0</v>
      </c>
      <c r="E14" s="165">
        <f>+VLOOKUP($A14,'BG - Canje optimo'!$B$6:$S$26,7,FALSE)/VLOOKUP($A14,'BG - Canje optimo'!$B$6:$S$26,18,FALSE)</f>
        <v>0</v>
      </c>
      <c r="F14" s="165">
        <f>+VLOOKUP($A14,'BG - Canje optimo'!$B$6:$S$26,8,FALSE)/VLOOKUP($A14,'BG - Canje optimo'!$B$6:$S$26,18,FALSE)</f>
        <v>0</v>
      </c>
      <c r="G14" s="165">
        <f>+VLOOKUP($A14,'BG - Canje optimo'!$B$6:$S$26,9,FALSE)/VLOOKUP($A14,'BG - Canje optimo'!$B$6:$S$26,18,FALSE)</f>
        <v>0</v>
      </c>
      <c r="H14" s="165">
        <f>+VLOOKUP($A14,'BG - Canje optimo'!$B$6:$S$26,10,FALSE)/VLOOKUP($A14,'BG - Canje optimo'!$B$6:$S$26,18,FALSE)</f>
        <v>1</v>
      </c>
      <c r="I14" s="162"/>
      <c r="J14" s="168"/>
      <c r="K14" s="87"/>
    </row>
    <row r="15" spans="1:11" x14ac:dyDescent="0.25">
      <c r="A15" s="160" t="s">
        <v>77</v>
      </c>
      <c r="B15" s="302">
        <f t="shared" si="0"/>
        <v>58.433174359994112</v>
      </c>
      <c r="C15" s="165">
        <f>+VLOOKUP(A15,'Intereses corridos'!$A$5:$G$25,7,FALSE)</f>
        <v>4.4850000000000001E-2</v>
      </c>
      <c r="D15" s="165">
        <f>+VLOOKUP($A15,'BG - Canje optimo'!$B$6:$S$26,6,FALSE)/VLOOKUP($A15,'BG - Canje optimo'!$B$6:$S$26,18,FALSE)</f>
        <v>0</v>
      </c>
      <c r="E15" s="165">
        <f>+VLOOKUP($A15,'BG - Canje optimo'!$B$6:$S$26,7,FALSE)/VLOOKUP($A15,'BG - Canje optimo'!$B$6:$S$26,18,FALSE)</f>
        <v>0</v>
      </c>
      <c r="F15" s="165">
        <f>+VLOOKUP($A15,'BG - Canje optimo'!$B$6:$S$26,8,FALSE)/VLOOKUP($A15,'BG - Canje optimo'!$B$6:$S$26,18,FALSE)</f>
        <v>1</v>
      </c>
      <c r="G15" s="165">
        <f>+VLOOKUP($A15,'BG - Canje optimo'!$B$6:$S$26,9,FALSE)/VLOOKUP($A15,'BG - Canje optimo'!$B$6:$S$26,18,FALSE)</f>
        <v>0</v>
      </c>
      <c r="H15" s="165">
        <f>+VLOOKUP($A15,'BG - Canje optimo'!$B$6:$S$26,10,FALSE)/VLOOKUP($A15,'BG - Canje optimo'!$B$6:$S$26,18,FALSE)</f>
        <v>0</v>
      </c>
      <c r="I15" s="162"/>
      <c r="J15" s="168"/>
      <c r="K15" s="87"/>
    </row>
    <row r="16" spans="1:11" x14ac:dyDescent="0.25">
      <c r="A16" s="171" t="s">
        <v>79</v>
      </c>
      <c r="B16" s="303">
        <f t="shared" si="0"/>
        <v>52.373363250433705</v>
      </c>
      <c r="C16" s="172">
        <f>+VLOOKUP(A16,'Intereses corridos'!$A$5:$G$25,7,FALSE)</f>
        <v>1.0937499999999999E-2</v>
      </c>
      <c r="D16" s="172">
        <f>+VLOOKUP($A16,'BG - Canje optimo'!$B$6:$S$26,6,FALSE)/VLOOKUP($A16,'BG - Canje optimo'!$B$6:$S$26,18,FALSE)</f>
        <v>0</v>
      </c>
      <c r="E16" s="172">
        <f>+VLOOKUP($A16,'BG - Canje optimo'!$B$6:$S$26,7,FALSE)/VLOOKUP($A16,'BG - Canje optimo'!$B$6:$S$26,18,FALSE)</f>
        <v>0</v>
      </c>
      <c r="F16" s="172">
        <f>+VLOOKUP($A16,'BG - Canje optimo'!$B$6:$S$26,8,FALSE)/VLOOKUP($A16,'BG - Canje optimo'!$B$6:$S$26,18,FALSE)</f>
        <v>0</v>
      </c>
      <c r="G16" s="172">
        <f>+VLOOKUP($A16,'BG - Canje optimo'!$B$6:$S$26,9,FALSE)/VLOOKUP($A16,'BG - Canje optimo'!$B$6:$S$26,18,FALSE)</f>
        <v>1</v>
      </c>
      <c r="H16" s="172">
        <f>+VLOOKUP($A16,'BG - Canje optimo'!$B$6:$S$26,10,FALSE)/VLOOKUP($A16,'BG - Canje optimo'!$B$6:$S$26,18,FALSE)</f>
        <v>0</v>
      </c>
      <c r="I16" s="162"/>
      <c r="J16" s="168"/>
      <c r="K16" s="87"/>
    </row>
    <row r="17" spans="1:11" x14ac:dyDescent="0.25">
      <c r="A17" s="70" t="s">
        <v>93</v>
      </c>
      <c r="B17" s="306">
        <f>+AVERAGE(B4:B16)</f>
        <v>54.73325951485181</v>
      </c>
      <c r="C17" s="174"/>
      <c r="J17" s="168"/>
      <c r="K17" s="87"/>
    </row>
    <row r="18" spans="1:11" x14ac:dyDescent="0.25">
      <c r="A18" s="173"/>
      <c r="B18" s="307"/>
      <c r="C18" s="174"/>
      <c r="J18" s="168"/>
      <c r="K18" s="87"/>
    </row>
    <row r="19" spans="1:11" ht="22.5" x14ac:dyDescent="0.25">
      <c r="A19" s="156" t="s">
        <v>51</v>
      </c>
      <c r="B19" s="300" t="s">
        <v>89</v>
      </c>
      <c r="C19" s="156" t="s">
        <v>90</v>
      </c>
      <c r="D19" s="156" t="s">
        <v>7</v>
      </c>
      <c r="E19" s="156" t="s">
        <v>8</v>
      </c>
      <c r="F19" s="156" t="s">
        <v>9</v>
      </c>
      <c r="G19" s="156" t="s">
        <v>10</v>
      </c>
      <c r="H19" s="156" t="s">
        <v>11</v>
      </c>
      <c r="J19" s="158" t="s">
        <v>91</v>
      </c>
      <c r="K19" s="159" t="s">
        <v>92</v>
      </c>
    </row>
    <row r="20" spans="1:11" x14ac:dyDescent="0.25">
      <c r="A20" s="175" t="s">
        <v>71</v>
      </c>
      <c r="B20" s="301">
        <f>+C20*$K$25+D20*$K$20+E20*$K$21+F20*$K$22+G20*$K$23+H20*$K$24</f>
        <v>51.938535456599375</v>
      </c>
      <c r="C20" s="161">
        <f>+VLOOKUP(A20,'Intereses corridos'!$A$5:$G$25,7,FALSE)</f>
        <v>1.9375E-2</v>
      </c>
      <c r="D20" s="161">
        <f>+VLOOKUP($A20,'BG - Canje optimo'!$B$6:$S$26,11,FALSE)/VLOOKUP($A20,'BG - Canje optimo'!$B$6:$S$26,18,FALSE)</f>
        <v>1</v>
      </c>
      <c r="E20" s="161">
        <f>+VLOOKUP($A20,'BG - Canje optimo'!$B$6:$S$26,12,FALSE)/VLOOKUP($A20,'BG - Canje optimo'!$B$6:$S$26,18,FALSE)</f>
        <v>0</v>
      </c>
      <c r="F20" s="161">
        <f>+VLOOKUP($A20,'BG - Canje optimo'!$B$6:$S$26,13,FALSE)/VLOOKUP($A20,'BG - Canje optimo'!$B$6:$S$26,18,FALSE)</f>
        <v>0</v>
      </c>
      <c r="G20" s="161">
        <f>+VLOOKUP($A20,'BG - Canje optimo'!$B$6:$S$26,14,FALSE)/VLOOKUP($A20,'BG - Canje optimo'!$B$6:$S$26,18,FALSE)</f>
        <v>0</v>
      </c>
      <c r="H20" s="161">
        <f>+VLOOKUP($A20,'BG - Canje optimo'!$B$6:$S$26,15,FALSE)/VLOOKUP($A20,'BG - Canje optimo'!$B$6:$S$26,18,FALSE)</f>
        <v>0</v>
      </c>
      <c r="I20" s="162"/>
      <c r="J20" s="163" t="s">
        <v>7</v>
      </c>
      <c r="K20" s="164">
        <f>+HLOOKUP(J20,'BG - Nuevos Bonos 100VN'!$B$6:$M$21,15,FALSE)</f>
        <v>50.904266464631199</v>
      </c>
    </row>
    <row r="21" spans="1:11" x14ac:dyDescent="0.25">
      <c r="A21" s="175" t="s">
        <v>70</v>
      </c>
      <c r="B21" s="302">
        <f t="shared" ref="B21:B27" si="1">+C21*$K$25+D21*$K$20+E21*$K$21+F21*$K$22+G21*$K$23+H21*$K$24</f>
        <v>51.805081393119615</v>
      </c>
      <c r="C21" s="165">
        <f>+VLOOKUP(A21,'Intereses corridos'!$A$5:$G$25,7,FALSE)</f>
        <v>1.6875000000000001E-2</v>
      </c>
      <c r="D21" s="165">
        <f>+VLOOKUP($A21,'BG - Canje optimo'!$B$6:$S$26,11,FALSE)/VLOOKUP($A21,'BG - Canje optimo'!$B$6:$S$26,18,FALSE)</f>
        <v>1</v>
      </c>
      <c r="E21" s="165">
        <f>+VLOOKUP($A21,'BG - Canje optimo'!$B$6:$S$26,12,FALSE)/VLOOKUP($A21,'BG - Canje optimo'!$B$6:$S$26,18,FALSE)</f>
        <v>0</v>
      </c>
      <c r="F21" s="165">
        <f>+VLOOKUP($A21,'BG - Canje optimo'!$B$6:$S$26,13,FALSE)/VLOOKUP($A21,'BG - Canje optimo'!$B$6:$S$26,18,FALSE)</f>
        <v>0</v>
      </c>
      <c r="G21" s="165">
        <f>+VLOOKUP($A21,'BG - Canje optimo'!$B$6:$S$26,14,FALSE)/VLOOKUP($A21,'BG - Canje optimo'!$B$6:$S$26,18,FALSE)</f>
        <v>0</v>
      </c>
      <c r="H21" s="165">
        <f>+VLOOKUP($A21,'BG - Canje optimo'!$B$6:$S$26,15,FALSE)/VLOOKUP($A21,'BG - Canje optimo'!$B$6:$S$26,18,FALSE)</f>
        <v>0</v>
      </c>
      <c r="I21" s="162"/>
      <c r="J21" s="163" t="s">
        <v>8</v>
      </c>
      <c r="K21" s="164">
        <f>+HLOOKUP(J21,'BG - Nuevos Bonos 100VN'!$B$6:$M$21,15,FALSE)</f>
        <v>48.189374920467586</v>
      </c>
    </row>
    <row r="22" spans="1:11" x14ac:dyDescent="0.25">
      <c r="A22" s="175" t="s">
        <v>72</v>
      </c>
      <c r="B22" s="302">
        <f t="shared" si="1"/>
        <v>49.891036502264015</v>
      </c>
      <c r="C22" s="165">
        <f>+VLOOKUP(A22,'Intereses corridos'!$A$5:$G$25,7,FALSE)</f>
        <v>2.5000000000000001E-2</v>
      </c>
      <c r="D22" s="165">
        <f>+VLOOKUP($A22,'BG - Canje optimo'!$B$6:$S$26,11,FALSE)/VLOOKUP($A22,'BG - Canje optimo'!$B$6:$S$26,18,FALSE)</f>
        <v>0.13522490347284793</v>
      </c>
      <c r="E22" s="165">
        <f>+VLOOKUP($A22,'BG - Canje optimo'!$B$6:$S$26,12,FALSE)/VLOOKUP($A22,'BG - Canje optimo'!$B$6:$S$26,18,FALSE)</f>
        <v>0.86477509652715212</v>
      </c>
      <c r="F22" s="165">
        <f>+VLOOKUP($A22,'BG - Canje optimo'!$B$6:$S$26,13,FALSE)/VLOOKUP($A22,'BG - Canje optimo'!$B$6:$S$26,18,FALSE)</f>
        <v>0</v>
      </c>
      <c r="G22" s="165">
        <f>+VLOOKUP($A22,'BG - Canje optimo'!$B$6:$S$26,14,FALSE)/VLOOKUP($A22,'BG - Canje optimo'!$B$6:$S$26,18,FALSE)</f>
        <v>0</v>
      </c>
      <c r="H22" s="165">
        <f>+VLOOKUP($A22,'BG - Canje optimo'!$B$6:$S$26,15,FALSE)/VLOOKUP($A22,'BG - Canje optimo'!$B$6:$S$26,18,FALSE)</f>
        <v>0</v>
      </c>
      <c r="I22" s="162"/>
      <c r="J22" s="163" t="s">
        <v>9</v>
      </c>
      <c r="K22" s="164">
        <f>+HLOOKUP(J22,'BG - Nuevos Bonos 100VN'!$B$6:$M$21,15,FALSE)</f>
        <v>51.821494851259068</v>
      </c>
    </row>
    <row r="23" spans="1:11" x14ac:dyDescent="0.25">
      <c r="A23" s="175" t="s">
        <v>73</v>
      </c>
      <c r="B23" s="302">
        <f t="shared" si="1"/>
        <v>49.957763534003895</v>
      </c>
      <c r="C23" s="165">
        <f>+VLOOKUP(A23,'Intereses corridos'!$A$5:$G$25,7,FALSE)</f>
        <v>2.6249999999999999E-2</v>
      </c>
      <c r="D23" s="165">
        <f>+VLOOKUP($A23,'BG - Canje optimo'!$B$6:$S$26,11,FALSE)/VLOOKUP($A23,'BG - Canje optimo'!$B$6:$S$26,18,FALSE)</f>
        <v>0.13522490347284791</v>
      </c>
      <c r="E23" s="165">
        <f>+VLOOKUP($A23,'BG - Canje optimo'!$B$6:$S$26,12,FALSE)/VLOOKUP($A23,'BG - Canje optimo'!$B$6:$S$26,18,FALSE)</f>
        <v>0.86477509652715212</v>
      </c>
      <c r="F23" s="165">
        <f>+VLOOKUP($A23,'BG - Canje optimo'!$B$6:$S$26,13,FALSE)/VLOOKUP($A23,'BG - Canje optimo'!$B$6:$S$26,18,FALSE)</f>
        <v>0</v>
      </c>
      <c r="G23" s="165">
        <f>+VLOOKUP($A23,'BG - Canje optimo'!$B$6:$S$26,14,FALSE)/VLOOKUP($A23,'BG - Canje optimo'!$B$6:$S$26,18,FALSE)</f>
        <v>0</v>
      </c>
      <c r="H23" s="165">
        <f>+VLOOKUP($A23,'BG - Canje optimo'!$B$6:$S$26,15,FALSE)/VLOOKUP($A23,'BG - Canje optimo'!$B$6:$S$26,18,FALSE)</f>
        <v>0</v>
      </c>
      <c r="I23" s="162"/>
      <c r="J23" s="163" t="s">
        <v>10</v>
      </c>
      <c r="K23" s="164">
        <f>+HLOOKUP(J23,'BG - Nuevos Bonos 100VN'!$B$6:$M$21,15,FALSE)</f>
        <v>48.242321614788835</v>
      </c>
    </row>
    <row r="24" spans="1:11" x14ac:dyDescent="0.25">
      <c r="A24" s="175" t="s">
        <v>74</v>
      </c>
      <c r="B24" s="302">
        <f t="shared" si="1"/>
        <v>49.641782722670762</v>
      </c>
      <c r="C24" s="165">
        <f>+VLOOKUP(A24,'Intereses corridos'!$A$5:$G$25,7,FALSE)</f>
        <v>4.2708333333333334E-2</v>
      </c>
      <c r="D24" s="165">
        <f>+VLOOKUP($A24,'BG - Canje optimo'!$B$6:$S$26,11,FALSE)/VLOOKUP($A24,'BG - Canje optimo'!$B$6:$S$26,18,FALSE)</f>
        <v>0</v>
      </c>
      <c r="E24" s="165">
        <f>+VLOOKUP($A24,'BG - Canje optimo'!$B$6:$S$26,12,FALSE)/VLOOKUP($A24,'BG - Canje optimo'!$B$6:$S$26,18,FALSE)</f>
        <v>0</v>
      </c>
      <c r="F24" s="165">
        <f>+VLOOKUP($A24,'BG - Canje optimo'!$B$6:$S$26,13,FALSE)/VLOOKUP($A24,'BG - Canje optimo'!$B$6:$S$26,18,FALSE)</f>
        <v>0</v>
      </c>
      <c r="G24" s="165">
        <f>+VLOOKUP($A24,'BG - Canje optimo'!$B$6:$S$26,14,FALSE)/VLOOKUP($A24,'BG - Canje optimo'!$B$6:$S$26,18,FALSE)</f>
        <v>0</v>
      </c>
      <c r="H24" s="165">
        <f>+VLOOKUP($A24,'BG - Canje optimo'!$B$6:$S$26,15,FALSE)/VLOOKUP($A24,'BG - Canje optimo'!$B$6:$S$26,18,FALSE)</f>
        <v>1</v>
      </c>
      <c r="I24" s="162"/>
      <c r="J24" s="163" t="s">
        <v>11</v>
      </c>
      <c r="K24" s="164">
        <f>+HLOOKUP(J24,'BG - Nuevos Bonos 100VN'!$B$6:$M$21,15,FALSE)</f>
        <v>47.361942471558109</v>
      </c>
    </row>
    <row r="25" spans="1:11" x14ac:dyDescent="0.25">
      <c r="A25" s="175" t="s">
        <v>75</v>
      </c>
      <c r="B25" s="302">
        <f t="shared" si="1"/>
        <v>52.185238714318125</v>
      </c>
      <c r="C25" s="165">
        <f>+VLOOKUP(A25,'Intereses corridos'!$A$5:$G$25,7,FALSE)*'BG - Canje optimo'!S2/'BG - Canje optimo'!S3</f>
        <v>2.3996501423149907E-2</v>
      </c>
      <c r="D25" s="165">
        <f>+VLOOKUP($A25,'BG - Canje optimo'!$B$6:$S$26,11,FALSE)/VLOOKUP($A25,'BG - Canje optimo'!$B$6:$S$26,18,FALSE)</f>
        <v>1</v>
      </c>
      <c r="E25" s="165">
        <f>+VLOOKUP($A25,'BG - Canje optimo'!$B$6:$S$26,12,FALSE)/VLOOKUP($A25,'BG - Canje optimo'!$B$6:$S$26,18,FALSE)</f>
        <v>0</v>
      </c>
      <c r="F25" s="165">
        <f>+VLOOKUP($A25,'BG - Canje optimo'!$B$6:$S$26,13,FALSE)/VLOOKUP($A25,'BG - Canje optimo'!$B$6:$S$26,18,FALSE)</f>
        <v>0</v>
      </c>
      <c r="G25" s="165">
        <f>+VLOOKUP($A25,'BG - Canje optimo'!$B$6:$S$26,14,FALSE)/VLOOKUP($A25,'BG - Canje optimo'!$B$6:$S$26,18,FALSE)</f>
        <v>0</v>
      </c>
      <c r="H25" s="165">
        <f>+VLOOKUP($A25,'BG - Canje optimo'!$B$6:$S$26,15,FALSE)/VLOOKUP($A25,'BG - Canje optimo'!$B$6:$S$26,18,FALSE)</f>
        <v>0</v>
      </c>
      <c r="I25" s="162"/>
      <c r="J25" s="158" t="s">
        <v>182</v>
      </c>
      <c r="K25" s="176">
        <f>+HLOOKUP(J25,'BG - Nuevos Bonos 100VN'!$B$6:$M$21,15,FALSE)</f>
        <v>53.381625391905992</v>
      </c>
    </row>
    <row r="26" spans="1:11" x14ac:dyDescent="0.25">
      <c r="A26" s="175" t="s">
        <v>76</v>
      </c>
      <c r="B26" s="302">
        <f t="shared" si="1"/>
        <v>54.082651533484551</v>
      </c>
      <c r="C26" s="165">
        <f>+VLOOKUP(A26,'Intereses corridos'!$A$5:$G$25,7,FALSE)</f>
        <v>4.2358333333333338E-2</v>
      </c>
      <c r="D26" s="165">
        <f>+VLOOKUP($A26,'BG - Canje optimo'!$B$6:$S$26,11,FALSE)/VLOOKUP($A26,'BG - Canje optimo'!$B$6:$S$26,18,FALSE)</f>
        <v>0</v>
      </c>
      <c r="E26" s="165">
        <f>+VLOOKUP($A26,'BG - Canje optimo'!$B$6:$S$26,12,FALSE)/VLOOKUP($A26,'BG - Canje optimo'!$B$6:$S$26,18,FALSE)</f>
        <v>0</v>
      </c>
      <c r="F26" s="165">
        <f>+VLOOKUP($A26,'BG - Canje optimo'!$B$6:$S$26,13,FALSE)/VLOOKUP($A26,'BG - Canje optimo'!$B$6:$S$26,18,FALSE)</f>
        <v>1</v>
      </c>
      <c r="G26" s="165">
        <f>+VLOOKUP($A26,'BG - Canje optimo'!$B$6:$S$26,14,FALSE)/VLOOKUP($A26,'BG - Canje optimo'!$B$6:$S$26,18,FALSE)</f>
        <v>0</v>
      </c>
      <c r="H26" s="165">
        <f>+VLOOKUP($A26,'BG - Canje optimo'!$B$6:$S$26,15,FALSE)/VLOOKUP($A26,'BG - Canje optimo'!$B$6:$S$26,18,FALSE)</f>
        <v>0</v>
      </c>
      <c r="I26" s="162"/>
    </row>
    <row r="27" spans="1:11" x14ac:dyDescent="0.25">
      <c r="A27" s="177" t="s">
        <v>78</v>
      </c>
      <c r="B27" s="303">
        <f t="shared" si="1"/>
        <v>48.768575471777375</v>
      </c>
      <c r="C27" s="172">
        <f>+VLOOKUP(A27,'Intereses corridos'!$A$5:$G$25,7,FALSE)</f>
        <v>9.8583333333333318E-3</v>
      </c>
      <c r="D27" s="172">
        <f>+VLOOKUP($A27,'BG - Canje optimo'!$B$6:$S$26,11,FALSE)/VLOOKUP($A27,'BG - Canje optimo'!$B$6:$S$26,18,FALSE)</f>
        <v>0</v>
      </c>
      <c r="E27" s="172">
        <f>+VLOOKUP($A27,'BG - Canje optimo'!$B$6:$S$26,12,FALSE)/VLOOKUP($A27,'BG - Canje optimo'!$B$6:$S$26,18,FALSE)</f>
        <v>0</v>
      </c>
      <c r="F27" s="172">
        <f>+VLOOKUP($A27,'BG - Canje optimo'!$B$6:$S$26,13,FALSE)/VLOOKUP($A27,'BG - Canje optimo'!$B$6:$S$26,18,FALSE)</f>
        <v>0</v>
      </c>
      <c r="G27" s="172">
        <f>+VLOOKUP($A27,'BG - Canje optimo'!$B$6:$S$26,14,FALSE)/VLOOKUP($A27,'BG - Canje optimo'!$B$6:$S$26,18,FALSE)</f>
        <v>1</v>
      </c>
      <c r="H27" s="172">
        <f>+VLOOKUP($A27,'BG - Canje optimo'!$B$6:$S$26,15,FALSE)/VLOOKUP($A27,'BG - Canje optimo'!$B$6:$S$26,18,FALSE)</f>
        <v>0</v>
      </c>
      <c r="I27" s="162"/>
    </row>
    <row r="28" spans="1:11" x14ac:dyDescent="0.25">
      <c r="A28" s="70" t="s">
        <v>93</v>
      </c>
      <c r="B28" s="306">
        <f>+AVERAGE(B20:B27)</f>
        <v>51.033833166029709</v>
      </c>
      <c r="C28" s="174"/>
    </row>
  </sheetData>
  <conditionalFormatting sqref="A4:A1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0:A2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AFAC3-412F-4EFB-ADFA-0A4B29EA913B}">
  <sheetPr>
    <tabColor theme="4" tint="-0.499984740745262"/>
  </sheetPr>
  <dimension ref="A1:CH1216"/>
  <sheetViews>
    <sheetView showGridLines="0" zoomScaleNormal="100" workbookViewId="0"/>
  </sheetViews>
  <sheetFormatPr baseColWidth="10" defaultColWidth="11.42578125" defaultRowHeight="11.25" x14ac:dyDescent="0.15"/>
  <cols>
    <col min="1" max="1" width="13" style="389" bestFit="1" customWidth="1"/>
    <col min="2" max="7" width="11.42578125" style="390"/>
    <col min="8" max="14" width="11.42578125" style="355" customWidth="1"/>
    <col min="15" max="15" width="12.85546875" style="389" bestFit="1" customWidth="1"/>
    <col min="16" max="23" width="11.42578125" style="390"/>
    <col min="24" max="32" width="11.42578125" style="355"/>
    <col min="33" max="33" width="12.85546875" style="390" bestFit="1" customWidth="1"/>
    <col min="34" max="39" width="11.42578125" style="390"/>
    <col min="40" max="46" width="11.42578125" style="355"/>
    <col min="47" max="47" width="13.85546875" style="390" bestFit="1" customWidth="1"/>
    <col min="48" max="61" width="11.5703125" style="390" bestFit="1" customWidth="1"/>
    <col min="62" max="71" width="11.42578125" style="355"/>
    <col min="72" max="72" width="13.85546875" style="390" bestFit="1" customWidth="1"/>
    <col min="73" max="73" width="12.28515625" style="390" customWidth="1"/>
    <col min="74" max="75" width="11.42578125" style="390"/>
    <col min="76" max="86" width="11.42578125" style="355"/>
    <col min="87" max="16384" width="11.42578125" style="390"/>
  </cols>
  <sheetData>
    <row r="1" spans="1:75" s="355" customFormat="1" ht="15" x14ac:dyDescent="0.15">
      <c r="A1" s="354" t="s">
        <v>196</v>
      </c>
      <c r="O1" s="356"/>
    </row>
    <row r="2" spans="1:75" s="355" customFormat="1" x14ac:dyDescent="0.15">
      <c r="A2" s="357" t="s">
        <v>197</v>
      </c>
      <c r="O2" s="356"/>
    </row>
    <row r="3" spans="1:75" s="355" customFormat="1" x14ac:dyDescent="0.15">
      <c r="A3" s="356"/>
      <c r="O3" s="356"/>
    </row>
    <row r="4" spans="1:75" ht="15" customHeight="1" x14ac:dyDescent="0.15">
      <c r="A4" s="493" t="s">
        <v>198</v>
      </c>
      <c r="B4" s="496" t="s">
        <v>199</v>
      </c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8"/>
      <c r="O4" s="505" t="s">
        <v>198</v>
      </c>
      <c r="P4" s="506" t="s">
        <v>200</v>
      </c>
      <c r="Q4" s="507"/>
      <c r="R4" s="507"/>
      <c r="S4" s="507"/>
      <c r="T4" s="507"/>
      <c r="U4" s="507"/>
      <c r="V4" s="507"/>
      <c r="W4" s="507"/>
      <c r="X4" s="507"/>
      <c r="Y4" s="507"/>
      <c r="Z4" s="507"/>
      <c r="AA4" s="507"/>
      <c r="AB4" s="507"/>
      <c r="AC4" s="507"/>
      <c r="AD4" s="507"/>
      <c r="AE4" s="508"/>
      <c r="AG4" s="493" t="s">
        <v>198</v>
      </c>
      <c r="AH4" s="496" t="s">
        <v>201</v>
      </c>
      <c r="AI4" s="497"/>
      <c r="AJ4" s="497"/>
      <c r="AK4" s="497"/>
      <c r="AL4" s="497"/>
      <c r="AM4" s="497"/>
      <c r="AN4" s="497"/>
      <c r="AO4" s="497"/>
      <c r="AP4" s="497"/>
      <c r="AQ4" s="497"/>
      <c r="AR4" s="497"/>
      <c r="AS4" s="498"/>
      <c r="AU4" s="493" t="s">
        <v>198</v>
      </c>
      <c r="AV4" s="514" t="s">
        <v>202</v>
      </c>
      <c r="AW4" s="515"/>
      <c r="AX4" s="515"/>
      <c r="AY4" s="515"/>
      <c r="AZ4" s="515"/>
      <c r="BA4" s="515"/>
      <c r="BB4" s="515"/>
      <c r="BC4" s="515"/>
      <c r="BD4" s="515"/>
      <c r="BE4" s="515"/>
      <c r="BF4" s="515"/>
      <c r="BG4" s="515"/>
      <c r="BH4" s="515"/>
      <c r="BI4" s="515"/>
      <c r="BJ4" s="515"/>
      <c r="BK4" s="515"/>
      <c r="BL4" s="515"/>
      <c r="BM4" s="515"/>
      <c r="BN4" s="515"/>
      <c r="BO4" s="515"/>
      <c r="BP4" s="515"/>
      <c r="BQ4" s="515"/>
      <c r="BR4" s="516"/>
      <c r="BT4" s="493" t="s">
        <v>198</v>
      </c>
      <c r="BU4" s="517" t="s">
        <v>203</v>
      </c>
      <c r="BV4" s="517"/>
      <c r="BW4" s="518"/>
    </row>
    <row r="5" spans="1:75" ht="22.5" customHeight="1" x14ac:dyDescent="0.15">
      <c r="A5" s="494"/>
      <c r="B5" s="509" t="s">
        <v>204</v>
      </c>
      <c r="C5" s="509"/>
      <c r="D5" s="509"/>
      <c r="E5" s="509"/>
      <c r="F5" s="509"/>
      <c r="G5" s="510" t="s">
        <v>205</v>
      </c>
      <c r="H5" s="509" t="s">
        <v>206</v>
      </c>
      <c r="I5" s="509"/>
      <c r="J5" s="509"/>
      <c r="K5" s="509"/>
      <c r="L5" s="509"/>
      <c r="M5" s="510" t="s">
        <v>207</v>
      </c>
      <c r="O5" s="494"/>
      <c r="P5" s="499" t="s">
        <v>204</v>
      </c>
      <c r="Q5" s="500"/>
      <c r="R5" s="500"/>
      <c r="S5" s="500"/>
      <c r="T5" s="500"/>
      <c r="U5" s="500"/>
      <c r="V5" s="501"/>
      <c r="W5" s="502" t="s">
        <v>205</v>
      </c>
      <c r="X5" s="499" t="s">
        <v>206</v>
      </c>
      <c r="Y5" s="500"/>
      <c r="Z5" s="500"/>
      <c r="AA5" s="500"/>
      <c r="AB5" s="500"/>
      <c r="AC5" s="500"/>
      <c r="AD5" s="501"/>
      <c r="AE5" s="502" t="s">
        <v>207</v>
      </c>
      <c r="AG5" s="494"/>
      <c r="AH5" s="500" t="s">
        <v>204</v>
      </c>
      <c r="AI5" s="500"/>
      <c r="AJ5" s="500"/>
      <c r="AK5" s="500"/>
      <c r="AL5" s="500"/>
      <c r="AM5" s="504" t="s">
        <v>205</v>
      </c>
      <c r="AN5" s="500" t="s">
        <v>206</v>
      </c>
      <c r="AO5" s="500"/>
      <c r="AP5" s="500"/>
      <c r="AQ5" s="500"/>
      <c r="AR5" s="500"/>
      <c r="AS5" s="504" t="s">
        <v>207</v>
      </c>
      <c r="AU5" s="494"/>
      <c r="AV5" s="513" t="s">
        <v>204</v>
      </c>
      <c r="AW5" s="511"/>
      <c r="AX5" s="511"/>
      <c r="AY5" s="511"/>
      <c r="AZ5" s="511"/>
      <c r="BA5" s="511"/>
      <c r="BB5" s="511"/>
      <c r="BC5" s="511"/>
      <c r="BD5" s="511"/>
      <c r="BE5" s="511"/>
      <c r="BF5" s="511"/>
      <c r="BG5" s="511"/>
      <c r="BH5" s="512"/>
      <c r="BI5" s="510" t="s">
        <v>205</v>
      </c>
      <c r="BJ5" s="513" t="s">
        <v>206</v>
      </c>
      <c r="BK5" s="511"/>
      <c r="BL5" s="511"/>
      <c r="BM5" s="511"/>
      <c r="BN5" s="511"/>
      <c r="BO5" s="511"/>
      <c r="BP5" s="511"/>
      <c r="BQ5" s="511"/>
      <c r="BR5" s="510" t="s">
        <v>207</v>
      </c>
      <c r="BT5" s="494"/>
      <c r="BU5" s="511" t="s">
        <v>204</v>
      </c>
      <c r="BV5" s="511"/>
      <c r="BW5" s="512"/>
    </row>
    <row r="6" spans="1:75" x14ac:dyDescent="0.15">
      <c r="A6" s="495"/>
      <c r="B6" s="358">
        <v>2030</v>
      </c>
      <c r="C6" s="358">
        <v>2035</v>
      </c>
      <c r="D6" s="358">
        <v>2038</v>
      </c>
      <c r="E6" s="358">
        <v>2041</v>
      </c>
      <c r="F6" s="358">
        <v>2046</v>
      </c>
      <c r="G6" s="503"/>
      <c r="H6" s="359">
        <v>2030</v>
      </c>
      <c r="I6" s="360">
        <v>2035</v>
      </c>
      <c r="J6" s="360">
        <v>2038</v>
      </c>
      <c r="K6" s="360">
        <v>2041</v>
      </c>
      <c r="L6" s="361">
        <v>2046</v>
      </c>
      <c r="M6" s="503"/>
      <c r="O6" s="495"/>
      <c r="P6" s="359">
        <v>2027</v>
      </c>
      <c r="Q6" s="360">
        <v>2030</v>
      </c>
      <c r="R6" s="360">
        <v>2033</v>
      </c>
      <c r="S6" s="360">
        <v>2036</v>
      </c>
      <c r="T6" s="360">
        <v>2037</v>
      </c>
      <c r="U6" s="360">
        <v>2042</v>
      </c>
      <c r="V6" s="361">
        <v>2045</v>
      </c>
      <c r="W6" s="503"/>
      <c r="X6" s="359">
        <v>2027</v>
      </c>
      <c r="Y6" s="360">
        <v>2030</v>
      </c>
      <c r="Z6" s="360">
        <v>2033</v>
      </c>
      <c r="AA6" s="360">
        <v>2036</v>
      </c>
      <c r="AB6" s="360">
        <v>2037</v>
      </c>
      <c r="AC6" s="360">
        <v>2042</v>
      </c>
      <c r="AD6" s="361">
        <v>2045</v>
      </c>
      <c r="AE6" s="503"/>
      <c r="AG6" s="495"/>
      <c r="AH6" s="359">
        <v>2030</v>
      </c>
      <c r="AI6" s="360">
        <v>2035</v>
      </c>
      <c r="AJ6" s="360">
        <v>2038</v>
      </c>
      <c r="AK6" s="360">
        <v>2041</v>
      </c>
      <c r="AL6" s="360">
        <v>2046</v>
      </c>
      <c r="AM6" s="503"/>
      <c r="AN6" s="359">
        <v>2030</v>
      </c>
      <c r="AO6" s="360">
        <v>2035</v>
      </c>
      <c r="AP6" s="360">
        <v>2038</v>
      </c>
      <c r="AQ6" s="360">
        <v>2041</v>
      </c>
      <c r="AR6" s="360">
        <v>2046</v>
      </c>
      <c r="AS6" s="503"/>
      <c r="AU6" s="494"/>
      <c r="AV6" s="362">
        <v>2021</v>
      </c>
      <c r="AW6" s="363">
        <v>2022</v>
      </c>
      <c r="AX6" s="363">
        <v>2023</v>
      </c>
      <c r="AY6" s="363">
        <v>2026</v>
      </c>
      <c r="AZ6" s="363">
        <v>2027</v>
      </c>
      <c r="BA6" s="363">
        <v>2028</v>
      </c>
      <c r="BB6" s="363">
        <v>2028</v>
      </c>
      <c r="BC6" s="363">
        <v>2036</v>
      </c>
      <c r="BD6" s="363">
        <v>2046</v>
      </c>
      <c r="BE6" s="363">
        <v>2048</v>
      </c>
      <c r="BF6" s="363">
        <v>2117</v>
      </c>
      <c r="BG6" s="363" t="s">
        <v>208</v>
      </c>
      <c r="BH6" s="364" t="s">
        <v>209</v>
      </c>
      <c r="BI6" s="504"/>
      <c r="BJ6" s="365">
        <v>2020</v>
      </c>
      <c r="BK6" s="365">
        <v>2022</v>
      </c>
      <c r="BL6" s="365">
        <v>2023</v>
      </c>
      <c r="BM6" s="365">
        <v>2027</v>
      </c>
      <c r="BN6" s="365">
        <v>2028</v>
      </c>
      <c r="BO6" s="365">
        <v>2047</v>
      </c>
      <c r="BP6" s="365" t="s">
        <v>208</v>
      </c>
      <c r="BQ6" s="365" t="s">
        <v>209</v>
      </c>
      <c r="BR6" s="504"/>
      <c r="BT6" s="495"/>
      <c r="BU6" s="366" t="s">
        <v>199</v>
      </c>
      <c r="BV6" s="365" t="s">
        <v>200</v>
      </c>
      <c r="BW6" s="365" t="s">
        <v>201</v>
      </c>
    </row>
    <row r="7" spans="1:75" x14ac:dyDescent="0.15">
      <c r="A7" s="367">
        <v>43966</v>
      </c>
      <c r="B7" s="368">
        <v>0</v>
      </c>
      <c r="C7" s="368">
        <v>0</v>
      </c>
      <c r="D7" s="368">
        <v>0</v>
      </c>
      <c r="E7" s="368">
        <v>0</v>
      </c>
      <c r="F7" s="369">
        <v>0</v>
      </c>
      <c r="G7" s="370">
        <f t="shared" ref="G7:G60" si="0">+AVERAGE(B7:F7)</f>
        <v>0</v>
      </c>
      <c r="H7" s="368">
        <v>0</v>
      </c>
      <c r="I7" s="368">
        <v>0</v>
      </c>
      <c r="J7" s="368">
        <v>0</v>
      </c>
      <c r="K7" s="368">
        <v>0</v>
      </c>
      <c r="L7" s="369">
        <v>0</v>
      </c>
      <c r="M7" s="370">
        <f t="shared" ref="M7:M60" si="1">+AVERAGE(H7:L7)</f>
        <v>0</v>
      </c>
      <c r="O7" s="371">
        <v>44027</v>
      </c>
      <c r="P7" s="372">
        <v>0</v>
      </c>
      <c r="Q7" s="368">
        <v>0</v>
      </c>
      <c r="R7" s="368">
        <v>0</v>
      </c>
      <c r="S7" s="368">
        <v>0</v>
      </c>
      <c r="T7" s="368">
        <v>0</v>
      </c>
      <c r="U7" s="368">
        <v>0</v>
      </c>
      <c r="V7" s="369">
        <v>0</v>
      </c>
      <c r="W7" s="373">
        <f t="shared" ref="W7:W57" si="2">+AVERAGE(P7:V7)</f>
        <v>0</v>
      </c>
      <c r="X7" s="372">
        <v>0</v>
      </c>
      <c r="Y7" s="368">
        <v>0</v>
      </c>
      <c r="Z7" s="368">
        <v>0</v>
      </c>
      <c r="AA7" s="368">
        <v>0</v>
      </c>
      <c r="AB7" s="368">
        <v>0</v>
      </c>
      <c r="AC7" s="368">
        <v>0</v>
      </c>
      <c r="AD7" s="369">
        <v>0</v>
      </c>
      <c r="AE7" s="373">
        <f t="shared" ref="AE7:AE57" si="3">+AVERAGE(X7:AD7)</f>
        <v>0</v>
      </c>
      <c r="AG7" s="371">
        <v>44027</v>
      </c>
      <c r="AH7" s="372">
        <v>0</v>
      </c>
      <c r="AI7" s="368">
        <v>0</v>
      </c>
      <c r="AJ7" s="368">
        <v>0</v>
      </c>
      <c r="AK7" s="368">
        <v>0</v>
      </c>
      <c r="AL7" s="369">
        <v>0</v>
      </c>
      <c r="AM7" s="373">
        <f t="shared" ref="AM7:AM59" si="4">+AVERAGE(AH7:AL7)</f>
        <v>0</v>
      </c>
      <c r="AN7" s="372">
        <v>0</v>
      </c>
      <c r="AO7" s="368">
        <v>0</v>
      </c>
      <c r="AP7" s="368">
        <v>0</v>
      </c>
      <c r="AQ7" s="368">
        <v>0</v>
      </c>
      <c r="AR7" s="369">
        <v>0</v>
      </c>
      <c r="AS7" s="373">
        <f t="shared" ref="AS7:AS59" si="5">+AVERAGE(AN7:AR7)</f>
        <v>0</v>
      </c>
      <c r="AU7" s="374">
        <v>43966</v>
      </c>
      <c r="AV7" s="375">
        <v>6.8750000000000006E-2</v>
      </c>
      <c r="AW7" s="375">
        <v>5.6250000000000001E-2</v>
      </c>
      <c r="AX7" s="375">
        <v>4.6249999999999999E-2</v>
      </c>
      <c r="AY7" s="375">
        <v>7.4999999999999997E-2</v>
      </c>
      <c r="AZ7" s="375">
        <v>6.8750000000000006E-2</v>
      </c>
      <c r="BA7" s="375">
        <v>5.8749999999999997E-2</v>
      </c>
      <c r="BB7" s="375">
        <v>6.6250000000000003E-2</v>
      </c>
      <c r="BC7" s="375">
        <v>7.1249999999999994E-2</v>
      </c>
      <c r="BD7" s="375">
        <v>7.6249999999999998E-2</v>
      </c>
      <c r="BE7" s="375">
        <v>6.8750000000000006E-2</v>
      </c>
      <c r="BF7" s="375">
        <v>7.1249999999999994E-2</v>
      </c>
      <c r="BG7" s="375">
        <v>3.7499999999999999E-2</v>
      </c>
      <c r="BH7" s="375">
        <v>8.2799999999999999E-2</v>
      </c>
      <c r="BI7" s="370">
        <f t="shared" ref="BI7:BI70" si="6">+AVERAGE(AV7:BH7)</f>
        <v>6.521538461538462E-2</v>
      </c>
      <c r="BJ7" s="372">
        <v>3.3750000000000002E-2</v>
      </c>
      <c r="BK7" s="368">
        <v>3.875E-2</v>
      </c>
      <c r="BL7" s="368">
        <v>3.3750000000000002E-2</v>
      </c>
      <c r="BM7" s="368">
        <v>0.05</v>
      </c>
      <c r="BN7" s="368">
        <v>5.2499999999999998E-2</v>
      </c>
      <c r="BO7" s="368">
        <v>6.25E-2</v>
      </c>
      <c r="BP7" s="368">
        <v>3.3750000000000002E-2</v>
      </c>
      <c r="BQ7" s="369">
        <v>7.8200000000000006E-2</v>
      </c>
      <c r="BR7" s="376">
        <f t="shared" ref="BR7:BR70" si="7">+AVERAGE(BJ7:BQ7)</f>
        <v>4.7899999999999998E-2</v>
      </c>
      <c r="BT7" s="367">
        <v>43966</v>
      </c>
      <c r="BU7" s="368">
        <v>0</v>
      </c>
      <c r="BV7" s="368">
        <v>0</v>
      </c>
      <c r="BW7" s="369">
        <v>0</v>
      </c>
    </row>
    <row r="8" spans="1:75" x14ac:dyDescent="0.15">
      <c r="A8" s="367">
        <v>44150</v>
      </c>
      <c r="B8" s="375">
        <v>0</v>
      </c>
      <c r="C8" s="375">
        <v>0</v>
      </c>
      <c r="D8" s="375">
        <v>0</v>
      </c>
      <c r="E8" s="375">
        <v>0</v>
      </c>
      <c r="F8" s="377">
        <v>0</v>
      </c>
      <c r="G8" s="373">
        <f t="shared" si="0"/>
        <v>0</v>
      </c>
      <c r="H8" s="375">
        <v>0</v>
      </c>
      <c r="I8" s="375">
        <v>0</v>
      </c>
      <c r="J8" s="375">
        <v>0</v>
      </c>
      <c r="K8" s="375">
        <v>0</v>
      </c>
      <c r="L8" s="377">
        <v>0</v>
      </c>
      <c r="M8" s="373">
        <f t="shared" si="1"/>
        <v>0</v>
      </c>
      <c r="O8" s="371">
        <v>44211</v>
      </c>
      <c r="P8" s="378">
        <v>7.4999999999999997E-3</v>
      </c>
      <c r="Q8" s="375">
        <v>7.4999999999999997E-3</v>
      </c>
      <c r="R8" s="375">
        <v>7.4999999999999997E-3</v>
      </c>
      <c r="S8" s="375">
        <v>7.4999999999999997E-3</v>
      </c>
      <c r="T8" s="375">
        <v>5.0000000000000001E-3</v>
      </c>
      <c r="U8" s="375">
        <v>1.25E-3</v>
      </c>
      <c r="V8" s="377">
        <v>7.4999999999999997E-3</v>
      </c>
      <c r="W8" s="373">
        <f t="shared" si="2"/>
        <v>6.2499999999999995E-3</v>
      </c>
      <c r="X8" s="378">
        <v>1.25E-3</v>
      </c>
      <c r="Y8" s="375">
        <v>2.5000000000000001E-3</v>
      </c>
      <c r="Z8" s="375">
        <v>2.5000000000000001E-3</v>
      </c>
      <c r="AA8" s="375">
        <v>2.5000000000000001E-3</v>
      </c>
      <c r="AB8" s="375">
        <v>4.0000000000000001E-3</v>
      </c>
      <c r="AC8" s="375">
        <v>1.25E-3</v>
      </c>
      <c r="AD8" s="377">
        <v>2.5000000000000001E-3</v>
      </c>
      <c r="AE8" s="373">
        <f t="shared" si="3"/>
        <v>2.3571428571428571E-3</v>
      </c>
      <c r="AG8" s="371">
        <v>44211</v>
      </c>
      <c r="AH8" s="378">
        <v>1.25E-3</v>
      </c>
      <c r="AI8" s="375">
        <v>1.25E-3</v>
      </c>
      <c r="AJ8" s="375">
        <v>1.25E-3</v>
      </c>
      <c r="AK8" s="375">
        <v>1.25E-3</v>
      </c>
      <c r="AL8" s="377">
        <v>1.25E-3</v>
      </c>
      <c r="AM8" s="373">
        <f t="shared" si="4"/>
        <v>1.25E-3</v>
      </c>
      <c r="AN8" s="378">
        <v>1.25E-3</v>
      </c>
      <c r="AO8" s="375">
        <v>1.25E-3</v>
      </c>
      <c r="AP8" s="375">
        <v>1.25E-3</v>
      </c>
      <c r="AQ8" s="375">
        <v>1.25E-3</v>
      </c>
      <c r="AR8" s="377">
        <v>1.25E-3</v>
      </c>
      <c r="AS8" s="373">
        <f t="shared" si="5"/>
        <v>1.25E-3</v>
      </c>
      <c r="AU8" s="379">
        <v>43997</v>
      </c>
      <c r="AV8" s="375">
        <v>6.8750000000000006E-2</v>
      </c>
      <c r="AW8" s="375">
        <v>5.6250000000000001E-2</v>
      </c>
      <c r="AX8" s="375">
        <v>4.6249999999999999E-2</v>
      </c>
      <c r="AY8" s="375">
        <v>7.4999999999999997E-2</v>
      </c>
      <c r="AZ8" s="375">
        <v>6.8750000000000006E-2</v>
      </c>
      <c r="BA8" s="375">
        <v>5.8749999999999997E-2</v>
      </c>
      <c r="BB8" s="375">
        <v>6.6250000000000003E-2</v>
      </c>
      <c r="BC8" s="375">
        <v>7.1249999999999994E-2</v>
      </c>
      <c r="BD8" s="375">
        <v>7.6249999999999998E-2</v>
      </c>
      <c r="BE8" s="375">
        <v>6.8750000000000006E-2</v>
      </c>
      <c r="BF8" s="375">
        <v>7.1249999999999994E-2</v>
      </c>
      <c r="BG8" s="375">
        <v>3.7499999999999999E-2</v>
      </c>
      <c r="BH8" s="375">
        <v>8.2799999999999999E-2</v>
      </c>
      <c r="BI8" s="373">
        <f t="shared" si="6"/>
        <v>6.521538461538462E-2</v>
      </c>
      <c r="BJ8" s="378">
        <v>3.3750000000000002E-2</v>
      </c>
      <c r="BK8" s="375">
        <v>3.875E-2</v>
      </c>
      <c r="BL8" s="375">
        <v>3.3750000000000002E-2</v>
      </c>
      <c r="BM8" s="375">
        <v>0.05</v>
      </c>
      <c r="BN8" s="375">
        <v>5.2499999999999998E-2</v>
      </c>
      <c r="BO8" s="375">
        <v>6.25E-2</v>
      </c>
      <c r="BP8" s="375">
        <v>3.3750000000000002E-2</v>
      </c>
      <c r="BQ8" s="377">
        <v>7.8200000000000006E-2</v>
      </c>
      <c r="BR8" s="380">
        <f t="shared" si="7"/>
        <v>4.7899999999999998E-2</v>
      </c>
      <c r="BT8" s="367">
        <v>43997</v>
      </c>
      <c r="BU8" s="375">
        <f t="shared" ref="BU8:BU71" si="8">+IFERROR(VLOOKUP($BT8,$A$8:$G$62,7,FALSE),BU7)</f>
        <v>0</v>
      </c>
      <c r="BV8" s="375">
        <f t="shared" ref="BV8:BV71" si="9">+IFERROR(VLOOKUP($BT8,$O$7:$W$62,9,FALSE),BV7)</f>
        <v>0</v>
      </c>
      <c r="BW8" s="377">
        <f t="shared" ref="BW8:BW71" si="10">+IFERROR(VLOOKUP($BT8,$AG$7:$AM$62,7,FALSE),BW7)</f>
        <v>0</v>
      </c>
    </row>
    <row r="9" spans="1:75" x14ac:dyDescent="0.15">
      <c r="A9" s="367">
        <v>44331</v>
      </c>
      <c r="B9" s="375">
        <v>1.25E-3</v>
      </c>
      <c r="C9" s="375">
        <v>1.25E-3</v>
      </c>
      <c r="D9" s="375">
        <v>1.25E-3</v>
      </c>
      <c r="E9" s="375">
        <v>1.25E-3</v>
      </c>
      <c r="F9" s="377">
        <v>1.25E-3</v>
      </c>
      <c r="G9" s="373">
        <f t="shared" si="0"/>
        <v>1.25E-3</v>
      </c>
      <c r="H9" s="375">
        <v>1.25E-3</v>
      </c>
      <c r="I9" s="375">
        <v>1.25E-3</v>
      </c>
      <c r="J9" s="375">
        <v>1.25E-3</v>
      </c>
      <c r="K9" s="375">
        <v>1.25E-3</v>
      </c>
      <c r="L9" s="377">
        <v>1.25E-3</v>
      </c>
      <c r="M9" s="373">
        <f t="shared" si="1"/>
        <v>1.25E-3</v>
      </c>
      <c r="O9" s="371">
        <v>44392</v>
      </c>
      <c r="P9" s="378">
        <v>7.4999999999999997E-3</v>
      </c>
      <c r="Q9" s="375">
        <v>7.4999999999999997E-3</v>
      </c>
      <c r="R9" s="375">
        <v>7.4999999999999997E-3</v>
      </c>
      <c r="S9" s="375">
        <v>7.4999999999999997E-3</v>
      </c>
      <c r="T9" s="375">
        <v>5.0000000000000001E-3</v>
      </c>
      <c r="U9" s="375">
        <v>1.25E-3</v>
      </c>
      <c r="V9" s="377">
        <v>7.4999999999999997E-3</v>
      </c>
      <c r="W9" s="373">
        <f t="shared" si="2"/>
        <v>6.2499999999999995E-3</v>
      </c>
      <c r="X9" s="378">
        <v>1.25E-3</v>
      </c>
      <c r="Y9" s="375">
        <v>2.5000000000000001E-3</v>
      </c>
      <c r="Z9" s="375">
        <v>2.5000000000000001E-3</v>
      </c>
      <c r="AA9" s="375">
        <v>2.5000000000000001E-3</v>
      </c>
      <c r="AB9" s="375">
        <v>4.0000000000000001E-3</v>
      </c>
      <c r="AC9" s="375">
        <v>1.25E-3</v>
      </c>
      <c r="AD9" s="377">
        <v>2.5000000000000001E-3</v>
      </c>
      <c r="AE9" s="373">
        <f t="shared" si="3"/>
        <v>2.3571428571428571E-3</v>
      </c>
      <c r="AG9" s="371">
        <v>44392</v>
      </c>
      <c r="AH9" s="378">
        <v>1.25E-3</v>
      </c>
      <c r="AI9" s="375">
        <v>1.25E-3</v>
      </c>
      <c r="AJ9" s="375">
        <v>1.25E-3</v>
      </c>
      <c r="AK9" s="375">
        <v>1.25E-3</v>
      </c>
      <c r="AL9" s="377">
        <v>1.25E-3</v>
      </c>
      <c r="AM9" s="373">
        <f t="shared" si="4"/>
        <v>1.25E-3</v>
      </c>
      <c r="AN9" s="378">
        <v>1.25E-3</v>
      </c>
      <c r="AO9" s="375">
        <v>1.25E-3</v>
      </c>
      <c r="AP9" s="375">
        <v>1.25E-3</v>
      </c>
      <c r="AQ9" s="375">
        <v>1.25E-3</v>
      </c>
      <c r="AR9" s="377">
        <v>1.25E-3</v>
      </c>
      <c r="AS9" s="373">
        <f t="shared" si="5"/>
        <v>1.25E-3</v>
      </c>
      <c r="AU9" s="379">
        <v>44027</v>
      </c>
      <c r="AV9" s="375">
        <v>6.8750000000000006E-2</v>
      </c>
      <c r="AW9" s="375">
        <v>5.6250000000000001E-2</v>
      </c>
      <c r="AX9" s="375">
        <v>4.6249999999999999E-2</v>
      </c>
      <c r="AY9" s="375">
        <v>7.4999999999999997E-2</v>
      </c>
      <c r="AZ9" s="375">
        <v>6.8750000000000006E-2</v>
      </c>
      <c r="BA9" s="375">
        <v>5.8749999999999997E-2</v>
      </c>
      <c r="BB9" s="375">
        <v>6.6250000000000003E-2</v>
      </c>
      <c r="BC9" s="375">
        <v>7.1249999999999994E-2</v>
      </c>
      <c r="BD9" s="375">
        <v>7.6249999999999998E-2</v>
      </c>
      <c r="BE9" s="375">
        <v>6.8750000000000006E-2</v>
      </c>
      <c r="BF9" s="375">
        <v>7.1249999999999994E-2</v>
      </c>
      <c r="BG9" s="375">
        <v>3.7499999999999999E-2</v>
      </c>
      <c r="BH9" s="375">
        <v>8.2799999999999999E-2</v>
      </c>
      <c r="BI9" s="373">
        <f t="shared" si="6"/>
        <v>6.521538461538462E-2</v>
      </c>
      <c r="BJ9" s="378">
        <v>3.3750000000000002E-2</v>
      </c>
      <c r="BK9" s="375">
        <v>3.875E-2</v>
      </c>
      <c r="BL9" s="375">
        <v>3.3750000000000002E-2</v>
      </c>
      <c r="BM9" s="375">
        <v>0.05</v>
      </c>
      <c r="BN9" s="375">
        <v>5.2499999999999998E-2</v>
      </c>
      <c r="BO9" s="375">
        <v>6.25E-2</v>
      </c>
      <c r="BP9" s="375">
        <v>3.3750000000000002E-2</v>
      </c>
      <c r="BQ9" s="377">
        <v>7.8200000000000006E-2</v>
      </c>
      <c r="BR9" s="380">
        <f t="shared" si="7"/>
        <v>4.7899999999999998E-2</v>
      </c>
      <c r="BT9" s="367">
        <v>44027</v>
      </c>
      <c r="BU9" s="375">
        <f t="shared" si="8"/>
        <v>0</v>
      </c>
      <c r="BV9" s="375">
        <f t="shared" si="9"/>
        <v>0</v>
      </c>
      <c r="BW9" s="377">
        <f t="shared" si="10"/>
        <v>0</v>
      </c>
    </row>
    <row r="10" spans="1:75" x14ac:dyDescent="0.15">
      <c r="A10" s="367">
        <v>44515</v>
      </c>
      <c r="B10" s="375">
        <v>1.25E-3</v>
      </c>
      <c r="C10" s="375">
        <v>1.25E-3</v>
      </c>
      <c r="D10" s="375">
        <v>1.25E-3</v>
      </c>
      <c r="E10" s="375">
        <v>1.25E-3</v>
      </c>
      <c r="F10" s="377">
        <v>1.25E-3</v>
      </c>
      <c r="G10" s="373">
        <f t="shared" si="0"/>
        <v>1.25E-3</v>
      </c>
      <c r="H10" s="375">
        <v>1.25E-3</v>
      </c>
      <c r="I10" s="375">
        <v>1.25E-3</v>
      </c>
      <c r="J10" s="375">
        <v>1.25E-3</v>
      </c>
      <c r="K10" s="375">
        <v>1.25E-3</v>
      </c>
      <c r="L10" s="377">
        <v>1.25E-3</v>
      </c>
      <c r="M10" s="373">
        <f t="shared" si="1"/>
        <v>1.25E-3</v>
      </c>
      <c r="O10" s="371">
        <v>44576</v>
      </c>
      <c r="P10" s="378">
        <v>7.4999999999999997E-3</v>
      </c>
      <c r="Q10" s="375">
        <v>1.7500000000000002E-2</v>
      </c>
      <c r="R10" s="375">
        <v>1.7500000000000002E-2</v>
      </c>
      <c r="S10" s="375">
        <v>1.7500000000000002E-2</v>
      </c>
      <c r="T10" s="375">
        <v>2.2499999999999999E-2</v>
      </c>
      <c r="U10" s="375">
        <v>1.6250000000000001E-2</v>
      </c>
      <c r="V10" s="377">
        <v>1.7500000000000002E-2</v>
      </c>
      <c r="W10" s="373">
        <f t="shared" si="2"/>
        <v>1.6607142857142859E-2</v>
      </c>
      <c r="X10" s="378">
        <v>1.25E-3</v>
      </c>
      <c r="Y10" s="375">
        <v>9.4999999999999998E-3</v>
      </c>
      <c r="Z10" s="375">
        <v>9.4999999999999998E-3</v>
      </c>
      <c r="AA10" s="375">
        <v>9.4999999999999998E-3</v>
      </c>
      <c r="AB10" s="375">
        <v>1.7999999999999999E-2</v>
      </c>
      <c r="AC10" s="375">
        <v>1.125E-2</v>
      </c>
      <c r="AD10" s="377">
        <v>9.4999999999999998E-3</v>
      </c>
      <c r="AE10" s="373">
        <f t="shared" si="3"/>
        <v>9.7857142857142847E-3</v>
      </c>
      <c r="AG10" s="371">
        <v>44576</v>
      </c>
      <c r="AH10" s="378">
        <v>5.0000000000000001E-3</v>
      </c>
      <c r="AI10" s="375">
        <v>1.125E-2</v>
      </c>
      <c r="AJ10" s="375">
        <v>1.6250000000000001E-2</v>
      </c>
      <c r="AK10" s="375">
        <v>1.6250000000000001E-2</v>
      </c>
      <c r="AL10" s="377">
        <v>1.125E-2</v>
      </c>
      <c r="AM10" s="373">
        <f t="shared" si="4"/>
        <v>1.2E-2</v>
      </c>
      <c r="AN10" s="378">
        <v>1.25E-3</v>
      </c>
      <c r="AO10" s="375">
        <v>7.4999999999999997E-3</v>
      </c>
      <c r="AP10" s="375">
        <v>8.7500000000000008E-3</v>
      </c>
      <c r="AQ10" s="375">
        <v>8.7500000000000008E-3</v>
      </c>
      <c r="AR10" s="377">
        <v>7.4999999999999997E-3</v>
      </c>
      <c r="AS10" s="373">
        <f t="shared" si="5"/>
        <v>6.7500000000000008E-3</v>
      </c>
      <c r="AU10" s="379">
        <v>44058</v>
      </c>
      <c r="AV10" s="375">
        <v>6.8750000000000006E-2</v>
      </c>
      <c r="AW10" s="375">
        <v>5.6250000000000001E-2</v>
      </c>
      <c r="AX10" s="375">
        <v>4.6249999999999999E-2</v>
      </c>
      <c r="AY10" s="375">
        <v>7.4999999999999997E-2</v>
      </c>
      <c r="AZ10" s="375">
        <v>6.8750000000000006E-2</v>
      </c>
      <c r="BA10" s="375">
        <v>5.8749999999999997E-2</v>
      </c>
      <c r="BB10" s="375">
        <v>6.6250000000000003E-2</v>
      </c>
      <c r="BC10" s="375">
        <v>7.1249999999999994E-2</v>
      </c>
      <c r="BD10" s="375">
        <v>7.6249999999999998E-2</v>
      </c>
      <c r="BE10" s="375">
        <v>6.8750000000000006E-2</v>
      </c>
      <c r="BF10" s="375">
        <v>7.1249999999999994E-2</v>
      </c>
      <c r="BG10" s="375">
        <v>3.7499999999999999E-2</v>
      </c>
      <c r="BH10" s="375">
        <v>8.2799999999999999E-2</v>
      </c>
      <c r="BI10" s="373">
        <f t="shared" si="6"/>
        <v>6.521538461538462E-2</v>
      </c>
      <c r="BJ10" s="378">
        <v>3.3750000000000002E-2</v>
      </c>
      <c r="BK10" s="375">
        <v>3.875E-2</v>
      </c>
      <c r="BL10" s="375">
        <v>3.3750000000000002E-2</v>
      </c>
      <c r="BM10" s="375">
        <v>0.05</v>
      </c>
      <c r="BN10" s="375">
        <v>5.2499999999999998E-2</v>
      </c>
      <c r="BO10" s="375">
        <v>6.25E-2</v>
      </c>
      <c r="BP10" s="375">
        <v>3.3750000000000002E-2</v>
      </c>
      <c r="BQ10" s="377">
        <v>7.8200000000000006E-2</v>
      </c>
      <c r="BR10" s="380">
        <f t="shared" si="7"/>
        <v>4.7899999999999998E-2</v>
      </c>
      <c r="BT10" s="367">
        <v>44058</v>
      </c>
      <c r="BU10" s="375">
        <f t="shared" si="8"/>
        <v>0</v>
      </c>
      <c r="BV10" s="375">
        <f t="shared" si="9"/>
        <v>0</v>
      </c>
      <c r="BW10" s="377">
        <f t="shared" si="10"/>
        <v>0</v>
      </c>
    </row>
    <row r="11" spans="1:75" x14ac:dyDescent="0.15">
      <c r="A11" s="367">
        <v>44696</v>
      </c>
      <c r="B11" s="375">
        <v>5.0000000000000001E-3</v>
      </c>
      <c r="C11" s="375">
        <v>1.125E-2</v>
      </c>
      <c r="D11" s="375">
        <v>1.6250000000000001E-2</v>
      </c>
      <c r="E11" s="375">
        <v>1.6250000000000001E-2</v>
      </c>
      <c r="F11" s="377">
        <v>1.125E-2</v>
      </c>
      <c r="G11" s="373">
        <f t="shared" si="0"/>
        <v>1.2E-2</v>
      </c>
      <c r="H11" s="375">
        <v>1.25E-3</v>
      </c>
      <c r="I11" s="375">
        <v>7.4999999999999997E-3</v>
      </c>
      <c r="J11" s="375">
        <v>8.7500000000000008E-3</v>
      </c>
      <c r="K11" s="375">
        <v>8.7500000000000008E-3</v>
      </c>
      <c r="L11" s="377">
        <v>7.4999999999999997E-3</v>
      </c>
      <c r="M11" s="373">
        <f t="shared" si="1"/>
        <v>6.7500000000000008E-3</v>
      </c>
      <c r="O11" s="371">
        <v>44757</v>
      </c>
      <c r="P11" s="378">
        <v>7.4999999999999997E-3</v>
      </c>
      <c r="Q11" s="375">
        <v>1.7500000000000002E-2</v>
      </c>
      <c r="R11" s="375">
        <v>1.7500000000000002E-2</v>
      </c>
      <c r="S11" s="375">
        <v>1.7500000000000002E-2</v>
      </c>
      <c r="T11" s="375">
        <v>2.2499999999999999E-2</v>
      </c>
      <c r="U11" s="375">
        <v>1.6250000000000001E-2</v>
      </c>
      <c r="V11" s="377">
        <v>1.7500000000000002E-2</v>
      </c>
      <c r="W11" s="373">
        <f t="shared" si="2"/>
        <v>1.6607142857142859E-2</v>
      </c>
      <c r="X11" s="378">
        <v>1.25E-3</v>
      </c>
      <c r="Y11" s="375">
        <v>9.4999999999999998E-3</v>
      </c>
      <c r="Z11" s="375">
        <v>9.4999999999999998E-3</v>
      </c>
      <c r="AA11" s="375">
        <v>9.4999999999999998E-3</v>
      </c>
      <c r="AB11" s="375">
        <v>1.7999999999999999E-2</v>
      </c>
      <c r="AC11" s="375">
        <v>1.125E-2</v>
      </c>
      <c r="AD11" s="377">
        <v>9.4999999999999998E-3</v>
      </c>
      <c r="AE11" s="373">
        <f t="shared" si="3"/>
        <v>9.7857142857142847E-3</v>
      </c>
      <c r="AG11" s="371">
        <v>44757</v>
      </c>
      <c r="AH11" s="378">
        <v>5.0000000000000001E-3</v>
      </c>
      <c r="AI11" s="375">
        <v>1.125E-2</v>
      </c>
      <c r="AJ11" s="375">
        <v>1.6250000000000001E-2</v>
      </c>
      <c r="AK11" s="375">
        <v>1.6250000000000001E-2</v>
      </c>
      <c r="AL11" s="377">
        <v>1.125E-2</v>
      </c>
      <c r="AM11" s="373">
        <f t="shared" si="4"/>
        <v>1.2E-2</v>
      </c>
      <c r="AN11" s="378">
        <v>1.25E-3</v>
      </c>
      <c r="AO11" s="375">
        <v>7.4999999999999997E-3</v>
      </c>
      <c r="AP11" s="375">
        <v>8.7500000000000008E-3</v>
      </c>
      <c r="AQ11" s="375">
        <v>8.7500000000000008E-3</v>
      </c>
      <c r="AR11" s="377">
        <v>7.4999999999999997E-3</v>
      </c>
      <c r="AS11" s="373">
        <f t="shared" si="5"/>
        <v>6.7500000000000008E-3</v>
      </c>
      <c r="AU11" s="379">
        <v>44089</v>
      </c>
      <c r="AV11" s="375">
        <v>6.8750000000000006E-2</v>
      </c>
      <c r="AW11" s="375">
        <v>5.6250000000000001E-2</v>
      </c>
      <c r="AX11" s="375">
        <v>4.6249999999999999E-2</v>
      </c>
      <c r="AY11" s="375">
        <v>7.4999999999999997E-2</v>
      </c>
      <c r="AZ11" s="375">
        <v>6.8750000000000006E-2</v>
      </c>
      <c r="BA11" s="375">
        <v>5.8749999999999997E-2</v>
      </c>
      <c r="BB11" s="375">
        <v>6.6250000000000003E-2</v>
      </c>
      <c r="BC11" s="375">
        <v>7.1249999999999994E-2</v>
      </c>
      <c r="BD11" s="375">
        <v>7.6249999999999998E-2</v>
      </c>
      <c r="BE11" s="375">
        <v>6.8750000000000006E-2</v>
      </c>
      <c r="BF11" s="375">
        <v>7.1249999999999994E-2</v>
      </c>
      <c r="BG11" s="375">
        <v>3.7499999999999999E-2</v>
      </c>
      <c r="BH11" s="375">
        <v>8.2799999999999999E-2</v>
      </c>
      <c r="BI11" s="373">
        <f t="shared" si="6"/>
        <v>6.521538461538462E-2</v>
      </c>
      <c r="BJ11" s="378">
        <v>3.3750000000000002E-2</v>
      </c>
      <c r="BK11" s="375">
        <v>3.875E-2</v>
      </c>
      <c r="BL11" s="375">
        <v>3.3750000000000002E-2</v>
      </c>
      <c r="BM11" s="375">
        <v>0.05</v>
      </c>
      <c r="BN11" s="375">
        <v>5.2499999999999998E-2</v>
      </c>
      <c r="BO11" s="375">
        <v>6.25E-2</v>
      </c>
      <c r="BP11" s="375">
        <v>3.3750000000000002E-2</v>
      </c>
      <c r="BQ11" s="377">
        <v>7.8200000000000006E-2</v>
      </c>
      <c r="BR11" s="380">
        <f t="shared" si="7"/>
        <v>4.7899999999999998E-2</v>
      </c>
      <c r="BT11" s="367">
        <v>44089</v>
      </c>
      <c r="BU11" s="375">
        <f t="shared" si="8"/>
        <v>0</v>
      </c>
      <c r="BV11" s="375">
        <f t="shared" si="9"/>
        <v>0</v>
      </c>
      <c r="BW11" s="377">
        <f t="shared" si="10"/>
        <v>0</v>
      </c>
    </row>
    <row r="12" spans="1:75" x14ac:dyDescent="0.15">
      <c r="A12" s="367">
        <v>44880</v>
      </c>
      <c r="B12" s="375">
        <v>5.0000000000000001E-3</v>
      </c>
      <c r="C12" s="375">
        <v>1.125E-2</v>
      </c>
      <c r="D12" s="375">
        <v>1.6250000000000001E-2</v>
      </c>
      <c r="E12" s="375">
        <v>1.6250000000000001E-2</v>
      </c>
      <c r="F12" s="377">
        <v>1.125E-2</v>
      </c>
      <c r="G12" s="373">
        <f t="shared" si="0"/>
        <v>1.2E-2</v>
      </c>
      <c r="H12" s="375">
        <v>1.25E-3</v>
      </c>
      <c r="I12" s="375">
        <v>7.4999999999999997E-3</v>
      </c>
      <c r="J12" s="375">
        <v>8.7500000000000008E-3</v>
      </c>
      <c r="K12" s="375">
        <v>8.7500000000000008E-3</v>
      </c>
      <c r="L12" s="377">
        <v>7.4999999999999997E-3</v>
      </c>
      <c r="M12" s="373">
        <f t="shared" si="1"/>
        <v>6.7500000000000008E-3</v>
      </c>
      <c r="O12" s="371">
        <v>44941</v>
      </c>
      <c r="P12" s="378">
        <v>0.01</v>
      </c>
      <c r="Q12" s="375">
        <v>2.2499999999999999E-2</v>
      </c>
      <c r="R12" s="375">
        <v>2.4E-2</v>
      </c>
      <c r="S12" s="375">
        <v>2.8500000000000001E-2</v>
      </c>
      <c r="T12" s="375">
        <v>3.7499999999999999E-2</v>
      </c>
      <c r="U12" s="375">
        <v>0.03</v>
      </c>
      <c r="V12" s="377">
        <v>0.03</v>
      </c>
      <c r="W12" s="373">
        <f t="shared" si="2"/>
        <v>2.6071428571428572E-2</v>
      </c>
      <c r="X12" s="378">
        <v>1.25E-3</v>
      </c>
      <c r="Y12" s="375">
        <v>1.4999999999999999E-2</v>
      </c>
      <c r="Z12" s="375">
        <v>1.35E-2</v>
      </c>
      <c r="AA12" s="375">
        <v>1.8749999999999999E-2</v>
      </c>
      <c r="AB12" s="375">
        <v>2.9499999999999998E-2</v>
      </c>
      <c r="AC12" s="375">
        <v>0.02</v>
      </c>
      <c r="AD12" s="377">
        <v>0.02</v>
      </c>
      <c r="AE12" s="373">
        <f t="shared" si="3"/>
        <v>1.6857142857142859E-2</v>
      </c>
      <c r="AG12" s="371">
        <v>44941</v>
      </c>
      <c r="AH12" s="378">
        <v>5.0000000000000001E-3</v>
      </c>
      <c r="AI12" s="375">
        <v>1.4999999999999999E-2</v>
      </c>
      <c r="AJ12" s="375">
        <v>3.125E-2</v>
      </c>
      <c r="AK12" s="375">
        <v>0.03</v>
      </c>
      <c r="AL12" s="377">
        <v>1.4999999999999999E-2</v>
      </c>
      <c r="AM12" s="373">
        <f t="shared" si="4"/>
        <v>1.925E-2</v>
      </c>
      <c r="AN12" s="378">
        <v>1.25E-3</v>
      </c>
      <c r="AO12" s="375">
        <v>8.7500000000000008E-3</v>
      </c>
      <c r="AP12" s="375">
        <v>2.2499999999999999E-2</v>
      </c>
      <c r="AQ12" s="375">
        <v>0.02</v>
      </c>
      <c r="AR12" s="377">
        <v>8.7500000000000008E-3</v>
      </c>
      <c r="AS12" s="373">
        <f t="shared" si="5"/>
        <v>1.225E-2</v>
      </c>
      <c r="AU12" s="379">
        <v>44119</v>
      </c>
      <c r="AV12" s="375">
        <v>6.8750000000000006E-2</v>
      </c>
      <c r="AW12" s="375">
        <v>5.6250000000000001E-2</v>
      </c>
      <c r="AX12" s="375">
        <v>4.6249999999999999E-2</v>
      </c>
      <c r="AY12" s="375">
        <v>7.4999999999999997E-2</v>
      </c>
      <c r="AZ12" s="375">
        <v>6.8750000000000006E-2</v>
      </c>
      <c r="BA12" s="375">
        <v>5.8749999999999997E-2</v>
      </c>
      <c r="BB12" s="375">
        <v>6.6250000000000003E-2</v>
      </c>
      <c r="BC12" s="375">
        <v>7.1249999999999994E-2</v>
      </c>
      <c r="BD12" s="375">
        <v>7.6249999999999998E-2</v>
      </c>
      <c r="BE12" s="375">
        <v>6.8750000000000006E-2</v>
      </c>
      <c r="BF12" s="375">
        <v>7.1249999999999994E-2</v>
      </c>
      <c r="BG12" s="375">
        <v>3.7499999999999999E-2</v>
      </c>
      <c r="BH12" s="375">
        <v>8.2799999999999999E-2</v>
      </c>
      <c r="BI12" s="373">
        <f t="shared" si="6"/>
        <v>6.521538461538462E-2</v>
      </c>
      <c r="BJ12" s="378"/>
      <c r="BK12" s="375">
        <v>3.875E-2</v>
      </c>
      <c r="BL12" s="375">
        <v>3.3750000000000002E-2</v>
      </c>
      <c r="BM12" s="375">
        <v>0.05</v>
      </c>
      <c r="BN12" s="375">
        <v>5.2499999999999998E-2</v>
      </c>
      <c r="BO12" s="375">
        <v>6.25E-2</v>
      </c>
      <c r="BP12" s="375">
        <v>3.3750000000000002E-2</v>
      </c>
      <c r="BQ12" s="377">
        <v>7.8200000000000006E-2</v>
      </c>
      <c r="BR12" s="380">
        <f t="shared" si="7"/>
        <v>4.9921428571428568E-2</v>
      </c>
      <c r="BT12" s="367">
        <v>44119</v>
      </c>
      <c r="BU12" s="375">
        <f t="shared" si="8"/>
        <v>0</v>
      </c>
      <c r="BV12" s="375">
        <f t="shared" si="9"/>
        <v>0</v>
      </c>
      <c r="BW12" s="377">
        <f t="shared" si="10"/>
        <v>0</v>
      </c>
    </row>
    <row r="13" spans="1:75" x14ac:dyDescent="0.15">
      <c r="A13" s="367">
        <v>45061</v>
      </c>
      <c r="B13" s="375">
        <v>5.0000000000000001E-3</v>
      </c>
      <c r="C13" s="375">
        <v>1.4999999999999999E-2</v>
      </c>
      <c r="D13" s="375">
        <v>3.125E-2</v>
      </c>
      <c r="E13" s="375">
        <v>0.03</v>
      </c>
      <c r="F13" s="377">
        <v>1.4999999999999999E-2</v>
      </c>
      <c r="G13" s="373">
        <f t="shared" si="0"/>
        <v>1.925E-2</v>
      </c>
      <c r="H13" s="375">
        <v>1.25E-3</v>
      </c>
      <c r="I13" s="375">
        <v>8.7500000000000008E-3</v>
      </c>
      <c r="J13" s="375">
        <v>2.2499999999999999E-2</v>
      </c>
      <c r="K13" s="375">
        <v>0.02</v>
      </c>
      <c r="L13" s="377">
        <v>8.7500000000000008E-3</v>
      </c>
      <c r="M13" s="373">
        <f t="shared" si="1"/>
        <v>1.225E-2</v>
      </c>
      <c r="O13" s="371">
        <v>45122</v>
      </c>
      <c r="P13" s="378">
        <v>0.01</v>
      </c>
      <c r="Q13" s="375">
        <v>2.2499999999999999E-2</v>
      </c>
      <c r="R13" s="375">
        <v>2.4E-2</v>
      </c>
      <c r="S13" s="375">
        <v>2.8500000000000001E-2</v>
      </c>
      <c r="T13" s="375">
        <v>3.7499999999999999E-2</v>
      </c>
      <c r="U13" s="375">
        <v>0.03</v>
      </c>
      <c r="V13" s="377">
        <v>0.03</v>
      </c>
      <c r="W13" s="373">
        <f t="shared" si="2"/>
        <v>2.6071428571428572E-2</v>
      </c>
      <c r="X13" s="378">
        <v>1.25E-3</v>
      </c>
      <c r="Y13" s="375">
        <v>1.4999999999999999E-2</v>
      </c>
      <c r="Z13" s="375">
        <v>1.35E-2</v>
      </c>
      <c r="AA13" s="375">
        <v>1.8749999999999999E-2</v>
      </c>
      <c r="AB13" s="375">
        <v>2.9499999999999998E-2</v>
      </c>
      <c r="AC13" s="375">
        <v>0.02</v>
      </c>
      <c r="AD13" s="377">
        <v>0.02</v>
      </c>
      <c r="AE13" s="373">
        <f t="shared" si="3"/>
        <v>1.6857142857142859E-2</v>
      </c>
      <c r="AG13" s="371">
        <v>45122</v>
      </c>
      <c r="AH13" s="378">
        <v>5.0000000000000001E-3</v>
      </c>
      <c r="AI13" s="375">
        <v>1.4999999999999999E-2</v>
      </c>
      <c r="AJ13" s="375">
        <v>3.125E-2</v>
      </c>
      <c r="AK13" s="375">
        <v>0.03</v>
      </c>
      <c r="AL13" s="377">
        <v>1.4999999999999999E-2</v>
      </c>
      <c r="AM13" s="373">
        <f t="shared" si="4"/>
        <v>1.925E-2</v>
      </c>
      <c r="AN13" s="378">
        <v>1.25E-3</v>
      </c>
      <c r="AO13" s="375">
        <v>8.7500000000000008E-3</v>
      </c>
      <c r="AP13" s="375">
        <v>2.2499999999999999E-2</v>
      </c>
      <c r="AQ13" s="375">
        <v>0.02</v>
      </c>
      <c r="AR13" s="377">
        <v>8.7500000000000008E-3</v>
      </c>
      <c r="AS13" s="373">
        <f t="shared" si="5"/>
        <v>1.225E-2</v>
      </c>
      <c r="AU13" s="379">
        <v>44150</v>
      </c>
      <c r="AV13" s="375">
        <v>6.8750000000000006E-2</v>
      </c>
      <c r="AW13" s="375">
        <v>5.6250000000000001E-2</v>
      </c>
      <c r="AX13" s="375">
        <v>4.6249999999999999E-2</v>
      </c>
      <c r="AY13" s="375">
        <v>7.4999999999999997E-2</v>
      </c>
      <c r="AZ13" s="375">
        <v>6.8750000000000006E-2</v>
      </c>
      <c r="BA13" s="375">
        <v>5.8749999999999997E-2</v>
      </c>
      <c r="BB13" s="375">
        <v>6.6250000000000003E-2</v>
      </c>
      <c r="BC13" s="375">
        <v>7.1249999999999994E-2</v>
      </c>
      <c r="BD13" s="375">
        <v>7.6249999999999998E-2</v>
      </c>
      <c r="BE13" s="375">
        <v>6.8750000000000006E-2</v>
      </c>
      <c r="BF13" s="375">
        <v>7.1249999999999994E-2</v>
      </c>
      <c r="BG13" s="375">
        <v>3.7499999999999999E-2</v>
      </c>
      <c r="BH13" s="375">
        <v>8.2799999999999999E-2</v>
      </c>
      <c r="BI13" s="373">
        <f t="shared" si="6"/>
        <v>6.521538461538462E-2</v>
      </c>
      <c r="BJ13" s="378"/>
      <c r="BK13" s="375">
        <v>3.875E-2</v>
      </c>
      <c r="BL13" s="375">
        <v>3.3750000000000002E-2</v>
      </c>
      <c r="BM13" s="375">
        <v>0.05</v>
      </c>
      <c r="BN13" s="375">
        <v>5.2499999999999998E-2</v>
      </c>
      <c r="BO13" s="375">
        <v>6.25E-2</v>
      </c>
      <c r="BP13" s="375">
        <v>3.3750000000000002E-2</v>
      </c>
      <c r="BQ13" s="377">
        <v>7.8200000000000006E-2</v>
      </c>
      <c r="BR13" s="380">
        <f t="shared" si="7"/>
        <v>4.9921428571428568E-2</v>
      </c>
      <c r="BT13" s="367">
        <v>44150</v>
      </c>
      <c r="BU13" s="375">
        <f t="shared" si="8"/>
        <v>0</v>
      </c>
      <c r="BV13" s="375">
        <f t="shared" si="9"/>
        <v>0</v>
      </c>
      <c r="BW13" s="377">
        <f t="shared" si="10"/>
        <v>0</v>
      </c>
    </row>
    <row r="14" spans="1:75" x14ac:dyDescent="0.15">
      <c r="A14" s="367">
        <v>45245</v>
      </c>
      <c r="B14" s="375">
        <v>5.0000000000000001E-3</v>
      </c>
      <c r="C14" s="375">
        <v>1.4999999999999999E-2</v>
      </c>
      <c r="D14" s="375">
        <v>3.125E-2</v>
      </c>
      <c r="E14" s="375">
        <v>0.03</v>
      </c>
      <c r="F14" s="377">
        <v>1.4999999999999999E-2</v>
      </c>
      <c r="G14" s="373">
        <f t="shared" si="0"/>
        <v>1.925E-2</v>
      </c>
      <c r="H14" s="375">
        <v>1.25E-3</v>
      </c>
      <c r="I14" s="375">
        <v>8.7500000000000008E-3</v>
      </c>
      <c r="J14" s="375">
        <v>2.2499999999999999E-2</v>
      </c>
      <c r="K14" s="375">
        <v>0.02</v>
      </c>
      <c r="L14" s="377">
        <v>8.7500000000000008E-3</v>
      </c>
      <c r="M14" s="373">
        <f t="shared" si="1"/>
        <v>1.225E-2</v>
      </c>
      <c r="O14" s="371">
        <v>45306</v>
      </c>
      <c r="P14" s="378">
        <v>1.2500000000000001E-2</v>
      </c>
      <c r="Q14" s="375">
        <v>2.75E-2</v>
      </c>
      <c r="R14" s="375">
        <v>0.03</v>
      </c>
      <c r="S14" s="375">
        <v>3.5000000000000003E-2</v>
      </c>
      <c r="T14" s="375">
        <v>4.2500000000000003E-2</v>
      </c>
      <c r="U14" s="375">
        <v>3.5000000000000003E-2</v>
      </c>
      <c r="V14" s="377">
        <v>3.2500000000000001E-2</v>
      </c>
      <c r="W14" s="373">
        <f t="shared" si="2"/>
        <v>3.0714285714285718E-2</v>
      </c>
      <c r="X14" s="378">
        <v>1.25E-3</v>
      </c>
      <c r="Y14" s="375">
        <v>1.7500000000000002E-2</v>
      </c>
      <c r="Z14" s="375">
        <v>0.02</v>
      </c>
      <c r="AA14" s="375">
        <v>2.5000000000000001E-2</v>
      </c>
      <c r="AB14" s="375">
        <v>3.3500000000000002E-2</v>
      </c>
      <c r="AC14" s="375">
        <v>2.6249999999999999E-2</v>
      </c>
      <c r="AD14" s="377">
        <v>2.2499999999999999E-2</v>
      </c>
      <c r="AE14" s="373">
        <f t="shared" si="3"/>
        <v>2.0857142857142855E-2</v>
      </c>
      <c r="AG14" s="371">
        <v>45306</v>
      </c>
      <c r="AH14" s="378">
        <v>7.4999999999999997E-3</v>
      </c>
      <c r="AI14" s="375">
        <v>3.6249999999999998E-2</v>
      </c>
      <c r="AJ14" s="375">
        <v>3.7499999999999999E-2</v>
      </c>
      <c r="AK14" s="375">
        <v>3.5000000000000003E-2</v>
      </c>
      <c r="AL14" s="377">
        <v>3.6249999999999998E-2</v>
      </c>
      <c r="AM14" s="373">
        <f t="shared" si="4"/>
        <v>3.0499999999999999E-2</v>
      </c>
      <c r="AN14" s="378">
        <v>1.25E-3</v>
      </c>
      <c r="AO14" s="375">
        <v>2.5000000000000001E-2</v>
      </c>
      <c r="AP14" s="375">
        <v>3.2500000000000001E-2</v>
      </c>
      <c r="AQ14" s="375">
        <v>0.03</v>
      </c>
      <c r="AR14" s="377">
        <v>2.5000000000000001E-2</v>
      </c>
      <c r="AS14" s="373">
        <f t="shared" si="5"/>
        <v>2.2749999999999999E-2</v>
      </c>
      <c r="AU14" s="379">
        <v>44180</v>
      </c>
      <c r="AV14" s="375">
        <v>6.8750000000000006E-2</v>
      </c>
      <c r="AW14" s="375">
        <v>5.6250000000000001E-2</v>
      </c>
      <c r="AX14" s="375">
        <v>4.6249999999999999E-2</v>
      </c>
      <c r="AY14" s="375">
        <v>7.4999999999999997E-2</v>
      </c>
      <c r="AZ14" s="375">
        <v>6.8750000000000006E-2</v>
      </c>
      <c r="BA14" s="375">
        <v>5.8749999999999997E-2</v>
      </c>
      <c r="BB14" s="375">
        <v>6.6250000000000003E-2</v>
      </c>
      <c r="BC14" s="375">
        <v>7.1249999999999994E-2</v>
      </c>
      <c r="BD14" s="375">
        <v>7.6249999999999998E-2</v>
      </c>
      <c r="BE14" s="375">
        <v>6.8750000000000006E-2</v>
      </c>
      <c r="BF14" s="375">
        <v>7.1249999999999994E-2</v>
      </c>
      <c r="BG14" s="375">
        <v>3.7499999999999999E-2</v>
      </c>
      <c r="BH14" s="375">
        <v>8.2799999999999999E-2</v>
      </c>
      <c r="BI14" s="373">
        <f t="shared" si="6"/>
        <v>6.521538461538462E-2</v>
      </c>
      <c r="BJ14" s="378"/>
      <c r="BK14" s="375">
        <v>3.875E-2</v>
      </c>
      <c r="BL14" s="375">
        <v>3.3750000000000002E-2</v>
      </c>
      <c r="BM14" s="375">
        <v>0.05</v>
      </c>
      <c r="BN14" s="375">
        <v>5.2499999999999998E-2</v>
      </c>
      <c r="BO14" s="375">
        <v>6.25E-2</v>
      </c>
      <c r="BP14" s="375">
        <v>3.3750000000000002E-2</v>
      </c>
      <c r="BQ14" s="377">
        <v>7.8200000000000006E-2</v>
      </c>
      <c r="BR14" s="380">
        <f t="shared" si="7"/>
        <v>4.9921428571428568E-2</v>
      </c>
      <c r="BT14" s="367">
        <v>44180</v>
      </c>
      <c r="BU14" s="375">
        <f t="shared" si="8"/>
        <v>0</v>
      </c>
      <c r="BV14" s="375">
        <f t="shared" si="9"/>
        <v>0</v>
      </c>
      <c r="BW14" s="377">
        <f t="shared" si="10"/>
        <v>0</v>
      </c>
    </row>
    <row r="15" spans="1:75" x14ac:dyDescent="0.15">
      <c r="A15" s="367">
        <v>45427</v>
      </c>
      <c r="B15" s="375">
        <v>7.4999999999999997E-3</v>
      </c>
      <c r="C15" s="375">
        <v>3.6249999999999998E-2</v>
      </c>
      <c r="D15" s="375">
        <v>3.7499999999999999E-2</v>
      </c>
      <c r="E15" s="375">
        <v>3.5000000000000003E-2</v>
      </c>
      <c r="F15" s="377">
        <v>3.6249999999999998E-2</v>
      </c>
      <c r="G15" s="373">
        <f t="shared" si="0"/>
        <v>3.0499999999999999E-2</v>
      </c>
      <c r="H15" s="375">
        <v>1.25E-3</v>
      </c>
      <c r="I15" s="375">
        <v>2.5000000000000001E-2</v>
      </c>
      <c r="J15" s="375">
        <v>3.2500000000000001E-2</v>
      </c>
      <c r="K15" s="375">
        <v>0.03</v>
      </c>
      <c r="L15" s="377">
        <v>2.5000000000000001E-2</v>
      </c>
      <c r="M15" s="373">
        <f t="shared" si="1"/>
        <v>2.2749999999999999E-2</v>
      </c>
      <c r="O15" s="371">
        <v>45488</v>
      </c>
      <c r="P15" s="378">
        <v>1.2500000000000001E-2</v>
      </c>
      <c r="Q15" s="375">
        <v>2.75E-2</v>
      </c>
      <c r="R15" s="375">
        <v>0.03</v>
      </c>
      <c r="S15" s="375">
        <v>3.5000000000000003E-2</v>
      </c>
      <c r="T15" s="375">
        <v>4.2500000000000003E-2</v>
      </c>
      <c r="U15" s="375">
        <v>3.5000000000000003E-2</v>
      </c>
      <c r="V15" s="377">
        <v>3.2500000000000001E-2</v>
      </c>
      <c r="W15" s="373">
        <f t="shared" si="2"/>
        <v>3.0714285714285718E-2</v>
      </c>
      <c r="X15" s="378">
        <v>1.25E-3</v>
      </c>
      <c r="Y15" s="375">
        <v>1.7500000000000002E-2</v>
      </c>
      <c r="Z15" s="375">
        <v>0.02</v>
      </c>
      <c r="AA15" s="375">
        <v>2.5000000000000001E-2</v>
      </c>
      <c r="AB15" s="375">
        <v>3.3500000000000002E-2</v>
      </c>
      <c r="AC15" s="375">
        <v>2.6249999999999999E-2</v>
      </c>
      <c r="AD15" s="377">
        <v>2.2499999999999999E-2</v>
      </c>
      <c r="AE15" s="373">
        <f t="shared" si="3"/>
        <v>2.0857142857142855E-2</v>
      </c>
      <c r="AG15" s="371">
        <v>45488</v>
      </c>
      <c r="AH15" s="378">
        <v>7.4999999999999997E-3</v>
      </c>
      <c r="AI15" s="375">
        <v>3.6249999999999998E-2</v>
      </c>
      <c r="AJ15" s="375">
        <v>3.7499999999999999E-2</v>
      </c>
      <c r="AK15" s="375">
        <v>3.5000000000000003E-2</v>
      </c>
      <c r="AL15" s="377">
        <v>3.6249999999999998E-2</v>
      </c>
      <c r="AM15" s="373">
        <f t="shared" si="4"/>
        <v>3.0499999999999999E-2</v>
      </c>
      <c r="AN15" s="378">
        <v>1.25E-3</v>
      </c>
      <c r="AO15" s="375">
        <v>2.5000000000000001E-2</v>
      </c>
      <c r="AP15" s="375">
        <v>3.2500000000000001E-2</v>
      </c>
      <c r="AQ15" s="375">
        <v>0.03</v>
      </c>
      <c r="AR15" s="377">
        <v>2.5000000000000001E-2</v>
      </c>
      <c r="AS15" s="373">
        <f t="shared" si="5"/>
        <v>2.2749999999999999E-2</v>
      </c>
      <c r="AU15" s="379">
        <v>44211</v>
      </c>
      <c r="AV15" s="375">
        <v>6.8750000000000006E-2</v>
      </c>
      <c r="AW15" s="375">
        <v>5.6250000000000001E-2</v>
      </c>
      <c r="AX15" s="375">
        <v>4.6249999999999999E-2</v>
      </c>
      <c r="AY15" s="375">
        <v>7.4999999999999997E-2</v>
      </c>
      <c r="AZ15" s="375">
        <v>6.8750000000000006E-2</v>
      </c>
      <c r="BA15" s="375">
        <v>5.8749999999999997E-2</v>
      </c>
      <c r="BB15" s="375">
        <v>6.6250000000000003E-2</v>
      </c>
      <c r="BC15" s="375">
        <v>7.1249999999999994E-2</v>
      </c>
      <c r="BD15" s="375">
        <v>7.6249999999999998E-2</v>
      </c>
      <c r="BE15" s="375">
        <v>6.8750000000000006E-2</v>
      </c>
      <c r="BF15" s="375">
        <v>7.1249999999999994E-2</v>
      </c>
      <c r="BG15" s="375">
        <v>3.7499999999999999E-2</v>
      </c>
      <c r="BH15" s="375">
        <v>8.2799999999999999E-2</v>
      </c>
      <c r="BI15" s="373">
        <f t="shared" si="6"/>
        <v>6.521538461538462E-2</v>
      </c>
      <c r="BJ15" s="378"/>
      <c r="BK15" s="375">
        <v>3.875E-2</v>
      </c>
      <c r="BL15" s="375">
        <v>3.3750000000000002E-2</v>
      </c>
      <c r="BM15" s="375">
        <v>0.05</v>
      </c>
      <c r="BN15" s="375">
        <v>5.2499999999999998E-2</v>
      </c>
      <c r="BO15" s="375">
        <v>6.25E-2</v>
      </c>
      <c r="BP15" s="375">
        <v>3.3750000000000002E-2</v>
      </c>
      <c r="BQ15" s="377">
        <v>7.8200000000000006E-2</v>
      </c>
      <c r="BR15" s="380">
        <f t="shared" si="7"/>
        <v>4.9921428571428568E-2</v>
      </c>
      <c r="BT15" s="367">
        <v>44211</v>
      </c>
      <c r="BU15" s="375">
        <f t="shared" si="8"/>
        <v>0</v>
      </c>
      <c r="BV15" s="375">
        <f t="shared" si="9"/>
        <v>6.2499999999999995E-3</v>
      </c>
      <c r="BW15" s="377">
        <f t="shared" si="10"/>
        <v>1.25E-3</v>
      </c>
    </row>
    <row r="16" spans="1:75" x14ac:dyDescent="0.15">
      <c r="A16" s="367">
        <v>45611</v>
      </c>
      <c r="B16" s="375">
        <v>7.4999999999999997E-3</v>
      </c>
      <c r="C16" s="375">
        <v>3.6249999999999998E-2</v>
      </c>
      <c r="D16" s="375">
        <v>3.7499999999999999E-2</v>
      </c>
      <c r="E16" s="375">
        <v>3.5000000000000003E-2</v>
      </c>
      <c r="F16" s="377">
        <v>3.6249999999999998E-2</v>
      </c>
      <c r="G16" s="373">
        <f t="shared" si="0"/>
        <v>3.0499999999999999E-2</v>
      </c>
      <c r="H16" s="375">
        <v>1.25E-3</v>
      </c>
      <c r="I16" s="375">
        <v>2.5000000000000001E-2</v>
      </c>
      <c r="J16" s="375">
        <v>3.2500000000000001E-2</v>
      </c>
      <c r="K16" s="375">
        <v>0.03</v>
      </c>
      <c r="L16" s="377">
        <v>2.5000000000000001E-2</v>
      </c>
      <c r="M16" s="373">
        <f t="shared" si="1"/>
        <v>2.2749999999999999E-2</v>
      </c>
      <c r="O16" s="371">
        <v>45672</v>
      </c>
      <c r="P16" s="378">
        <v>1.4999999999999999E-2</v>
      </c>
      <c r="Q16" s="375">
        <v>3.3500000000000002E-2</v>
      </c>
      <c r="R16" s="375">
        <v>3.4000000000000002E-2</v>
      </c>
      <c r="S16" s="375">
        <v>4.2500000000000003E-2</v>
      </c>
      <c r="T16" s="375">
        <v>0.05</v>
      </c>
      <c r="U16" s="375">
        <v>3.5000000000000003E-2</v>
      </c>
      <c r="V16" s="377">
        <v>4.2500000000000003E-2</v>
      </c>
      <c r="W16" s="373">
        <f t="shared" si="2"/>
        <v>3.6071428571428574E-2</v>
      </c>
      <c r="X16" s="378">
        <v>2.5000000000000001E-3</v>
      </c>
      <c r="Y16" s="375">
        <v>0.02</v>
      </c>
      <c r="Z16" s="375">
        <v>2.2499999999999999E-2</v>
      </c>
      <c r="AA16" s="375">
        <v>0.03</v>
      </c>
      <c r="AB16" s="375">
        <v>3.95E-2</v>
      </c>
      <c r="AC16" s="375">
        <v>2.6249999999999999E-2</v>
      </c>
      <c r="AD16" s="377">
        <v>0.03</v>
      </c>
      <c r="AE16" s="373">
        <f t="shared" si="3"/>
        <v>2.439285714285714E-2</v>
      </c>
      <c r="AG16" s="371">
        <v>45672</v>
      </c>
      <c r="AH16" s="378">
        <v>7.4999999999999997E-3</v>
      </c>
      <c r="AI16" s="375">
        <v>4.3749999999999997E-2</v>
      </c>
      <c r="AJ16" s="375">
        <v>4.4999999999999998E-2</v>
      </c>
      <c r="AK16" s="375">
        <v>3.5000000000000003E-2</v>
      </c>
      <c r="AL16" s="377">
        <v>4.3749999999999997E-2</v>
      </c>
      <c r="AM16" s="373">
        <f t="shared" si="4"/>
        <v>3.4999999999999996E-2</v>
      </c>
      <c r="AN16" s="378">
        <v>1.25E-3</v>
      </c>
      <c r="AO16" s="375">
        <v>3.7499999999999999E-2</v>
      </c>
      <c r="AP16" s="375">
        <v>0.04</v>
      </c>
      <c r="AQ16" s="375">
        <v>0.03</v>
      </c>
      <c r="AR16" s="377">
        <v>3.7499999999999999E-2</v>
      </c>
      <c r="AS16" s="373">
        <f t="shared" si="5"/>
        <v>2.9249999999999998E-2</v>
      </c>
      <c r="AU16" s="379">
        <v>44242</v>
      </c>
      <c r="AV16" s="375">
        <v>6.8750000000000006E-2</v>
      </c>
      <c r="AW16" s="375">
        <v>5.6250000000000001E-2</v>
      </c>
      <c r="AX16" s="375">
        <v>4.6249999999999999E-2</v>
      </c>
      <c r="AY16" s="375">
        <v>7.4999999999999997E-2</v>
      </c>
      <c r="AZ16" s="375">
        <v>6.8750000000000006E-2</v>
      </c>
      <c r="BA16" s="375">
        <v>5.8749999999999997E-2</v>
      </c>
      <c r="BB16" s="375">
        <v>6.6250000000000003E-2</v>
      </c>
      <c r="BC16" s="375">
        <v>7.1249999999999994E-2</v>
      </c>
      <c r="BD16" s="375">
        <v>7.6249999999999998E-2</v>
      </c>
      <c r="BE16" s="375">
        <v>6.8750000000000006E-2</v>
      </c>
      <c r="BF16" s="375">
        <v>7.1249999999999994E-2</v>
      </c>
      <c r="BG16" s="375">
        <v>3.7499999999999999E-2</v>
      </c>
      <c r="BH16" s="375">
        <v>8.2799999999999999E-2</v>
      </c>
      <c r="BI16" s="373">
        <f t="shared" si="6"/>
        <v>6.521538461538462E-2</v>
      </c>
      <c r="BJ16" s="378"/>
      <c r="BK16" s="375">
        <v>3.875E-2</v>
      </c>
      <c r="BL16" s="375">
        <v>3.3750000000000002E-2</v>
      </c>
      <c r="BM16" s="375">
        <v>0.05</v>
      </c>
      <c r="BN16" s="375">
        <v>5.2499999999999998E-2</v>
      </c>
      <c r="BO16" s="375">
        <v>6.25E-2</v>
      </c>
      <c r="BP16" s="375">
        <v>3.3750000000000002E-2</v>
      </c>
      <c r="BQ16" s="377">
        <v>7.8200000000000006E-2</v>
      </c>
      <c r="BR16" s="380">
        <f t="shared" si="7"/>
        <v>4.9921428571428568E-2</v>
      </c>
      <c r="BT16" s="367">
        <v>44242</v>
      </c>
      <c r="BU16" s="375">
        <f t="shared" si="8"/>
        <v>0</v>
      </c>
      <c r="BV16" s="375">
        <f t="shared" si="9"/>
        <v>6.2499999999999995E-3</v>
      </c>
      <c r="BW16" s="377">
        <f t="shared" si="10"/>
        <v>1.25E-3</v>
      </c>
    </row>
    <row r="17" spans="1:75" x14ac:dyDescent="0.15">
      <c r="A17" s="367">
        <v>45792</v>
      </c>
      <c r="B17" s="375">
        <v>7.4999999999999997E-3</v>
      </c>
      <c r="C17" s="375">
        <v>4.3749999999999997E-2</v>
      </c>
      <c r="D17" s="375">
        <v>4.4999999999999998E-2</v>
      </c>
      <c r="E17" s="375">
        <v>3.5000000000000003E-2</v>
      </c>
      <c r="F17" s="377">
        <v>4.3749999999999997E-2</v>
      </c>
      <c r="G17" s="373">
        <f t="shared" si="0"/>
        <v>3.4999999999999996E-2</v>
      </c>
      <c r="H17" s="375">
        <v>1.25E-3</v>
      </c>
      <c r="I17" s="375">
        <v>3.7499999999999999E-2</v>
      </c>
      <c r="J17" s="375">
        <v>0.04</v>
      </c>
      <c r="K17" s="375">
        <v>0.03</v>
      </c>
      <c r="L17" s="377">
        <v>3.7499999999999999E-2</v>
      </c>
      <c r="M17" s="373">
        <f t="shared" si="1"/>
        <v>2.9249999999999998E-2</v>
      </c>
      <c r="O17" s="371">
        <v>45853</v>
      </c>
      <c r="P17" s="378">
        <v>1.4999999999999999E-2</v>
      </c>
      <c r="Q17" s="375">
        <v>3.3500000000000002E-2</v>
      </c>
      <c r="R17" s="375">
        <v>3.4000000000000002E-2</v>
      </c>
      <c r="S17" s="375">
        <v>4.2500000000000003E-2</v>
      </c>
      <c r="T17" s="375">
        <v>0.05</v>
      </c>
      <c r="U17" s="375">
        <v>3.5000000000000003E-2</v>
      </c>
      <c r="V17" s="377">
        <v>4.2500000000000003E-2</v>
      </c>
      <c r="W17" s="373">
        <f t="shared" si="2"/>
        <v>3.6071428571428574E-2</v>
      </c>
      <c r="X17" s="378">
        <v>2.5000000000000001E-3</v>
      </c>
      <c r="Y17" s="375">
        <v>0.02</v>
      </c>
      <c r="Z17" s="375">
        <v>2.2499999999999999E-2</v>
      </c>
      <c r="AA17" s="375">
        <v>0.03</v>
      </c>
      <c r="AB17" s="375">
        <v>3.95E-2</v>
      </c>
      <c r="AC17" s="375">
        <v>2.6249999999999999E-2</v>
      </c>
      <c r="AD17" s="377">
        <v>0.03</v>
      </c>
      <c r="AE17" s="373">
        <f t="shared" si="3"/>
        <v>2.439285714285714E-2</v>
      </c>
      <c r="AG17" s="371">
        <v>45853</v>
      </c>
      <c r="AH17" s="378">
        <v>7.4999999999999997E-3</v>
      </c>
      <c r="AI17" s="375">
        <v>4.3749999999999997E-2</v>
      </c>
      <c r="AJ17" s="375">
        <v>4.4999999999999998E-2</v>
      </c>
      <c r="AK17" s="375">
        <v>3.5000000000000003E-2</v>
      </c>
      <c r="AL17" s="377">
        <v>4.3749999999999997E-2</v>
      </c>
      <c r="AM17" s="373">
        <f t="shared" si="4"/>
        <v>3.4999999999999996E-2</v>
      </c>
      <c r="AN17" s="378">
        <v>1.25E-3</v>
      </c>
      <c r="AO17" s="375">
        <v>3.7499999999999999E-2</v>
      </c>
      <c r="AP17" s="375">
        <v>0.04</v>
      </c>
      <c r="AQ17" s="375">
        <v>0.03</v>
      </c>
      <c r="AR17" s="377">
        <v>3.7499999999999999E-2</v>
      </c>
      <c r="AS17" s="373">
        <f t="shared" si="5"/>
        <v>2.9249999999999998E-2</v>
      </c>
      <c r="AU17" s="379">
        <v>44270</v>
      </c>
      <c r="AV17" s="375">
        <v>6.8750000000000006E-2</v>
      </c>
      <c r="AW17" s="375">
        <v>5.6250000000000001E-2</v>
      </c>
      <c r="AX17" s="375">
        <v>4.6249999999999999E-2</v>
      </c>
      <c r="AY17" s="375">
        <v>7.4999999999999997E-2</v>
      </c>
      <c r="AZ17" s="375">
        <v>6.8750000000000006E-2</v>
      </c>
      <c r="BA17" s="375">
        <v>5.8749999999999997E-2</v>
      </c>
      <c r="BB17" s="375">
        <v>6.6250000000000003E-2</v>
      </c>
      <c r="BC17" s="375">
        <v>7.1249999999999994E-2</v>
      </c>
      <c r="BD17" s="375">
        <v>7.6249999999999998E-2</v>
      </c>
      <c r="BE17" s="375">
        <v>6.8750000000000006E-2</v>
      </c>
      <c r="BF17" s="375">
        <v>7.1249999999999994E-2</v>
      </c>
      <c r="BG17" s="375">
        <v>3.7499999999999999E-2</v>
      </c>
      <c r="BH17" s="375">
        <v>8.2799999999999999E-2</v>
      </c>
      <c r="BI17" s="373">
        <f t="shared" si="6"/>
        <v>6.521538461538462E-2</v>
      </c>
      <c r="BJ17" s="378"/>
      <c r="BK17" s="375">
        <v>3.875E-2</v>
      </c>
      <c r="BL17" s="375">
        <v>3.3750000000000002E-2</v>
      </c>
      <c r="BM17" s="375">
        <v>0.05</v>
      </c>
      <c r="BN17" s="375">
        <v>5.2499999999999998E-2</v>
      </c>
      <c r="BO17" s="375">
        <v>6.25E-2</v>
      </c>
      <c r="BP17" s="375">
        <v>3.3750000000000002E-2</v>
      </c>
      <c r="BQ17" s="377">
        <v>7.8200000000000006E-2</v>
      </c>
      <c r="BR17" s="380">
        <f t="shared" si="7"/>
        <v>4.9921428571428568E-2</v>
      </c>
      <c r="BT17" s="367">
        <v>44270</v>
      </c>
      <c r="BU17" s="375">
        <f t="shared" si="8"/>
        <v>0</v>
      </c>
      <c r="BV17" s="375">
        <f t="shared" si="9"/>
        <v>6.2499999999999995E-3</v>
      </c>
      <c r="BW17" s="377">
        <f t="shared" si="10"/>
        <v>1.25E-3</v>
      </c>
    </row>
    <row r="18" spans="1:75" x14ac:dyDescent="0.15">
      <c r="A18" s="367">
        <v>45976</v>
      </c>
      <c r="B18" s="375">
        <v>7.4999999999999997E-3</v>
      </c>
      <c r="C18" s="375">
        <v>4.3749999999999997E-2</v>
      </c>
      <c r="D18" s="375">
        <v>4.4999999999999998E-2</v>
      </c>
      <c r="E18" s="375">
        <v>3.5000000000000003E-2</v>
      </c>
      <c r="F18" s="377">
        <v>4.3749999999999997E-2</v>
      </c>
      <c r="G18" s="373">
        <f t="shared" si="0"/>
        <v>3.4999999999999996E-2</v>
      </c>
      <c r="H18" s="375">
        <v>1.25E-3</v>
      </c>
      <c r="I18" s="375">
        <v>3.7499999999999999E-2</v>
      </c>
      <c r="J18" s="375">
        <v>0.04</v>
      </c>
      <c r="K18" s="375">
        <v>0.03</v>
      </c>
      <c r="L18" s="377">
        <v>3.7499999999999999E-2</v>
      </c>
      <c r="M18" s="373">
        <f t="shared" si="1"/>
        <v>2.9249999999999998E-2</v>
      </c>
      <c r="O18" s="371">
        <v>46037</v>
      </c>
      <c r="P18" s="378">
        <v>1.4999999999999999E-2</v>
      </c>
      <c r="Q18" s="375">
        <v>3.7499999999999999E-2</v>
      </c>
      <c r="R18" s="375">
        <v>0.04</v>
      </c>
      <c r="S18" s="375">
        <v>0.05</v>
      </c>
      <c r="T18" s="375">
        <v>5.7500000000000002E-2</v>
      </c>
      <c r="U18" s="375">
        <v>3.5000000000000003E-2</v>
      </c>
      <c r="V18" s="377">
        <v>5.3499999999999999E-2</v>
      </c>
      <c r="W18" s="373">
        <f t="shared" si="2"/>
        <v>4.1214285714285717E-2</v>
      </c>
      <c r="X18" s="378">
        <v>2.5000000000000001E-3</v>
      </c>
      <c r="Y18" s="375">
        <v>2.4E-2</v>
      </c>
      <c r="Z18" s="375">
        <v>2.75E-2</v>
      </c>
      <c r="AA18" s="375">
        <v>3.85E-2</v>
      </c>
      <c r="AB18" s="375">
        <v>4.5499999999999999E-2</v>
      </c>
      <c r="AC18" s="375">
        <v>2.6249999999999999E-2</v>
      </c>
      <c r="AD18" s="377">
        <v>4.4999999999999998E-2</v>
      </c>
      <c r="AE18" s="373">
        <f t="shared" si="3"/>
        <v>2.9892857142857141E-2</v>
      </c>
      <c r="AG18" s="371">
        <v>46037</v>
      </c>
      <c r="AH18" s="378">
        <v>7.4999999999999997E-3</v>
      </c>
      <c r="AI18" s="375">
        <v>4.3749999999999997E-2</v>
      </c>
      <c r="AJ18" s="375">
        <v>4.4999999999999998E-2</v>
      </c>
      <c r="AK18" s="375">
        <v>3.5000000000000003E-2</v>
      </c>
      <c r="AL18" s="377">
        <v>4.3749999999999997E-2</v>
      </c>
      <c r="AM18" s="373">
        <f t="shared" si="4"/>
        <v>3.4999999999999996E-2</v>
      </c>
      <c r="AN18" s="378">
        <v>1.25E-3</v>
      </c>
      <c r="AO18" s="375">
        <v>0.04</v>
      </c>
      <c r="AP18" s="375">
        <v>0.04</v>
      </c>
      <c r="AQ18" s="375">
        <v>0.03</v>
      </c>
      <c r="AR18" s="377">
        <v>0.04</v>
      </c>
      <c r="AS18" s="373">
        <f t="shared" si="5"/>
        <v>3.0249999999999999E-2</v>
      </c>
      <c r="AU18" s="379">
        <v>44301</v>
      </c>
      <c r="AV18" s="375">
        <v>6.8750000000000006E-2</v>
      </c>
      <c r="AW18" s="375">
        <v>5.6250000000000001E-2</v>
      </c>
      <c r="AX18" s="375">
        <v>4.6249999999999999E-2</v>
      </c>
      <c r="AY18" s="375">
        <v>7.4999999999999997E-2</v>
      </c>
      <c r="AZ18" s="375">
        <v>6.8750000000000006E-2</v>
      </c>
      <c r="BA18" s="375">
        <v>5.8749999999999997E-2</v>
      </c>
      <c r="BB18" s="375">
        <v>6.6250000000000003E-2</v>
      </c>
      <c r="BC18" s="375">
        <v>7.1249999999999994E-2</v>
      </c>
      <c r="BD18" s="375">
        <v>7.6249999999999998E-2</v>
      </c>
      <c r="BE18" s="375">
        <v>6.8750000000000006E-2</v>
      </c>
      <c r="BF18" s="375">
        <v>7.1249999999999994E-2</v>
      </c>
      <c r="BG18" s="375">
        <v>3.7499999999999999E-2</v>
      </c>
      <c r="BH18" s="375">
        <v>8.2799999999999999E-2</v>
      </c>
      <c r="BI18" s="373">
        <f t="shared" si="6"/>
        <v>6.521538461538462E-2</v>
      </c>
      <c r="BJ18" s="378"/>
      <c r="BK18" s="375">
        <v>3.875E-2</v>
      </c>
      <c r="BL18" s="375">
        <v>3.3750000000000002E-2</v>
      </c>
      <c r="BM18" s="375">
        <v>0.05</v>
      </c>
      <c r="BN18" s="375">
        <v>5.2499999999999998E-2</v>
      </c>
      <c r="BO18" s="375">
        <v>6.25E-2</v>
      </c>
      <c r="BP18" s="375">
        <v>3.3750000000000002E-2</v>
      </c>
      <c r="BQ18" s="377">
        <v>7.8200000000000006E-2</v>
      </c>
      <c r="BR18" s="380">
        <f t="shared" si="7"/>
        <v>4.9921428571428568E-2</v>
      </c>
      <c r="BT18" s="367">
        <v>44301</v>
      </c>
      <c r="BU18" s="375">
        <f t="shared" si="8"/>
        <v>0</v>
      </c>
      <c r="BV18" s="375">
        <f t="shared" si="9"/>
        <v>6.2499999999999995E-3</v>
      </c>
      <c r="BW18" s="377">
        <f t="shared" si="10"/>
        <v>1.25E-3</v>
      </c>
    </row>
    <row r="19" spans="1:75" x14ac:dyDescent="0.15">
      <c r="A19" s="367">
        <v>46157</v>
      </c>
      <c r="B19" s="375">
        <v>7.4999999999999997E-3</v>
      </c>
      <c r="C19" s="375">
        <v>4.3749999999999997E-2</v>
      </c>
      <c r="D19" s="375">
        <v>4.4999999999999998E-2</v>
      </c>
      <c r="E19" s="375">
        <v>3.5000000000000003E-2</v>
      </c>
      <c r="F19" s="377">
        <v>4.3749999999999997E-2</v>
      </c>
      <c r="G19" s="373">
        <f t="shared" si="0"/>
        <v>3.4999999999999996E-2</v>
      </c>
      <c r="H19" s="375">
        <v>1.25E-3</v>
      </c>
      <c r="I19" s="375">
        <v>0.04</v>
      </c>
      <c r="J19" s="375">
        <v>0.04</v>
      </c>
      <c r="K19" s="375">
        <v>0.03</v>
      </c>
      <c r="L19" s="377">
        <v>0.04</v>
      </c>
      <c r="M19" s="373">
        <f t="shared" si="1"/>
        <v>3.0249999999999999E-2</v>
      </c>
      <c r="O19" s="371">
        <v>46218</v>
      </c>
      <c r="P19" s="378">
        <v>1.4999999999999999E-2</v>
      </c>
      <c r="Q19" s="375">
        <v>3.7499999999999999E-2</v>
      </c>
      <c r="R19" s="375">
        <v>0.04</v>
      </c>
      <c r="S19" s="375">
        <v>0.05</v>
      </c>
      <c r="T19" s="375">
        <v>5.7500000000000002E-2</v>
      </c>
      <c r="U19" s="375">
        <v>3.5000000000000003E-2</v>
      </c>
      <c r="V19" s="377">
        <v>5.3499999999999999E-2</v>
      </c>
      <c r="W19" s="373">
        <f t="shared" si="2"/>
        <v>4.1214285714285717E-2</v>
      </c>
      <c r="X19" s="378">
        <v>2.5000000000000001E-3</v>
      </c>
      <c r="Y19" s="375">
        <v>2.4E-2</v>
      </c>
      <c r="Z19" s="375">
        <v>2.75E-2</v>
      </c>
      <c r="AA19" s="375">
        <v>3.85E-2</v>
      </c>
      <c r="AB19" s="375">
        <v>4.5499999999999999E-2</v>
      </c>
      <c r="AC19" s="375">
        <v>2.6249999999999999E-2</v>
      </c>
      <c r="AD19" s="377">
        <v>4.4999999999999998E-2</v>
      </c>
      <c r="AE19" s="373">
        <f t="shared" si="3"/>
        <v>2.9892857142857141E-2</v>
      </c>
      <c r="AG19" s="371">
        <v>46218</v>
      </c>
      <c r="AH19" s="378">
        <v>7.4999999999999997E-3</v>
      </c>
      <c r="AI19" s="375">
        <v>4.3749999999999997E-2</v>
      </c>
      <c r="AJ19" s="375">
        <v>4.4999999999999998E-2</v>
      </c>
      <c r="AK19" s="375">
        <v>3.5000000000000003E-2</v>
      </c>
      <c r="AL19" s="377">
        <v>4.3749999999999997E-2</v>
      </c>
      <c r="AM19" s="373">
        <f t="shared" si="4"/>
        <v>3.4999999999999996E-2</v>
      </c>
      <c r="AN19" s="378">
        <v>1.25E-3</v>
      </c>
      <c r="AO19" s="375">
        <v>0.04</v>
      </c>
      <c r="AP19" s="375">
        <v>0.04</v>
      </c>
      <c r="AQ19" s="375">
        <v>0.03</v>
      </c>
      <c r="AR19" s="377">
        <v>0.04</v>
      </c>
      <c r="AS19" s="373">
        <f t="shared" si="5"/>
        <v>3.0249999999999999E-2</v>
      </c>
      <c r="AU19" s="379">
        <v>44331</v>
      </c>
      <c r="AV19" s="375"/>
      <c r="AW19" s="375">
        <v>5.6250000000000001E-2</v>
      </c>
      <c r="AX19" s="375">
        <v>4.6249999999999999E-2</v>
      </c>
      <c r="AY19" s="375">
        <v>7.4999999999999997E-2</v>
      </c>
      <c r="AZ19" s="375">
        <v>6.8750000000000006E-2</v>
      </c>
      <c r="BA19" s="375">
        <v>5.8749999999999997E-2</v>
      </c>
      <c r="BB19" s="375">
        <v>6.6250000000000003E-2</v>
      </c>
      <c r="BC19" s="375">
        <v>7.1249999999999994E-2</v>
      </c>
      <c r="BD19" s="375">
        <v>7.6249999999999998E-2</v>
      </c>
      <c r="BE19" s="375">
        <v>6.8750000000000006E-2</v>
      </c>
      <c r="BF19" s="375">
        <v>7.1249999999999994E-2</v>
      </c>
      <c r="BG19" s="375">
        <v>3.7499999999999999E-2</v>
      </c>
      <c r="BH19" s="375">
        <v>8.2799999999999999E-2</v>
      </c>
      <c r="BI19" s="373">
        <f t="shared" si="6"/>
        <v>6.492083333333333E-2</v>
      </c>
      <c r="BJ19" s="378"/>
      <c r="BK19" s="375">
        <v>3.875E-2</v>
      </c>
      <c r="BL19" s="375">
        <v>3.3750000000000002E-2</v>
      </c>
      <c r="BM19" s="375">
        <v>0.05</v>
      </c>
      <c r="BN19" s="375">
        <v>5.2499999999999998E-2</v>
      </c>
      <c r="BO19" s="375">
        <v>6.25E-2</v>
      </c>
      <c r="BP19" s="375">
        <v>3.3750000000000002E-2</v>
      </c>
      <c r="BQ19" s="377">
        <v>7.8200000000000006E-2</v>
      </c>
      <c r="BR19" s="380">
        <f t="shared" si="7"/>
        <v>4.9921428571428568E-2</v>
      </c>
      <c r="BT19" s="367">
        <v>44331</v>
      </c>
      <c r="BU19" s="375">
        <f t="shared" si="8"/>
        <v>1.25E-3</v>
      </c>
      <c r="BV19" s="375">
        <f t="shared" si="9"/>
        <v>6.2499999999999995E-3</v>
      </c>
      <c r="BW19" s="377">
        <f t="shared" si="10"/>
        <v>1.25E-3</v>
      </c>
    </row>
    <row r="20" spans="1:75" x14ac:dyDescent="0.15">
      <c r="A20" s="367">
        <v>46341</v>
      </c>
      <c r="B20" s="375">
        <v>7.4999999999999997E-3</v>
      </c>
      <c r="C20" s="375">
        <v>4.3749999999999997E-2</v>
      </c>
      <c r="D20" s="375">
        <v>4.4999999999999998E-2</v>
      </c>
      <c r="E20" s="375">
        <v>3.5000000000000003E-2</v>
      </c>
      <c r="F20" s="377">
        <v>4.3749999999999997E-2</v>
      </c>
      <c r="G20" s="373">
        <f t="shared" si="0"/>
        <v>3.4999999999999996E-2</v>
      </c>
      <c r="H20" s="375">
        <v>1.25E-3</v>
      </c>
      <c r="I20" s="375">
        <v>0.04</v>
      </c>
      <c r="J20" s="375">
        <v>0.04</v>
      </c>
      <c r="K20" s="375">
        <v>0.03</v>
      </c>
      <c r="L20" s="377">
        <v>0.04</v>
      </c>
      <c r="M20" s="373">
        <f t="shared" si="1"/>
        <v>3.0249999999999999E-2</v>
      </c>
      <c r="O20" s="371">
        <v>46402</v>
      </c>
      <c r="P20" s="378">
        <v>1.4999999999999999E-2</v>
      </c>
      <c r="Q20" s="375">
        <v>0.04</v>
      </c>
      <c r="R20" s="375">
        <v>5.6500000000000002E-2</v>
      </c>
      <c r="S20" s="375">
        <v>5.7500000000000002E-2</v>
      </c>
      <c r="T20" s="375">
        <v>5.7500000000000002E-2</v>
      </c>
      <c r="U20" s="375">
        <v>3.5000000000000003E-2</v>
      </c>
      <c r="V20" s="377">
        <v>5.7500000000000002E-2</v>
      </c>
      <c r="W20" s="373">
        <f t="shared" si="2"/>
        <v>4.5571428571428575E-2</v>
      </c>
      <c r="X20" s="378">
        <v>2.5000000000000001E-3</v>
      </c>
      <c r="Y20" s="375">
        <v>0.03</v>
      </c>
      <c r="Z20" s="375">
        <v>4.65E-2</v>
      </c>
      <c r="AA20" s="375">
        <v>4.7500000000000001E-2</v>
      </c>
      <c r="AB20" s="375">
        <v>4.5499999999999999E-2</v>
      </c>
      <c r="AC20" s="375">
        <v>2.6249999999999999E-2</v>
      </c>
      <c r="AD20" s="377">
        <v>4.7500000000000001E-2</v>
      </c>
      <c r="AE20" s="373">
        <f t="shared" si="3"/>
        <v>3.5107142857142851E-2</v>
      </c>
      <c r="AG20" s="371">
        <v>46402</v>
      </c>
      <c r="AH20" s="378">
        <v>7.4999999999999997E-3</v>
      </c>
      <c r="AI20" s="375">
        <v>4.3749999999999997E-2</v>
      </c>
      <c r="AJ20" s="375">
        <v>0.05</v>
      </c>
      <c r="AK20" s="375">
        <v>3.5000000000000003E-2</v>
      </c>
      <c r="AL20" s="377">
        <v>4.3749999999999997E-2</v>
      </c>
      <c r="AM20" s="373">
        <f t="shared" si="4"/>
        <v>3.5999999999999997E-2</v>
      </c>
      <c r="AN20" s="378">
        <v>1.25E-3</v>
      </c>
      <c r="AO20" s="375">
        <v>0.04</v>
      </c>
      <c r="AP20" s="375">
        <v>4.2500000000000003E-2</v>
      </c>
      <c r="AQ20" s="375">
        <v>0.03</v>
      </c>
      <c r="AR20" s="377">
        <v>4.1250000000000002E-2</v>
      </c>
      <c r="AS20" s="373">
        <f t="shared" si="5"/>
        <v>3.1E-2</v>
      </c>
      <c r="AU20" s="379">
        <v>44362</v>
      </c>
      <c r="AV20" s="375"/>
      <c r="AW20" s="375">
        <v>5.6250000000000001E-2</v>
      </c>
      <c r="AX20" s="375">
        <v>4.6249999999999999E-2</v>
      </c>
      <c r="AY20" s="375">
        <v>7.4999999999999997E-2</v>
      </c>
      <c r="AZ20" s="375">
        <v>6.8750000000000006E-2</v>
      </c>
      <c r="BA20" s="375">
        <v>5.8749999999999997E-2</v>
      </c>
      <c r="BB20" s="375">
        <v>6.6250000000000003E-2</v>
      </c>
      <c r="BC20" s="375">
        <v>7.1249999999999994E-2</v>
      </c>
      <c r="BD20" s="375">
        <v>7.6249999999999998E-2</v>
      </c>
      <c r="BE20" s="375">
        <v>6.8750000000000006E-2</v>
      </c>
      <c r="BF20" s="375">
        <v>7.1249999999999994E-2</v>
      </c>
      <c r="BG20" s="375">
        <v>3.7499999999999999E-2</v>
      </c>
      <c r="BH20" s="375">
        <v>8.2799999999999999E-2</v>
      </c>
      <c r="BI20" s="373">
        <f t="shared" si="6"/>
        <v>6.492083333333333E-2</v>
      </c>
      <c r="BJ20" s="378"/>
      <c r="BK20" s="375">
        <v>3.875E-2</v>
      </c>
      <c r="BL20" s="375">
        <v>3.3750000000000002E-2</v>
      </c>
      <c r="BM20" s="375">
        <v>0.05</v>
      </c>
      <c r="BN20" s="375">
        <v>5.2499999999999998E-2</v>
      </c>
      <c r="BO20" s="375">
        <v>6.25E-2</v>
      </c>
      <c r="BP20" s="375">
        <v>3.3750000000000002E-2</v>
      </c>
      <c r="BQ20" s="377">
        <v>7.8200000000000006E-2</v>
      </c>
      <c r="BR20" s="380">
        <f t="shared" si="7"/>
        <v>4.9921428571428568E-2</v>
      </c>
      <c r="BT20" s="367">
        <v>44362</v>
      </c>
      <c r="BU20" s="375">
        <f t="shared" si="8"/>
        <v>1.25E-3</v>
      </c>
      <c r="BV20" s="375">
        <f t="shared" si="9"/>
        <v>6.2499999999999995E-3</v>
      </c>
      <c r="BW20" s="377">
        <f t="shared" si="10"/>
        <v>1.25E-3</v>
      </c>
    </row>
    <row r="21" spans="1:75" x14ac:dyDescent="0.15">
      <c r="A21" s="367">
        <v>46522</v>
      </c>
      <c r="B21" s="375">
        <v>7.4999999999999997E-3</v>
      </c>
      <c r="C21" s="375">
        <v>4.3749999999999997E-2</v>
      </c>
      <c r="D21" s="375">
        <v>0.05</v>
      </c>
      <c r="E21" s="375">
        <v>3.5000000000000003E-2</v>
      </c>
      <c r="F21" s="377">
        <v>4.3749999999999997E-2</v>
      </c>
      <c r="G21" s="373">
        <f t="shared" si="0"/>
        <v>3.5999999999999997E-2</v>
      </c>
      <c r="H21" s="375">
        <v>1.25E-3</v>
      </c>
      <c r="I21" s="375">
        <v>0.04</v>
      </c>
      <c r="J21" s="375">
        <v>4.2500000000000003E-2</v>
      </c>
      <c r="K21" s="375">
        <v>0.03</v>
      </c>
      <c r="L21" s="377">
        <v>4.1250000000000002E-2</v>
      </c>
      <c r="M21" s="373">
        <f t="shared" si="1"/>
        <v>3.1E-2</v>
      </c>
      <c r="O21" s="371">
        <v>46583</v>
      </c>
      <c r="P21" s="378">
        <v>1.4999999999999999E-2</v>
      </c>
      <c r="Q21" s="375">
        <v>0.04</v>
      </c>
      <c r="R21" s="375">
        <v>5.6500000000000002E-2</v>
      </c>
      <c r="S21" s="375">
        <v>5.7500000000000002E-2</v>
      </c>
      <c r="T21" s="375">
        <v>5.7500000000000002E-2</v>
      </c>
      <c r="U21" s="375">
        <v>3.5000000000000003E-2</v>
      </c>
      <c r="V21" s="377">
        <v>5.7500000000000002E-2</v>
      </c>
      <c r="W21" s="373">
        <f t="shared" si="2"/>
        <v>4.5571428571428575E-2</v>
      </c>
      <c r="X21" s="378">
        <v>2.5000000000000001E-3</v>
      </c>
      <c r="Y21" s="375">
        <v>0.03</v>
      </c>
      <c r="Z21" s="375">
        <v>4.65E-2</v>
      </c>
      <c r="AA21" s="375">
        <v>4.7500000000000001E-2</v>
      </c>
      <c r="AB21" s="375">
        <v>4.5499999999999999E-2</v>
      </c>
      <c r="AC21" s="375">
        <v>2.6249999999999999E-2</v>
      </c>
      <c r="AD21" s="377">
        <v>4.7500000000000001E-2</v>
      </c>
      <c r="AE21" s="373">
        <f t="shared" si="3"/>
        <v>3.5107142857142851E-2</v>
      </c>
      <c r="AG21" s="371">
        <v>46583</v>
      </c>
      <c r="AH21" s="378">
        <v>7.4999999999999997E-3</v>
      </c>
      <c r="AI21" s="375">
        <v>4.3749999999999997E-2</v>
      </c>
      <c r="AJ21" s="375">
        <v>0.05</v>
      </c>
      <c r="AK21" s="375">
        <v>3.5000000000000003E-2</v>
      </c>
      <c r="AL21" s="377">
        <v>4.3749999999999997E-2</v>
      </c>
      <c r="AM21" s="373">
        <f t="shared" si="4"/>
        <v>3.5999999999999997E-2</v>
      </c>
      <c r="AN21" s="378">
        <v>1.25E-3</v>
      </c>
      <c r="AO21" s="375">
        <v>0.04</v>
      </c>
      <c r="AP21" s="375">
        <v>4.2500000000000003E-2</v>
      </c>
      <c r="AQ21" s="375">
        <v>0.03</v>
      </c>
      <c r="AR21" s="377">
        <v>4.1250000000000002E-2</v>
      </c>
      <c r="AS21" s="373">
        <f t="shared" si="5"/>
        <v>3.1E-2</v>
      </c>
      <c r="AU21" s="379">
        <v>44392</v>
      </c>
      <c r="AV21" s="375"/>
      <c r="AW21" s="375">
        <v>5.6250000000000001E-2</v>
      </c>
      <c r="AX21" s="375">
        <v>4.6249999999999999E-2</v>
      </c>
      <c r="AY21" s="375">
        <v>7.4999999999999997E-2</v>
      </c>
      <c r="AZ21" s="375">
        <v>6.8750000000000006E-2</v>
      </c>
      <c r="BA21" s="375">
        <v>5.8749999999999997E-2</v>
      </c>
      <c r="BB21" s="375">
        <v>6.6250000000000003E-2</v>
      </c>
      <c r="BC21" s="375">
        <v>7.1249999999999994E-2</v>
      </c>
      <c r="BD21" s="375">
        <v>7.6249999999999998E-2</v>
      </c>
      <c r="BE21" s="375">
        <v>6.8750000000000006E-2</v>
      </c>
      <c r="BF21" s="375">
        <v>7.1249999999999994E-2</v>
      </c>
      <c r="BG21" s="375">
        <v>3.7499999999999999E-2</v>
      </c>
      <c r="BH21" s="375">
        <v>8.2799999999999999E-2</v>
      </c>
      <c r="BI21" s="373">
        <f t="shared" si="6"/>
        <v>6.492083333333333E-2</v>
      </c>
      <c r="BJ21" s="378"/>
      <c r="BK21" s="375">
        <v>3.875E-2</v>
      </c>
      <c r="BL21" s="375">
        <v>3.3750000000000002E-2</v>
      </c>
      <c r="BM21" s="375">
        <v>0.05</v>
      </c>
      <c r="BN21" s="375">
        <v>5.2499999999999998E-2</v>
      </c>
      <c r="BO21" s="375">
        <v>6.25E-2</v>
      </c>
      <c r="BP21" s="375">
        <v>3.3750000000000002E-2</v>
      </c>
      <c r="BQ21" s="377">
        <v>7.8200000000000006E-2</v>
      </c>
      <c r="BR21" s="380">
        <f t="shared" si="7"/>
        <v>4.9921428571428568E-2</v>
      </c>
      <c r="BT21" s="367">
        <v>44392</v>
      </c>
      <c r="BU21" s="375">
        <f t="shared" si="8"/>
        <v>1.25E-3</v>
      </c>
      <c r="BV21" s="375">
        <f t="shared" si="9"/>
        <v>6.2499999999999995E-3</v>
      </c>
      <c r="BW21" s="377">
        <f t="shared" si="10"/>
        <v>1.25E-3</v>
      </c>
    </row>
    <row r="22" spans="1:75" x14ac:dyDescent="0.15">
      <c r="A22" s="367">
        <v>46706</v>
      </c>
      <c r="B22" s="375">
        <v>7.4999999999999997E-3</v>
      </c>
      <c r="C22" s="375">
        <v>4.3749999999999997E-2</v>
      </c>
      <c r="D22" s="375">
        <v>0.05</v>
      </c>
      <c r="E22" s="375">
        <v>3.5000000000000003E-2</v>
      </c>
      <c r="F22" s="377">
        <v>4.3749999999999997E-2</v>
      </c>
      <c r="G22" s="373">
        <f t="shared" si="0"/>
        <v>3.5999999999999997E-2</v>
      </c>
      <c r="H22" s="375">
        <v>1.25E-3</v>
      </c>
      <c r="I22" s="375">
        <v>0.04</v>
      </c>
      <c r="J22" s="375">
        <v>4.2500000000000003E-2</v>
      </c>
      <c r="K22" s="375">
        <v>0.03</v>
      </c>
      <c r="L22" s="377">
        <v>4.1250000000000002E-2</v>
      </c>
      <c r="M22" s="373">
        <f t="shared" si="1"/>
        <v>3.1E-2</v>
      </c>
      <c r="O22" s="371">
        <v>46767</v>
      </c>
      <c r="P22" s="378"/>
      <c r="Q22" s="375">
        <v>0.04</v>
      </c>
      <c r="R22" s="375">
        <v>5.6500000000000002E-2</v>
      </c>
      <c r="S22" s="375">
        <v>5.7500000000000002E-2</v>
      </c>
      <c r="T22" s="375">
        <v>5.7500000000000002E-2</v>
      </c>
      <c r="U22" s="375">
        <v>3.5000000000000003E-2</v>
      </c>
      <c r="V22" s="377">
        <v>5.7500000000000002E-2</v>
      </c>
      <c r="W22" s="373">
        <f t="shared" si="2"/>
        <v>5.0666666666666665E-2</v>
      </c>
      <c r="X22" s="378"/>
      <c r="Y22" s="375">
        <v>0.03</v>
      </c>
      <c r="Z22" s="375">
        <v>4.65E-2</v>
      </c>
      <c r="AA22" s="375">
        <v>4.7500000000000001E-2</v>
      </c>
      <c r="AB22" s="375">
        <v>4.5499999999999999E-2</v>
      </c>
      <c r="AC22" s="375">
        <v>2.6249999999999999E-2</v>
      </c>
      <c r="AD22" s="377">
        <v>4.7500000000000001E-2</v>
      </c>
      <c r="AE22" s="373">
        <f t="shared" si="3"/>
        <v>4.0541666666666663E-2</v>
      </c>
      <c r="AG22" s="371">
        <v>46767</v>
      </c>
      <c r="AH22" s="378">
        <v>1.7500000000000002E-2</v>
      </c>
      <c r="AI22" s="375">
        <v>4.3749999999999997E-2</v>
      </c>
      <c r="AJ22" s="375">
        <v>0.05</v>
      </c>
      <c r="AK22" s="375">
        <v>3.5000000000000003E-2</v>
      </c>
      <c r="AL22" s="377">
        <v>4.3749999999999997E-2</v>
      </c>
      <c r="AM22" s="373">
        <f t="shared" si="4"/>
        <v>3.7999999999999999E-2</v>
      </c>
      <c r="AN22" s="378">
        <v>1.25E-3</v>
      </c>
      <c r="AO22" s="375">
        <v>0.04</v>
      </c>
      <c r="AP22" s="375">
        <v>4.2500000000000003E-2</v>
      </c>
      <c r="AQ22" s="375">
        <v>0.03</v>
      </c>
      <c r="AR22" s="377">
        <v>4.1250000000000002E-2</v>
      </c>
      <c r="AS22" s="373">
        <f t="shared" si="5"/>
        <v>3.1E-2</v>
      </c>
      <c r="AU22" s="379">
        <v>44423</v>
      </c>
      <c r="AV22" s="375"/>
      <c r="AW22" s="375">
        <v>5.6250000000000001E-2</v>
      </c>
      <c r="AX22" s="375">
        <v>4.6249999999999999E-2</v>
      </c>
      <c r="AY22" s="375">
        <v>7.4999999999999997E-2</v>
      </c>
      <c r="AZ22" s="375">
        <v>6.8750000000000006E-2</v>
      </c>
      <c r="BA22" s="375">
        <v>5.8749999999999997E-2</v>
      </c>
      <c r="BB22" s="375">
        <v>6.6250000000000003E-2</v>
      </c>
      <c r="BC22" s="375">
        <v>7.1249999999999994E-2</v>
      </c>
      <c r="BD22" s="375">
        <v>7.6249999999999998E-2</v>
      </c>
      <c r="BE22" s="375">
        <v>6.8750000000000006E-2</v>
      </c>
      <c r="BF22" s="375">
        <v>7.1249999999999994E-2</v>
      </c>
      <c r="BG22" s="375">
        <v>3.7499999999999999E-2</v>
      </c>
      <c r="BH22" s="375">
        <v>8.2799999999999999E-2</v>
      </c>
      <c r="BI22" s="373">
        <f t="shared" si="6"/>
        <v>6.492083333333333E-2</v>
      </c>
      <c r="BJ22" s="378"/>
      <c r="BK22" s="375">
        <v>3.875E-2</v>
      </c>
      <c r="BL22" s="375">
        <v>3.3750000000000002E-2</v>
      </c>
      <c r="BM22" s="375">
        <v>0.05</v>
      </c>
      <c r="BN22" s="375">
        <v>5.2499999999999998E-2</v>
      </c>
      <c r="BO22" s="375">
        <v>6.25E-2</v>
      </c>
      <c r="BP22" s="375">
        <v>3.3750000000000002E-2</v>
      </c>
      <c r="BQ22" s="377">
        <v>7.8200000000000006E-2</v>
      </c>
      <c r="BR22" s="380">
        <f t="shared" si="7"/>
        <v>4.9921428571428568E-2</v>
      </c>
      <c r="BT22" s="367">
        <v>44423</v>
      </c>
      <c r="BU22" s="375">
        <f t="shared" si="8"/>
        <v>1.25E-3</v>
      </c>
      <c r="BV22" s="375">
        <f t="shared" si="9"/>
        <v>6.2499999999999995E-3</v>
      </c>
      <c r="BW22" s="377">
        <f t="shared" si="10"/>
        <v>1.25E-3</v>
      </c>
    </row>
    <row r="23" spans="1:75" x14ac:dyDescent="0.15">
      <c r="A23" s="367">
        <v>46888</v>
      </c>
      <c r="B23" s="375">
        <v>1.7500000000000002E-2</v>
      </c>
      <c r="C23" s="375">
        <v>4.3749999999999997E-2</v>
      </c>
      <c r="D23" s="375">
        <v>0.05</v>
      </c>
      <c r="E23" s="375">
        <v>3.5000000000000003E-2</v>
      </c>
      <c r="F23" s="377">
        <v>4.3749999999999997E-2</v>
      </c>
      <c r="G23" s="373">
        <f t="shared" si="0"/>
        <v>3.7999999999999999E-2</v>
      </c>
      <c r="H23" s="375">
        <v>1.25E-3</v>
      </c>
      <c r="I23" s="375">
        <v>0.04</v>
      </c>
      <c r="J23" s="375">
        <v>4.2500000000000003E-2</v>
      </c>
      <c r="K23" s="375">
        <v>0.03</v>
      </c>
      <c r="L23" s="377">
        <v>4.1250000000000002E-2</v>
      </c>
      <c r="M23" s="373">
        <f t="shared" si="1"/>
        <v>3.1E-2</v>
      </c>
      <c r="O23" s="371">
        <v>46949</v>
      </c>
      <c r="P23" s="378"/>
      <c r="Q23" s="375">
        <v>0.04</v>
      </c>
      <c r="R23" s="375">
        <v>5.6500000000000002E-2</v>
      </c>
      <c r="S23" s="375">
        <v>5.7500000000000002E-2</v>
      </c>
      <c r="T23" s="375">
        <v>5.7500000000000002E-2</v>
      </c>
      <c r="U23" s="375">
        <v>3.5000000000000003E-2</v>
      </c>
      <c r="V23" s="377">
        <v>5.7500000000000002E-2</v>
      </c>
      <c r="W23" s="373">
        <f t="shared" si="2"/>
        <v>5.0666666666666665E-2</v>
      </c>
      <c r="X23" s="378"/>
      <c r="Y23" s="375">
        <v>0.03</v>
      </c>
      <c r="Z23" s="375">
        <v>4.65E-2</v>
      </c>
      <c r="AA23" s="375">
        <v>4.7500000000000001E-2</v>
      </c>
      <c r="AB23" s="375">
        <v>4.5499999999999999E-2</v>
      </c>
      <c r="AC23" s="375">
        <v>2.6249999999999999E-2</v>
      </c>
      <c r="AD23" s="377">
        <v>4.7500000000000001E-2</v>
      </c>
      <c r="AE23" s="373">
        <f t="shared" si="3"/>
        <v>4.0541666666666663E-2</v>
      </c>
      <c r="AG23" s="371">
        <v>46949</v>
      </c>
      <c r="AH23" s="378">
        <v>1.7500000000000002E-2</v>
      </c>
      <c r="AI23" s="375">
        <v>4.3749999999999997E-2</v>
      </c>
      <c r="AJ23" s="375">
        <v>0.05</v>
      </c>
      <c r="AK23" s="375">
        <v>3.5000000000000003E-2</v>
      </c>
      <c r="AL23" s="377">
        <v>4.3749999999999997E-2</v>
      </c>
      <c r="AM23" s="373">
        <f t="shared" si="4"/>
        <v>3.7999999999999999E-2</v>
      </c>
      <c r="AN23" s="378">
        <v>1.25E-3</v>
      </c>
      <c r="AO23" s="375">
        <v>0.04</v>
      </c>
      <c r="AP23" s="375">
        <v>4.2500000000000003E-2</v>
      </c>
      <c r="AQ23" s="375">
        <v>0.03</v>
      </c>
      <c r="AR23" s="377">
        <v>4.1250000000000002E-2</v>
      </c>
      <c r="AS23" s="373">
        <f t="shared" si="5"/>
        <v>3.1E-2</v>
      </c>
      <c r="AU23" s="379">
        <v>44454</v>
      </c>
      <c r="AV23" s="375"/>
      <c r="AW23" s="375">
        <v>5.6250000000000001E-2</v>
      </c>
      <c r="AX23" s="375">
        <v>4.6249999999999999E-2</v>
      </c>
      <c r="AY23" s="375">
        <v>7.4999999999999997E-2</v>
      </c>
      <c r="AZ23" s="375">
        <v>6.8750000000000006E-2</v>
      </c>
      <c r="BA23" s="375">
        <v>5.8749999999999997E-2</v>
      </c>
      <c r="BB23" s="375">
        <v>6.6250000000000003E-2</v>
      </c>
      <c r="BC23" s="375">
        <v>7.1249999999999994E-2</v>
      </c>
      <c r="BD23" s="375">
        <v>7.6249999999999998E-2</v>
      </c>
      <c r="BE23" s="375">
        <v>6.8750000000000006E-2</v>
      </c>
      <c r="BF23" s="375">
        <v>7.1249999999999994E-2</v>
      </c>
      <c r="BG23" s="375">
        <v>3.7499999999999999E-2</v>
      </c>
      <c r="BH23" s="375">
        <v>8.2799999999999999E-2</v>
      </c>
      <c r="BI23" s="373">
        <f t="shared" si="6"/>
        <v>6.492083333333333E-2</v>
      </c>
      <c r="BJ23" s="378"/>
      <c r="BK23" s="375">
        <v>3.875E-2</v>
      </c>
      <c r="BL23" s="375">
        <v>3.3750000000000002E-2</v>
      </c>
      <c r="BM23" s="375">
        <v>0.05</v>
      </c>
      <c r="BN23" s="375">
        <v>5.2499999999999998E-2</v>
      </c>
      <c r="BO23" s="375">
        <v>6.25E-2</v>
      </c>
      <c r="BP23" s="375">
        <v>3.3750000000000002E-2</v>
      </c>
      <c r="BQ23" s="377">
        <v>7.8200000000000006E-2</v>
      </c>
      <c r="BR23" s="380">
        <f t="shared" si="7"/>
        <v>4.9921428571428568E-2</v>
      </c>
      <c r="BT23" s="367">
        <v>44454</v>
      </c>
      <c r="BU23" s="375">
        <f t="shared" si="8"/>
        <v>1.25E-3</v>
      </c>
      <c r="BV23" s="375">
        <f t="shared" si="9"/>
        <v>6.2499999999999995E-3</v>
      </c>
      <c r="BW23" s="377">
        <f t="shared" si="10"/>
        <v>1.25E-3</v>
      </c>
    </row>
    <row r="24" spans="1:75" x14ac:dyDescent="0.15">
      <c r="A24" s="367">
        <v>47072</v>
      </c>
      <c r="B24" s="375">
        <v>1.7500000000000002E-2</v>
      </c>
      <c r="C24" s="375">
        <v>4.3749999999999997E-2</v>
      </c>
      <c r="D24" s="375">
        <v>0.05</v>
      </c>
      <c r="E24" s="375">
        <v>3.5000000000000003E-2</v>
      </c>
      <c r="F24" s="377">
        <v>4.3749999999999997E-2</v>
      </c>
      <c r="G24" s="373">
        <f t="shared" si="0"/>
        <v>3.7999999999999999E-2</v>
      </c>
      <c r="H24" s="375">
        <v>1.25E-3</v>
      </c>
      <c r="I24" s="375">
        <v>0.04</v>
      </c>
      <c r="J24" s="375">
        <v>4.2500000000000003E-2</v>
      </c>
      <c r="K24" s="375">
        <v>0.03</v>
      </c>
      <c r="L24" s="377">
        <v>4.1250000000000002E-2</v>
      </c>
      <c r="M24" s="373">
        <f t="shared" si="1"/>
        <v>3.1E-2</v>
      </c>
      <c r="O24" s="371">
        <v>47133</v>
      </c>
      <c r="P24" s="378"/>
      <c r="Q24" s="375">
        <v>0.04</v>
      </c>
      <c r="R24" s="375">
        <v>5.6500000000000002E-2</v>
      </c>
      <c r="S24" s="375">
        <v>5.7500000000000002E-2</v>
      </c>
      <c r="T24" s="375">
        <v>5.7500000000000002E-2</v>
      </c>
      <c r="U24" s="375">
        <v>3.5000000000000003E-2</v>
      </c>
      <c r="V24" s="377">
        <v>5.7500000000000002E-2</v>
      </c>
      <c r="W24" s="373">
        <f t="shared" si="2"/>
        <v>5.0666666666666665E-2</v>
      </c>
      <c r="X24" s="378"/>
      <c r="Y24" s="375">
        <v>0.03</v>
      </c>
      <c r="Z24" s="375">
        <v>4.65E-2</v>
      </c>
      <c r="AA24" s="375">
        <v>4.7500000000000001E-2</v>
      </c>
      <c r="AB24" s="375">
        <v>4.5499999999999999E-2</v>
      </c>
      <c r="AC24" s="375">
        <v>2.6249999999999999E-2</v>
      </c>
      <c r="AD24" s="377">
        <v>4.7500000000000001E-2</v>
      </c>
      <c r="AE24" s="373">
        <f t="shared" si="3"/>
        <v>4.0541666666666663E-2</v>
      </c>
      <c r="AG24" s="371">
        <v>47133</v>
      </c>
      <c r="AH24" s="378">
        <v>1.7500000000000002E-2</v>
      </c>
      <c r="AI24" s="375">
        <v>0.05</v>
      </c>
      <c r="AJ24" s="375">
        <v>0.05</v>
      </c>
      <c r="AK24" s="375">
        <v>3.5000000000000003E-2</v>
      </c>
      <c r="AL24" s="377">
        <v>0.05</v>
      </c>
      <c r="AM24" s="373">
        <f t="shared" si="4"/>
        <v>4.0500000000000001E-2</v>
      </c>
      <c r="AN24" s="378">
        <v>1.25E-3</v>
      </c>
      <c r="AO24" s="375">
        <v>0.04</v>
      </c>
      <c r="AP24" s="375">
        <v>4.2500000000000003E-2</v>
      </c>
      <c r="AQ24" s="375">
        <v>0.03</v>
      </c>
      <c r="AR24" s="377">
        <v>4.1250000000000002E-2</v>
      </c>
      <c r="AS24" s="373">
        <f t="shared" si="5"/>
        <v>3.1E-2</v>
      </c>
      <c r="AU24" s="379">
        <v>44484</v>
      </c>
      <c r="AV24" s="375"/>
      <c r="AW24" s="375">
        <v>5.6250000000000001E-2</v>
      </c>
      <c r="AX24" s="375">
        <v>4.6249999999999999E-2</v>
      </c>
      <c r="AY24" s="375">
        <v>7.4999999999999997E-2</v>
      </c>
      <c r="AZ24" s="375">
        <v>6.8750000000000006E-2</v>
      </c>
      <c r="BA24" s="375">
        <v>5.8749999999999997E-2</v>
      </c>
      <c r="BB24" s="375">
        <v>6.6250000000000003E-2</v>
      </c>
      <c r="BC24" s="375">
        <v>7.1249999999999994E-2</v>
      </c>
      <c r="BD24" s="375">
        <v>7.6249999999999998E-2</v>
      </c>
      <c r="BE24" s="375">
        <v>6.8750000000000006E-2</v>
      </c>
      <c r="BF24" s="375">
        <v>7.1249999999999994E-2</v>
      </c>
      <c r="BG24" s="375">
        <v>3.7499999999999999E-2</v>
      </c>
      <c r="BH24" s="375">
        <v>8.2799999999999999E-2</v>
      </c>
      <c r="BI24" s="373">
        <f t="shared" si="6"/>
        <v>6.492083333333333E-2</v>
      </c>
      <c r="BJ24" s="378"/>
      <c r="BK24" s="375">
        <v>3.875E-2</v>
      </c>
      <c r="BL24" s="375">
        <v>3.3750000000000002E-2</v>
      </c>
      <c r="BM24" s="375">
        <v>0.05</v>
      </c>
      <c r="BN24" s="375">
        <v>5.2499999999999998E-2</v>
      </c>
      <c r="BO24" s="375">
        <v>6.25E-2</v>
      </c>
      <c r="BP24" s="375">
        <v>3.3750000000000002E-2</v>
      </c>
      <c r="BQ24" s="377">
        <v>7.8200000000000006E-2</v>
      </c>
      <c r="BR24" s="380">
        <f t="shared" si="7"/>
        <v>4.9921428571428568E-2</v>
      </c>
      <c r="BT24" s="367">
        <v>44484</v>
      </c>
      <c r="BU24" s="375">
        <f t="shared" si="8"/>
        <v>1.25E-3</v>
      </c>
      <c r="BV24" s="375">
        <f t="shared" si="9"/>
        <v>6.2499999999999995E-3</v>
      </c>
      <c r="BW24" s="377">
        <f t="shared" si="10"/>
        <v>1.25E-3</v>
      </c>
    </row>
    <row r="25" spans="1:75" x14ac:dyDescent="0.15">
      <c r="A25" s="367">
        <v>47253</v>
      </c>
      <c r="B25" s="375">
        <v>1.7500000000000002E-2</v>
      </c>
      <c r="C25" s="375">
        <v>0.05</v>
      </c>
      <c r="D25" s="375">
        <v>0.05</v>
      </c>
      <c r="E25" s="375">
        <v>3.5000000000000003E-2</v>
      </c>
      <c r="F25" s="377">
        <v>0.05</v>
      </c>
      <c r="G25" s="373">
        <f t="shared" si="0"/>
        <v>4.0500000000000001E-2</v>
      </c>
      <c r="H25" s="375">
        <v>1.25E-3</v>
      </c>
      <c r="I25" s="375">
        <v>0.04</v>
      </c>
      <c r="J25" s="375">
        <v>4.2500000000000003E-2</v>
      </c>
      <c r="K25" s="375">
        <v>0.03</v>
      </c>
      <c r="L25" s="377">
        <v>4.1250000000000002E-2</v>
      </c>
      <c r="M25" s="373">
        <f t="shared" si="1"/>
        <v>3.1E-2</v>
      </c>
      <c r="O25" s="371">
        <v>47314</v>
      </c>
      <c r="P25" s="378"/>
      <c r="Q25" s="375">
        <v>0.04</v>
      </c>
      <c r="R25" s="375">
        <v>5.6500000000000002E-2</v>
      </c>
      <c r="S25" s="375">
        <v>5.7500000000000002E-2</v>
      </c>
      <c r="T25" s="375">
        <v>5.7500000000000002E-2</v>
      </c>
      <c r="U25" s="375">
        <v>4.7500000000000001E-2</v>
      </c>
      <c r="V25" s="377">
        <v>5.7500000000000002E-2</v>
      </c>
      <c r="W25" s="373">
        <f t="shared" si="2"/>
        <v>5.2749999999999998E-2</v>
      </c>
      <c r="X25" s="378"/>
      <c r="Y25" s="375">
        <v>0.03</v>
      </c>
      <c r="Z25" s="375">
        <v>4.65E-2</v>
      </c>
      <c r="AA25" s="375">
        <v>4.7500000000000001E-2</v>
      </c>
      <c r="AB25" s="375">
        <v>4.5499999999999999E-2</v>
      </c>
      <c r="AC25" s="375">
        <v>4.2500000000000003E-2</v>
      </c>
      <c r="AD25" s="377">
        <v>4.7500000000000001E-2</v>
      </c>
      <c r="AE25" s="373">
        <f t="shared" si="3"/>
        <v>4.3250000000000004E-2</v>
      </c>
      <c r="AG25" s="371">
        <v>47314</v>
      </c>
      <c r="AH25" s="378">
        <v>1.7500000000000002E-2</v>
      </c>
      <c r="AI25" s="375">
        <v>0.05</v>
      </c>
      <c r="AJ25" s="375">
        <v>0.05</v>
      </c>
      <c r="AK25" s="375">
        <v>4.8750000000000002E-2</v>
      </c>
      <c r="AL25" s="377">
        <v>0.05</v>
      </c>
      <c r="AM25" s="373">
        <f t="shared" si="4"/>
        <v>4.3249999999999997E-2</v>
      </c>
      <c r="AN25" s="378">
        <v>1.25E-3</v>
      </c>
      <c r="AO25" s="375">
        <v>0.04</v>
      </c>
      <c r="AP25" s="375">
        <v>4.2500000000000003E-2</v>
      </c>
      <c r="AQ25" s="375">
        <v>4.4999999999999998E-2</v>
      </c>
      <c r="AR25" s="377">
        <v>4.1250000000000002E-2</v>
      </c>
      <c r="AS25" s="373">
        <f t="shared" si="5"/>
        <v>3.4000000000000002E-2</v>
      </c>
      <c r="AU25" s="379">
        <v>44515</v>
      </c>
      <c r="AV25" s="375"/>
      <c r="AW25" s="375">
        <v>5.6250000000000001E-2</v>
      </c>
      <c r="AX25" s="375">
        <v>4.6249999999999999E-2</v>
      </c>
      <c r="AY25" s="375">
        <v>7.4999999999999997E-2</v>
      </c>
      <c r="AZ25" s="375">
        <v>6.8750000000000006E-2</v>
      </c>
      <c r="BA25" s="375">
        <v>5.8749999999999997E-2</v>
      </c>
      <c r="BB25" s="375">
        <v>6.6250000000000003E-2</v>
      </c>
      <c r="BC25" s="375">
        <v>7.1249999999999994E-2</v>
      </c>
      <c r="BD25" s="375">
        <v>7.6249999999999998E-2</v>
      </c>
      <c r="BE25" s="375">
        <v>6.8750000000000006E-2</v>
      </c>
      <c r="BF25" s="375">
        <v>7.1249999999999994E-2</v>
      </c>
      <c r="BG25" s="375">
        <v>3.7499999999999999E-2</v>
      </c>
      <c r="BH25" s="375">
        <v>8.2799999999999999E-2</v>
      </c>
      <c r="BI25" s="373">
        <f t="shared" si="6"/>
        <v>6.492083333333333E-2</v>
      </c>
      <c r="BJ25" s="378"/>
      <c r="BK25" s="375">
        <v>3.875E-2</v>
      </c>
      <c r="BL25" s="375">
        <v>3.3750000000000002E-2</v>
      </c>
      <c r="BM25" s="375">
        <v>0.05</v>
      </c>
      <c r="BN25" s="375">
        <v>5.2499999999999998E-2</v>
      </c>
      <c r="BO25" s="375">
        <v>6.25E-2</v>
      </c>
      <c r="BP25" s="375">
        <v>3.3750000000000002E-2</v>
      </c>
      <c r="BQ25" s="377">
        <v>7.8200000000000006E-2</v>
      </c>
      <c r="BR25" s="380">
        <f t="shared" si="7"/>
        <v>4.9921428571428568E-2</v>
      </c>
      <c r="BT25" s="367">
        <v>44515</v>
      </c>
      <c r="BU25" s="375">
        <f t="shared" si="8"/>
        <v>1.25E-3</v>
      </c>
      <c r="BV25" s="375">
        <f t="shared" si="9"/>
        <v>6.2499999999999995E-3</v>
      </c>
      <c r="BW25" s="377">
        <f t="shared" si="10"/>
        <v>1.25E-3</v>
      </c>
    </row>
    <row r="26" spans="1:75" x14ac:dyDescent="0.15">
      <c r="A26" s="367">
        <v>47437</v>
      </c>
      <c r="B26" s="375">
        <v>1.7500000000000002E-2</v>
      </c>
      <c r="C26" s="375">
        <v>0.05</v>
      </c>
      <c r="D26" s="375">
        <v>0.05</v>
      </c>
      <c r="E26" s="375">
        <v>4.8750000000000002E-2</v>
      </c>
      <c r="F26" s="377">
        <v>0.05</v>
      </c>
      <c r="G26" s="373">
        <f t="shared" si="0"/>
        <v>4.3249999999999997E-2</v>
      </c>
      <c r="H26" s="375">
        <v>1.25E-3</v>
      </c>
      <c r="I26" s="375">
        <v>0.04</v>
      </c>
      <c r="J26" s="375">
        <v>4.2500000000000003E-2</v>
      </c>
      <c r="K26" s="375">
        <v>4.4999999999999998E-2</v>
      </c>
      <c r="L26" s="377">
        <v>4.1250000000000002E-2</v>
      </c>
      <c r="M26" s="373">
        <f t="shared" si="1"/>
        <v>3.4000000000000002E-2</v>
      </c>
      <c r="O26" s="371">
        <v>47498</v>
      </c>
      <c r="P26" s="378"/>
      <c r="Q26" s="375">
        <v>0.04</v>
      </c>
      <c r="R26" s="375">
        <v>5.6500000000000002E-2</v>
      </c>
      <c r="S26" s="375">
        <v>5.7500000000000002E-2</v>
      </c>
      <c r="T26" s="375">
        <v>5.7500000000000002E-2</v>
      </c>
      <c r="U26" s="375">
        <v>4.7500000000000001E-2</v>
      </c>
      <c r="V26" s="377">
        <v>5.7500000000000002E-2</v>
      </c>
      <c r="W26" s="373">
        <f t="shared" si="2"/>
        <v>5.2749999999999998E-2</v>
      </c>
      <c r="X26" s="378"/>
      <c r="Y26" s="375">
        <v>0.03</v>
      </c>
      <c r="Z26" s="375">
        <v>4.65E-2</v>
      </c>
      <c r="AA26" s="375">
        <v>4.7500000000000001E-2</v>
      </c>
      <c r="AB26" s="375">
        <v>4.5499999999999999E-2</v>
      </c>
      <c r="AC26" s="375">
        <v>4.2500000000000003E-2</v>
      </c>
      <c r="AD26" s="377">
        <v>4.7500000000000001E-2</v>
      </c>
      <c r="AE26" s="373">
        <f t="shared" si="3"/>
        <v>4.3250000000000004E-2</v>
      </c>
      <c r="AG26" s="371">
        <v>47498</v>
      </c>
      <c r="AH26" s="378">
        <v>1.7500000000000002E-2</v>
      </c>
      <c r="AI26" s="375">
        <v>0.05</v>
      </c>
      <c r="AJ26" s="375">
        <v>0.05</v>
      </c>
      <c r="AK26" s="375">
        <v>4.8750000000000002E-2</v>
      </c>
      <c r="AL26" s="377">
        <v>0.05</v>
      </c>
      <c r="AM26" s="373">
        <f t="shared" si="4"/>
        <v>4.3249999999999997E-2</v>
      </c>
      <c r="AN26" s="378">
        <v>1.25E-3</v>
      </c>
      <c r="AO26" s="375">
        <v>0.04</v>
      </c>
      <c r="AP26" s="375">
        <v>4.2500000000000003E-2</v>
      </c>
      <c r="AQ26" s="375">
        <v>4.4999999999999998E-2</v>
      </c>
      <c r="AR26" s="377">
        <v>4.1250000000000002E-2</v>
      </c>
      <c r="AS26" s="373">
        <f t="shared" si="5"/>
        <v>3.4000000000000002E-2</v>
      </c>
      <c r="AU26" s="379">
        <v>44545</v>
      </c>
      <c r="AV26" s="375"/>
      <c r="AW26" s="375">
        <v>5.6250000000000001E-2</v>
      </c>
      <c r="AX26" s="375">
        <v>4.6249999999999999E-2</v>
      </c>
      <c r="AY26" s="375">
        <v>7.4999999999999997E-2</v>
      </c>
      <c r="AZ26" s="375">
        <v>6.8750000000000006E-2</v>
      </c>
      <c r="BA26" s="375">
        <v>5.8749999999999997E-2</v>
      </c>
      <c r="BB26" s="375">
        <v>6.6250000000000003E-2</v>
      </c>
      <c r="BC26" s="375">
        <v>7.1249999999999994E-2</v>
      </c>
      <c r="BD26" s="375">
        <v>7.6249999999999998E-2</v>
      </c>
      <c r="BE26" s="375">
        <v>6.8750000000000006E-2</v>
      </c>
      <c r="BF26" s="375">
        <v>7.1249999999999994E-2</v>
      </c>
      <c r="BG26" s="375">
        <v>3.7499999999999999E-2</v>
      </c>
      <c r="BH26" s="375">
        <v>8.2799999999999999E-2</v>
      </c>
      <c r="BI26" s="373">
        <f t="shared" si="6"/>
        <v>6.492083333333333E-2</v>
      </c>
      <c r="BJ26" s="378"/>
      <c r="BK26" s="375">
        <v>3.875E-2</v>
      </c>
      <c r="BL26" s="375">
        <v>3.3750000000000002E-2</v>
      </c>
      <c r="BM26" s="375">
        <v>0.05</v>
      </c>
      <c r="BN26" s="375">
        <v>5.2499999999999998E-2</v>
      </c>
      <c r="BO26" s="375">
        <v>6.25E-2</v>
      </c>
      <c r="BP26" s="375">
        <v>3.3750000000000002E-2</v>
      </c>
      <c r="BQ26" s="377">
        <v>7.8200000000000006E-2</v>
      </c>
      <c r="BR26" s="380">
        <f t="shared" si="7"/>
        <v>4.9921428571428568E-2</v>
      </c>
      <c r="BT26" s="367">
        <v>44545</v>
      </c>
      <c r="BU26" s="375">
        <f t="shared" si="8"/>
        <v>1.25E-3</v>
      </c>
      <c r="BV26" s="375">
        <f t="shared" si="9"/>
        <v>6.2499999999999995E-3</v>
      </c>
      <c r="BW26" s="377">
        <f t="shared" si="10"/>
        <v>1.25E-3</v>
      </c>
    </row>
    <row r="27" spans="1:75" x14ac:dyDescent="0.15">
      <c r="A27" s="367">
        <v>47618</v>
      </c>
      <c r="B27" s="375">
        <v>1.7500000000000002E-2</v>
      </c>
      <c r="C27" s="375">
        <v>0.05</v>
      </c>
      <c r="D27" s="375">
        <v>0.05</v>
      </c>
      <c r="E27" s="375">
        <v>4.8750000000000002E-2</v>
      </c>
      <c r="F27" s="377">
        <v>0.05</v>
      </c>
      <c r="G27" s="373">
        <f t="shared" si="0"/>
        <v>4.3249999999999997E-2</v>
      </c>
      <c r="H27" s="375">
        <v>1.25E-3</v>
      </c>
      <c r="I27" s="375">
        <v>0.04</v>
      </c>
      <c r="J27" s="375">
        <v>4.2500000000000003E-2</v>
      </c>
      <c r="K27" s="375">
        <v>4.4999999999999998E-2</v>
      </c>
      <c r="L27" s="377">
        <v>4.1250000000000002E-2</v>
      </c>
      <c r="M27" s="373">
        <f t="shared" si="1"/>
        <v>3.4000000000000002E-2</v>
      </c>
      <c r="O27" s="371">
        <v>47679</v>
      </c>
      <c r="P27" s="378"/>
      <c r="Q27" s="375">
        <v>0.04</v>
      </c>
      <c r="R27" s="375">
        <v>5.6500000000000002E-2</v>
      </c>
      <c r="S27" s="375">
        <v>5.7500000000000002E-2</v>
      </c>
      <c r="T27" s="375">
        <v>5.7500000000000002E-2</v>
      </c>
      <c r="U27" s="375">
        <v>4.7500000000000001E-2</v>
      </c>
      <c r="V27" s="377">
        <v>5.7500000000000002E-2</v>
      </c>
      <c r="W27" s="373">
        <f t="shared" si="2"/>
        <v>5.2749999999999998E-2</v>
      </c>
      <c r="X27" s="378"/>
      <c r="Y27" s="375">
        <v>0.03</v>
      </c>
      <c r="Z27" s="375">
        <v>4.65E-2</v>
      </c>
      <c r="AA27" s="375">
        <v>4.7500000000000001E-2</v>
      </c>
      <c r="AB27" s="375">
        <v>4.5499999999999999E-2</v>
      </c>
      <c r="AC27" s="375">
        <v>4.2500000000000003E-2</v>
      </c>
      <c r="AD27" s="377">
        <v>4.7500000000000001E-2</v>
      </c>
      <c r="AE27" s="373">
        <f t="shared" si="3"/>
        <v>4.3250000000000004E-2</v>
      </c>
      <c r="AG27" s="371">
        <v>47679</v>
      </c>
      <c r="AH27" s="378">
        <v>1.7500000000000002E-2</v>
      </c>
      <c r="AI27" s="375">
        <v>0.05</v>
      </c>
      <c r="AJ27" s="375">
        <v>0.05</v>
      </c>
      <c r="AK27" s="375">
        <v>4.8750000000000002E-2</v>
      </c>
      <c r="AL27" s="377">
        <v>0.05</v>
      </c>
      <c r="AM27" s="373">
        <f t="shared" si="4"/>
        <v>4.3249999999999997E-2</v>
      </c>
      <c r="AN27" s="378">
        <v>1.25E-3</v>
      </c>
      <c r="AO27" s="375">
        <v>0.04</v>
      </c>
      <c r="AP27" s="375">
        <v>4.2500000000000003E-2</v>
      </c>
      <c r="AQ27" s="375">
        <v>4.4999999999999998E-2</v>
      </c>
      <c r="AR27" s="377">
        <v>4.1250000000000002E-2</v>
      </c>
      <c r="AS27" s="373">
        <f t="shared" si="5"/>
        <v>3.4000000000000002E-2</v>
      </c>
      <c r="AU27" s="379">
        <v>44576</v>
      </c>
      <c r="AV27" s="375"/>
      <c r="AW27" s="375">
        <v>5.6250000000000001E-2</v>
      </c>
      <c r="AX27" s="375">
        <v>4.6249999999999999E-2</v>
      </c>
      <c r="AY27" s="375">
        <v>7.4999999999999997E-2</v>
      </c>
      <c r="AZ27" s="375">
        <v>6.8750000000000006E-2</v>
      </c>
      <c r="BA27" s="375">
        <v>5.8749999999999997E-2</v>
      </c>
      <c r="BB27" s="375">
        <v>6.6250000000000003E-2</v>
      </c>
      <c r="BC27" s="375">
        <v>7.1249999999999994E-2</v>
      </c>
      <c r="BD27" s="375">
        <v>7.6249999999999998E-2</v>
      </c>
      <c r="BE27" s="375">
        <v>6.8750000000000006E-2</v>
      </c>
      <c r="BF27" s="375">
        <v>7.1249999999999994E-2</v>
      </c>
      <c r="BG27" s="375">
        <v>3.7499999999999999E-2</v>
      </c>
      <c r="BH27" s="375">
        <v>8.2799999999999999E-2</v>
      </c>
      <c r="BI27" s="373">
        <f t="shared" si="6"/>
        <v>6.492083333333333E-2</v>
      </c>
      <c r="BJ27" s="378"/>
      <c r="BK27" s="375">
        <v>3.875E-2</v>
      </c>
      <c r="BL27" s="375">
        <v>3.3750000000000002E-2</v>
      </c>
      <c r="BM27" s="375">
        <v>0.05</v>
      </c>
      <c r="BN27" s="375">
        <v>5.2499999999999998E-2</v>
      </c>
      <c r="BO27" s="375">
        <v>6.25E-2</v>
      </c>
      <c r="BP27" s="375">
        <v>3.3750000000000002E-2</v>
      </c>
      <c r="BQ27" s="377">
        <v>7.8200000000000006E-2</v>
      </c>
      <c r="BR27" s="380">
        <f t="shared" si="7"/>
        <v>4.9921428571428568E-2</v>
      </c>
      <c r="BT27" s="367">
        <v>44576</v>
      </c>
      <c r="BU27" s="375">
        <f t="shared" si="8"/>
        <v>1.25E-3</v>
      </c>
      <c r="BV27" s="375">
        <f t="shared" si="9"/>
        <v>1.6607142857142859E-2</v>
      </c>
      <c r="BW27" s="377">
        <f t="shared" si="10"/>
        <v>1.2E-2</v>
      </c>
    </row>
    <row r="28" spans="1:75" x14ac:dyDescent="0.15">
      <c r="A28" s="367">
        <v>47802</v>
      </c>
      <c r="B28" s="375">
        <v>1.7500000000000002E-2</v>
      </c>
      <c r="C28" s="375">
        <v>0.05</v>
      </c>
      <c r="D28" s="375">
        <v>0.05</v>
      </c>
      <c r="E28" s="375">
        <v>4.8750000000000002E-2</v>
      </c>
      <c r="F28" s="377">
        <v>0.05</v>
      </c>
      <c r="G28" s="373">
        <f t="shared" si="0"/>
        <v>4.3249999999999997E-2</v>
      </c>
      <c r="H28" s="375">
        <v>1.25E-3</v>
      </c>
      <c r="I28" s="375">
        <v>0.04</v>
      </c>
      <c r="J28" s="375">
        <v>4.2500000000000003E-2</v>
      </c>
      <c r="K28" s="375">
        <v>4.4999999999999998E-2</v>
      </c>
      <c r="L28" s="377">
        <v>4.1250000000000002E-2</v>
      </c>
      <c r="M28" s="373">
        <f t="shared" si="1"/>
        <v>3.4000000000000002E-2</v>
      </c>
      <c r="O28" s="371">
        <v>47863</v>
      </c>
      <c r="P28" s="378"/>
      <c r="Q28" s="375"/>
      <c r="R28" s="375">
        <v>5.6500000000000002E-2</v>
      </c>
      <c r="S28" s="375">
        <v>5.7500000000000002E-2</v>
      </c>
      <c r="T28" s="375">
        <v>5.7500000000000002E-2</v>
      </c>
      <c r="U28" s="375">
        <v>4.7500000000000001E-2</v>
      </c>
      <c r="V28" s="377">
        <v>5.7500000000000002E-2</v>
      </c>
      <c r="W28" s="373">
        <f t="shared" si="2"/>
        <v>5.5300000000000002E-2</v>
      </c>
      <c r="X28" s="378"/>
      <c r="Y28" s="375"/>
      <c r="Z28" s="375">
        <v>4.65E-2</v>
      </c>
      <c r="AA28" s="375">
        <v>4.7500000000000001E-2</v>
      </c>
      <c r="AB28" s="375">
        <v>4.5499999999999999E-2</v>
      </c>
      <c r="AC28" s="375">
        <v>4.2500000000000003E-2</v>
      </c>
      <c r="AD28" s="377">
        <v>4.7500000000000001E-2</v>
      </c>
      <c r="AE28" s="373">
        <f t="shared" si="3"/>
        <v>4.590000000000001E-2</v>
      </c>
      <c r="AG28" s="371">
        <v>47863</v>
      </c>
      <c r="AH28" s="378"/>
      <c r="AI28" s="375">
        <v>0.05</v>
      </c>
      <c r="AJ28" s="375">
        <v>0.05</v>
      </c>
      <c r="AK28" s="375">
        <v>4.8750000000000002E-2</v>
      </c>
      <c r="AL28" s="377">
        <v>0.05</v>
      </c>
      <c r="AM28" s="373">
        <f t="shared" si="4"/>
        <v>4.9687499999999996E-2</v>
      </c>
      <c r="AN28" s="378"/>
      <c r="AO28" s="375">
        <v>0.04</v>
      </c>
      <c r="AP28" s="375">
        <v>4.2500000000000003E-2</v>
      </c>
      <c r="AQ28" s="375">
        <v>4.4999999999999998E-2</v>
      </c>
      <c r="AR28" s="377">
        <v>4.1250000000000002E-2</v>
      </c>
      <c r="AS28" s="373">
        <f t="shared" si="5"/>
        <v>4.2187500000000003E-2</v>
      </c>
      <c r="AU28" s="379">
        <v>44607</v>
      </c>
      <c r="AV28" s="375"/>
      <c r="AW28" s="375"/>
      <c r="AX28" s="375">
        <v>4.6249999999999999E-2</v>
      </c>
      <c r="AY28" s="375">
        <v>7.4999999999999997E-2</v>
      </c>
      <c r="AZ28" s="375">
        <v>6.8750000000000006E-2</v>
      </c>
      <c r="BA28" s="375">
        <v>5.8749999999999997E-2</v>
      </c>
      <c r="BB28" s="375">
        <v>6.6250000000000003E-2</v>
      </c>
      <c r="BC28" s="375">
        <v>7.1249999999999994E-2</v>
      </c>
      <c r="BD28" s="375">
        <v>7.6249999999999998E-2</v>
      </c>
      <c r="BE28" s="375">
        <v>6.8750000000000006E-2</v>
      </c>
      <c r="BF28" s="375">
        <v>7.1249999999999994E-2</v>
      </c>
      <c r="BG28" s="375">
        <v>3.7499999999999999E-2</v>
      </c>
      <c r="BH28" s="375">
        <v>8.2799999999999999E-2</v>
      </c>
      <c r="BI28" s="373">
        <f t="shared" si="6"/>
        <v>6.5709090909090911E-2</v>
      </c>
      <c r="BJ28" s="378"/>
      <c r="BK28" s="375"/>
      <c r="BL28" s="375">
        <v>3.3750000000000002E-2</v>
      </c>
      <c r="BM28" s="375">
        <v>0.05</v>
      </c>
      <c r="BN28" s="375">
        <v>5.2499999999999998E-2</v>
      </c>
      <c r="BO28" s="375">
        <v>6.25E-2</v>
      </c>
      <c r="BP28" s="375">
        <v>3.3750000000000002E-2</v>
      </c>
      <c r="BQ28" s="377">
        <v>7.8200000000000006E-2</v>
      </c>
      <c r="BR28" s="380">
        <f t="shared" si="7"/>
        <v>5.1783333333333341E-2</v>
      </c>
      <c r="BT28" s="367">
        <v>44607</v>
      </c>
      <c r="BU28" s="375">
        <f t="shared" si="8"/>
        <v>1.25E-3</v>
      </c>
      <c r="BV28" s="375">
        <f t="shared" si="9"/>
        <v>1.6607142857142859E-2</v>
      </c>
      <c r="BW28" s="377">
        <f t="shared" si="10"/>
        <v>1.2E-2</v>
      </c>
    </row>
    <row r="29" spans="1:75" x14ac:dyDescent="0.15">
      <c r="A29" s="367">
        <v>47983</v>
      </c>
      <c r="B29" s="375"/>
      <c r="C29" s="375">
        <v>0.05</v>
      </c>
      <c r="D29" s="375">
        <v>0.05</v>
      </c>
      <c r="E29" s="375">
        <v>4.8750000000000002E-2</v>
      </c>
      <c r="F29" s="377">
        <v>0.05</v>
      </c>
      <c r="G29" s="373">
        <f t="shared" si="0"/>
        <v>4.9687499999999996E-2</v>
      </c>
      <c r="H29" s="375"/>
      <c r="I29" s="375">
        <v>0.04</v>
      </c>
      <c r="J29" s="375">
        <v>4.2500000000000003E-2</v>
      </c>
      <c r="K29" s="375">
        <v>4.4999999999999998E-2</v>
      </c>
      <c r="L29" s="377">
        <v>4.1250000000000002E-2</v>
      </c>
      <c r="M29" s="373">
        <f t="shared" si="1"/>
        <v>4.2187500000000003E-2</v>
      </c>
      <c r="O29" s="371">
        <v>48044</v>
      </c>
      <c r="P29" s="378"/>
      <c r="Q29" s="375"/>
      <c r="R29" s="375">
        <v>5.6500000000000002E-2</v>
      </c>
      <c r="S29" s="375">
        <v>5.7500000000000002E-2</v>
      </c>
      <c r="T29" s="375">
        <v>5.7500000000000002E-2</v>
      </c>
      <c r="U29" s="375">
        <v>4.7500000000000001E-2</v>
      </c>
      <c r="V29" s="377">
        <v>5.7500000000000002E-2</v>
      </c>
      <c r="W29" s="373">
        <f t="shared" si="2"/>
        <v>5.5300000000000002E-2</v>
      </c>
      <c r="X29" s="378"/>
      <c r="Y29" s="375"/>
      <c r="Z29" s="375">
        <v>4.65E-2</v>
      </c>
      <c r="AA29" s="375">
        <v>4.7500000000000001E-2</v>
      </c>
      <c r="AB29" s="375">
        <v>4.5499999999999999E-2</v>
      </c>
      <c r="AC29" s="375">
        <v>4.2500000000000003E-2</v>
      </c>
      <c r="AD29" s="377">
        <v>4.7500000000000001E-2</v>
      </c>
      <c r="AE29" s="373">
        <f t="shared" si="3"/>
        <v>4.590000000000001E-2</v>
      </c>
      <c r="AG29" s="371">
        <v>48044</v>
      </c>
      <c r="AH29" s="378"/>
      <c r="AI29" s="375">
        <v>0.05</v>
      </c>
      <c r="AJ29" s="375">
        <v>0.05</v>
      </c>
      <c r="AK29" s="375">
        <v>4.8750000000000002E-2</v>
      </c>
      <c r="AL29" s="377">
        <v>0.05</v>
      </c>
      <c r="AM29" s="373">
        <f t="shared" si="4"/>
        <v>4.9687499999999996E-2</v>
      </c>
      <c r="AN29" s="378"/>
      <c r="AO29" s="375">
        <v>0.04</v>
      </c>
      <c r="AP29" s="375">
        <v>4.2500000000000003E-2</v>
      </c>
      <c r="AQ29" s="375">
        <v>4.4999999999999998E-2</v>
      </c>
      <c r="AR29" s="377">
        <v>4.1250000000000002E-2</v>
      </c>
      <c r="AS29" s="373">
        <f t="shared" si="5"/>
        <v>4.2187500000000003E-2</v>
      </c>
      <c r="AU29" s="379">
        <v>44635</v>
      </c>
      <c r="AV29" s="375"/>
      <c r="AW29" s="375"/>
      <c r="AX29" s="375">
        <v>4.6249999999999999E-2</v>
      </c>
      <c r="AY29" s="375">
        <v>7.4999999999999997E-2</v>
      </c>
      <c r="AZ29" s="375">
        <v>6.8750000000000006E-2</v>
      </c>
      <c r="BA29" s="375">
        <v>5.8749999999999997E-2</v>
      </c>
      <c r="BB29" s="375">
        <v>6.6250000000000003E-2</v>
      </c>
      <c r="BC29" s="375">
        <v>7.1249999999999994E-2</v>
      </c>
      <c r="BD29" s="375">
        <v>7.6249999999999998E-2</v>
      </c>
      <c r="BE29" s="375">
        <v>6.8750000000000006E-2</v>
      </c>
      <c r="BF29" s="375">
        <v>7.1249999999999994E-2</v>
      </c>
      <c r="BG29" s="375">
        <v>3.7499999999999999E-2</v>
      </c>
      <c r="BH29" s="375">
        <v>8.2799999999999999E-2</v>
      </c>
      <c r="BI29" s="373">
        <f t="shared" si="6"/>
        <v>6.5709090909090911E-2</v>
      </c>
      <c r="BJ29" s="378"/>
      <c r="BK29" s="375"/>
      <c r="BL29" s="375">
        <v>3.3750000000000002E-2</v>
      </c>
      <c r="BM29" s="375">
        <v>0.05</v>
      </c>
      <c r="BN29" s="375">
        <v>5.2499999999999998E-2</v>
      </c>
      <c r="BO29" s="375">
        <v>6.25E-2</v>
      </c>
      <c r="BP29" s="375">
        <v>3.3750000000000002E-2</v>
      </c>
      <c r="BQ29" s="377">
        <v>7.8200000000000006E-2</v>
      </c>
      <c r="BR29" s="380">
        <f t="shared" si="7"/>
        <v>5.1783333333333341E-2</v>
      </c>
      <c r="BT29" s="367">
        <v>44635</v>
      </c>
      <c r="BU29" s="375">
        <f t="shared" si="8"/>
        <v>1.25E-3</v>
      </c>
      <c r="BV29" s="375">
        <f t="shared" si="9"/>
        <v>1.6607142857142859E-2</v>
      </c>
      <c r="BW29" s="377">
        <f t="shared" si="10"/>
        <v>1.2E-2</v>
      </c>
    </row>
    <row r="30" spans="1:75" x14ac:dyDescent="0.15">
      <c r="A30" s="367">
        <v>48167</v>
      </c>
      <c r="B30" s="375"/>
      <c r="C30" s="375">
        <v>0.05</v>
      </c>
      <c r="D30" s="375">
        <v>0.05</v>
      </c>
      <c r="E30" s="375">
        <v>4.8750000000000002E-2</v>
      </c>
      <c r="F30" s="377">
        <v>0.05</v>
      </c>
      <c r="G30" s="373">
        <f t="shared" si="0"/>
        <v>4.9687499999999996E-2</v>
      </c>
      <c r="H30" s="375"/>
      <c r="I30" s="375">
        <v>0.04</v>
      </c>
      <c r="J30" s="375">
        <v>4.2500000000000003E-2</v>
      </c>
      <c r="K30" s="375">
        <v>4.4999999999999998E-2</v>
      </c>
      <c r="L30" s="377">
        <v>4.1250000000000002E-2</v>
      </c>
      <c r="M30" s="373">
        <f t="shared" si="1"/>
        <v>4.2187500000000003E-2</v>
      </c>
      <c r="O30" s="371">
        <v>48228</v>
      </c>
      <c r="P30" s="378"/>
      <c r="Q30" s="375"/>
      <c r="R30" s="375">
        <v>5.6500000000000002E-2</v>
      </c>
      <c r="S30" s="375">
        <v>5.7500000000000002E-2</v>
      </c>
      <c r="T30" s="375">
        <v>5.7500000000000002E-2</v>
      </c>
      <c r="U30" s="375">
        <v>4.7500000000000001E-2</v>
      </c>
      <c r="V30" s="377">
        <v>5.7500000000000002E-2</v>
      </c>
      <c r="W30" s="373">
        <f t="shared" si="2"/>
        <v>5.5300000000000002E-2</v>
      </c>
      <c r="X30" s="378"/>
      <c r="Y30" s="375"/>
      <c r="Z30" s="375">
        <v>4.65E-2</v>
      </c>
      <c r="AA30" s="375">
        <v>4.7500000000000001E-2</v>
      </c>
      <c r="AB30" s="375">
        <v>4.5499999999999999E-2</v>
      </c>
      <c r="AC30" s="375">
        <v>4.2500000000000003E-2</v>
      </c>
      <c r="AD30" s="377">
        <v>4.7500000000000001E-2</v>
      </c>
      <c r="AE30" s="373">
        <f t="shared" si="3"/>
        <v>4.590000000000001E-2</v>
      </c>
      <c r="AG30" s="371">
        <v>48228</v>
      </c>
      <c r="AH30" s="378"/>
      <c r="AI30" s="375">
        <v>0.05</v>
      </c>
      <c r="AJ30" s="375">
        <v>0.05</v>
      </c>
      <c r="AK30" s="375">
        <v>4.8750000000000002E-2</v>
      </c>
      <c r="AL30" s="377">
        <v>0.05</v>
      </c>
      <c r="AM30" s="373">
        <f t="shared" si="4"/>
        <v>4.9687499999999996E-2</v>
      </c>
      <c r="AN30" s="378"/>
      <c r="AO30" s="375">
        <v>0.04</v>
      </c>
      <c r="AP30" s="375">
        <v>4.2500000000000003E-2</v>
      </c>
      <c r="AQ30" s="375">
        <v>4.4999999999999998E-2</v>
      </c>
      <c r="AR30" s="377">
        <v>4.1250000000000002E-2</v>
      </c>
      <c r="AS30" s="373">
        <f t="shared" si="5"/>
        <v>4.2187500000000003E-2</v>
      </c>
      <c r="AU30" s="379">
        <v>44666</v>
      </c>
      <c r="AV30" s="375"/>
      <c r="AW30" s="375"/>
      <c r="AX30" s="375">
        <v>4.6249999999999999E-2</v>
      </c>
      <c r="AY30" s="375">
        <v>7.4999999999999997E-2</v>
      </c>
      <c r="AZ30" s="375">
        <v>6.8750000000000006E-2</v>
      </c>
      <c r="BA30" s="375">
        <v>5.8749999999999997E-2</v>
      </c>
      <c r="BB30" s="375">
        <v>6.6250000000000003E-2</v>
      </c>
      <c r="BC30" s="375">
        <v>7.1249999999999994E-2</v>
      </c>
      <c r="BD30" s="375">
        <v>7.6249999999999998E-2</v>
      </c>
      <c r="BE30" s="375">
        <v>6.8750000000000006E-2</v>
      </c>
      <c r="BF30" s="375">
        <v>7.1249999999999994E-2</v>
      </c>
      <c r="BG30" s="375">
        <v>3.7499999999999999E-2</v>
      </c>
      <c r="BH30" s="375">
        <v>8.2799999999999999E-2</v>
      </c>
      <c r="BI30" s="373">
        <f t="shared" si="6"/>
        <v>6.5709090909090911E-2</v>
      </c>
      <c r="BJ30" s="378"/>
      <c r="BK30" s="375"/>
      <c r="BL30" s="375">
        <v>3.3750000000000002E-2</v>
      </c>
      <c r="BM30" s="375">
        <v>0.05</v>
      </c>
      <c r="BN30" s="375">
        <v>5.2499999999999998E-2</v>
      </c>
      <c r="BO30" s="375">
        <v>6.25E-2</v>
      </c>
      <c r="BP30" s="375">
        <v>3.3750000000000002E-2</v>
      </c>
      <c r="BQ30" s="377">
        <v>7.8200000000000006E-2</v>
      </c>
      <c r="BR30" s="380">
        <f t="shared" si="7"/>
        <v>5.1783333333333341E-2</v>
      </c>
      <c r="BT30" s="367">
        <v>44666</v>
      </c>
      <c r="BU30" s="375">
        <f t="shared" si="8"/>
        <v>1.25E-3</v>
      </c>
      <c r="BV30" s="375">
        <f t="shared" si="9"/>
        <v>1.6607142857142859E-2</v>
      </c>
      <c r="BW30" s="377">
        <f t="shared" si="10"/>
        <v>1.2E-2</v>
      </c>
    </row>
    <row r="31" spans="1:75" x14ac:dyDescent="0.15">
      <c r="A31" s="367">
        <v>48349</v>
      </c>
      <c r="B31" s="375"/>
      <c r="C31" s="375">
        <v>0.05</v>
      </c>
      <c r="D31" s="375">
        <v>0.05</v>
      </c>
      <c r="E31" s="375">
        <v>4.8750000000000002E-2</v>
      </c>
      <c r="F31" s="377">
        <v>0.05</v>
      </c>
      <c r="G31" s="373">
        <f t="shared" si="0"/>
        <v>4.9687499999999996E-2</v>
      </c>
      <c r="H31" s="375"/>
      <c r="I31" s="375">
        <v>0.04</v>
      </c>
      <c r="J31" s="375">
        <v>4.2500000000000003E-2</v>
      </c>
      <c r="K31" s="375">
        <v>4.4999999999999998E-2</v>
      </c>
      <c r="L31" s="377">
        <v>4.1250000000000002E-2</v>
      </c>
      <c r="M31" s="373">
        <f t="shared" si="1"/>
        <v>4.2187500000000003E-2</v>
      </c>
      <c r="O31" s="371">
        <v>48410</v>
      </c>
      <c r="P31" s="378"/>
      <c r="Q31" s="375"/>
      <c r="R31" s="375">
        <v>5.6500000000000002E-2</v>
      </c>
      <c r="S31" s="375">
        <v>5.7500000000000002E-2</v>
      </c>
      <c r="T31" s="375">
        <v>5.7500000000000002E-2</v>
      </c>
      <c r="U31" s="375">
        <v>4.7500000000000001E-2</v>
      </c>
      <c r="V31" s="377">
        <v>5.7500000000000002E-2</v>
      </c>
      <c r="W31" s="373">
        <f t="shared" si="2"/>
        <v>5.5300000000000002E-2</v>
      </c>
      <c r="X31" s="378"/>
      <c r="Y31" s="375"/>
      <c r="Z31" s="375">
        <v>4.65E-2</v>
      </c>
      <c r="AA31" s="375">
        <v>4.7500000000000001E-2</v>
      </c>
      <c r="AB31" s="375">
        <v>4.5499999999999999E-2</v>
      </c>
      <c r="AC31" s="375">
        <v>4.2500000000000003E-2</v>
      </c>
      <c r="AD31" s="377">
        <v>4.7500000000000001E-2</v>
      </c>
      <c r="AE31" s="373">
        <f t="shared" si="3"/>
        <v>4.590000000000001E-2</v>
      </c>
      <c r="AG31" s="371">
        <v>48410</v>
      </c>
      <c r="AH31" s="378"/>
      <c r="AI31" s="375">
        <v>0.05</v>
      </c>
      <c r="AJ31" s="375">
        <v>0.05</v>
      </c>
      <c r="AK31" s="375">
        <v>4.8750000000000002E-2</v>
      </c>
      <c r="AL31" s="377">
        <v>0.05</v>
      </c>
      <c r="AM31" s="373">
        <f t="shared" si="4"/>
        <v>4.9687499999999996E-2</v>
      </c>
      <c r="AN31" s="378"/>
      <c r="AO31" s="375">
        <v>0.04</v>
      </c>
      <c r="AP31" s="375">
        <v>4.2500000000000003E-2</v>
      </c>
      <c r="AQ31" s="375">
        <v>4.4999999999999998E-2</v>
      </c>
      <c r="AR31" s="377">
        <v>4.1250000000000002E-2</v>
      </c>
      <c r="AS31" s="373">
        <f t="shared" si="5"/>
        <v>4.2187500000000003E-2</v>
      </c>
      <c r="AU31" s="379">
        <v>44696</v>
      </c>
      <c r="AV31" s="375"/>
      <c r="AW31" s="375"/>
      <c r="AX31" s="375">
        <v>4.6249999999999999E-2</v>
      </c>
      <c r="AY31" s="375">
        <v>7.4999999999999997E-2</v>
      </c>
      <c r="AZ31" s="375">
        <v>6.8750000000000006E-2</v>
      </c>
      <c r="BA31" s="375">
        <v>5.8749999999999997E-2</v>
      </c>
      <c r="BB31" s="375">
        <v>6.6250000000000003E-2</v>
      </c>
      <c r="BC31" s="375">
        <v>7.1249999999999994E-2</v>
      </c>
      <c r="BD31" s="375">
        <v>7.6249999999999998E-2</v>
      </c>
      <c r="BE31" s="375">
        <v>6.8750000000000006E-2</v>
      </c>
      <c r="BF31" s="375">
        <v>7.1249999999999994E-2</v>
      </c>
      <c r="BG31" s="375">
        <v>3.7499999999999999E-2</v>
      </c>
      <c r="BH31" s="375">
        <v>8.2799999999999999E-2</v>
      </c>
      <c r="BI31" s="373">
        <f t="shared" si="6"/>
        <v>6.5709090909090911E-2</v>
      </c>
      <c r="BJ31" s="378"/>
      <c r="BK31" s="375"/>
      <c r="BL31" s="375">
        <v>3.3750000000000002E-2</v>
      </c>
      <c r="BM31" s="375">
        <v>0.05</v>
      </c>
      <c r="BN31" s="375">
        <v>5.2499999999999998E-2</v>
      </c>
      <c r="BO31" s="375">
        <v>6.25E-2</v>
      </c>
      <c r="BP31" s="375">
        <v>3.3750000000000002E-2</v>
      </c>
      <c r="BQ31" s="377">
        <v>7.8200000000000006E-2</v>
      </c>
      <c r="BR31" s="380">
        <f t="shared" si="7"/>
        <v>5.1783333333333341E-2</v>
      </c>
      <c r="BT31" s="367">
        <v>44696</v>
      </c>
      <c r="BU31" s="375">
        <f t="shared" si="8"/>
        <v>1.2E-2</v>
      </c>
      <c r="BV31" s="375">
        <f t="shared" si="9"/>
        <v>1.6607142857142859E-2</v>
      </c>
      <c r="BW31" s="377">
        <f t="shared" si="10"/>
        <v>1.2E-2</v>
      </c>
    </row>
    <row r="32" spans="1:75" x14ac:dyDescent="0.15">
      <c r="A32" s="367">
        <v>48533</v>
      </c>
      <c r="B32" s="375"/>
      <c r="C32" s="375">
        <v>0.05</v>
      </c>
      <c r="D32" s="375">
        <v>0.05</v>
      </c>
      <c r="E32" s="375">
        <v>4.8750000000000002E-2</v>
      </c>
      <c r="F32" s="377">
        <v>0.05</v>
      </c>
      <c r="G32" s="373">
        <f t="shared" si="0"/>
        <v>4.9687499999999996E-2</v>
      </c>
      <c r="H32" s="375"/>
      <c r="I32" s="375">
        <v>0.04</v>
      </c>
      <c r="J32" s="375">
        <v>4.2500000000000003E-2</v>
      </c>
      <c r="K32" s="375">
        <v>4.4999999999999998E-2</v>
      </c>
      <c r="L32" s="377">
        <v>4.1250000000000002E-2</v>
      </c>
      <c r="M32" s="373">
        <f t="shared" si="1"/>
        <v>4.2187500000000003E-2</v>
      </c>
      <c r="O32" s="371">
        <v>48594</v>
      </c>
      <c r="P32" s="378"/>
      <c r="Q32" s="375"/>
      <c r="R32" s="375">
        <v>5.6500000000000002E-2</v>
      </c>
      <c r="S32" s="375">
        <v>5.7500000000000002E-2</v>
      </c>
      <c r="T32" s="375">
        <v>5.7500000000000002E-2</v>
      </c>
      <c r="U32" s="375">
        <v>4.7500000000000001E-2</v>
      </c>
      <c r="V32" s="377">
        <v>5.7500000000000002E-2</v>
      </c>
      <c r="W32" s="373">
        <f t="shared" si="2"/>
        <v>5.5300000000000002E-2</v>
      </c>
      <c r="X32" s="378"/>
      <c r="Y32" s="375"/>
      <c r="Z32" s="375">
        <v>4.65E-2</v>
      </c>
      <c r="AA32" s="375">
        <v>4.7500000000000001E-2</v>
      </c>
      <c r="AB32" s="375">
        <v>4.5499999999999999E-2</v>
      </c>
      <c r="AC32" s="375">
        <v>4.2500000000000003E-2</v>
      </c>
      <c r="AD32" s="377">
        <v>4.7500000000000001E-2</v>
      </c>
      <c r="AE32" s="373">
        <f t="shared" si="3"/>
        <v>4.590000000000001E-2</v>
      </c>
      <c r="AG32" s="371">
        <v>48594</v>
      </c>
      <c r="AH32" s="378"/>
      <c r="AI32" s="375">
        <v>0.05</v>
      </c>
      <c r="AJ32" s="375">
        <v>0.05</v>
      </c>
      <c r="AK32" s="375">
        <v>4.8750000000000002E-2</v>
      </c>
      <c r="AL32" s="377">
        <v>0.05</v>
      </c>
      <c r="AM32" s="373">
        <f t="shared" si="4"/>
        <v>4.9687499999999996E-2</v>
      </c>
      <c r="AN32" s="378"/>
      <c r="AO32" s="375">
        <v>0.04</v>
      </c>
      <c r="AP32" s="375">
        <v>4.2500000000000003E-2</v>
      </c>
      <c r="AQ32" s="375">
        <v>4.4999999999999998E-2</v>
      </c>
      <c r="AR32" s="377">
        <v>4.1250000000000002E-2</v>
      </c>
      <c r="AS32" s="373">
        <f t="shared" si="5"/>
        <v>4.2187500000000003E-2</v>
      </c>
      <c r="AU32" s="379">
        <v>44727</v>
      </c>
      <c r="AV32" s="375"/>
      <c r="AW32" s="375"/>
      <c r="AX32" s="375">
        <v>4.6249999999999999E-2</v>
      </c>
      <c r="AY32" s="375">
        <v>7.4999999999999997E-2</v>
      </c>
      <c r="AZ32" s="375">
        <v>6.8750000000000006E-2</v>
      </c>
      <c r="BA32" s="375">
        <v>5.8749999999999997E-2</v>
      </c>
      <c r="BB32" s="375">
        <v>6.6250000000000003E-2</v>
      </c>
      <c r="BC32" s="375">
        <v>7.1249999999999994E-2</v>
      </c>
      <c r="BD32" s="375">
        <v>7.6249999999999998E-2</v>
      </c>
      <c r="BE32" s="375">
        <v>6.8750000000000006E-2</v>
      </c>
      <c r="BF32" s="375">
        <v>7.1249999999999994E-2</v>
      </c>
      <c r="BG32" s="375">
        <v>3.7499999999999999E-2</v>
      </c>
      <c r="BH32" s="375">
        <v>8.2799999999999999E-2</v>
      </c>
      <c r="BI32" s="373">
        <f t="shared" si="6"/>
        <v>6.5709090909090911E-2</v>
      </c>
      <c r="BJ32" s="378"/>
      <c r="BK32" s="375"/>
      <c r="BL32" s="375">
        <v>3.3750000000000002E-2</v>
      </c>
      <c r="BM32" s="375">
        <v>0.05</v>
      </c>
      <c r="BN32" s="375">
        <v>5.2499999999999998E-2</v>
      </c>
      <c r="BO32" s="375">
        <v>6.25E-2</v>
      </c>
      <c r="BP32" s="375">
        <v>3.3750000000000002E-2</v>
      </c>
      <c r="BQ32" s="377">
        <v>7.8200000000000006E-2</v>
      </c>
      <c r="BR32" s="380">
        <f t="shared" si="7"/>
        <v>5.1783333333333341E-2</v>
      </c>
      <c r="BT32" s="367">
        <v>44727</v>
      </c>
      <c r="BU32" s="375">
        <f t="shared" si="8"/>
        <v>1.2E-2</v>
      </c>
      <c r="BV32" s="375">
        <f t="shared" si="9"/>
        <v>1.6607142857142859E-2</v>
      </c>
      <c r="BW32" s="377">
        <f t="shared" si="10"/>
        <v>1.2E-2</v>
      </c>
    </row>
    <row r="33" spans="1:75" x14ac:dyDescent="0.15">
      <c r="A33" s="367">
        <v>48714</v>
      </c>
      <c r="B33" s="375"/>
      <c r="C33" s="375">
        <v>0.05</v>
      </c>
      <c r="D33" s="375">
        <v>0.05</v>
      </c>
      <c r="E33" s="375">
        <v>4.8750000000000002E-2</v>
      </c>
      <c r="F33" s="377">
        <v>0.05</v>
      </c>
      <c r="G33" s="373">
        <f t="shared" si="0"/>
        <v>4.9687499999999996E-2</v>
      </c>
      <c r="H33" s="375"/>
      <c r="I33" s="375">
        <v>0.04</v>
      </c>
      <c r="J33" s="375">
        <v>4.2500000000000003E-2</v>
      </c>
      <c r="K33" s="375">
        <v>4.4999999999999998E-2</v>
      </c>
      <c r="L33" s="377">
        <v>4.1250000000000002E-2</v>
      </c>
      <c r="M33" s="373">
        <f t="shared" si="1"/>
        <v>4.2187500000000003E-2</v>
      </c>
      <c r="O33" s="371">
        <v>48775</v>
      </c>
      <c r="P33" s="378"/>
      <c r="Q33" s="375"/>
      <c r="R33" s="375">
        <v>5.6500000000000002E-2</v>
      </c>
      <c r="S33" s="375">
        <v>5.7500000000000002E-2</v>
      </c>
      <c r="T33" s="375">
        <v>5.7500000000000002E-2</v>
      </c>
      <c r="U33" s="375">
        <v>4.7500000000000001E-2</v>
      </c>
      <c r="V33" s="377">
        <v>5.7500000000000002E-2</v>
      </c>
      <c r="W33" s="373">
        <f t="shared" si="2"/>
        <v>5.5300000000000002E-2</v>
      </c>
      <c r="X33" s="378"/>
      <c r="Y33" s="375"/>
      <c r="Z33" s="375">
        <v>4.65E-2</v>
      </c>
      <c r="AA33" s="375">
        <v>4.7500000000000001E-2</v>
      </c>
      <c r="AB33" s="375">
        <v>4.5499999999999999E-2</v>
      </c>
      <c r="AC33" s="375">
        <v>4.2500000000000003E-2</v>
      </c>
      <c r="AD33" s="377">
        <v>4.7500000000000001E-2</v>
      </c>
      <c r="AE33" s="373">
        <f t="shared" si="3"/>
        <v>4.590000000000001E-2</v>
      </c>
      <c r="AG33" s="371">
        <v>48775</v>
      </c>
      <c r="AH33" s="378"/>
      <c r="AI33" s="375">
        <v>0.05</v>
      </c>
      <c r="AJ33" s="375">
        <v>0.05</v>
      </c>
      <c r="AK33" s="375">
        <v>4.8750000000000002E-2</v>
      </c>
      <c r="AL33" s="377">
        <v>0.05</v>
      </c>
      <c r="AM33" s="373">
        <f t="shared" si="4"/>
        <v>4.9687499999999996E-2</v>
      </c>
      <c r="AN33" s="378"/>
      <c r="AO33" s="375">
        <v>0.04</v>
      </c>
      <c r="AP33" s="375">
        <v>4.2500000000000003E-2</v>
      </c>
      <c r="AQ33" s="375">
        <v>4.4999999999999998E-2</v>
      </c>
      <c r="AR33" s="377">
        <v>4.1250000000000002E-2</v>
      </c>
      <c r="AS33" s="373">
        <f t="shared" si="5"/>
        <v>4.2187500000000003E-2</v>
      </c>
      <c r="AU33" s="379">
        <v>44757</v>
      </c>
      <c r="AV33" s="375"/>
      <c r="AW33" s="375"/>
      <c r="AX33" s="375">
        <v>4.6249999999999999E-2</v>
      </c>
      <c r="AY33" s="375">
        <v>7.4999999999999997E-2</v>
      </c>
      <c r="AZ33" s="375">
        <v>6.8750000000000006E-2</v>
      </c>
      <c r="BA33" s="375">
        <v>5.8749999999999997E-2</v>
      </c>
      <c r="BB33" s="375">
        <v>6.6250000000000003E-2</v>
      </c>
      <c r="BC33" s="375">
        <v>7.1249999999999994E-2</v>
      </c>
      <c r="BD33" s="375">
        <v>7.6249999999999998E-2</v>
      </c>
      <c r="BE33" s="375">
        <v>6.8750000000000006E-2</v>
      </c>
      <c r="BF33" s="375">
        <v>7.1249999999999994E-2</v>
      </c>
      <c r="BG33" s="375">
        <v>3.7499999999999999E-2</v>
      </c>
      <c r="BH33" s="375">
        <v>8.2799999999999999E-2</v>
      </c>
      <c r="BI33" s="373">
        <f t="shared" si="6"/>
        <v>6.5709090909090911E-2</v>
      </c>
      <c r="BJ33" s="378"/>
      <c r="BK33" s="375"/>
      <c r="BL33" s="375">
        <v>3.3750000000000002E-2</v>
      </c>
      <c r="BM33" s="375">
        <v>0.05</v>
      </c>
      <c r="BN33" s="375">
        <v>5.2499999999999998E-2</v>
      </c>
      <c r="BO33" s="375">
        <v>6.25E-2</v>
      </c>
      <c r="BP33" s="375">
        <v>3.3750000000000002E-2</v>
      </c>
      <c r="BQ33" s="377">
        <v>7.8200000000000006E-2</v>
      </c>
      <c r="BR33" s="380">
        <f t="shared" si="7"/>
        <v>5.1783333333333341E-2</v>
      </c>
      <c r="BT33" s="367">
        <v>44757</v>
      </c>
      <c r="BU33" s="375">
        <f t="shared" si="8"/>
        <v>1.2E-2</v>
      </c>
      <c r="BV33" s="375">
        <f t="shared" si="9"/>
        <v>1.6607142857142859E-2</v>
      </c>
      <c r="BW33" s="377">
        <f t="shared" si="10"/>
        <v>1.2E-2</v>
      </c>
    </row>
    <row r="34" spans="1:75" x14ac:dyDescent="0.15">
      <c r="A34" s="367">
        <v>48898</v>
      </c>
      <c r="B34" s="375"/>
      <c r="C34" s="375">
        <v>0.05</v>
      </c>
      <c r="D34" s="375">
        <v>0.05</v>
      </c>
      <c r="E34" s="375">
        <v>4.8750000000000002E-2</v>
      </c>
      <c r="F34" s="377">
        <v>0.05</v>
      </c>
      <c r="G34" s="373">
        <f t="shared" si="0"/>
        <v>4.9687499999999996E-2</v>
      </c>
      <c r="H34" s="375"/>
      <c r="I34" s="375">
        <v>0.04</v>
      </c>
      <c r="J34" s="375">
        <v>4.2500000000000003E-2</v>
      </c>
      <c r="K34" s="375">
        <v>4.4999999999999998E-2</v>
      </c>
      <c r="L34" s="377">
        <v>4.1250000000000002E-2</v>
      </c>
      <c r="M34" s="373">
        <f t="shared" si="1"/>
        <v>4.2187500000000003E-2</v>
      </c>
      <c r="O34" s="371">
        <v>48959</v>
      </c>
      <c r="P34" s="378"/>
      <c r="Q34" s="375"/>
      <c r="R34" s="375"/>
      <c r="S34" s="375">
        <v>5.7500000000000002E-2</v>
      </c>
      <c r="T34" s="375">
        <v>5.7500000000000002E-2</v>
      </c>
      <c r="U34" s="375">
        <v>4.7500000000000001E-2</v>
      </c>
      <c r="V34" s="377">
        <v>5.7500000000000002E-2</v>
      </c>
      <c r="W34" s="373">
        <f t="shared" si="2"/>
        <v>5.5E-2</v>
      </c>
      <c r="X34" s="378"/>
      <c r="Y34" s="375"/>
      <c r="Z34" s="375"/>
      <c r="AA34" s="375">
        <v>4.7500000000000001E-2</v>
      </c>
      <c r="AB34" s="375">
        <v>4.5499999999999999E-2</v>
      </c>
      <c r="AC34" s="375">
        <v>4.2500000000000003E-2</v>
      </c>
      <c r="AD34" s="377">
        <v>4.7500000000000001E-2</v>
      </c>
      <c r="AE34" s="373">
        <f t="shared" si="3"/>
        <v>4.5749999999999999E-2</v>
      </c>
      <c r="AG34" s="371">
        <v>48959</v>
      </c>
      <c r="AH34" s="378"/>
      <c r="AI34" s="375">
        <v>0.05</v>
      </c>
      <c r="AJ34" s="375">
        <v>0.05</v>
      </c>
      <c r="AK34" s="375">
        <v>4.8750000000000002E-2</v>
      </c>
      <c r="AL34" s="377">
        <v>0.05</v>
      </c>
      <c r="AM34" s="373">
        <f t="shared" si="4"/>
        <v>4.9687499999999996E-2</v>
      </c>
      <c r="AN34" s="378"/>
      <c r="AO34" s="375">
        <v>0.04</v>
      </c>
      <c r="AP34" s="375">
        <v>4.2500000000000003E-2</v>
      </c>
      <c r="AQ34" s="375">
        <v>4.4999999999999998E-2</v>
      </c>
      <c r="AR34" s="377">
        <v>4.1250000000000002E-2</v>
      </c>
      <c r="AS34" s="373">
        <f t="shared" si="5"/>
        <v>4.2187500000000003E-2</v>
      </c>
      <c r="AU34" s="379">
        <v>44788</v>
      </c>
      <c r="AV34" s="375"/>
      <c r="AW34" s="375"/>
      <c r="AX34" s="375">
        <v>4.6249999999999999E-2</v>
      </c>
      <c r="AY34" s="375">
        <v>7.4999999999999997E-2</v>
      </c>
      <c r="AZ34" s="375">
        <v>6.8750000000000006E-2</v>
      </c>
      <c r="BA34" s="375">
        <v>5.8749999999999997E-2</v>
      </c>
      <c r="BB34" s="375">
        <v>6.6250000000000003E-2</v>
      </c>
      <c r="BC34" s="375">
        <v>7.1249999999999994E-2</v>
      </c>
      <c r="BD34" s="375">
        <v>7.6249999999999998E-2</v>
      </c>
      <c r="BE34" s="375">
        <v>6.8750000000000006E-2</v>
      </c>
      <c r="BF34" s="375">
        <v>7.1249999999999994E-2</v>
      </c>
      <c r="BG34" s="375">
        <v>3.7499999999999999E-2</v>
      </c>
      <c r="BH34" s="375">
        <v>8.2799999999999999E-2</v>
      </c>
      <c r="BI34" s="373">
        <f t="shared" si="6"/>
        <v>6.5709090909090911E-2</v>
      </c>
      <c r="BJ34" s="378"/>
      <c r="BK34" s="375"/>
      <c r="BL34" s="375">
        <v>3.3750000000000002E-2</v>
      </c>
      <c r="BM34" s="375">
        <v>0.05</v>
      </c>
      <c r="BN34" s="375">
        <v>5.2499999999999998E-2</v>
      </c>
      <c r="BO34" s="375">
        <v>6.25E-2</v>
      </c>
      <c r="BP34" s="375">
        <v>3.3750000000000002E-2</v>
      </c>
      <c r="BQ34" s="377">
        <v>7.8200000000000006E-2</v>
      </c>
      <c r="BR34" s="380">
        <f t="shared" si="7"/>
        <v>5.1783333333333341E-2</v>
      </c>
      <c r="BT34" s="367">
        <v>44788</v>
      </c>
      <c r="BU34" s="375">
        <f t="shared" si="8"/>
        <v>1.2E-2</v>
      </c>
      <c r="BV34" s="375">
        <f t="shared" si="9"/>
        <v>1.6607142857142859E-2</v>
      </c>
      <c r="BW34" s="377">
        <f t="shared" si="10"/>
        <v>1.2E-2</v>
      </c>
    </row>
    <row r="35" spans="1:75" x14ac:dyDescent="0.15">
      <c r="A35" s="367">
        <v>49079</v>
      </c>
      <c r="B35" s="375"/>
      <c r="C35" s="375">
        <v>0.05</v>
      </c>
      <c r="D35" s="375">
        <v>0.05</v>
      </c>
      <c r="E35" s="375">
        <v>4.8750000000000002E-2</v>
      </c>
      <c r="F35" s="377">
        <v>0.05</v>
      </c>
      <c r="G35" s="373">
        <f t="shared" si="0"/>
        <v>4.9687499999999996E-2</v>
      </c>
      <c r="H35" s="375"/>
      <c r="I35" s="375">
        <v>0.04</v>
      </c>
      <c r="J35" s="375">
        <v>4.2500000000000003E-2</v>
      </c>
      <c r="K35" s="375">
        <v>4.4999999999999998E-2</v>
      </c>
      <c r="L35" s="377">
        <v>4.1250000000000002E-2</v>
      </c>
      <c r="M35" s="373">
        <f t="shared" si="1"/>
        <v>4.2187500000000003E-2</v>
      </c>
      <c r="O35" s="371">
        <v>49140</v>
      </c>
      <c r="P35" s="378"/>
      <c r="Q35" s="375"/>
      <c r="R35" s="375"/>
      <c r="S35" s="375">
        <v>5.7500000000000002E-2</v>
      </c>
      <c r="T35" s="375">
        <v>5.7500000000000002E-2</v>
      </c>
      <c r="U35" s="375">
        <v>4.7500000000000001E-2</v>
      </c>
      <c r="V35" s="377">
        <v>5.7500000000000002E-2</v>
      </c>
      <c r="W35" s="373">
        <f t="shared" si="2"/>
        <v>5.5E-2</v>
      </c>
      <c r="X35" s="378"/>
      <c r="Y35" s="375"/>
      <c r="Z35" s="375"/>
      <c r="AA35" s="375">
        <v>4.7500000000000001E-2</v>
      </c>
      <c r="AB35" s="375">
        <v>4.5499999999999999E-2</v>
      </c>
      <c r="AC35" s="375">
        <v>4.2500000000000003E-2</v>
      </c>
      <c r="AD35" s="377">
        <v>4.7500000000000001E-2</v>
      </c>
      <c r="AE35" s="373">
        <f t="shared" si="3"/>
        <v>4.5749999999999999E-2</v>
      </c>
      <c r="AG35" s="371">
        <v>49140</v>
      </c>
      <c r="AH35" s="378"/>
      <c r="AI35" s="375">
        <v>0.05</v>
      </c>
      <c r="AJ35" s="375">
        <v>0.05</v>
      </c>
      <c r="AK35" s="375">
        <v>4.8750000000000002E-2</v>
      </c>
      <c r="AL35" s="377">
        <v>0.05</v>
      </c>
      <c r="AM35" s="373">
        <f t="shared" si="4"/>
        <v>4.9687499999999996E-2</v>
      </c>
      <c r="AN35" s="378"/>
      <c r="AO35" s="375">
        <v>0.04</v>
      </c>
      <c r="AP35" s="375">
        <v>4.2500000000000003E-2</v>
      </c>
      <c r="AQ35" s="375">
        <v>4.4999999999999998E-2</v>
      </c>
      <c r="AR35" s="377">
        <v>4.1250000000000002E-2</v>
      </c>
      <c r="AS35" s="373">
        <f t="shared" si="5"/>
        <v>4.2187500000000003E-2</v>
      </c>
      <c r="AU35" s="379">
        <v>44819</v>
      </c>
      <c r="AV35" s="375"/>
      <c r="AW35" s="375"/>
      <c r="AX35" s="375">
        <v>4.6249999999999999E-2</v>
      </c>
      <c r="AY35" s="375">
        <v>7.4999999999999997E-2</v>
      </c>
      <c r="AZ35" s="375">
        <v>6.8750000000000006E-2</v>
      </c>
      <c r="BA35" s="375">
        <v>5.8749999999999997E-2</v>
      </c>
      <c r="BB35" s="375">
        <v>6.6250000000000003E-2</v>
      </c>
      <c r="BC35" s="375">
        <v>7.1249999999999994E-2</v>
      </c>
      <c r="BD35" s="375">
        <v>7.6249999999999998E-2</v>
      </c>
      <c r="BE35" s="375">
        <v>6.8750000000000006E-2</v>
      </c>
      <c r="BF35" s="375">
        <v>7.1249999999999994E-2</v>
      </c>
      <c r="BG35" s="375">
        <v>3.7499999999999999E-2</v>
      </c>
      <c r="BH35" s="375">
        <v>8.2799999999999999E-2</v>
      </c>
      <c r="BI35" s="373">
        <f t="shared" si="6"/>
        <v>6.5709090909090911E-2</v>
      </c>
      <c r="BJ35" s="378"/>
      <c r="BK35" s="375"/>
      <c r="BL35" s="375">
        <v>3.3750000000000002E-2</v>
      </c>
      <c r="BM35" s="375">
        <v>0.05</v>
      </c>
      <c r="BN35" s="375">
        <v>5.2499999999999998E-2</v>
      </c>
      <c r="BO35" s="375">
        <v>6.25E-2</v>
      </c>
      <c r="BP35" s="375">
        <v>3.3750000000000002E-2</v>
      </c>
      <c r="BQ35" s="377">
        <v>7.8200000000000006E-2</v>
      </c>
      <c r="BR35" s="380">
        <f t="shared" si="7"/>
        <v>5.1783333333333341E-2</v>
      </c>
      <c r="BT35" s="367">
        <v>44819</v>
      </c>
      <c r="BU35" s="375">
        <f t="shared" si="8"/>
        <v>1.2E-2</v>
      </c>
      <c r="BV35" s="375">
        <f t="shared" si="9"/>
        <v>1.6607142857142859E-2</v>
      </c>
      <c r="BW35" s="377">
        <f t="shared" si="10"/>
        <v>1.2E-2</v>
      </c>
    </row>
    <row r="36" spans="1:75" x14ac:dyDescent="0.15">
      <c r="A36" s="367">
        <v>49263</v>
      </c>
      <c r="B36" s="375"/>
      <c r="C36" s="375">
        <v>0.05</v>
      </c>
      <c r="D36" s="375">
        <v>0.05</v>
      </c>
      <c r="E36" s="375">
        <v>4.8750000000000002E-2</v>
      </c>
      <c r="F36" s="377">
        <v>0.05</v>
      </c>
      <c r="G36" s="373">
        <f t="shared" si="0"/>
        <v>4.9687499999999996E-2</v>
      </c>
      <c r="H36" s="375"/>
      <c r="I36" s="375">
        <v>0.04</v>
      </c>
      <c r="J36" s="375">
        <v>4.2500000000000003E-2</v>
      </c>
      <c r="K36" s="375">
        <v>4.4999999999999998E-2</v>
      </c>
      <c r="L36" s="377">
        <v>4.1250000000000002E-2</v>
      </c>
      <c r="M36" s="373">
        <f t="shared" si="1"/>
        <v>4.2187500000000003E-2</v>
      </c>
      <c r="O36" s="371">
        <v>49324</v>
      </c>
      <c r="P36" s="378"/>
      <c r="Q36" s="375"/>
      <c r="R36" s="375"/>
      <c r="S36" s="375">
        <v>5.7500000000000002E-2</v>
      </c>
      <c r="T36" s="375">
        <v>5.7500000000000002E-2</v>
      </c>
      <c r="U36" s="375">
        <v>4.7500000000000001E-2</v>
      </c>
      <c r="V36" s="377">
        <v>5.7500000000000002E-2</v>
      </c>
      <c r="W36" s="373">
        <f t="shared" si="2"/>
        <v>5.5E-2</v>
      </c>
      <c r="X36" s="378"/>
      <c r="Y36" s="375"/>
      <c r="Z36" s="375"/>
      <c r="AA36" s="375">
        <v>4.7500000000000001E-2</v>
      </c>
      <c r="AB36" s="375">
        <v>4.5499999999999999E-2</v>
      </c>
      <c r="AC36" s="375">
        <v>4.2500000000000003E-2</v>
      </c>
      <c r="AD36" s="377">
        <v>4.7500000000000001E-2</v>
      </c>
      <c r="AE36" s="373">
        <f t="shared" si="3"/>
        <v>4.5749999999999999E-2</v>
      </c>
      <c r="AG36" s="371">
        <v>49324</v>
      </c>
      <c r="AH36" s="378"/>
      <c r="AI36" s="375">
        <v>0.05</v>
      </c>
      <c r="AJ36" s="375">
        <v>0.05</v>
      </c>
      <c r="AK36" s="375">
        <v>4.8750000000000002E-2</v>
      </c>
      <c r="AL36" s="377">
        <v>0.05</v>
      </c>
      <c r="AM36" s="373">
        <f t="shared" si="4"/>
        <v>4.9687499999999996E-2</v>
      </c>
      <c r="AN36" s="378"/>
      <c r="AO36" s="375">
        <v>0.04</v>
      </c>
      <c r="AP36" s="375">
        <v>4.2500000000000003E-2</v>
      </c>
      <c r="AQ36" s="375">
        <v>4.4999999999999998E-2</v>
      </c>
      <c r="AR36" s="377">
        <v>4.1250000000000002E-2</v>
      </c>
      <c r="AS36" s="373">
        <f t="shared" si="5"/>
        <v>4.2187500000000003E-2</v>
      </c>
      <c r="AU36" s="379">
        <v>44849</v>
      </c>
      <c r="AV36" s="375"/>
      <c r="AW36" s="375"/>
      <c r="AX36" s="375">
        <v>4.6249999999999999E-2</v>
      </c>
      <c r="AY36" s="375">
        <v>7.4999999999999997E-2</v>
      </c>
      <c r="AZ36" s="375">
        <v>6.8750000000000006E-2</v>
      </c>
      <c r="BA36" s="375">
        <v>5.8749999999999997E-2</v>
      </c>
      <c r="BB36" s="375">
        <v>6.6250000000000003E-2</v>
      </c>
      <c r="BC36" s="375">
        <v>7.1249999999999994E-2</v>
      </c>
      <c r="BD36" s="375">
        <v>7.6249999999999998E-2</v>
      </c>
      <c r="BE36" s="375">
        <v>6.8750000000000006E-2</v>
      </c>
      <c r="BF36" s="375">
        <v>7.1249999999999994E-2</v>
      </c>
      <c r="BG36" s="375">
        <v>3.7499999999999999E-2</v>
      </c>
      <c r="BH36" s="375">
        <v>8.2799999999999999E-2</v>
      </c>
      <c r="BI36" s="373">
        <f t="shared" si="6"/>
        <v>6.5709090909090911E-2</v>
      </c>
      <c r="BJ36" s="378"/>
      <c r="BK36" s="375"/>
      <c r="BL36" s="375">
        <v>3.3750000000000002E-2</v>
      </c>
      <c r="BM36" s="375">
        <v>0.05</v>
      </c>
      <c r="BN36" s="375">
        <v>5.2499999999999998E-2</v>
      </c>
      <c r="BO36" s="375">
        <v>6.25E-2</v>
      </c>
      <c r="BP36" s="375">
        <v>3.3750000000000002E-2</v>
      </c>
      <c r="BQ36" s="377">
        <v>7.8200000000000006E-2</v>
      </c>
      <c r="BR36" s="380">
        <f t="shared" si="7"/>
        <v>5.1783333333333341E-2</v>
      </c>
      <c r="BT36" s="367">
        <v>44849</v>
      </c>
      <c r="BU36" s="375">
        <f t="shared" si="8"/>
        <v>1.2E-2</v>
      </c>
      <c r="BV36" s="375">
        <f t="shared" si="9"/>
        <v>1.6607142857142859E-2</v>
      </c>
      <c r="BW36" s="377">
        <f t="shared" si="10"/>
        <v>1.2E-2</v>
      </c>
    </row>
    <row r="37" spans="1:75" x14ac:dyDescent="0.15">
      <c r="A37" s="367">
        <v>49444</v>
      </c>
      <c r="B37" s="375"/>
      <c r="C37" s="375">
        <v>0.05</v>
      </c>
      <c r="D37" s="375">
        <v>0.05</v>
      </c>
      <c r="E37" s="375">
        <v>4.8750000000000002E-2</v>
      </c>
      <c r="F37" s="377">
        <v>0.05</v>
      </c>
      <c r="G37" s="373">
        <f t="shared" si="0"/>
        <v>4.9687499999999996E-2</v>
      </c>
      <c r="H37" s="375"/>
      <c r="I37" s="375">
        <v>0.04</v>
      </c>
      <c r="J37" s="375">
        <v>4.2500000000000003E-2</v>
      </c>
      <c r="K37" s="375">
        <v>4.4999999999999998E-2</v>
      </c>
      <c r="L37" s="377">
        <v>4.1250000000000002E-2</v>
      </c>
      <c r="M37" s="373">
        <f t="shared" si="1"/>
        <v>4.2187500000000003E-2</v>
      </c>
      <c r="O37" s="371">
        <v>49505</v>
      </c>
      <c r="P37" s="378"/>
      <c r="Q37" s="375"/>
      <c r="R37" s="375"/>
      <c r="S37" s="375">
        <v>5.7500000000000002E-2</v>
      </c>
      <c r="T37" s="375">
        <v>5.7500000000000002E-2</v>
      </c>
      <c r="U37" s="375">
        <v>4.7500000000000001E-2</v>
      </c>
      <c r="V37" s="377">
        <v>5.7500000000000002E-2</v>
      </c>
      <c r="W37" s="373">
        <f t="shared" si="2"/>
        <v>5.5E-2</v>
      </c>
      <c r="X37" s="378"/>
      <c r="Y37" s="375"/>
      <c r="Z37" s="375"/>
      <c r="AA37" s="375">
        <v>4.7500000000000001E-2</v>
      </c>
      <c r="AB37" s="375">
        <v>4.5499999999999999E-2</v>
      </c>
      <c r="AC37" s="375">
        <v>4.2500000000000003E-2</v>
      </c>
      <c r="AD37" s="377">
        <v>4.7500000000000001E-2</v>
      </c>
      <c r="AE37" s="373">
        <f t="shared" si="3"/>
        <v>4.5749999999999999E-2</v>
      </c>
      <c r="AG37" s="371">
        <v>49505</v>
      </c>
      <c r="AH37" s="378"/>
      <c r="AI37" s="375">
        <v>0.05</v>
      </c>
      <c r="AJ37" s="375">
        <v>0.05</v>
      </c>
      <c r="AK37" s="375">
        <v>4.8750000000000002E-2</v>
      </c>
      <c r="AL37" s="377">
        <v>0.05</v>
      </c>
      <c r="AM37" s="373">
        <f t="shared" si="4"/>
        <v>4.9687499999999996E-2</v>
      </c>
      <c r="AN37" s="378"/>
      <c r="AO37" s="375">
        <v>0.04</v>
      </c>
      <c r="AP37" s="375">
        <v>4.2500000000000003E-2</v>
      </c>
      <c r="AQ37" s="375">
        <v>4.4999999999999998E-2</v>
      </c>
      <c r="AR37" s="377">
        <v>4.1250000000000002E-2</v>
      </c>
      <c r="AS37" s="373">
        <f t="shared" si="5"/>
        <v>4.2187500000000003E-2</v>
      </c>
      <c r="AU37" s="379">
        <v>44880</v>
      </c>
      <c r="AV37" s="375"/>
      <c r="AW37" s="375"/>
      <c r="AX37" s="375">
        <v>4.6249999999999999E-2</v>
      </c>
      <c r="AY37" s="375">
        <v>7.4999999999999997E-2</v>
      </c>
      <c r="AZ37" s="375">
        <v>6.8750000000000006E-2</v>
      </c>
      <c r="BA37" s="375">
        <v>5.8749999999999997E-2</v>
      </c>
      <c r="BB37" s="375">
        <v>6.6250000000000003E-2</v>
      </c>
      <c r="BC37" s="375">
        <v>7.1249999999999994E-2</v>
      </c>
      <c r="BD37" s="375">
        <v>7.6249999999999998E-2</v>
      </c>
      <c r="BE37" s="375">
        <v>6.8750000000000006E-2</v>
      </c>
      <c r="BF37" s="375">
        <v>7.1249999999999994E-2</v>
      </c>
      <c r="BG37" s="375">
        <v>3.7499999999999999E-2</v>
      </c>
      <c r="BH37" s="375">
        <v>8.2799999999999999E-2</v>
      </c>
      <c r="BI37" s="373">
        <f t="shared" si="6"/>
        <v>6.5709090909090911E-2</v>
      </c>
      <c r="BJ37" s="378"/>
      <c r="BK37" s="375"/>
      <c r="BL37" s="375">
        <v>3.3750000000000002E-2</v>
      </c>
      <c r="BM37" s="375">
        <v>0.05</v>
      </c>
      <c r="BN37" s="375">
        <v>5.2499999999999998E-2</v>
      </c>
      <c r="BO37" s="375">
        <v>6.25E-2</v>
      </c>
      <c r="BP37" s="375">
        <v>3.3750000000000002E-2</v>
      </c>
      <c r="BQ37" s="377">
        <v>7.8200000000000006E-2</v>
      </c>
      <c r="BR37" s="380">
        <f t="shared" si="7"/>
        <v>5.1783333333333341E-2</v>
      </c>
      <c r="BT37" s="367">
        <v>44880</v>
      </c>
      <c r="BU37" s="375">
        <f t="shared" si="8"/>
        <v>1.2E-2</v>
      </c>
      <c r="BV37" s="375">
        <f t="shared" si="9"/>
        <v>1.6607142857142859E-2</v>
      </c>
      <c r="BW37" s="377">
        <f t="shared" si="10"/>
        <v>1.2E-2</v>
      </c>
    </row>
    <row r="38" spans="1:75" x14ac:dyDescent="0.15">
      <c r="A38" s="367">
        <v>49628</v>
      </c>
      <c r="B38" s="375"/>
      <c r="C38" s="375">
        <v>0.05</v>
      </c>
      <c r="D38" s="375">
        <v>0.05</v>
      </c>
      <c r="E38" s="375">
        <v>4.8750000000000002E-2</v>
      </c>
      <c r="F38" s="377">
        <v>0.05</v>
      </c>
      <c r="G38" s="373">
        <f t="shared" si="0"/>
        <v>4.9687499999999996E-2</v>
      </c>
      <c r="H38" s="375"/>
      <c r="I38" s="375">
        <v>0.04</v>
      </c>
      <c r="J38" s="375">
        <v>4.2500000000000003E-2</v>
      </c>
      <c r="K38" s="375">
        <v>4.4999999999999998E-2</v>
      </c>
      <c r="L38" s="377">
        <v>4.1250000000000002E-2</v>
      </c>
      <c r="M38" s="373">
        <f t="shared" si="1"/>
        <v>4.2187500000000003E-2</v>
      </c>
      <c r="O38" s="371">
        <v>49689</v>
      </c>
      <c r="P38" s="378"/>
      <c r="Q38" s="375"/>
      <c r="R38" s="375"/>
      <c r="S38" s="375">
        <v>5.7500000000000002E-2</v>
      </c>
      <c r="T38" s="375">
        <v>5.7500000000000002E-2</v>
      </c>
      <c r="U38" s="375">
        <v>4.7500000000000001E-2</v>
      </c>
      <c r="V38" s="377">
        <v>5.7500000000000002E-2</v>
      </c>
      <c r="W38" s="373">
        <f t="shared" si="2"/>
        <v>5.5E-2</v>
      </c>
      <c r="X38" s="378"/>
      <c r="Y38" s="375"/>
      <c r="Z38" s="375"/>
      <c r="AA38" s="375">
        <v>4.7500000000000001E-2</v>
      </c>
      <c r="AB38" s="375">
        <v>4.5499999999999999E-2</v>
      </c>
      <c r="AC38" s="375">
        <v>4.2500000000000003E-2</v>
      </c>
      <c r="AD38" s="377">
        <v>4.7500000000000001E-2</v>
      </c>
      <c r="AE38" s="373">
        <f t="shared" si="3"/>
        <v>4.5749999999999999E-2</v>
      </c>
      <c r="AG38" s="371">
        <v>49689</v>
      </c>
      <c r="AH38" s="378"/>
      <c r="AI38" s="375"/>
      <c r="AJ38" s="375">
        <v>0.05</v>
      </c>
      <c r="AK38" s="375">
        <v>4.8750000000000002E-2</v>
      </c>
      <c r="AL38" s="377">
        <v>0.05</v>
      </c>
      <c r="AM38" s="373">
        <f t="shared" si="4"/>
        <v>4.9583333333333333E-2</v>
      </c>
      <c r="AN38" s="378"/>
      <c r="AO38" s="375"/>
      <c r="AP38" s="375">
        <v>4.2500000000000003E-2</v>
      </c>
      <c r="AQ38" s="375">
        <v>4.4999999999999998E-2</v>
      </c>
      <c r="AR38" s="377">
        <v>4.1250000000000002E-2</v>
      </c>
      <c r="AS38" s="373">
        <f t="shared" si="5"/>
        <v>4.2916666666666665E-2</v>
      </c>
      <c r="AU38" s="379">
        <v>44910</v>
      </c>
      <c r="AV38" s="375"/>
      <c r="AW38" s="375"/>
      <c r="AX38" s="375">
        <v>4.6249999999999999E-2</v>
      </c>
      <c r="AY38" s="375">
        <v>7.4999999999999997E-2</v>
      </c>
      <c r="AZ38" s="375">
        <v>6.8750000000000006E-2</v>
      </c>
      <c r="BA38" s="375">
        <v>5.8749999999999997E-2</v>
      </c>
      <c r="BB38" s="375">
        <v>6.6250000000000003E-2</v>
      </c>
      <c r="BC38" s="375">
        <v>7.1249999999999994E-2</v>
      </c>
      <c r="BD38" s="375">
        <v>7.6249999999999998E-2</v>
      </c>
      <c r="BE38" s="375">
        <v>6.8750000000000006E-2</v>
      </c>
      <c r="BF38" s="375">
        <v>7.1249999999999994E-2</v>
      </c>
      <c r="BG38" s="375">
        <v>3.7499999999999999E-2</v>
      </c>
      <c r="BH38" s="375">
        <v>8.2799999999999999E-2</v>
      </c>
      <c r="BI38" s="373">
        <f t="shared" si="6"/>
        <v>6.5709090909090911E-2</v>
      </c>
      <c r="BJ38" s="378"/>
      <c r="BK38" s="375"/>
      <c r="BL38" s="375">
        <v>3.3750000000000002E-2</v>
      </c>
      <c r="BM38" s="375">
        <v>0.05</v>
      </c>
      <c r="BN38" s="375">
        <v>5.2499999999999998E-2</v>
      </c>
      <c r="BO38" s="375">
        <v>6.25E-2</v>
      </c>
      <c r="BP38" s="375">
        <v>3.3750000000000002E-2</v>
      </c>
      <c r="BQ38" s="377">
        <v>7.8200000000000006E-2</v>
      </c>
      <c r="BR38" s="380">
        <f t="shared" si="7"/>
        <v>5.1783333333333341E-2</v>
      </c>
      <c r="BT38" s="367">
        <v>44910</v>
      </c>
      <c r="BU38" s="375">
        <f t="shared" si="8"/>
        <v>1.2E-2</v>
      </c>
      <c r="BV38" s="375">
        <f t="shared" si="9"/>
        <v>1.6607142857142859E-2</v>
      </c>
      <c r="BW38" s="377">
        <f t="shared" si="10"/>
        <v>1.2E-2</v>
      </c>
    </row>
    <row r="39" spans="1:75" x14ac:dyDescent="0.15">
      <c r="A39" s="367">
        <v>49810</v>
      </c>
      <c r="B39" s="375"/>
      <c r="C39" s="375"/>
      <c r="D39" s="375">
        <v>0.05</v>
      </c>
      <c r="E39" s="375">
        <v>4.8750000000000002E-2</v>
      </c>
      <c r="F39" s="377">
        <v>0.05</v>
      </c>
      <c r="G39" s="373">
        <f t="shared" si="0"/>
        <v>4.9583333333333333E-2</v>
      </c>
      <c r="H39" s="375"/>
      <c r="I39" s="375"/>
      <c r="J39" s="375">
        <v>4.2500000000000003E-2</v>
      </c>
      <c r="K39" s="375">
        <v>4.4999999999999998E-2</v>
      </c>
      <c r="L39" s="377">
        <v>4.1250000000000002E-2</v>
      </c>
      <c r="M39" s="373">
        <f t="shared" si="1"/>
        <v>4.2916666666666665E-2</v>
      </c>
      <c r="O39" s="371">
        <v>49871</v>
      </c>
      <c r="P39" s="378"/>
      <c r="Q39" s="375"/>
      <c r="R39" s="375"/>
      <c r="S39" s="375">
        <v>5.7500000000000002E-2</v>
      </c>
      <c r="T39" s="375">
        <v>5.7500000000000002E-2</v>
      </c>
      <c r="U39" s="375">
        <v>4.7500000000000001E-2</v>
      </c>
      <c r="V39" s="377">
        <v>5.7500000000000002E-2</v>
      </c>
      <c r="W39" s="373">
        <f t="shared" si="2"/>
        <v>5.5E-2</v>
      </c>
      <c r="X39" s="378"/>
      <c r="Y39" s="375"/>
      <c r="Z39" s="375"/>
      <c r="AA39" s="375">
        <v>4.7500000000000001E-2</v>
      </c>
      <c r="AB39" s="375">
        <v>4.5499999999999999E-2</v>
      </c>
      <c r="AC39" s="375">
        <v>4.2500000000000003E-2</v>
      </c>
      <c r="AD39" s="377">
        <v>4.7500000000000001E-2</v>
      </c>
      <c r="AE39" s="373">
        <f t="shared" si="3"/>
        <v>4.5749999999999999E-2</v>
      </c>
      <c r="AG39" s="371">
        <v>49871</v>
      </c>
      <c r="AH39" s="378"/>
      <c r="AI39" s="375"/>
      <c r="AJ39" s="375">
        <v>0.05</v>
      </c>
      <c r="AK39" s="375">
        <v>4.8750000000000002E-2</v>
      </c>
      <c r="AL39" s="377">
        <v>0.05</v>
      </c>
      <c r="AM39" s="373">
        <f t="shared" si="4"/>
        <v>4.9583333333333333E-2</v>
      </c>
      <c r="AN39" s="378"/>
      <c r="AO39" s="375"/>
      <c r="AP39" s="375">
        <v>4.2500000000000003E-2</v>
      </c>
      <c r="AQ39" s="375">
        <v>4.4999999999999998E-2</v>
      </c>
      <c r="AR39" s="377">
        <v>4.1250000000000002E-2</v>
      </c>
      <c r="AS39" s="373">
        <f t="shared" si="5"/>
        <v>4.2916666666666665E-2</v>
      </c>
      <c r="AU39" s="379">
        <v>44941</v>
      </c>
      <c r="AV39" s="375"/>
      <c r="AW39" s="375"/>
      <c r="AX39" s="375"/>
      <c r="AY39" s="375">
        <v>7.4999999999999997E-2</v>
      </c>
      <c r="AZ39" s="375">
        <v>6.8750000000000006E-2</v>
      </c>
      <c r="BA39" s="375">
        <v>5.8749999999999997E-2</v>
      </c>
      <c r="BB39" s="375">
        <v>6.6250000000000003E-2</v>
      </c>
      <c r="BC39" s="375">
        <v>7.1249999999999994E-2</v>
      </c>
      <c r="BD39" s="375">
        <v>7.6249999999999998E-2</v>
      </c>
      <c r="BE39" s="375">
        <v>6.8750000000000006E-2</v>
      </c>
      <c r="BF39" s="375">
        <v>7.1249999999999994E-2</v>
      </c>
      <c r="BG39" s="375">
        <v>3.7499999999999999E-2</v>
      </c>
      <c r="BH39" s="375">
        <v>8.2799999999999999E-2</v>
      </c>
      <c r="BI39" s="373">
        <f t="shared" si="6"/>
        <v>6.7654999999999993E-2</v>
      </c>
      <c r="BJ39" s="378"/>
      <c r="BK39" s="375"/>
      <c r="BL39" s="375">
        <v>3.3750000000000002E-2</v>
      </c>
      <c r="BM39" s="375">
        <v>0.05</v>
      </c>
      <c r="BN39" s="375">
        <v>5.2499999999999998E-2</v>
      </c>
      <c r="BO39" s="375">
        <v>6.25E-2</v>
      </c>
      <c r="BP39" s="375">
        <v>3.3750000000000002E-2</v>
      </c>
      <c r="BQ39" s="377">
        <v>7.8200000000000006E-2</v>
      </c>
      <c r="BR39" s="380">
        <f t="shared" si="7"/>
        <v>5.1783333333333341E-2</v>
      </c>
      <c r="BT39" s="367">
        <v>44941</v>
      </c>
      <c r="BU39" s="375">
        <f t="shared" si="8"/>
        <v>1.2E-2</v>
      </c>
      <c r="BV39" s="375">
        <f t="shared" si="9"/>
        <v>2.6071428571428572E-2</v>
      </c>
      <c r="BW39" s="377">
        <f t="shared" si="10"/>
        <v>1.925E-2</v>
      </c>
    </row>
    <row r="40" spans="1:75" x14ac:dyDescent="0.15">
      <c r="A40" s="367">
        <v>49994</v>
      </c>
      <c r="B40" s="375"/>
      <c r="C40" s="375"/>
      <c r="D40" s="375">
        <v>0.05</v>
      </c>
      <c r="E40" s="375">
        <v>4.8750000000000002E-2</v>
      </c>
      <c r="F40" s="377">
        <v>0.05</v>
      </c>
      <c r="G40" s="373">
        <f t="shared" si="0"/>
        <v>4.9583333333333333E-2</v>
      </c>
      <c r="H40" s="375"/>
      <c r="I40" s="375"/>
      <c r="J40" s="375">
        <v>4.2500000000000003E-2</v>
      </c>
      <c r="K40" s="375">
        <v>4.4999999999999998E-2</v>
      </c>
      <c r="L40" s="377">
        <v>4.1250000000000002E-2</v>
      </c>
      <c r="M40" s="373">
        <f t="shared" si="1"/>
        <v>4.2916666666666665E-2</v>
      </c>
      <c r="O40" s="371">
        <v>50055</v>
      </c>
      <c r="P40" s="378"/>
      <c r="Q40" s="375"/>
      <c r="R40" s="375"/>
      <c r="S40" s="375"/>
      <c r="T40" s="375">
        <v>5.7500000000000002E-2</v>
      </c>
      <c r="U40" s="375">
        <v>4.7500000000000001E-2</v>
      </c>
      <c r="V40" s="377">
        <v>5.7500000000000002E-2</v>
      </c>
      <c r="W40" s="373">
        <f t="shared" si="2"/>
        <v>5.4166666666666669E-2</v>
      </c>
      <c r="X40" s="378"/>
      <c r="Y40" s="375"/>
      <c r="Z40" s="375"/>
      <c r="AA40" s="375"/>
      <c r="AB40" s="375">
        <v>4.5499999999999999E-2</v>
      </c>
      <c r="AC40" s="375">
        <v>4.2500000000000003E-2</v>
      </c>
      <c r="AD40" s="377">
        <v>4.7500000000000001E-2</v>
      </c>
      <c r="AE40" s="373">
        <f t="shared" si="3"/>
        <v>4.5166666666666667E-2</v>
      </c>
      <c r="AG40" s="371">
        <v>50055</v>
      </c>
      <c r="AH40" s="378"/>
      <c r="AI40" s="375"/>
      <c r="AJ40" s="375">
        <v>0.05</v>
      </c>
      <c r="AK40" s="375">
        <v>4.8750000000000002E-2</v>
      </c>
      <c r="AL40" s="377">
        <v>0.05</v>
      </c>
      <c r="AM40" s="373">
        <f t="shared" si="4"/>
        <v>4.9583333333333333E-2</v>
      </c>
      <c r="AN40" s="378"/>
      <c r="AO40" s="375"/>
      <c r="AP40" s="375">
        <v>4.2500000000000003E-2</v>
      </c>
      <c r="AQ40" s="375">
        <v>4.4999999999999998E-2</v>
      </c>
      <c r="AR40" s="377">
        <v>4.1250000000000002E-2</v>
      </c>
      <c r="AS40" s="373">
        <f t="shared" si="5"/>
        <v>4.2916666666666665E-2</v>
      </c>
      <c r="AU40" s="379">
        <v>44972</v>
      </c>
      <c r="AV40" s="375"/>
      <c r="AW40" s="375"/>
      <c r="AX40" s="375"/>
      <c r="AY40" s="375">
        <v>7.4999999999999997E-2</v>
      </c>
      <c r="AZ40" s="375">
        <v>6.8750000000000006E-2</v>
      </c>
      <c r="BA40" s="375">
        <v>5.8749999999999997E-2</v>
      </c>
      <c r="BB40" s="375">
        <v>6.6250000000000003E-2</v>
      </c>
      <c r="BC40" s="375">
        <v>7.1249999999999994E-2</v>
      </c>
      <c r="BD40" s="375">
        <v>7.6249999999999998E-2</v>
      </c>
      <c r="BE40" s="375">
        <v>6.8750000000000006E-2</v>
      </c>
      <c r="BF40" s="375">
        <v>7.1249999999999994E-2</v>
      </c>
      <c r="BG40" s="375">
        <v>3.7499999999999999E-2</v>
      </c>
      <c r="BH40" s="375">
        <v>8.2799999999999999E-2</v>
      </c>
      <c r="BI40" s="373">
        <f t="shared" si="6"/>
        <v>6.7654999999999993E-2</v>
      </c>
      <c r="BJ40" s="378"/>
      <c r="BK40" s="375"/>
      <c r="BL40" s="375"/>
      <c r="BM40" s="375">
        <v>0.05</v>
      </c>
      <c r="BN40" s="375">
        <v>5.2499999999999998E-2</v>
      </c>
      <c r="BO40" s="375">
        <v>6.25E-2</v>
      </c>
      <c r="BP40" s="375">
        <v>3.3750000000000002E-2</v>
      </c>
      <c r="BQ40" s="377">
        <v>7.8200000000000006E-2</v>
      </c>
      <c r="BR40" s="380">
        <f t="shared" si="7"/>
        <v>5.5390000000000009E-2</v>
      </c>
      <c r="BT40" s="367">
        <v>44972</v>
      </c>
      <c r="BU40" s="375">
        <f t="shared" si="8"/>
        <v>1.2E-2</v>
      </c>
      <c r="BV40" s="375">
        <f t="shared" si="9"/>
        <v>2.6071428571428572E-2</v>
      </c>
      <c r="BW40" s="377">
        <f t="shared" si="10"/>
        <v>1.925E-2</v>
      </c>
    </row>
    <row r="41" spans="1:75" x14ac:dyDescent="0.15">
      <c r="A41" s="367">
        <v>50175</v>
      </c>
      <c r="B41" s="375"/>
      <c r="C41" s="375"/>
      <c r="D41" s="375">
        <v>0.05</v>
      </c>
      <c r="E41" s="375">
        <v>4.8750000000000002E-2</v>
      </c>
      <c r="F41" s="377">
        <v>0.05</v>
      </c>
      <c r="G41" s="373">
        <f t="shared" si="0"/>
        <v>4.9583333333333333E-2</v>
      </c>
      <c r="H41" s="375"/>
      <c r="I41" s="375"/>
      <c r="J41" s="375">
        <v>4.2500000000000003E-2</v>
      </c>
      <c r="K41" s="375">
        <v>4.4999999999999998E-2</v>
      </c>
      <c r="L41" s="377">
        <v>4.1250000000000002E-2</v>
      </c>
      <c r="M41" s="373">
        <f t="shared" si="1"/>
        <v>4.2916666666666665E-2</v>
      </c>
      <c r="O41" s="371">
        <v>50236</v>
      </c>
      <c r="P41" s="378"/>
      <c r="Q41" s="375"/>
      <c r="R41" s="375"/>
      <c r="S41" s="375"/>
      <c r="T41" s="375">
        <v>5.7500000000000002E-2</v>
      </c>
      <c r="U41" s="375">
        <v>4.7500000000000001E-2</v>
      </c>
      <c r="V41" s="377">
        <v>5.7500000000000002E-2</v>
      </c>
      <c r="W41" s="373">
        <f t="shared" si="2"/>
        <v>5.4166666666666669E-2</v>
      </c>
      <c r="X41" s="378"/>
      <c r="Y41" s="375"/>
      <c r="Z41" s="375"/>
      <c r="AA41" s="375"/>
      <c r="AB41" s="375">
        <v>4.5499999999999999E-2</v>
      </c>
      <c r="AC41" s="375">
        <v>4.2500000000000003E-2</v>
      </c>
      <c r="AD41" s="377">
        <v>4.7500000000000001E-2</v>
      </c>
      <c r="AE41" s="373">
        <f t="shared" si="3"/>
        <v>4.5166666666666667E-2</v>
      </c>
      <c r="AG41" s="371">
        <v>50236</v>
      </c>
      <c r="AH41" s="378"/>
      <c r="AI41" s="375"/>
      <c r="AJ41" s="375">
        <v>0.05</v>
      </c>
      <c r="AK41" s="375">
        <v>4.8750000000000002E-2</v>
      </c>
      <c r="AL41" s="377">
        <v>0.05</v>
      </c>
      <c r="AM41" s="373">
        <f t="shared" si="4"/>
        <v>4.9583333333333333E-2</v>
      </c>
      <c r="AN41" s="378"/>
      <c r="AO41" s="375"/>
      <c r="AP41" s="375">
        <v>4.2500000000000003E-2</v>
      </c>
      <c r="AQ41" s="375">
        <v>4.4999999999999998E-2</v>
      </c>
      <c r="AR41" s="377">
        <v>4.1250000000000002E-2</v>
      </c>
      <c r="AS41" s="373">
        <f t="shared" si="5"/>
        <v>4.2916666666666665E-2</v>
      </c>
      <c r="AU41" s="379">
        <v>45000</v>
      </c>
      <c r="AV41" s="375"/>
      <c r="AW41" s="375"/>
      <c r="AX41" s="375"/>
      <c r="AY41" s="375">
        <v>7.4999999999999997E-2</v>
      </c>
      <c r="AZ41" s="375">
        <v>6.8750000000000006E-2</v>
      </c>
      <c r="BA41" s="375">
        <v>5.8749999999999997E-2</v>
      </c>
      <c r="BB41" s="375">
        <v>6.6250000000000003E-2</v>
      </c>
      <c r="BC41" s="375">
        <v>7.1249999999999994E-2</v>
      </c>
      <c r="BD41" s="375">
        <v>7.6249999999999998E-2</v>
      </c>
      <c r="BE41" s="375">
        <v>6.8750000000000006E-2</v>
      </c>
      <c r="BF41" s="375">
        <v>7.1249999999999994E-2</v>
      </c>
      <c r="BG41" s="375">
        <v>3.7499999999999999E-2</v>
      </c>
      <c r="BH41" s="375">
        <v>8.2799999999999999E-2</v>
      </c>
      <c r="BI41" s="373">
        <f t="shared" si="6"/>
        <v>6.7654999999999993E-2</v>
      </c>
      <c r="BJ41" s="378"/>
      <c r="BK41" s="375"/>
      <c r="BL41" s="375"/>
      <c r="BM41" s="375">
        <v>0.05</v>
      </c>
      <c r="BN41" s="375">
        <v>5.2499999999999998E-2</v>
      </c>
      <c r="BO41" s="375">
        <v>6.25E-2</v>
      </c>
      <c r="BP41" s="375">
        <v>3.3750000000000002E-2</v>
      </c>
      <c r="BQ41" s="377">
        <v>7.8200000000000006E-2</v>
      </c>
      <c r="BR41" s="380">
        <f t="shared" si="7"/>
        <v>5.5390000000000009E-2</v>
      </c>
      <c r="BT41" s="367">
        <v>45000</v>
      </c>
      <c r="BU41" s="375">
        <f t="shared" si="8"/>
        <v>1.2E-2</v>
      </c>
      <c r="BV41" s="375">
        <f t="shared" si="9"/>
        <v>2.6071428571428572E-2</v>
      </c>
      <c r="BW41" s="377">
        <f t="shared" si="10"/>
        <v>1.925E-2</v>
      </c>
    </row>
    <row r="42" spans="1:75" x14ac:dyDescent="0.15">
      <c r="A42" s="367">
        <v>50359</v>
      </c>
      <c r="B42" s="375"/>
      <c r="C42" s="375"/>
      <c r="D42" s="375">
        <v>0.05</v>
      </c>
      <c r="E42" s="375">
        <v>4.8750000000000002E-2</v>
      </c>
      <c r="F42" s="377">
        <v>0.05</v>
      </c>
      <c r="G42" s="373">
        <f t="shared" si="0"/>
        <v>4.9583333333333333E-2</v>
      </c>
      <c r="H42" s="375"/>
      <c r="I42" s="375"/>
      <c r="J42" s="375">
        <v>4.2500000000000003E-2</v>
      </c>
      <c r="K42" s="375">
        <v>4.4999999999999998E-2</v>
      </c>
      <c r="L42" s="377">
        <v>4.1250000000000002E-2</v>
      </c>
      <c r="M42" s="373">
        <f t="shared" si="1"/>
        <v>4.2916666666666665E-2</v>
      </c>
      <c r="O42" s="371">
        <v>50420</v>
      </c>
      <c r="P42" s="378"/>
      <c r="Q42" s="375"/>
      <c r="R42" s="375"/>
      <c r="S42" s="375"/>
      <c r="T42" s="375">
        <v>5.7500000000000002E-2</v>
      </c>
      <c r="U42" s="375">
        <v>4.7500000000000001E-2</v>
      </c>
      <c r="V42" s="377">
        <v>5.7500000000000002E-2</v>
      </c>
      <c r="W42" s="373">
        <f t="shared" si="2"/>
        <v>5.4166666666666669E-2</v>
      </c>
      <c r="X42" s="378"/>
      <c r="Y42" s="375"/>
      <c r="Z42" s="375"/>
      <c r="AA42" s="375"/>
      <c r="AB42" s="375">
        <v>4.5499999999999999E-2</v>
      </c>
      <c r="AC42" s="375">
        <v>4.2500000000000003E-2</v>
      </c>
      <c r="AD42" s="377">
        <v>4.7500000000000001E-2</v>
      </c>
      <c r="AE42" s="373">
        <f t="shared" si="3"/>
        <v>4.5166666666666667E-2</v>
      </c>
      <c r="AG42" s="371">
        <v>50420</v>
      </c>
      <c r="AH42" s="378"/>
      <c r="AI42" s="375"/>
      <c r="AJ42" s="375">
        <v>0.05</v>
      </c>
      <c r="AK42" s="375">
        <v>4.8750000000000002E-2</v>
      </c>
      <c r="AL42" s="377">
        <v>0.05</v>
      </c>
      <c r="AM42" s="373">
        <f t="shared" si="4"/>
        <v>4.9583333333333333E-2</v>
      </c>
      <c r="AN42" s="378"/>
      <c r="AO42" s="375"/>
      <c r="AP42" s="375">
        <v>4.2500000000000003E-2</v>
      </c>
      <c r="AQ42" s="375">
        <v>4.4999999999999998E-2</v>
      </c>
      <c r="AR42" s="377">
        <v>4.1250000000000002E-2</v>
      </c>
      <c r="AS42" s="373">
        <f t="shared" si="5"/>
        <v>4.2916666666666665E-2</v>
      </c>
      <c r="AU42" s="379">
        <v>45031</v>
      </c>
      <c r="AV42" s="375"/>
      <c r="AW42" s="375"/>
      <c r="AX42" s="375"/>
      <c r="AY42" s="375">
        <v>7.4999999999999997E-2</v>
      </c>
      <c r="AZ42" s="375">
        <v>6.8750000000000006E-2</v>
      </c>
      <c r="BA42" s="375">
        <v>5.8749999999999997E-2</v>
      </c>
      <c r="BB42" s="375">
        <v>6.6250000000000003E-2</v>
      </c>
      <c r="BC42" s="375">
        <v>7.1249999999999994E-2</v>
      </c>
      <c r="BD42" s="375">
        <v>7.6249999999999998E-2</v>
      </c>
      <c r="BE42" s="375">
        <v>6.8750000000000006E-2</v>
      </c>
      <c r="BF42" s="375">
        <v>7.1249999999999994E-2</v>
      </c>
      <c r="BG42" s="375">
        <v>3.7499999999999999E-2</v>
      </c>
      <c r="BH42" s="375">
        <v>8.2799999999999999E-2</v>
      </c>
      <c r="BI42" s="373">
        <f t="shared" si="6"/>
        <v>6.7654999999999993E-2</v>
      </c>
      <c r="BJ42" s="378"/>
      <c r="BK42" s="375"/>
      <c r="BL42" s="375"/>
      <c r="BM42" s="375">
        <v>0.05</v>
      </c>
      <c r="BN42" s="375">
        <v>5.2499999999999998E-2</v>
      </c>
      <c r="BO42" s="375">
        <v>6.25E-2</v>
      </c>
      <c r="BP42" s="375">
        <v>3.3750000000000002E-2</v>
      </c>
      <c r="BQ42" s="377">
        <v>7.8200000000000006E-2</v>
      </c>
      <c r="BR42" s="380">
        <f t="shared" si="7"/>
        <v>5.5390000000000009E-2</v>
      </c>
      <c r="BT42" s="367">
        <v>45031</v>
      </c>
      <c r="BU42" s="375">
        <f t="shared" si="8"/>
        <v>1.2E-2</v>
      </c>
      <c r="BV42" s="375">
        <f t="shared" si="9"/>
        <v>2.6071428571428572E-2</v>
      </c>
      <c r="BW42" s="377">
        <f t="shared" si="10"/>
        <v>1.925E-2</v>
      </c>
    </row>
    <row r="43" spans="1:75" x14ac:dyDescent="0.15">
      <c r="A43" s="367">
        <v>50540</v>
      </c>
      <c r="B43" s="375"/>
      <c r="C43" s="375"/>
      <c r="D43" s="375">
        <v>0.05</v>
      </c>
      <c r="E43" s="375">
        <v>4.8750000000000002E-2</v>
      </c>
      <c r="F43" s="377">
        <v>0.05</v>
      </c>
      <c r="G43" s="373">
        <f t="shared" si="0"/>
        <v>4.9583333333333333E-2</v>
      </c>
      <c r="H43" s="375"/>
      <c r="I43" s="375"/>
      <c r="J43" s="375">
        <v>4.2500000000000003E-2</v>
      </c>
      <c r="K43" s="375">
        <v>4.4999999999999998E-2</v>
      </c>
      <c r="L43" s="377">
        <v>4.1250000000000002E-2</v>
      </c>
      <c r="M43" s="373">
        <f t="shared" si="1"/>
        <v>4.2916666666666665E-2</v>
      </c>
      <c r="O43" s="371">
        <v>50601</v>
      </c>
      <c r="P43" s="378"/>
      <c r="Q43" s="375"/>
      <c r="R43" s="375"/>
      <c r="S43" s="375"/>
      <c r="T43" s="375">
        <v>5.7500000000000002E-2</v>
      </c>
      <c r="U43" s="375">
        <v>4.7500000000000001E-2</v>
      </c>
      <c r="V43" s="377">
        <v>5.7500000000000002E-2</v>
      </c>
      <c r="W43" s="373">
        <f t="shared" si="2"/>
        <v>5.4166666666666669E-2</v>
      </c>
      <c r="X43" s="378"/>
      <c r="Y43" s="375"/>
      <c r="Z43" s="375"/>
      <c r="AA43" s="375"/>
      <c r="AB43" s="375">
        <v>4.5499999999999999E-2</v>
      </c>
      <c r="AC43" s="375">
        <v>4.2500000000000003E-2</v>
      </c>
      <c r="AD43" s="377">
        <v>4.7500000000000001E-2</v>
      </c>
      <c r="AE43" s="373">
        <f t="shared" si="3"/>
        <v>4.5166666666666667E-2</v>
      </c>
      <c r="AG43" s="371">
        <v>50601</v>
      </c>
      <c r="AH43" s="378"/>
      <c r="AI43" s="375"/>
      <c r="AJ43" s="375">
        <v>0.05</v>
      </c>
      <c r="AK43" s="375">
        <v>4.8750000000000002E-2</v>
      </c>
      <c r="AL43" s="377">
        <v>0.05</v>
      </c>
      <c r="AM43" s="373">
        <f t="shared" si="4"/>
        <v>4.9583333333333333E-2</v>
      </c>
      <c r="AN43" s="378"/>
      <c r="AO43" s="375"/>
      <c r="AP43" s="375">
        <v>4.2500000000000003E-2</v>
      </c>
      <c r="AQ43" s="375">
        <v>4.4999999999999998E-2</v>
      </c>
      <c r="AR43" s="377">
        <v>4.1250000000000002E-2</v>
      </c>
      <c r="AS43" s="373">
        <f t="shared" si="5"/>
        <v>4.2916666666666665E-2</v>
      </c>
      <c r="AU43" s="379">
        <v>45061</v>
      </c>
      <c r="AV43" s="375"/>
      <c r="AW43" s="375"/>
      <c r="AX43" s="375"/>
      <c r="AY43" s="375">
        <v>7.4999999999999997E-2</v>
      </c>
      <c r="AZ43" s="375">
        <v>6.8750000000000006E-2</v>
      </c>
      <c r="BA43" s="375">
        <v>5.8749999999999997E-2</v>
      </c>
      <c r="BB43" s="375">
        <v>6.6250000000000003E-2</v>
      </c>
      <c r="BC43" s="375">
        <v>7.1249999999999994E-2</v>
      </c>
      <c r="BD43" s="375">
        <v>7.6249999999999998E-2</v>
      </c>
      <c r="BE43" s="375">
        <v>6.8750000000000006E-2</v>
      </c>
      <c r="BF43" s="375">
        <v>7.1249999999999994E-2</v>
      </c>
      <c r="BG43" s="375">
        <v>3.7499999999999999E-2</v>
      </c>
      <c r="BH43" s="375">
        <v>8.2799999999999999E-2</v>
      </c>
      <c r="BI43" s="373">
        <f t="shared" si="6"/>
        <v>6.7654999999999993E-2</v>
      </c>
      <c r="BJ43" s="378"/>
      <c r="BK43" s="375"/>
      <c r="BL43" s="375"/>
      <c r="BM43" s="375">
        <v>0.05</v>
      </c>
      <c r="BN43" s="375">
        <v>5.2499999999999998E-2</v>
      </c>
      <c r="BO43" s="375">
        <v>6.25E-2</v>
      </c>
      <c r="BP43" s="375">
        <v>3.3750000000000002E-2</v>
      </c>
      <c r="BQ43" s="377">
        <v>7.8200000000000006E-2</v>
      </c>
      <c r="BR43" s="380">
        <f t="shared" si="7"/>
        <v>5.5390000000000009E-2</v>
      </c>
      <c r="BT43" s="367">
        <v>45061</v>
      </c>
      <c r="BU43" s="375">
        <f t="shared" si="8"/>
        <v>1.925E-2</v>
      </c>
      <c r="BV43" s="375">
        <f t="shared" si="9"/>
        <v>2.6071428571428572E-2</v>
      </c>
      <c r="BW43" s="377">
        <f t="shared" si="10"/>
        <v>1.925E-2</v>
      </c>
    </row>
    <row r="44" spans="1:75" x14ac:dyDescent="0.15">
      <c r="A44" s="367">
        <v>50724</v>
      </c>
      <c r="B44" s="375"/>
      <c r="C44" s="375"/>
      <c r="D44" s="375">
        <v>0.05</v>
      </c>
      <c r="E44" s="375">
        <v>4.8750000000000002E-2</v>
      </c>
      <c r="F44" s="377">
        <v>0.05</v>
      </c>
      <c r="G44" s="373">
        <f t="shared" si="0"/>
        <v>4.9583333333333333E-2</v>
      </c>
      <c r="H44" s="375"/>
      <c r="I44" s="375"/>
      <c r="J44" s="375">
        <v>4.2500000000000003E-2</v>
      </c>
      <c r="K44" s="375">
        <v>4.4999999999999998E-2</v>
      </c>
      <c r="L44" s="377">
        <v>4.1250000000000002E-2</v>
      </c>
      <c r="M44" s="373">
        <f t="shared" si="1"/>
        <v>4.2916666666666665E-2</v>
      </c>
      <c r="O44" s="371">
        <v>50785</v>
      </c>
      <c r="P44" s="378"/>
      <c r="Q44" s="375"/>
      <c r="R44" s="375"/>
      <c r="S44" s="375"/>
      <c r="T44" s="375"/>
      <c r="U44" s="375">
        <v>4.7500000000000001E-2</v>
      </c>
      <c r="V44" s="377">
        <v>5.7500000000000002E-2</v>
      </c>
      <c r="W44" s="373">
        <f t="shared" si="2"/>
        <v>5.2500000000000005E-2</v>
      </c>
      <c r="X44" s="378"/>
      <c r="Y44" s="375"/>
      <c r="Z44" s="375"/>
      <c r="AA44" s="375"/>
      <c r="AB44" s="375"/>
      <c r="AC44" s="375">
        <v>4.2500000000000003E-2</v>
      </c>
      <c r="AD44" s="377">
        <v>4.7500000000000001E-2</v>
      </c>
      <c r="AE44" s="373">
        <f t="shared" si="3"/>
        <v>4.4999999999999998E-2</v>
      </c>
      <c r="AG44" s="371">
        <v>50785</v>
      </c>
      <c r="AH44" s="378"/>
      <c r="AI44" s="375"/>
      <c r="AJ44" s="375"/>
      <c r="AK44" s="375">
        <v>4.8750000000000002E-2</v>
      </c>
      <c r="AL44" s="377">
        <v>0.05</v>
      </c>
      <c r="AM44" s="373">
        <f t="shared" si="4"/>
        <v>4.9375000000000002E-2</v>
      </c>
      <c r="AN44" s="378"/>
      <c r="AO44" s="375"/>
      <c r="AP44" s="375"/>
      <c r="AQ44" s="375">
        <v>4.4999999999999998E-2</v>
      </c>
      <c r="AR44" s="377">
        <v>4.1250000000000002E-2</v>
      </c>
      <c r="AS44" s="373">
        <f t="shared" si="5"/>
        <v>4.3124999999999997E-2</v>
      </c>
      <c r="AU44" s="379">
        <v>45092</v>
      </c>
      <c r="AV44" s="375"/>
      <c r="AW44" s="375"/>
      <c r="AX44" s="375"/>
      <c r="AY44" s="375">
        <v>7.4999999999999997E-2</v>
      </c>
      <c r="AZ44" s="375">
        <v>6.8750000000000006E-2</v>
      </c>
      <c r="BA44" s="375">
        <v>5.8749999999999997E-2</v>
      </c>
      <c r="BB44" s="375">
        <v>6.6250000000000003E-2</v>
      </c>
      <c r="BC44" s="375">
        <v>7.1249999999999994E-2</v>
      </c>
      <c r="BD44" s="375">
        <v>7.6249999999999998E-2</v>
      </c>
      <c r="BE44" s="375">
        <v>6.8750000000000006E-2</v>
      </c>
      <c r="BF44" s="375">
        <v>7.1249999999999994E-2</v>
      </c>
      <c r="BG44" s="375">
        <v>3.7499999999999999E-2</v>
      </c>
      <c r="BH44" s="375">
        <v>8.2799999999999999E-2</v>
      </c>
      <c r="BI44" s="373">
        <f t="shared" si="6"/>
        <v>6.7654999999999993E-2</v>
      </c>
      <c r="BJ44" s="378"/>
      <c r="BK44" s="375"/>
      <c r="BL44" s="375"/>
      <c r="BM44" s="375">
        <v>0.05</v>
      </c>
      <c r="BN44" s="375">
        <v>5.2499999999999998E-2</v>
      </c>
      <c r="BO44" s="375">
        <v>6.25E-2</v>
      </c>
      <c r="BP44" s="375">
        <v>3.3750000000000002E-2</v>
      </c>
      <c r="BQ44" s="377">
        <v>7.8200000000000006E-2</v>
      </c>
      <c r="BR44" s="380">
        <f t="shared" si="7"/>
        <v>5.5390000000000009E-2</v>
      </c>
      <c r="BT44" s="367">
        <v>45092</v>
      </c>
      <c r="BU44" s="375">
        <f t="shared" si="8"/>
        <v>1.925E-2</v>
      </c>
      <c r="BV44" s="375">
        <f t="shared" si="9"/>
        <v>2.6071428571428572E-2</v>
      </c>
      <c r="BW44" s="377">
        <f t="shared" si="10"/>
        <v>1.925E-2</v>
      </c>
    </row>
    <row r="45" spans="1:75" x14ac:dyDescent="0.15">
      <c r="A45" s="367">
        <v>50905</v>
      </c>
      <c r="B45" s="375"/>
      <c r="C45" s="375"/>
      <c r="D45" s="375"/>
      <c r="E45" s="375">
        <v>4.8750000000000002E-2</v>
      </c>
      <c r="F45" s="377">
        <v>0.05</v>
      </c>
      <c r="G45" s="373">
        <f t="shared" si="0"/>
        <v>4.9375000000000002E-2</v>
      </c>
      <c r="H45" s="375"/>
      <c r="I45" s="375"/>
      <c r="J45" s="375"/>
      <c r="K45" s="375">
        <v>4.4999999999999998E-2</v>
      </c>
      <c r="L45" s="377">
        <v>4.1250000000000002E-2</v>
      </c>
      <c r="M45" s="373">
        <f t="shared" si="1"/>
        <v>4.3124999999999997E-2</v>
      </c>
      <c r="O45" s="371">
        <v>50966</v>
      </c>
      <c r="P45" s="378"/>
      <c r="Q45" s="375"/>
      <c r="R45" s="375"/>
      <c r="S45" s="375"/>
      <c r="T45" s="375"/>
      <c r="U45" s="375">
        <v>4.7500000000000001E-2</v>
      </c>
      <c r="V45" s="377">
        <v>5.7500000000000002E-2</v>
      </c>
      <c r="W45" s="373">
        <f t="shared" si="2"/>
        <v>5.2500000000000005E-2</v>
      </c>
      <c r="X45" s="378"/>
      <c r="Y45" s="375"/>
      <c r="Z45" s="375"/>
      <c r="AA45" s="375"/>
      <c r="AB45" s="375"/>
      <c r="AC45" s="375">
        <v>4.2500000000000003E-2</v>
      </c>
      <c r="AD45" s="377">
        <v>4.7500000000000001E-2</v>
      </c>
      <c r="AE45" s="373">
        <f t="shared" si="3"/>
        <v>4.4999999999999998E-2</v>
      </c>
      <c r="AG45" s="371">
        <v>50966</v>
      </c>
      <c r="AH45" s="378"/>
      <c r="AI45" s="375"/>
      <c r="AJ45" s="375"/>
      <c r="AK45" s="375">
        <v>4.8750000000000002E-2</v>
      </c>
      <c r="AL45" s="377">
        <v>0.05</v>
      </c>
      <c r="AM45" s="373">
        <f t="shared" si="4"/>
        <v>4.9375000000000002E-2</v>
      </c>
      <c r="AN45" s="378"/>
      <c r="AO45" s="375"/>
      <c r="AP45" s="375"/>
      <c r="AQ45" s="375">
        <v>4.4999999999999998E-2</v>
      </c>
      <c r="AR45" s="377">
        <v>4.1250000000000002E-2</v>
      </c>
      <c r="AS45" s="373">
        <f t="shared" si="5"/>
        <v>4.3124999999999997E-2</v>
      </c>
      <c r="AU45" s="379">
        <v>45122</v>
      </c>
      <c r="AV45" s="375"/>
      <c r="AW45" s="375"/>
      <c r="AX45" s="375"/>
      <c r="AY45" s="375">
        <v>7.4999999999999997E-2</v>
      </c>
      <c r="AZ45" s="375">
        <v>6.8750000000000006E-2</v>
      </c>
      <c r="BA45" s="375">
        <v>5.8749999999999997E-2</v>
      </c>
      <c r="BB45" s="375">
        <v>6.6250000000000003E-2</v>
      </c>
      <c r="BC45" s="375">
        <v>7.1249999999999994E-2</v>
      </c>
      <c r="BD45" s="375">
        <v>7.6249999999999998E-2</v>
      </c>
      <c r="BE45" s="375">
        <v>6.8750000000000006E-2</v>
      </c>
      <c r="BF45" s="375">
        <v>7.1249999999999994E-2</v>
      </c>
      <c r="BG45" s="375">
        <v>3.7499999999999999E-2</v>
      </c>
      <c r="BH45" s="375">
        <v>8.2799999999999999E-2</v>
      </c>
      <c r="BI45" s="373">
        <f t="shared" si="6"/>
        <v>6.7654999999999993E-2</v>
      </c>
      <c r="BJ45" s="378"/>
      <c r="BK45" s="375"/>
      <c r="BL45" s="375"/>
      <c r="BM45" s="375">
        <v>0.05</v>
      </c>
      <c r="BN45" s="375">
        <v>5.2499999999999998E-2</v>
      </c>
      <c r="BO45" s="375">
        <v>6.25E-2</v>
      </c>
      <c r="BP45" s="375">
        <v>3.3750000000000002E-2</v>
      </c>
      <c r="BQ45" s="377">
        <v>7.8200000000000006E-2</v>
      </c>
      <c r="BR45" s="380">
        <f t="shared" si="7"/>
        <v>5.5390000000000009E-2</v>
      </c>
      <c r="BT45" s="367">
        <v>45122</v>
      </c>
      <c r="BU45" s="375">
        <f t="shared" si="8"/>
        <v>1.925E-2</v>
      </c>
      <c r="BV45" s="375">
        <f t="shared" si="9"/>
        <v>2.6071428571428572E-2</v>
      </c>
      <c r="BW45" s="377">
        <f t="shared" si="10"/>
        <v>1.925E-2</v>
      </c>
    </row>
    <row r="46" spans="1:75" x14ac:dyDescent="0.15">
      <c r="A46" s="367">
        <v>51089</v>
      </c>
      <c r="B46" s="375"/>
      <c r="C46" s="375"/>
      <c r="D46" s="375"/>
      <c r="E46" s="375">
        <v>4.8750000000000002E-2</v>
      </c>
      <c r="F46" s="377">
        <v>0.05</v>
      </c>
      <c r="G46" s="373">
        <f t="shared" si="0"/>
        <v>4.9375000000000002E-2</v>
      </c>
      <c r="H46" s="375"/>
      <c r="I46" s="375"/>
      <c r="J46" s="375"/>
      <c r="K46" s="375">
        <v>4.4999999999999998E-2</v>
      </c>
      <c r="L46" s="377">
        <v>4.1250000000000002E-2</v>
      </c>
      <c r="M46" s="373">
        <f t="shared" si="1"/>
        <v>4.3124999999999997E-2</v>
      </c>
      <c r="O46" s="371">
        <v>51150</v>
      </c>
      <c r="P46" s="378"/>
      <c r="Q46" s="375"/>
      <c r="R46" s="375"/>
      <c r="S46" s="375"/>
      <c r="T46" s="375"/>
      <c r="U46" s="375">
        <v>4.7500000000000001E-2</v>
      </c>
      <c r="V46" s="377">
        <v>5.7500000000000002E-2</v>
      </c>
      <c r="W46" s="373">
        <f t="shared" si="2"/>
        <v>5.2500000000000005E-2</v>
      </c>
      <c r="X46" s="378"/>
      <c r="Y46" s="375"/>
      <c r="Z46" s="375"/>
      <c r="AA46" s="375"/>
      <c r="AB46" s="375"/>
      <c r="AC46" s="375">
        <v>4.2500000000000003E-2</v>
      </c>
      <c r="AD46" s="377">
        <v>4.7500000000000001E-2</v>
      </c>
      <c r="AE46" s="373">
        <f t="shared" si="3"/>
        <v>4.4999999999999998E-2</v>
      </c>
      <c r="AG46" s="371">
        <v>51150</v>
      </c>
      <c r="AH46" s="378"/>
      <c r="AI46" s="375"/>
      <c r="AJ46" s="375"/>
      <c r="AK46" s="375">
        <v>4.8750000000000002E-2</v>
      </c>
      <c r="AL46" s="377">
        <v>0.05</v>
      </c>
      <c r="AM46" s="373">
        <f t="shared" si="4"/>
        <v>4.9375000000000002E-2</v>
      </c>
      <c r="AN46" s="378"/>
      <c r="AO46" s="375"/>
      <c r="AP46" s="375"/>
      <c r="AQ46" s="375">
        <v>4.4999999999999998E-2</v>
      </c>
      <c r="AR46" s="377">
        <v>4.1250000000000002E-2</v>
      </c>
      <c r="AS46" s="373">
        <f t="shared" si="5"/>
        <v>4.3124999999999997E-2</v>
      </c>
      <c r="AU46" s="379">
        <v>45153</v>
      </c>
      <c r="AV46" s="375"/>
      <c r="AW46" s="375"/>
      <c r="AX46" s="375"/>
      <c r="AY46" s="375">
        <v>7.4999999999999997E-2</v>
      </c>
      <c r="AZ46" s="375">
        <v>6.8750000000000006E-2</v>
      </c>
      <c r="BA46" s="375">
        <v>5.8749999999999997E-2</v>
      </c>
      <c r="BB46" s="375">
        <v>6.6250000000000003E-2</v>
      </c>
      <c r="BC46" s="375">
        <v>7.1249999999999994E-2</v>
      </c>
      <c r="BD46" s="375">
        <v>7.6249999999999998E-2</v>
      </c>
      <c r="BE46" s="375">
        <v>6.8750000000000006E-2</v>
      </c>
      <c r="BF46" s="375">
        <v>7.1249999999999994E-2</v>
      </c>
      <c r="BG46" s="375">
        <v>3.7499999999999999E-2</v>
      </c>
      <c r="BH46" s="375">
        <v>8.2799999999999999E-2</v>
      </c>
      <c r="BI46" s="373">
        <f t="shared" si="6"/>
        <v>6.7654999999999993E-2</v>
      </c>
      <c r="BJ46" s="378"/>
      <c r="BK46" s="375"/>
      <c r="BL46" s="375"/>
      <c r="BM46" s="375">
        <v>0.05</v>
      </c>
      <c r="BN46" s="375">
        <v>5.2499999999999998E-2</v>
      </c>
      <c r="BO46" s="375">
        <v>6.25E-2</v>
      </c>
      <c r="BP46" s="375">
        <v>3.3750000000000002E-2</v>
      </c>
      <c r="BQ46" s="377">
        <v>7.8200000000000006E-2</v>
      </c>
      <c r="BR46" s="380">
        <f t="shared" si="7"/>
        <v>5.5390000000000009E-2</v>
      </c>
      <c r="BT46" s="367">
        <v>45153</v>
      </c>
      <c r="BU46" s="375">
        <f t="shared" si="8"/>
        <v>1.925E-2</v>
      </c>
      <c r="BV46" s="375">
        <f t="shared" si="9"/>
        <v>2.6071428571428572E-2</v>
      </c>
      <c r="BW46" s="377">
        <f t="shared" si="10"/>
        <v>1.925E-2</v>
      </c>
    </row>
    <row r="47" spans="1:75" x14ac:dyDescent="0.15">
      <c r="A47" s="367">
        <v>51271</v>
      </c>
      <c r="B47" s="375"/>
      <c r="C47" s="375"/>
      <c r="D47" s="375"/>
      <c r="E47" s="375">
        <v>4.8750000000000002E-2</v>
      </c>
      <c r="F47" s="377">
        <v>0.05</v>
      </c>
      <c r="G47" s="373">
        <f t="shared" si="0"/>
        <v>4.9375000000000002E-2</v>
      </c>
      <c r="H47" s="375"/>
      <c r="I47" s="375"/>
      <c r="J47" s="375"/>
      <c r="K47" s="375">
        <v>4.4999999999999998E-2</v>
      </c>
      <c r="L47" s="377">
        <v>4.1250000000000002E-2</v>
      </c>
      <c r="M47" s="373">
        <f t="shared" si="1"/>
        <v>4.3124999999999997E-2</v>
      </c>
      <c r="O47" s="371">
        <v>51332</v>
      </c>
      <c r="P47" s="378"/>
      <c r="Q47" s="375"/>
      <c r="R47" s="375"/>
      <c r="S47" s="375"/>
      <c r="T47" s="375"/>
      <c r="U47" s="375">
        <v>4.7500000000000001E-2</v>
      </c>
      <c r="V47" s="377">
        <v>5.7500000000000002E-2</v>
      </c>
      <c r="W47" s="373">
        <f t="shared" si="2"/>
        <v>5.2500000000000005E-2</v>
      </c>
      <c r="X47" s="378"/>
      <c r="Y47" s="375"/>
      <c r="Z47" s="375"/>
      <c r="AA47" s="375"/>
      <c r="AB47" s="375"/>
      <c r="AC47" s="375">
        <v>4.2500000000000003E-2</v>
      </c>
      <c r="AD47" s="377">
        <v>4.7500000000000001E-2</v>
      </c>
      <c r="AE47" s="373">
        <f t="shared" si="3"/>
        <v>4.4999999999999998E-2</v>
      </c>
      <c r="AG47" s="371">
        <v>51332</v>
      </c>
      <c r="AH47" s="378"/>
      <c r="AI47" s="375"/>
      <c r="AJ47" s="375"/>
      <c r="AK47" s="375">
        <v>4.8750000000000002E-2</v>
      </c>
      <c r="AL47" s="377">
        <v>0.05</v>
      </c>
      <c r="AM47" s="373">
        <f t="shared" si="4"/>
        <v>4.9375000000000002E-2</v>
      </c>
      <c r="AN47" s="378"/>
      <c r="AO47" s="375"/>
      <c r="AP47" s="375"/>
      <c r="AQ47" s="375">
        <v>4.4999999999999998E-2</v>
      </c>
      <c r="AR47" s="377">
        <v>4.1250000000000002E-2</v>
      </c>
      <c r="AS47" s="373">
        <f t="shared" si="5"/>
        <v>4.3124999999999997E-2</v>
      </c>
      <c r="AU47" s="379">
        <v>45184</v>
      </c>
      <c r="AV47" s="375"/>
      <c r="AW47" s="375"/>
      <c r="AX47" s="375"/>
      <c r="AY47" s="375">
        <v>7.4999999999999997E-2</v>
      </c>
      <c r="AZ47" s="375">
        <v>6.8750000000000006E-2</v>
      </c>
      <c r="BA47" s="375">
        <v>5.8749999999999997E-2</v>
      </c>
      <c r="BB47" s="375">
        <v>6.6250000000000003E-2</v>
      </c>
      <c r="BC47" s="375">
        <v>7.1249999999999994E-2</v>
      </c>
      <c r="BD47" s="375">
        <v>7.6249999999999998E-2</v>
      </c>
      <c r="BE47" s="375">
        <v>6.8750000000000006E-2</v>
      </c>
      <c r="BF47" s="375">
        <v>7.1249999999999994E-2</v>
      </c>
      <c r="BG47" s="375">
        <v>3.7499999999999999E-2</v>
      </c>
      <c r="BH47" s="375">
        <v>8.2799999999999999E-2</v>
      </c>
      <c r="BI47" s="373">
        <f t="shared" si="6"/>
        <v>6.7654999999999993E-2</v>
      </c>
      <c r="BJ47" s="378"/>
      <c r="BK47" s="375"/>
      <c r="BL47" s="375"/>
      <c r="BM47" s="375">
        <v>0.05</v>
      </c>
      <c r="BN47" s="375">
        <v>5.2499999999999998E-2</v>
      </c>
      <c r="BO47" s="375">
        <v>6.25E-2</v>
      </c>
      <c r="BP47" s="375">
        <v>3.3750000000000002E-2</v>
      </c>
      <c r="BQ47" s="377">
        <v>7.8200000000000006E-2</v>
      </c>
      <c r="BR47" s="380">
        <f t="shared" si="7"/>
        <v>5.5390000000000009E-2</v>
      </c>
      <c r="BT47" s="367">
        <v>45184</v>
      </c>
      <c r="BU47" s="375">
        <f t="shared" si="8"/>
        <v>1.925E-2</v>
      </c>
      <c r="BV47" s="375">
        <f t="shared" si="9"/>
        <v>2.6071428571428572E-2</v>
      </c>
      <c r="BW47" s="377">
        <f t="shared" si="10"/>
        <v>1.925E-2</v>
      </c>
    </row>
    <row r="48" spans="1:75" x14ac:dyDescent="0.15">
      <c r="A48" s="367">
        <v>51455</v>
      </c>
      <c r="B48" s="375"/>
      <c r="C48" s="375"/>
      <c r="D48" s="375"/>
      <c r="E48" s="375">
        <v>4.8750000000000002E-2</v>
      </c>
      <c r="F48" s="377">
        <v>0.05</v>
      </c>
      <c r="G48" s="373">
        <f t="shared" si="0"/>
        <v>4.9375000000000002E-2</v>
      </c>
      <c r="H48" s="375"/>
      <c r="I48" s="375"/>
      <c r="J48" s="375"/>
      <c r="K48" s="375">
        <v>4.4999999999999998E-2</v>
      </c>
      <c r="L48" s="377">
        <v>4.1250000000000002E-2</v>
      </c>
      <c r="M48" s="373">
        <f t="shared" si="1"/>
        <v>4.3124999999999997E-2</v>
      </c>
      <c r="O48" s="371">
        <v>51516</v>
      </c>
      <c r="P48" s="378"/>
      <c r="Q48" s="375"/>
      <c r="R48" s="375"/>
      <c r="S48" s="375"/>
      <c r="T48" s="375"/>
      <c r="U48" s="375">
        <v>4.7500000000000001E-2</v>
      </c>
      <c r="V48" s="377">
        <v>5.7500000000000002E-2</v>
      </c>
      <c r="W48" s="373">
        <f t="shared" si="2"/>
        <v>5.2500000000000005E-2</v>
      </c>
      <c r="X48" s="378"/>
      <c r="Y48" s="375"/>
      <c r="Z48" s="375"/>
      <c r="AA48" s="375"/>
      <c r="AB48" s="375"/>
      <c r="AC48" s="375">
        <v>4.2500000000000003E-2</v>
      </c>
      <c r="AD48" s="377">
        <v>4.7500000000000001E-2</v>
      </c>
      <c r="AE48" s="373">
        <f t="shared" si="3"/>
        <v>4.4999999999999998E-2</v>
      </c>
      <c r="AG48" s="371">
        <v>51516</v>
      </c>
      <c r="AH48" s="378"/>
      <c r="AI48" s="375"/>
      <c r="AJ48" s="375"/>
      <c r="AK48" s="375">
        <v>4.8750000000000002E-2</v>
      </c>
      <c r="AL48" s="377">
        <v>0.05</v>
      </c>
      <c r="AM48" s="373">
        <f t="shared" si="4"/>
        <v>4.9375000000000002E-2</v>
      </c>
      <c r="AN48" s="378"/>
      <c r="AO48" s="375"/>
      <c r="AP48" s="375"/>
      <c r="AQ48" s="375">
        <v>4.4999999999999998E-2</v>
      </c>
      <c r="AR48" s="377">
        <v>4.1250000000000002E-2</v>
      </c>
      <c r="AS48" s="373">
        <f t="shared" si="5"/>
        <v>4.3124999999999997E-2</v>
      </c>
      <c r="AU48" s="379">
        <v>45214</v>
      </c>
      <c r="AV48" s="375"/>
      <c r="AW48" s="375"/>
      <c r="AX48" s="375"/>
      <c r="AY48" s="375">
        <v>7.4999999999999997E-2</v>
      </c>
      <c r="AZ48" s="375">
        <v>6.8750000000000006E-2</v>
      </c>
      <c r="BA48" s="375">
        <v>5.8749999999999997E-2</v>
      </c>
      <c r="BB48" s="375">
        <v>6.6250000000000003E-2</v>
      </c>
      <c r="BC48" s="375">
        <v>7.1249999999999994E-2</v>
      </c>
      <c r="BD48" s="375">
        <v>7.6249999999999998E-2</v>
      </c>
      <c r="BE48" s="375">
        <v>6.8750000000000006E-2</v>
      </c>
      <c r="BF48" s="375">
        <v>7.1249999999999994E-2</v>
      </c>
      <c r="BG48" s="375">
        <v>3.7499999999999999E-2</v>
      </c>
      <c r="BH48" s="375">
        <v>8.2799999999999999E-2</v>
      </c>
      <c r="BI48" s="373">
        <f t="shared" si="6"/>
        <v>6.7654999999999993E-2</v>
      </c>
      <c r="BJ48" s="378"/>
      <c r="BK48" s="375"/>
      <c r="BL48" s="375"/>
      <c r="BM48" s="375">
        <v>0.05</v>
      </c>
      <c r="BN48" s="375">
        <v>5.2499999999999998E-2</v>
      </c>
      <c r="BO48" s="375">
        <v>6.25E-2</v>
      </c>
      <c r="BP48" s="375">
        <v>3.3750000000000002E-2</v>
      </c>
      <c r="BQ48" s="377">
        <v>7.8200000000000006E-2</v>
      </c>
      <c r="BR48" s="380">
        <f t="shared" si="7"/>
        <v>5.5390000000000009E-2</v>
      </c>
      <c r="BT48" s="367">
        <v>45214</v>
      </c>
      <c r="BU48" s="375">
        <f t="shared" si="8"/>
        <v>1.925E-2</v>
      </c>
      <c r="BV48" s="375">
        <f t="shared" si="9"/>
        <v>2.6071428571428572E-2</v>
      </c>
      <c r="BW48" s="377">
        <f t="shared" si="10"/>
        <v>1.925E-2</v>
      </c>
    </row>
    <row r="49" spans="1:75" x14ac:dyDescent="0.15">
      <c r="A49" s="367">
        <v>51636</v>
      </c>
      <c r="B49" s="375"/>
      <c r="C49" s="375"/>
      <c r="D49" s="375"/>
      <c r="E49" s="375">
        <v>4.8750000000000002E-2</v>
      </c>
      <c r="F49" s="377">
        <v>0.05</v>
      </c>
      <c r="G49" s="373">
        <f t="shared" si="0"/>
        <v>4.9375000000000002E-2</v>
      </c>
      <c r="H49" s="375"/>
      <c r="I49" s="375"/>
      <c r="J49" s="375"/>
      <c r="K49" s="375">
        <v>4.4999999999999998E-2</v>
      </c>
      <c r="L49" s="377">
        <v>4.1250000000000002E-2</v>
      </c>
      <c r="M49" s="373">
        <f t="shared" si="1"/>
        <v>4.3124999999999997E-2</v>
      </c>
      <c r="O49" s="371">
        <v>51697</v>
      </c>
      <c r="P49" s="378"/>
      <c r="Q49" s="375"/>
      <c r="R49" s="375"/>
      <c r="S49" s="375"/>
      <c r="T49" s="375"/>
      <c r="U49" s="375">
        <v>4.7500000000000001E-2</v>
      </c>
      <c r="V49" s="377">
        <v>5.7500000000000002E-2</v>
      </c>
      <c r="W49" s="373">
        <f t="shared" si="2"/>
        <v>5.2500000000000005E-2</v>
      </c>
      <c r="X49" s="378"/>
      <c r="Y49" s="375"/>
      <c r="Z49" s="375"/>
      <c r="AA49" s="375"/>
      <c r="AB49" s="375"/>
      <c r="AC49" s="375">
        <v>4.2500000000000003E-2</v>
      </c>
      <c r="AD49" s="377">
        <v>4.7500000000000001E-2</v>
      </c>
      <c r="AE49" s="373">
        <f t="shared" si="3"/>
        <v>4.4999999999999998E-2</v>
      </c>
      <c r="AG49" s="371">
        <v>51697</v>
      </c>
      <c r="AH49" s="378"/>
      <c r="AI49" s="375"/>
      <c r="AJ49" s="375"/>
      <c r="AK49" s="375">
        <v>4.8750000000000002E-2</v>
      </c>
      <c r="AL49" s="377">
        <v>0.05</v>
      </c>
      <c r="AM49" s="373">
        <f t="shared" si="4"/>
        <v>4.9375000000000002E-2</v>
      </c>
      <c r="AN49" s="378"/>
      <c r="AO49" s="375"/>
      <c r="AP49" s="375"/>
      <c r="AQ49" s="375">
        <v>4.4999999999999998E-2</v>
      </c>
      <c r="AR49" s="377">
        <v>4.1250000000000002E-2</v>
      </c>
      <c r="AS49" s="373">
        <f t="shared" si="5"/>
        <v>4.3124999999999997E-2</v>
      </c>
      <c r="AU49" s="379">
        <v>45245</v>
      </c>
      <c r="AV49" s="375"/>
      <c r="AW49" s="375"/>
      <c r="AX49" s="375"/>
      <c r="AY49" s="375">
        <v>7.4999999999999997E-2</v>
      </c>
      <c r="AZ49" s="375">
        <v>6.8750000000000006E-2</v>
      </c>
      <c r="BA49" s="375">
        <v>5.8749999999999997E-2</v>
      </c>
      <c r="BB49" s="375">
        <v>6.6250000000000003E-2</v>
      </c>
      <c r="BC49" s="375">
        <v>7.1249999999999994E-2</v>
      </c>
      <c r="BD49" s="375">
        <v>7.6249999999999998E-2</v>
      </c>
      <c r="BE49" s="375">
        <v>6.8750000000000006E-2</v>
      </c>
      <c r="BF49" s="375">
        <v>7.1249999999999994E-2</v>
      </c>
      <c r="BG49" s="375">
        <v>3.7499999999999999E-2</v>
      </c>
      <c r="BH49" s="375">
        <v>8.2799999999999999E-2</v>
      </c>
      <c r="BI49" s="373">
        <f t="shared" si="6"/>
        <v>6.7654999999999993E-2</v>
      </c>
      <c r="BJ49" s="378"/>
      <c r="BK49" s="375"/>
      <c r="BL49" s="375"/>
      <c r="BM49" s="375">
        <v>0.05</v>
      </c>
      <c r="BN49" s="375">
        <v>5.2499999999999998E-2</v>
      </c>
      <c r="BO49" s="375">
        <v>6.25E-2</v>
      </c>
      <c r="BP49" s="375">
        <v>3.3750000000000002E-2</v>
      </c>
      <c r="BQ49" s="377">
        <v>7.8200000000000006E-2</v>
      </c>
      <c r="BR49" s="380">
        <f t="shared" si="7"/>
        <v>5.5390000000000009E-2</v>
      </c>
      <c r="BT49" s="367">
        <v>45245</v>
      </c>
      <c r="BU49" s="375">
        <f t="shared" si="8"/>
        <v>1.925E-2</v>
      </c>
      <c r="BV49" s="375">
        <f t="shared" si="9"/>
        <v>2.6071428571428572E-2</v>
      </c>
      <c r="BW49" s="377">
        <f t="shared" si="10"/>
        <v>1.925E-2</v>
      </c>
    </row>
    <row r="50" spans="1:75" x14ac:dyDescent="0.15">
      <c r="A50" s="367">
        <v>51820</v>
      </c>
      <c r="B50" s="375"/>
      <c r="C50" s="375"/>
      <c r="D50" s="375"/>
      <c r="E50" s="375">
        <v>4.8750000000000002E-2</v>
      </c>
      <c r="F50" s="377">
        <v>0.05</v>
      </c>
      <c r="G50" s="373">
        <f t="shared" si="0"/>
        <v>4.9375000000000002E-2</v>
      </c>
      <c r="H50" s="375"/>
      <c r="I50" s="375"/>
      <c r="J50" s="375"/>
      <c r="K50" s="375">
        <v>4.4999999999999998E-2</v>
      </c>
      <c r="L50" s="377">
        <v>4.1250000000000002E-2</v>
      </c>
      <c r="M50" s="373">
        <f t="shared" si="1"/>
        <v>4.3124999999999997E-2</v>
      </c>
      <c r="O50" s="371">
        <v>51881</v>
      </c>
      <c r="P50" s="378"/>
      <c r="Q50" s="375"/>
      <c r="R50" s="375"/>
      <c r="S50" s="375"/>
      <c r="T50" s="375"/>
      <c r="U50" s="375"/>
      <c r="V50" s="377">
        <v>5.7500000000000002E-2</v>
      </c>
      <c r="W50" s="373">
        <f t="shared" si="2"/>
        <v>5.7500000000000002E-2</v>
      </c>
      <c r="X50" s="378"/>
      <c r="Y50" s="375"/>
      <c r="Z50" s="375"/>
      <c r="AA50" s="375"/>
      <c r="AB50" s="375"/>
      <c r="AC50" s="375"/>
      <c r="AD50" s="377">
        <v>4.7500000000000001E-2</v>
      </c>
      <c r="AE50" s="373">
        <f t="shared" si="3"/>
        <v>4.7500000000000001E-2</v>
      </c>
      <c r="AG50" s="371">
        <v>51881</v>
      </c>
      <c r="AH50" s="378"/>
      <c r="AI50" s="375"/>
      <c r="AJ50" s="375"/>
      <c r="AK50" s="375"/>
      <c r="AL50" s="377">
        <v>0.05</v>
      </c>
      <c r="AM50" s="373">
        <f t="shared" si="4"/>
        <v>0.05</v>
      </c>
      <c r="AN50" s="378"/>
      <c r="AO50" s="375"/>
      <c r="AP50" s="375"/>
      <c r="AQ50" s="375"/>
      <c r="AR50" s="377">
        <v>4.1250000000000002E-2</v>
      </c>
      <c r="AS50" s="373">
        <f t="shared" si="5"/>
        <v>4.1250000000000002E-2</v>
      </c>
      <c r="AU50" s="379">
        <v>45275</v>
      </c>
      <c r="AV50" s="375"/>
      <c r="AW50" s="375"/>
      <c r="AX50" s="375"/>
      <c r="AY50" s="375">
        <v>7.4999999999999997E-2</v>
      </c>
      <c r="AZ50" s="375">
        <v>6.8750000000000006E-2</v>
      </c>
      <c r="BA50" s="375">
        <v>5.8749999999999997E-2</v>
      </c>
      <c r="BB50" s="375">
        <v>6.6250000000000003E-2</v>
      </c>
      <c r="BC50" s="375">
        <v>7.1249999999999994E-2</v>
      </c>
      <c r="BD50" s="375">
        <v>7.6249999999999998E-2</v>
      </c>
      <c r="BE50" s="375">
        <v>6.8750000000000006E-2</v>
      </c>
      <c r="BF50" s="375">
        <v>7.1249999999999994E-2</v>
      </c>
      <c r="BG50" s="375">
        <v>3.7499999999999999E-2</v>
      </c>
      <c r="BH50" s="375">
        <v>8.2799999999999999E-2</v>
      </c>
      <c r="BI50" s="373">
        <f t="shared" si="6"/>
        <v>6.7654999999999993E-2</v>
      </c>
      <c r="BJ50" s="378"/>
      <c r="BK50" s="375"/>
      <c r="BL50" s="375"/>
      <c r="BM50" s="375">
        <v>0.05</v>
      </c>
      <c r="BN50" s="375">
        <v>5.2499999999999998E-2</v>
      </c>
      <c r="BO50" s="375">
        <v>6.25E-2</v>
      </c>
      <c r="BP50" s="375">
        <v>3.3750000000000002E-2</v>
      </c>
      <c r="BQ50" s="377">
        <v>7.8200000000000006E-2</v>
      </c>
      <c r="BR50" s="380">
        <f t="shared" si="7"/>
        <v>5.5390000000000009E-2</v>
      </c>
      <c r="BT50" s="367">
        <v>45275</v>
      </c>
      <c r="BU50" s="375">
        <f t="shared" si="8"/>
        <v>1.925E-2</v>
      </c>
      <c r="BV50" s="375">
        <f t="shared" si="9"/>
        <v>2.6071428571428572E-2</v>
      </c>
      <c r="BW50" s="377">
        <f t="shared" si="10"/>
        <v>1.925E-2</v>
      </c>
    </row>
    <row r="51" spans="1:75" x14ac:dyDescent="0.15">
      <c r="A51" s="367">
        <v>52001</v>
      </c>
      <c r="B51" s="375"/>
      <c r="C51" s="375"/>
      <c r="D51" s="375"/>
      <c r="E51" s="375"/>
      <c r="F51" s="377">
        <v>0.05</v>
      </c>
      <c r="G51" s="373">
        <f t="shared" si="0"/>
        <v>0.05</v>
      </c>
      <c r="H51" s="375"/>
      <c r="I51" s="375"/>
      <c r="J51" s="375"/>
      <c r="K51" s="375"/>
      <c r="L51" s="377">
        <v>4.1250000000000002E-2</v>
      </c>
      <c r="M51" s="373">
        <f t="shared" si="1"/>
        <v>4.1250000000000002E-2</v>
      </c>
      <c r="O51" s="371">
        <v>52062</v>
      </c>
      <c r="P51" s="378"/>
      <c r="Q51" s="375"/>
      <c r="R51" s="375"/>
      <c r="S51" s="375"/>
      <c r="T51" s="375"/>
      <c r="U51" s="375"/>
      <c r="V51" s="377">
        <v>5.7500000000000002E-2</v>
      </c>
      <c r="W51" s="373">
        <f t="shared" si="2"/>
        <v>5.7500000000000002E-2</v>
      </c>
      <c r="X51" s="378"/>
      <c r="Y51" s="375"/>
      <c r="Z51" s="375"/>
      <c r="AA51" s="375"/>
      <c r="AB51" s="375"/>
      <c r="AC51" s="375"/>
      <c r="AD51" s="377">
        <v>4.7500000000000001E-2</v>
      </c>
      <c r="AE51" s="373">
        <f t="shared" si="3"/>
        <v>4.7500000000000001E-2</v>
      </c>
      <c r="AG51" s="371">
        <v>52062</v>
      </c>
      <c r="AH51" s="378"/>
      <c r="AI51" s="375"/>
      <c r="AJ51" s="375"/>
      <c r="AK51" s="375"/>
      <c r="AL51" s="377">
        <v>0.05</v>
      </c>
      <c r="AM51" s="373">
        <f t="shared" si="4"/>
        <v>0.05</v>
      </c>
      <c r="AN51" s="378"/>
      <c r="AO51" s="375"/>
      <c r="AP51" s="375"/>
      <c r="AQ51" s="375"/>
      <c r="AR51" s="377">
        <v>4.1250000000000002E-2</v>
      </c>
      <c r="AS51" s="373">
        <f t="shared" si="5"/>
        <v>4.1250000000000002E-2</v>
      </c>
      <c r="AU51" s="379">
        <v>45306</v>
      </c>
      <c r="AV51" s="375"/>
      <c r="AW51" s="375"/>
      <c r="AX51" s="375"/>
      <c r="AY51" s="375">
        <v>7.4999999999999997E-2</v>
      </c>
      <c r="AZ51" s="375">
        <v>6.8750000000000006E-2</v>
      </c>
      <c r="BA51" s="375">
        <v>5.8749999999999997E-2</v>
      </c>
      <c r="BB51" s="375">
        <v>6.6250000000000003E-2</v>
      </c>
      <c r="BC51" s="375">
        <v>7.1249999999999994E-2</v>
      </c>
      <c r="BD51" s="375">
        <v>7.6249999999999998E-2</v>
      </c>
      <c r="BE51" s="375">
        <v>6.8750000000000006E-2</v>
      </c>
      <c r="BF51" s="375">
        <v>7.1249999999999994E-2</v>
      </c>
      <c r="BG51" s="375">
        <v>3.7499999999999999E-2</v>
      </c>
      <c r="BH51" s="375">
        <v>8.2799999999999999E-2</v>
      </c>
      <c r="BI51" s="373">
        <f t="shared" si="6"/>
        <v>6.7654999999999993E-2</v>
      </c>
      <c r="BJ51" s="378"/>
      <c r="BK51" s="375"/>
      <c r="BL51" s="375"/>
      <c r="BM51" s="375">
        <v>0.05</v>
      </c>
      <c r="BN51" s="375">
        <v>5.2499999999999998E-2</v>
      </c>
      <c r="BO51" s="375">
        <v>6.25E-2</v>
      </c>
      <c r="BP51" s="375">
        <v>3.3750000000000002E-2</v>
      </c>
      <c r="BQ51" s="377">
        <v>7.8200000000000006E-2</v>
      </c>
      <c r="BR51" s="380">
        <f t="shared" si="7"/>
        <v>5.5390000000000009E-2</v>
      </c>
      <c r="BT51" s="367">
        <v>45306</v>
      </c>
      <c r="BU51" s="375">
        <f t="shared" si="8"/>
        <v>1.925E-2</v>
      </c>
      <c r="BV51" s="375">
        <f t="shared" si="9"/>
        <v>3.0714285714285718E-2</v>
      </c>
      <c r="BW51" s="377">
        <f t="shared" si="10"/>
        <v>3.0499999999999999E-2</v>
      </c>
    </row>
    <row r="52" spans="1:75" x14ac:dyDescent="0.15">
      <c r="A52" s="367">
        <v>52185</v>
      </c>
      <c r="B52" s="375"/>
      <c r="C52" s="375"/>
      <c r="D52" s="375"/>
      <c r="E52" s="375"/>
      <c r="F52" s="377">
        <v>0.05</v>
      </c>
      <c r="G52" s="373">
        <f t="shared" si="0"/>
        <v>0.05</v>
      </c>
      <c r="H52" s="375"/>
      <c r="I52" s="375"/>
      <c r="J52" s="375"/>
      <c r="K52" s="375"/>
      <c r="L52" s="377">
        <v>4.1250000000000002E-2</v>
      </c>
      <c r="M52" s="373">
        <f t="shared" si="1"/>
        <v>4.1250000000000002E-2</v>
      </c>
      <c r="O52" s="371">
        <v>52246</v>
      </c>
      <c r="P52" s="378"/>
      <c r="Q52" s="375"/>
      <c r="R52" s="375"/>
      <c r="S52" s="375"/>
      <c r="T52" s="375"/>
      <c r="U52" s="375"/>
      <c r="V52" s="377">
        <v>5.7500000000000002E-2</v>
      </c>
      <c r="W52" s="373">
        <f t="shared" si="2"/>
        <v>5.7500000000000002E-2</v>
      </c>
      <c r="X52" s="378"/>
      <c r="Y52" s="375"/>
      <c r="Z52" s="375"/>
      <c r="AA52" s="375"/>
      <c r="AB52" s="375"/>
      <c r="AC52" s="375"/>
      <c r="AD52" s="377">
        <v>4.7500000000000001E-2</v>
      </c>
      <c r="AE52" s="373">
        <f t="shared" si="3"/>
        <v>4.7500000000000001E-2</v>
      </c>
      <c r="AG52" s="371">
        <v>52246</v>
      </c>
      <c r="AH52" s="378"/>
      <c r="AI52" s="375"/>
      <c r="AJ52" s="375"/>
      <c r="AK52" s="375"/>
      <c r="AL52" s="377">
        <v>0.05</v>
      </c>
      <c r="AM52" s="373">
        <f t="shared" si="4"/>
        <v>0.05</v>
      </c>
      <c r="AN52" s="378"/>
      <c r="AO52" s="375"/>
      <c r="AP52" s="375"/>
      <c r="AQ52" s="375"/>
      <c r="AR52" s="377">
        <v>4.1250000000000002E-2</v>
      </c>
      <c r="AS52" s="373">
        <f t="shared" si="5"/>
        <v>4.1250000000000002E-2</v>
      </c>
      <c r="AU52" s="379">
        <v>45337</v>
      </c>
      <c r="AV52" s="375"/>
      <c r="AW52" s="375"/>
      <c r="AX52" s="375"/>
      <c r="AY52" s="375">
        <v>7.4999999999999997E-2</v>
      </c>
      <c r="AZ52" s="375">
        <v>6.8750000000000006E-2</v>
      </c>
      <c r="BA52" s="375">
        <v>5.8749999999999997E-2</v>
      </c>
      <c r="BB52" s="375">
        <v>6.6250000000000003E-2</v>
      </c>
      <c r="BC52" s="375">
        <v>7.1249999999999994E-2</v>
      </c>
      <c r="BD52" s="375">
        <v>7.6249999999999998E-2</v>
      </c>
      <c r="BE52" s="375">
        <v>6.8750000000000006E-2</v>
      </c>
      <c r="BF52" s="375">
        <v>7.1249999999999994E-2</v>
      </c>
      <c r="BG52" s="375">
        <v>3.7499999999999999E-2</v>
      </c>
      <c r="BH52" s="375">
        <v>8.2799999999999999E-2</v>
      </c>
      <c r="BI52" s="373">
        <f t="shared" si="6"/>
        <v>6.7654999999999993E-2</v>
      </c>
      <c r="BJ52" s="378"/>
      <c r="BK52" s="375"/>
      <c r="BL52" s="375"/>
      <c r="BM52" s="375">
        <v>0.05</v>
      </c>
      <c r="BN52" s="375">
        <v>5.2499999999999998E-2</v>
      </c>
      <c r="BO52" s="375">
        <v>6.25E-2</v>
      </c>
      <c r="BP52" s="375">
        <v>3.3750000000000002E-2</v>
      </c>
      <c r="BQ52" s="377">
        <v>7.8200000000000006E-2</v>
      </c>
      <c r="BR52" s="380">
        <f t="shared" si="7"/>
        <v>5.5390000000000009E-2</v>
      </c>
      <c r="BT52" s="367">
        <v>45337</v>
      </c>
      <c r="BU52" s="375">
        <f t="shared" si="8"/>
        <v>1.925E-2</v>
      </c>
      <c r="BV52" s="375">
        <f t="shared" si="9"/>
        <v>3.0714285714285718E-2</v>
      </c>
      <c r="BW52" s="377">
        <f t="shared" si="10"/>
        <v>3.0499999999999999E-2</v>
      </c>
    </row>
    <row r="53" spans="1:75" x14ac:dyDescent="0.15">
      <c r="A53" s="367">
        <v>52366</v>
      </c>
      <c r="B53" s="375"/>
      <c r="C53" s="375"/>
      <c r="D53" s="375"/>
      <c r="E53" s="375"/>
      <c r="F53" s="377">
        <v>0.05</v>
      </c>
      <c r="G53" s="373">
        <f t="shared" si="0"/>
        <v>0.05</v>
      </c>
      <c r="H53" s="375"/>
      <c r="I53" s="375"/>
      <c r="J53" s="375"/>
      <c r="K53" s="375"/>
      <c r="L53" s="377">
        <v>4.1250000000000002E-2</v>
      </c>
      <c r="M53" s="373">
        <f t="shared" si="1"/>
        <v>4.1250000000000002E-2</v>
      </c>
      <c r="O53" s="371">
        <v>52427</v>
      </c>
      <c r="P53" s="378"/>
      <c r="Q53" s="375"/>
      <c r="R53" s="375"/>
      <c r="S53" s="375"/>
      <c r="T53" s="375"/>
      <c r="U53" s="375"/>
      <c r="V53" s="377">
        <v>5.7500000000000002E-2</v>
      </c>
      <c r="W53" s="373">
        <f t="shared" si="2"/>
        <v>5.7500000000000002E-2</v>
      </c>
      <c r="X53" s="378"/>
      <c r="Y53" s="375"/>
      <c r="Z53" s="375"/>
      <c r="AA53" s="375"/>
      <c r="AB53" s="375"/>
      <c r="AC53" s="375"/>
      <c r="AD53" s="377">
        <v>4.7500000000000001E-2</v>
      </c>
      <c r="AE53" s="373">
        <f t="shared" si="3"/>
        <v>4.7500000000000001E-2</v>
      </c>
      <c r="AG53" s="371">
        <v>52427</v>
      </c>
      <c r="AH53" s="378"/>
      <c r="AI53" s="375"/>
      <c r="AJ53" s="375"/>
      <c r="AK53" s="375"/>
      <c r="AL53" s="377">
        <v>0.05</v>
      </c>
      <c r="AM53" s="373">
        <f t="shared" si="4"/>
        <v>0.05</v>
      </c>
      <c r="AN53" s="378"/>
      <c r="AO53" s="375"/>
      <c r="AP53" s="375"/>
      <c r="AQ53" s="375"/>
      <c r="AR53" s="377">
        <v>4.1250000000000002E-2</v>
      </c>
      <c r="AS53" s="373">
        <f t="shared" si="5"/>
        <v>4.1250000000000002E-2</v>
      </c>
      <c r="AU53" s="379">
        <v>45366</v>
      </c>
      <c r="AV53" s="375"/>
      <c r="AW53" s="375"/>
      <c r="AX53" s="375"/>
      <c r="AY53" s="375">
        <v>7.4999999999999997E-2</v>
      </c>
      <c r="AZ53" s="375">
        <v>6.8750000000000006E-2</v>
      </c>
      <c r="BA53" s="375">
        <v>5.8749999999999997E-2</v>
      </c>
      <c r="BB53" s="375">
        <v>6.6250000000000003E-2</v>
      </c>
      <c r="BC53" s="375">
        <v>7.1249999999999994E-2</v>
      </c>
      <c r="BD53" s="375">
        <v>7.6249999999999998E-2</v>
      </c>
      <c r="BE53" s="375">
        <v>6.8750000000000006E-2</v>
      </c>
      <c r="BF53" s="375">
        <v>7.1249999999999994E-2</v>
      </c>
      <c r="BG53" s="375">
        <v>3.7499999999999999E-2</v>
      </c>
      <c r="BH53" s="375">
        <v>8.2799999999999999E-2</v>
      </c>
      <c r="BI53" s="373">
        <f t="shared" si="6"/>
        <v>6.7654999999999993E-2</v>
      </c>
      <c r="BJ53" s="378"/>
      <c r="BK53" s="375"/>
      <c r="BL53" s="375"/>
      <c r="BM53" s="375">
        <v>0.05</v>
      </c>
      <c r="BN53" s="375">
        <v>5.2499999999999998E-2</v>
      </c>
      <c r="BO53" s="375">
        <v>6.25E-2</v>
      </c>
      <c r="BP53" s="375">
        <v>3.3750000000000002E-2</v>
      </c>
      <c r="BQ53" s="377">
        <v>7.8200000000000006E-2</v>
      </c>
      <c r="BR53" s="380">
        <f t="shared" si="7"/>
        <v>5.5390000000000009E-2</v>
      </c>
      <c r="BT53" s="367">
        <v>45366</v>
      </c>
      <c r="BU53" s="375">
        <f t="shared" si="8"/>
        <v>1.925E-2</v>
      </c>
      <c r="BV53" s="375">
        <f t="shared" si="9"/>
        <v>3.0714285714285718E-2</v>
      </c>
      <c r="BW53" s="377">
        <f t="shared" si="10"/>
        <v>3.0499999999999999E-2</v>
      </c>
    </row>
    <row r="54" spans="1:75" x14ac:dyDescent="0.15">
      <c r="A54" s="367">
        <v>52550</v>
      </c>
      <c r="B54" s="375"/>
      <c r="C54" s="375"/>
      <c r="D54" s="375"/>
      <c r="E54" s="375"/>
      <c r="F54" s="377">
        <v>0.05</v>
      </c>
      <c r="G54" s="373">
        <f t="shared" si="0"/>
        <v>0.05</v>
      </c>
      <c r="H54" s="375"/>
      <c r="I54" s="375"/>
      <c r="J54" s="375"/>
      <c r="K54" s="375"/>
      <c r="L54" s="377">
        <v>4.1250000000000002E-2</v>
      </c>
      <c r="M54" s="373">
        <f t="shared" si="1"/>
        <v>4.1250000000000002E-2</v>
      </c>
      <c r="O54" s="371">
        <v>52611</v>
      </c>
      <c r="P54" s="378"/>
      <c r="Q54" s="375"/>
      <c r="R54" s="375"/>
      <c r="S54" s="375"/>
      <c r="T54" s="375"/>
      <c r="U54" s="375"/>
      <c r="V54" s="377">
        <v>5.7500000000000002E-2</v>
      </c>
      <c r="W54" s="373">
        <f t="shared" si="2"/>
        <v>5.7500000000000002E-2</v>
      </c>
      <c r="X54" s="378"/>
      <c r="Y54" s="375"/>
      <c r="Z54" s="375"/>
      <c r="AA54" s="375"/>
      <c r="AB54" s="375"/>
      <c r="AC54" s="375"/>
      <c r="AD54" s="377">
        <v>4.7500000000000001E-2</v>
      </c>
      <c r="AE54" s="373">
        <f t="shared" si="3"/>
        <v>4.7500000000000001E-2</v>
      </c>
      <c r="AG54" s="371">
        <v>52611</v>
      </c>
      <c r="AH54" s="378"/>
      <c r="AI54" s="375"/>
      <c r="AJ54" s="375"/>
      <c r="AK54" s="375"/>
      <c r="AL54" s="377">
        <v>0.05</v>
      </c>
      <c r="AM54" s="373">
        <f t="shared" si="4"/>
        <v>0.05</v>
      </c>
      <c r="AN54" s="378"/>
      <c r="AO54" s="375"/>
      <c r="AP54" s="375"/>
      <c r="AQ54" s="375"/>
      <c r="AR54" s="377">
        <v>4.1250000000000002E-2</v>
      </c>
      <c r="AS54" s="373">
        <f t="shared" si="5"/>
        <v>4.1250000000000002E-2</v>
      </c>
      <c r="AU54" s="379">
        <v>45397</v>
      </c>
      <c r="AV54" s="375"/>
      <c r="AW54" s="375"/>
      <c r="AX54" s="375"/>
      <c r="AY54" s="375">
        <v>7.4999999999999997E-2</v>
      </c>
      <c r="AZ54" s="375">
        <v>6.8750000000000006E-2</v>
      </c>
      <c r="BA54" s="375">
        <v>5.8749999999999997E-2</v>
      </c>
      <c r="BB54" s="375">
        <v>6.6250000000000003E-2</v>
      </c>
      <c r="BC54" s="375">
        <v>7.1249999999999994E-2</v>
      </c>
      <c r="BD54" s="375">
        <v>7.6249999999999998E-2</v>
      </c>
      <c r="BE54" s="375">
        <v>6.8750000000000006E-2</v>
      </c>
      <c r="BF54" s="375">
        <v>7.1249999999999994E-2</v>
      </c>
      <c r="BG54" s="375">
        <v>3.7499999999999999E-2</v>
      </c>
      <c r="BH54" s="375">
        <v>8.2799999999999999E-2</v>
      </c>
      <c r="BI54" s="373">
        <f t="shared" si="6"/>
        <v>6.7654999999999993E-2</v>
      </c>
      <c r="BJ54" s="378"/>
      <c r="BK54" s="375"/>
      <c r="BL54" s="375"/>
      <c r="BM54" s="375">
        <v>0.05</v>
      </c>
      <c r="BN54" s="375">
        <v>5.2499999999999998E-2</v>
      </c>
      <c r="BO54" s="375">
        <v>6.25E-2</v>
      </c>
      <c r="BP54" s="375">
        <v>3.3750000000000002E-2</v>
      </c>
      <c r="BQ54" s="377">
        <v>7.8200000000000006E-2</v>
      </c>
      <c r="BR54" s="380">
        <f t="shared" si="7"/>
        <v>5.5390000000000009E-2</v>
      </c>
      <c r="BT54" s="367">
        <v>45397</v>
      </c>
      <c r="BU54" s="375">
        <f t="shared" si="8"/>
        <v>1.925E-2</v>
      </c>
      <c r="BV54" s="375">
        <f t="shared" si="9"/>
        <v>3.0714285714285718E-2</v>
      </c>
      <c r="BW54" s="377">
        <f t="shared" si="10"/>
        <v>3.0499999999999999E-2</v>
      </c>
    </row>
    <row r="55" spans="1:75" x14ac:dyDescent="0.15">
      <c r="A55" s="367">
        <v>52732</v>
      </c>
      <c r="B55" s="375"/>
      <c r="C55" s="375"/>
      <c r="D55" s="375"/>
      <c r="E55" s="375"/>
      <c r="F55" s="377">
        <v>0.05</v>
      </c>
      <c r="G55" s="373">
        <f t="shared" si="0"/>
        <v>0.05</v>
      </c>
      <c r="H55" s="375"/>
      <c r="I55" s="375"/>
      <c r="J55" s="375"/>
      <c r="K55" s="375"/>
      <c r="L55" s="377">
        <v>4.1250000000000002E-2</v>
      </c>
      <c r="M55" s="373">
        <f t="shared" si="1"/>
        <v>4.1250000000000002E-2</v>
      </c>
      <c r="O55" s="371">
        <v>52793</v>
      </c>
      <c r="P55" s="378"/>
      <c r="Q55" s="375"/>
      <c r="R55" s="375"/>
      <c r="S55" s="375"/>
      <c r="T55" s="375"/>
      <c r="U55" s="375"/>
      <c r="V55" s="377">
        <v>5.7500000000000002E-2</v>
      </c>
      <c r="W55" s="373">
        <f t="shared" si="2"/>
        <v>5.7500000000000002E-2</v>
      </c>
      <c r="X55" s="378"/>
      <c r="Y55" s="375"/>
      <c r="Z55" s="375"/>
      <c r="AA55" s="375"/>
      <c r="AB55" s="375"/>
      <c r="AC55" s="375"/>
      <c r="AD55" s="377">
        <v>4.7500000000000001E-2</v>
      </c>
      <c r="AE55" s="373">
        <f t="shared" si="3"/>
        <v>4.7500000000000001E-2</v>
      </c>
      <c r="AG55" s="371">
        <v>52793</v>
      </c>
      <c r="AH55" s="378"/>
      <c r="AI55" s="375"/>
      <c r="AJ55" s="375"/>
      <c r="AK55" s="375"/>
      <c r="AL55" s="377">
        <v>0.05</v>
      </c>
      <c r="AM55" s="373">
        <f t="shared" si="4"/>
        <v>0.05</v>
      </c>
      <c r="AN55" s="378"/>
      <c r="AO55" s="375"/>
      <c r="AP55" s="375"/>
      <c r="AQ55" s="375"/>
      <c r="AR55" s="377">
        <v>4.1250000000000002E-2</v>
      </c>
      <c r="AS55" s="373">
        <f t="shared" si="5"/>
        <v>4.1250000000000002E-2</v>
      </c>
      <c r="AU55" s="379">
        <v>45427</v>
      </c>
      <c r="AV55" s="375"/>
      <c r="AW55" s="375"/>
      <c r="AX55" s="375"/>
      <c r="AY55" s="375">
        <v>7.4999999999999997E-2</v>
      </c>
      <c r="AZ55" s="375">
        <v>6.8750000000000006E-2</v>
      </c>
      <c r="BA55" s="375">
        <v>5.8749999999999997E-2</v>
      </c>
      <c r="BB55" s="375">
        <v>6.6250000000000003E-2</v>
      </c>
      <c r="BC55" s="375">
        <v>7.1249999999999994E-2</v>
      </c>
      <c r="BD55" s="375">
        <v>7.6249999999999998E-2</v>
      </c>
      <c r="BE55" s="375">
        <v>6.8750000000000006E-2</v>
      </c>
      <c r="BF55" s="375">
        <v>7.1249999999999994E-2</v>
      </c>
      <c r="BG55" s="375">
        <v>3.7499999999999999E-2</v>
      </c>
      <c r="BH55" s="375">
        <v>8.2799999999999999E-2</v>
      </c>
      <c r="BI55" s="373">
        <f t="shared" si="6"/>
        <v>6.7654999999999993E-2</v>
      </c>
      <c r="BJ55" s="378"/>
      <c r="BK55" s="375"/>
      <c r="BL55" s="375"/>
      <c r="BM55" s="375">
        <v>0.05</v>
      </c>
      <c r="BN55" s="375">
        <v>5.2499999999999998E-2</v>
      </c>
      <c r="BO55" s="375">
        <v>6.25E-2</v>
      </c>
      <c r="BP55" s="375">
        <v>3.3750000000000002E-2</v>
      </c>
      <c r="BQ55" s="377">
        <v>7.8200000000000006E-2</v>
      </c>
      <c r="BR55" s="380">
        <f t="shared" si="7"/>
        <v>5.5390000000000009E-2</v>
      </c>
      <c r="BT55" s="367">
        <v>45427</v>
      </c>
      <c r="BU55" s="375">
        <f t="shared" si="8"/>
        <v>3.0499999999999999E-2</v>
      </c>
      <c r="BV55" s="375">
        <f t="shared" si="9"/>
        <v>3.0714285714285718E-2</v>
      </c>
      <c r="BW55" s="377">
        <f t="shared" si="10"/>
        <v>3.0499999999999999E-2</v>
      </c>
    </row>
    <row r="56" spans="1:75" x14ac:dyDescent="0.15">
      <c r="A56" s="367">
        <v>52916</v>
      </c>
      <c r="B56" s="375"/>
      <c r="C56" s="375"/>
      <c r="D56" s="375"/>
      <c r="E56" s="375"/>
      <c r="F56" s="377">
        <v>0.05</v>
      </c>
      <c r="G56" s="373">
        <f t="shared" si="0"/>
        <v>0.05</v>
      </c>
      <c r="H56" s="375"/>
      <c r="I56" s="375"/>
      <c r="J56" s="375"/>
      <c r="K56" s="375"/>
      <c r="L56" s="377">
        <v>4.1250000000000002E-2</v>
      </c>
      <c r="M56" s="373">
        <f t="shared" si="1"/>
        <v>4.1250000000000002E-2</v>
      </c>
      <c r="O56" s="371">
        <v>52977</v>
      </c>
      <c r="P56" s="378"/>
      <c r="Q56" s="375"/>
      <c r="R56" s="375"/>
      <c r="S56" s="375"/>
      <c r="T56" s="375"/>
      <c r="U56" s="375"/>
      <c r="V56" s="377">
        <v>5.7500000000000002E-2</v>
      </c>
      <c r="W56" s="373">
        <f t="shared" si="2"/>
        <v>5.7500000000000002E-2</v>
      </c>
      <c r="X56" s="378"/>
      <c r="Y56" s="375"/>
      <c r="Z56" s="375"/>
      <c r="AA56" s="375"/>
      <c r="AB56" s="375"/>
      <c r="AC56" s="375"/>
      <c r="AD56" s="377">
        <v>4.7500000000000001E-2</v>
      </c>
      <c r="AE56" s="373">
        <f t="shared" si="3"/>
        <v>4.7500000000000001E-2</v>
      </c>
      <c r="AG56" s="371">
        <v>52977</v>
      </c>
      <c r="AH56" s="378"/>
      <c r="AI56" s="375"/>
      <c r="AJ56" s="375"/>
      <c r="AK56" s="375"/>
      <c r="AL56" s="377">
        <v>0.05</v>
      </c>
      <c r="AM56" s="373">
        <f t="shared" si="4"/>
        <v>0.05</v>
      </c>
      <c r="AN56" s="378"/>
      <c r="AO56" s="375"/>
      <c r="AP56" s="375"/>
      <c r="AQ56" s="375"/>
      <c r="AR56" s="377">
        <v>4.1250000000000002E-2</v>
      </c>
      <c r="AS56" s="373">
        <f t="shared" si="5"/>
        <v>4.1250000000000002E-2</v>
      </c>
      <c r="AU56" s="379">
        <v>45458</v>
      </c>
      <c r="AV56" s="375"/>
      <c r="AW56" s="375"/>
      <c r="AX56" s="375"/>
      <c r="AY56" s="375">
        <v>7.4999999999999997E-2</v>
      </c>
      <c r="AZ56" s="375">
        <v>6.8750000000000006E-2</v>
      </c>
      <c r="BA56" s="375">
        <v>5.8749999999999997E-2</v>
      </c>
      <c r="BB56" s="375">
        <v>6.6250000000000003E-2</v>
      </c>
      <c r="BC56" s="375">
        <v>7.1249999999999994E-2</v>
      </c>
      <c r="BD56" s="375">
        <v>7.6249999999999998E-2</v>
      </c>
      <c r="BE56" s="375">
        <v>6.8750000000000006E-2</v>
      </c>
      <c r="BF56" s="375">
        <v>7.1249999999999994E-2</v>
      </c>
      <c r="BG56" s="375">
        <v>3.7499999999999999E-2</v>
      </c>
      <c r="BH56" s="375">
        <v>8.2799999999999999E-2</v>
      </c>
      <c r="BI56" s="373">
        <f t="shared" si="6"/>
        <v>6.7654999999999993E-2</v>
      </c>
      <c r="BJ56" s="378"/>
      <c r="BK56" s="375"/>
      <c r="BL56" s="375"/>
      <c r="BM56" s="375">
        <v>0.05</v>
      </c>
      <c r="BN56" s="375">
        <v>5.2499999999999998E-2</v>
      </c>
      <c r="BO56" s="375">
        <v>6.25E-2</v>
      </c>
      <c r="BP56" s="375">
        <v>3.3750000000000002E-2</v>
      </c>
      <c r="BQ56" s="377">
        <v>7.8200000000000006E-2</v>
      </c>
      <c r="BR56" s="380">
        <f t="shared" si="7"/>
        <v>5.5390000000000009E-2</v>
      </c>
      <c r="BT56" s="367">
        <v>45458</v>
      </c>
      <c r="BU56" s="375">
        <f t="shared" si="8"/>
        <v>3.0499999999999999E-2</v>
      </c>
      <c r="BV56" s="375">
        <f t="shared" si="9"/>
        <v>3.0714285714285718E-2</v>
      </c>
      <c r="BW56" s="377">
        <f t="shared" si="10"/>
        <v>3.0499999999999999E-2</v>
      </c>
    </row>
    <row r="57" spans="1:75" x14ac:dyDescent="0.15">
      <c r="A57" s="367">
        <v>53097</v>
      </c>
      <c r="B57" s="375"/>
      <c r="C57" s="375"/>
      <c r="D57" s="375"/>
      <c r="E57" s="375"/>
      <c r="F57" s="377">
        <v>0.05</v>
      </c>
      <c r="G57" s="373">
        <f t="shared" si="0"/>
        <v>0.05</v>
      </c>
      <c r="H57" s="375"/>
      <c r="I57" s="375"/>
      <c r="J57" s="375"/>
      <c r="K57" s="375"/>
      <c r="L57" s="377">
        <v>4.1250000000000002E-2</v>
      </c>
      <c r="M57" s="373">
        <f t="shared" si="1"/>
        <v>4.1250000000000002E-2</v>
      </c>
      <c r="O57" s="371">
        <v>53158</v>
      </c>
      <c r="P57" s="378"/>
      <c r="Q57" s="375"/>
      <c r="R57" s="375"/>
      <c r="S57" s="375"/>
      <c r="T57" s="375"/>
      <c r="U57" s="375"/>
      <c r="V57" s="377">
        <v>5.7500000000000002E-2</v>
      </c>
      <c r="W57" s="373">
        <f t="shared" si="2"/>
        <v>5.7500000000000002E-2</v>
      </c>
      <c r="X57" s="378"/>
      <c r="Y57" s="375"/>
      <c r="Z57" s="375"/>
      <c r="AA57" s="375"/>
      <c r="AB57" s="375"/>
      <c r="AC57" s="375"/>
      <c r="AD57" s="377">
        <v>4.7500000000000001E-2</v>
      </c>
      <c r="AE57" s="373">
        <f t="shared" si="3"/>
        <v>4.7500000000000001E-2</v>
      </c>
      <c r="AG57" s="371">
        <v>53158</v>
      </c>
      <c r="AH57" s="378"/>
      <c r="AI57" s="375"/>
      <c r="AJ57" s="375"/>
      <c r="AK57" s="375"/>
      <c r="AL57" s="377">
        <v>0.05</v>
      </c>
      <c r="AM57" s="373">
        <f t="shared" si="4"/>
        <v>0.05</v>
      </c>
      <c r="AN57" s="378"/>
      <c r="AO57" s="375"/>
      <c r="AP57" s="375"/>
      <c r="AQ57" s="375"/>
      <c r="AR57" s="377">
        <v>4.1250000000000002E-2</v>
      </c>
      <c r="AS57" s="373">
        <f t="shared" si="5"/>
        <v>4.1250000000000002E-2</v>
      </c>
      <c r="AU57" s="379">
        <v>45488</v>
      </c>
      <c r="AV57" s="375"/>
      <c r="AW57" s="375"/>
      <c r="AX57" s="375"/>
      <c r="AY57" s="375">
        <v>7.4999999999999997E-2</v>
      </c>
      <c r="AZ57" s="375">
        <v>6.8750000000000006E-2</v>
      </c>
      <c r="BA57" s="375">
        <v>5.8749999999999997E-2</v>
      </c>
      <c r="BB57" s="375">
        <v>6.6250000000000003E-2</v>
      </c>
      <c r="BC57" s="375">
        <v>7.1249999999999994E-2</v>
      </c>
      <c r="BD57" s="375">
        <v>7.6249999999999998E-2</v>
      </c>
      <c r="BE57" s="375">
        <v>6.8750000000000006E-2</v>
      </c>
      <c r="BF57" s="375">
        <v>7.1249999999999994E-2</v>
      </c>
      <c r="BG57" s="375">
        <v>3.7499999999999999E-2</v>
      </c>
      <c r="BH57" s="375">
        <v>8.2799999999999999E-2</v>
      </c>
      <c r="BI57" s="373">
        <f t="shared" si="6"/>
        <v>6.7654999999999993E-2</v>
      </c>
      <c r="BJ57" s="378"/>
      <c r="BK57" s="375"/>
      <c r="BL57" s="375"/>
      <c r="BM57" s="375">
        <v>0.05</v>
      </c>
      <c r="BN57" s="375">
        <v>5.2499999999999998E-2</v>
      </c>
      <c r="BO57" s="375">
        <v>6.25E-2</v>
      </c>
      <c r="BP57" s="375">
        <v>3.3750000000000002E-2</v>
      </c>
      <c r="BQ57" s="377">
        <v>7.8200000000000006E-2</v>
      </c>
      <c r="BR57" s="380">
        <f t="shared" si="7"/>
        <v>5.5390000000000009E-2</v>
      </c>
      <c r="BT57" s="367">
        <v>45488</v>
      </c>
      <c r="BU57" s="375">
        <f t="shared" si="8"/>
        <v>3.0499999999999999E-2</v>
      </c>
      <c r="BV57" s="375">
        <f t="shared" si="9"/>
        <v>3.0714285714285718E-2</v>
      </c>
      <c r="BW57" s="377">
        <f t="shared" si="10"/>
        <v>3.0499999999999999E-2</v>
      </c>
    </row>
    <row r="58" spans="1:75" x14ac:dyDescent="0.15">
      <c r="A58" s="367">
        <v>53281</v>
      </c>
      <c r="B58" s="375"/>
      <c r="C58" s="375"/>
      <c r="D58" s="375"/>
      <c r="E58" s="375"/>
      <c r="F58" s="377">
        <v>0.05</v>
      </c>
      <c r="G58" s="373">
        <f t="shared" si="0"/>
        <v>0.05</v>
      </c>
      <c r="H58" s="375"/>
      <c r="I58" s="375"/>
      <c r="J58" s="375"/>
      <c r="K58" s="375"/>
      <c r="L58" s="377">
        <v>4.1250000000000002E-2</v>
      </c>
      <c r="M58" s="373">
        <f t="shared" si="1"/>
        <v>4.1250000000000002E-2</v>
      </c>
      <c r="O58" s="371">
        <v>53342</v>
      </c>
      <c r="P58" s="378"/>
      <c r="Q58" s="375"/>
      <c r="R58" s="375"/>
      <c r="S58" s="375"/>
      <c r="T58" s="375"/>
      <c r="U58" s="375"/>
      <c r="V58" s="377"/>
      <c r="W58" s="373"/>
      <c r="X58" s="378"/>
      <c r="Y58" s="375"/>
      <c r="Z58" s="375"/>
      <c r="AA58" s="375"/>
      <c r="AB58" s="375"/>
      <c r="AC58" s="375"/>
      <c r="AD58" s="377"/>
      <c r="AE58" s="373"/>
      <c r="AG58" s="371">
        <v>53342</v>
      </c>
      <c r="AH58" s="378"/>
      <c r="AI58" s="375"/>
      <c r="AJ58" s="375"/>
      <c r="AK58" s="375"/>
      <c r="AL58" s="377">
        <v>0.05</v>
      </c>
      <c r="AM58" s="373">
        <f t="shared" si="4"/>
        <v>0.05</v>
      </c>
      <c r="AN58" s="378"/>
      <c r="AO58" s="375"/>
      <c r="AP58" s="375"/>
      <c r="AQ58" s="375"/>
      <c r="AR58" s="377">
        <v>4.1250000000000002E-2</v>
      </c>
      <c r="AS58" s="373">
        <f t="shared" si="5"/>
        <v>4.1250000000000002E-2</v>
      </c>
      <c r="AU58" s="379">
        <v>45519</v>
      </c>
      <c r="AV58" s="375"/>
      <c r="AW58" s="375"/>
      <c r="AX58" s="375"/>
      <c r="AY58" s="375">
        <v>7.4999999999999997E-2</v>
      </c>
      <c r="AZ58" s="375">
        <v>6.8750000000000006E-2</v>
      </c>
      <c r="BA58" s="375">
        <v>5.8749999999999997E-2</v>
      </c>
      <c r="BB58" s="375">
        <v>6.6250000000000003E-2</v>
      </c>
      <c r="BC58" s="375">
        <v>7.1249999999999994E-2</v>
      </c>
      <c r="BD58" s="375">
        <v>7.6249999999999998E-2</v>
      </c>
      <c r="BE58" s="375">
        <v>6.8750000000000006E-2</v>
      </c>
      <c r="BF58" s="375">
        <v>7.1249999999999994E-2</v>
      </c>
      <c r="BG58" s="375">
        <v>3.7499999999999999E-2</v>
      </c>
      <c r="BH58" s="375">
        <v>8.2799999999999999E-2</v>
      </c>
      <c r="BI58" s="373">
        <f t="shared" si="6"/>
        <v>6.7654999999999993E-2</v>
      </c>
      <c r="BJ58" s="378"/>
      <c r="BK58" s="375"/>
      <c r="BL58" s="375"/>
      <c r="BM58" s="375">
        <v>0.05</v>
      </c>
      <c r="BN58" s="375">
        <v>5.2499999999999998E-2</v>
      </c>
      <c r="BO58" s="375">
        <v>6.25E-2</v>
      </c>
      <c r="BP58" s="375">
        <v>3.3750000000000002E-2</v>
      </c>
      <c r="BQ58" s="377">
        <v>7.8200000000000006E-2</v>
      </c>
      <c r="BR58" s="380">
        <f t="shared" si="7"/>
        <v>5.5390000000000009E-2</v>
      </c>
      <c r="BT58" s="367">
        <v>45519</v>
      </c>
      <c r="BU58" s="375">
        <f t="shared" si="8"/>
        <v>3.0499999999999999E-2</v>
      </c>
      <c r="BV58" s="375">
        <f t="shared" si="9"/>
        <v>3.0714285714285718E-2</v>
      </c>
      <c r="BW58" s="377">
        <f t="shared" si="10"/>
        <v>3.0499999999999999E-2</v>
      </c>
    </row>
    <row r="59" spans="1:75" x14ac:dyDescent="0.15">
      <c r="A59" s="367">
        <v>53462</v>
      </c>
      <c r="B59" s="375"/>
      <c r="C59" s="375"/>
      <c r="D59" s="375"/>
      <c r="E59" s="375"/>
      <c r="F59" s="377">
        <v>0.05</v>
      </c>
      <c r="G59" s="373">
        <f t="shared" si="0"/>
        <v>0.05</v>
      </c>
      <c r="H59" s="375"/>
      <c r="I59" s="375"/>
      <c r="J59" s="375"/>
      <c r="K59" s="375"/>
      <c r="L59" s="377">
        <v>4.1250000000000002E-2</v>
      </c>
      <c r="M59" s="373">
        <f t="shared" si="1"/>
        <v>4.1250000000000002E-2</v>
      </c>
      <c r="O59" s="371">
        <v>53523</v>
      </c>
      <c r="P59" s="378"/>
      <c r="Q59" s="375"/>
      <c r="R59" s="375"/>
      <c r="S59" s="375"/>
      <c r="T59" s="375"/>
      <c r="U59" s="375"/>
      <c r="V59" s="377"/>
      <c r="W59" s="373"/>
      <c r="X59" s="378"/>
      <c r="Y59" s="375"/>
      <c r="Z59" s="375"/>
      <c r="AA59" s="375"/>
      <c r="AB59" s="375"/>
      <c r="AC59" s="375"/>
      <c r="AD59" s="377"/>
      <c r="AE59" s="373"/>
      <c r="AG59" s="371">
        <v>53523</v>
      </c>
      <c r="AH59" s="378"/>
      <c r="AI59" s="375"/>
      <c r="AJ59" s="375"/>
      <c r="AK59" s="375"/>
      <c r="AL59" s="377">
        <v>0.05</v>
      </c>
      <c r="AM59" s="373">
        <f t="shared" si="4"/>
        <v>0.05</v>
      </c>
      <c r="AN59" s="378"/>
      <c r="AO59" s="375"/>
      <c r="AP59" s="375"/>
      <c r="AQ59" s="375"/>
      <c r="AR59" s="377">
        <v>4.1250000000000002E-2</v>
      </c>
      <c r="AS59" s="373">
        <f t="shared" si="5"/>
        <v>4.1250000000000002E-2</v>
      </c>
      <c r="AU59" s="379">
        <v>45550</v>
      </c>
      <c r="AV59" s="375"/>
      <c r="AW59" s="375"/>
      <c r="AX59" s="375"/>
      <c r="AY59" s="375">
        <v>7.4999999999999997E-2</v>
      </c>
      <c r="AZ59" s="375">
        <v>6.8750000000000006E-2</v>
      </c>
      <c r="BA59" s="375">
        <v>5.8749999999999997E-2</v>
      </c>
      <c r="BB59" s="375">
        <v>6.6250000000000003E-2</v>
      </c>
      <c r="BC59" s="375">
        <v>7.1249999999999994E-2</v>
      </c>
      <c r="BD59" s="375">
        <v>7.6249999999999998E-2</v>
      </c>
      <c r="BE59" s="375">
        <v>6.8750000000000006E-2</v>
      </c>
      <c r="BF59" s="375">
        <v>7.1249999999999994E-2</v>
      </c>
      <c r="BG59" s="375">
        <v>3.7499999999999999E-2</v>
      </c>
      <c r="BH59" s="375">
        <v>8.2799999999999999E-2</v>
      </c>
      <c r="BI59" s="373">
        <f t="shared" si="6"/>
        <v>6.7654999999999993E-2</v>
      </c>
      <c r="BJ59" s="378"/>
      <c r="BK59" s="375"/>
      <c r="BL59" s="375"/>
      <c r="BM59" s="375">
        <v>0.05</v>
      </c>
      <c r="BN59" s="375">
        <v>5.2499999999999998E-2</v>
      </c>
      <c r="BO59" s="375">
        <v>6.25E-2</v>
      </c>
      <c r="BP59" s="375">
        <v>3.3750000000000002E-2</v>
      </c>
      <c r="BQ59" s="377">
        <v>7.8200000000000006E-2</v>
      </c>
      <c r="BR59" s="380">
        <f t="shared" si="7"/>
        <v>5.5390000000000009E-2</v>
      </c>
      <c r="BT59" s="367">
        <v>45550</v>
      </c>
      <c r="BU59" s="375">
        <f t="shared" si="8"/>
        <v>3.0499999999999999E-2</v>
      </c>
      <c r="BV59" s="375">
        <f t="shared" si="9"/>
        <v>3.0714285714285718E-2</v>
      </c>
      <c r="BW59" s="377">
        <f t="shared" si="10"/>
        <v>3.0499999999999999E-2</v>
      </c>
    </row>
    <row r="60" spans="1:75" x14ac:dyDescent="0.15">
      <c r="A60" s="367">
        <v>53646</v>
      </c>
      <c r="B60" s="375"/>
      <c r="C60" s="375"/>
      <c r="D60" s="375"/>
      <c r="E60" s="375"/>
      <c r="F60" s="377">
        <v>0.05</v>
      </c>
      <c r="G60" s="373">
        <f t="shared" si="0"/>
        <v>0.05</v>
      </c>
      <c r="H60" s="375"/>
      <c r="I60" s="375"/>
      <c r="J60" s="375"/>
      <c r="K60" s="375"/>
      <c r="L60" s="377">
        <v>4.1250000000000002E-2</v>
      </c>
      <c r="M60" s="373">
        <f t="shared" si="1"/>
        <v>4.1250000000000002E-2</v>
      </c>
      <c r="O60" s="371">
        <v>53707</v>
      </c>
      <c r="P60" s="378"/>
      <c r="Q60" s="375"/>
      <c r="R60" s="375"/>
      <c r="S60" s="375"/>
      <c r="T60" s="375"/>
      <c r="U60" s="375"/>
      <c r="V60" s="377"/>
      <c r="W60" s="373"/>
      <c r="X60" s="378"/>
      <c r="Y60" s="375"/>
      <c r="Z60" s="375"/>
      <c r="AA60" s="375"/>
      <c r="AB60" s="375"/>
      <c r="AC60" s="375"/>
      <c r="AD60" s="377"/>
      <c r="AE60" s="373"/>
      <c r="AG60" s="371">
        <v>53707</v>
      </c>
      <c r="AH60" s="378"/>
      <c r="AI60" s="375"/>
      <c r="AJ60" s="375"/>
      <c r="AK60" s="375"/>
      <c r="AL60" s="377"/>
      <c r="AM60" s="373"/>
      <c r="AN60" s="378"/>
      <c r="AO60" s="375"/>
      <c r="AP60" s="375"/>
      <c r="AQ60" s="375"/>
      <c r="AR60" s="377"/>
      <c r="AS60" s="373"/>
      <c r="AU60" s="379">
        <v>45580</v>
      </c>
      <c r="AV60" s="375"/>
      <c r="AW60" s="375"/>
      <c r="AX60" s="375"/>
      <c r="AY60" s="375">
        <v>7.4999999999999997E-2</v>
      </c>
      <c r="AZ60" s="375">
        <v>6.8750000000000006E-2</v>
      </c>
      <c r="BA60" s="375">
        <v>5.8749999999999997E-2</v>
      </c>
      <c r="BB60" s="375">
        <v>6.6250000000000003E-2</v>
      </c>
      <c r="BC60" s="375">
        <v>7.1249999999999994E-2</v>
      </c>
      <c r="BD60" s="375">
        <v>7.6249999999999998E-2</v>
      </c>
      <c r="BE60" s="375">
        <v>6.8750000000000006E-2</v>
      </c>
      <c r="BF60" s="375">
        <v>7.1249999999999994E-2</v>
      </c>
      <c r="BG60" s="375">
        <v>3.7499999999999999E-2</v>
      </c>
      <c r="BH60" s="375">
        <v>8.2799999999999999E-2</v>
      </c>
      <c r="BI60" s="373">
        <f t="shared" si="6"/>
        <v>6.7654999999999993E-2</v>
      </c>
      <c r="BJ60" s="378"/>
      <c r="BK60" s="375"/>
      <c r="BL60" s="375"/>
      <c r="BM60" s="375">
        <v>0.05</v>
      </c>
      <c r="BN60" s="375">
        <v>5.2499999999999998E-2</v>
      </c>
      <c r="BO60" s="375">
        <v>6.25E-2</v>
      </c>
      <c r="BP60" s="375">
        <v>3.3750000000000002E-2</v>
      </c>
      <c r="BQ60" s="377">
        <v>7.8200000000000006E-2</v>
      </c>
      <c r="BR60" s="380">
        <f t="shared" si="7"/>
        <v>5.5390000000000009E-2</v>
      </c>
      <c r="BT60" s="367">
        <v>45580</v>
      </c>
      <c r="BU60" s="375">
        <f t="shared" si="8"/>
        <v>3.0499999999999999E-2</v>
      </c>
      <c r="BV60" s="375">
        <f t="shared" si="9"/>
        <v>3.0714285714285718E-2</v>
      </c>
      <c r="BW60" s="377">
        <f t="shared" si="10"/>
        <v>3.0499999999999999E-2</v>
      </c>
    </row>
    <row r="61" spans="1:75" x14ac:dyDescent="0.15">
      <c r="A61" s="367">
        <v>53827</v>
      </c>
      <c r="B61" s="375"/>
      <c r="C61" s="375"/>
      <c r="D61" s="375"/>
      <c r="E61" s="375"/>
      <c r="F61" s="377"/>
      <c r="G61" s="373"/>
      <c r="H61" s="375"/>
      <c r="I61" s="375"/>
      <c r="J61" s="375"/>
      <c r="K61" s="375"/>
      <c r="L61" s="377"/>
      <c r="M61" s="373"/>
      <c r="O61" s="371">
        <v>53888</v>
      </c>
      <c r="P61" s="378"/>
      <c r="Q61" s="375"/>
      <c r="R61" s="375"/>
      <c r="S61" s="375"/>
      <c r="T61" s="375"/>
      <c r="U61" s="375"/>
      <c r="V61" s="377"/>
      <c r="W61" s="373"/>
      <c r="X61" s="378"/>
      <c r="Y61" s="375"/>
      <c r="Z61" s="375"/>
      <c r="AA61" s="375"/>
      <c r="AB61" s="375"/>
      <c r="AC61" s="375"/>
      <c r="AD61" s="377"/>
      <c r="AE61" s="373"/>
      <c r="AG61" s="371">
        <v>53888</v>
      </c>
      <c r="AH61" s="378"/>
      <c r="AI61" s="375"/>
      <c r="AJ61" s="375"/>
      <c r="AK61" s="375"/>
      <c r="AL61" s="377"/>
      <c r="AM61" s="373"/>
      <c r="AN61" s="378"/>
      <c r="AO61" s="375"/>
      <c r="AP61" s="375"/>
      <c r="AQ61" s="375"/>
      <c r="AR61" s="377"/>
      <c r="AS61" s="373"/>
      <c r="AU61" s="379">
        <v>45611</v>
      </c>
      <c r="AV61" s="375"/>
      <c r="AW61" s="375"/>
      <c r="AX61" s="375"/>
      <c r="AY61" s="375">
        <v>7.4999999999999997E-2</v>
      </c>
      <c r="AZ61" s="375">
        <v>6.8750000000000006E-2</v>
      </c>
      <c r="BA61" s="375">
        <v>5.8749999999999997E-2</v>
      </c>
      <c r="BB61" s="375">
        <v>6.6250000000000003E-2</v>
      </c>
      <c r="BC61" s="375">
        <v>7.1249999999999994E-2</v>
      </c>
      <c r="BD61" s="375">
        <v>7.6249999999999998E-2</v>
      </c>
      <c r="BE61" s="375">
        <v>6.8750000000000006E-2</v>
      </c>
      <c r="BF61" s="375">
        <v>7.1249999999999994E-2</v>
      </c>
      <c r="BG61" s="375">
        <v>3.7499999999999999E-2</v>
      </c>
      <c r="BH61" s="375">
        <v>8.2799999999999999E-2</v>
      </c>
      <c r="BI61" s="373">
        <f t="shared" si="6"/>
        <v>6.7654999999999993E-2</v>
      </c>
      <c r="BJ61" s="378"/>
      <c r="BK61" s="375"/>
      <c r="BL61" s="375"/>
      <c r="BM61" s="375">
        <v>0.05</v>
      </c>
      <c r="BN61" s="375">
        <v>5.2499999999999998E-2</v>
      </c>
      <c r="BO61" s="375">
        <v>6.25E-2</v>
      </c>
      <c r="BP61" s="375">
        <v>3.3750000000000002E-2</v>
      </c>
      <c r="BQ61" s="377">
        <v>7.8200000000000006E-2</v>
      </c>
      <c r="BR61" s="380">
        <f t="shared" si="7"/>
        <v>5.5390000000000009E-2</v>
      </c>
      <c r="BT61" s="367">
        <v>45611</v>
      </c>
      <c r="BU61" s="375">
        <f t="shared" si="8"/>
        <v>3.0499999999999999E-2</v>
      </c>
      <c r="BV61" s="375">
        <f t="shared" si="9"/>
        <v>3.0714285714285718E-2</v>
      </c>
      <c r="BW61" s="377">
        <f t="shared" si="10"/>
        <v>3.0499999999999999E-2</v>
      </c>
    </row>
    <row r="62" spans="1:75" x14ac:dyDescent="0.15">
      <c r="A62" s="381">
        <v>54011</v>
      </c>
      <c r="B62" s="382"/>
      <c r="C62" s="382"/>
      <c r="D62" s="382"/>
      <c r="E62" s="382"/>
      <c r="F62" s="383"/>
      <c r="G62" s="384"/>
      <c r="H62" s="382"/>
      <c r="I62" s="382"/>
      <c r="J62" s="382"/>
      <c r="K62" s="382"/>
      <c r="L62" s="383"/>
      <c r="M62" s="384"/>
      <c r="O62" s="385">
        <v>54072</v>
      </c>
      <c r="P62" s="386"/>
      <c r="Q62" s="382"/>
      <c r="R62" s="382"/>
      <c r="S62" s="382"/>
      <c r="T62" s="382"/>
      <c r="U62" s="382"/>
      <c r="V62" s="383"/>
      <c r="W62" s="384"/>
      <c r="X62" s="386"/>
      <c r="Y62" s="382"/>
      <c r="Z62" s="382"/>
      <c r="AA62" s="382"/>
      <c r="AB62" s="382"/>
      <c r="AC62" s="382"/>
      <c r="AD62" s="383"/>
      <c r="AE62" s="384"/>
      <c r="AG62" s="385">
        <v>54072</v>
      </c>
      <c r="AH62" s="386"/>
      <c r="AI62" s="382"/>
      <c r="AJ62" s="382"/>
      <c r="AK62" s="382"/>
      <c r="AL62" s="383"/>
      <c r="AM62" s="384"/>
      <c r="AN62" s="386"/>
      <c r="AO62" s="382"/>
      <c r="AP62" s="382"/>
      <c r="AQ62" s="382"/>
      <c r="AR62" s="383"/>
      <c r="AS62" s="384"/>
      <c r="AU62" s="379">
        <v>45641</v>
      </c>
      <c r="AV62" s="375"/>
      <c r="AW62" s="375"/>
      <c r="AX62" s="375"/>
      <c r="AY62" s="375">
        <v>7.4999999999999997E-2</v>
      </c>
      <c r="AZ62" s="375">
        <v>6.8750000000000006E-2</v>
      </c>
      <c r="BA62" s="375">
        <v>5.8749999999999997E-2</v>
      </c>
      <c r="BB62" s="375">
        <v>6.6250000000000003E-2</v>
      </c>
      <c r="BC62" s="375">
        <v>7.1249999999999994E-2</v>
      </c>
      <c r="BD62" s="375">
        <v>7.6249999999999998E-2</v>
      </c>
      <c r="BE62" s="375">
        <v>6.8750000000000006E-2</v>
      </c>
      <c r="BF62" s="375">
        <v>7.1249999999999994E-2</v>
      </c>
      <c r="BG62" s="375">
        <v>3.7499999999999999E-2</v>
      </c>
      <c r="BH62" s="375">
        <v>8.2799999999999999E-2</v>
      </c>
      <c r="BI62" s="373">
        <f t="shared" si="6"/>
        <v>6.7654999999999993E-2</v>
      </c>
      <c r="BJ62" s="378"/>
      <c r="BK62" s="375"/>
      <c r="BL62" s="375"/>
      <c r="BM62" s="375">
        <v>0.05</v>
      </c>
      <c r="BN62" s="375">
        <v>5.2499999999999998E-2</v>
      </c>
      <c r="BO62" s="375">
        <v>6.25E-2</v>
      </c>
      <c r="BP62" s="375">
        <v>3.3750000000000002E-2</v>
      </c>
      <c r="BQ62" s="377">
        <v>7.8200000000000006E-2</v>
      </c>
      <c r="BR62" s="380">
        <f t="shared" si="7"/>
        <v>5.5390000000000009E-2</v>
      </c>
      <c r="BT62" s="367">
        <v>45641</v>
      </c>
      <c r="BU62" s="375">
        <f t="shared" si="8"/>
        <v>3.0499999999999999E-2</v>
      </c>
      <c r="BV62" s="375">
        <f t="shared" si="9"/>
        <v>3.0714285714285718E-2</v>
      </c>
      <c r="BW62" s="377">
        <f t="shared" si="10"/>
        <v>3.0499999999999999E-2</v>
      </c>
    </row>
    <row r="63" spans="1:75" x14ac:dyDescent="0.15">
      <c r="A63" s="356"/>
      <c r="B63" s="355"/>
      <c r="C63" s="355"/>
      <c r="D63" s="355"/>
      <c r="E63" s="355"/>
      <c r="F63" s="355"/>
      <c r="G63" s="355"/>
      <c r="O63" s="356"/>
      <c r="P63" s="355"/>
      <c r="Q63" s="355"/>
      <c r="R63" s="355"/>
      <c r="S63" s="355"/>
      <c r="T63" s="355"/>
      <c r="U63" s="355"/>
      <c r="V63" s="355"/>
      <c r="W63" s="355"/>
      <c r="AG63" s="355"/>
      <c r="AH63" s="355"/>
      <c r="AI63" s="355"/>
      <c r="AJ63" s="355"/>
      <c r="AK63" s="355"/>
      <c r="AL63" s="355"/>
      <c r="AM63" s="355"/>
      <c r="AU63" s="379">
        <v>45672</v>
      </c>
      <c r="AV63" s="375"/>
      <c r="AW63" s="375"/>
      <c r="AX63" s="375"/>
      <c r="AY63" s="375">
        <v>7.4999999999999997E-2</v>
      </c>
      <c r="AZ63" s="375">
        <v>6.8750000000000006E-2</v>
      </c>
      <c r="BA63" s="375">
        <v>5.8749999999999997E-2</v>
      </c>
      <c r="BB63" s="375">
        <v>6.6250000000000003E-2</v>
      </c>
      <c r="BC63" s="375">
        <v>7.1249999999999994E-2</v>
      </c>
      <c r="BD63" s="375">
        <v>7.6249999999999998E-2</v>
      </c>
      <c r="BE63" s="375">
        <v>6.8750000000000006E-2</v>
      </c>
      <c r="BF63" s="375">
        <v>7.1249999999999994E-2</v>
      </c>
      <c r="BG63" s="375">
        <v>3.7499999999999999E-2</v>
      </c>
      <c r="BH63" s="375">
        <v>8.2799999999999999E-2</v>
      </c>
      <c r="BI63" s="373">
        <f t="shared" si="6"/>
        <v>6.7654999999999993E-2</v>
      </c>
      <c r="BJ63" s="378"/>
      <c r="BK63" s="375"/>
      <c r="BL63" s="375"/>
      <c r="BM63" s="375">
        <v>0.05</v>
      </c>
      <c r="BN63" s="375">
        <v>5.2499999999999998E-2</v>
      </c>
      <c r="BO63" s="375">
        <v>6.25E-2</v>
      </c>
      <c r="BP63" s="375">
        <v>3.3750000000000002E-2</v>
      </c>
      <c r="BQ63" s="377">
        <v>7.8200000000000006E-2</v>
      </c>
      <c r="BR63" s="380">
        <f t="shared" si="7"/>
        <v>5.5390000000000009E-2</v>
      </c>
      <c r="BT63" s="367">
        <v>45672</v>
      </c>
      <c r="BU63" s="375">
        <f t="shared" si="8"/>
        <v>3.0499999999999999E-2</v>
      </c>
      <c r="BV63" s="375">
        <f t="shared" si="9"/>
        <v>3.6071428571428574E-2</v>
      </c>
      <c r="BW63" s="377">
        <f t="shared" si="10"/>
        <v>3.4999999999999996E-2</v>
      </c>
    </row>
    <row r="64" spans="1:75" x14ac:dyDescent="0.15">
      <c r="A64" s="356"/>
      <c r="B64" s="355"/>
      <c r="C64" s="355"/>
      <c r="D64" s="355"/>
      <c r="E64" s="355"/>
      <c r="F64" s="355"/>
      <c r="G64" s="355"/>
      <c r="O64" s="356"/>
      <c r="P64" s="355"/>
      <c r="Q64" s="355"/>
      <c r="R64" s="355"/>
      <c r="S64" s="355"/>
      <c r="T64" s="355"/>
      <c r="U64" s="355"/>
      <c r="V64" s="355"/>
      <c r="W64" s="355"/>
      <c r="AG64" s="355"/>
      <c r="AH64" s="355"/>
      <c r="AI64" s="355"/>
      <c r="AJ64" s="355"/>
      <c r="AK64" s="355"/>
      <c r="AL64" s="355"/>
      <c r="AM64" s="355"/>
      <c r="AU64" s="379">
        <v>45703</v>
      </c>
      <c r="AV64" s="375"/>
      <c r="AW64" s="375"/>
      <c r="AX64" s="375"/>
      <c r="AY64" s="375">
        <v>7.4999999999999997E-2</v>
      </c>
      <c r="AZ64" s="375">
        <v>6.8750000000000006E-2</v>
      </c>
      <c r="BA64" s="375">
        <v>5.8749999999999997E-2</v>
      </c>
      <c r="BB64" s="375">
        <v>6.6250000000000003E-2</v>
      </c>
      <c r="BC64" s="375">
        <v>7.1249999999999994E-2</v>
      </c>
      <c r="BD64" s="375">
        <v>7.6249999999999998E-2</v>
      </c>
      <c r="BE64" s="375">
        <v>6.8750000000000006E-2</v>
      </c>
      <c r="BF64" s="375">
        <v>7.1249999999999994E-2</v>
      </c>
      <c r="BG64" s="375">
        <v>3.7499999999999999E-2</v>
      </c>
      <c r="BH64" s="375">
        <v>8.2799999999999999E-2</v>
      </c>
      <c r="BI64" s="373">
        <f t="shared" si="6"/>
        <v>6.7654999999999993E-2</v>
      </c>
      <c r="BJ64" s="378"/>
      <c r="BK64" s="375"/>
      <c r="BL64" s="375"/>
      <c r="BM64" s="375">
        <v>0.05</v>
      </c>
      <c r="BN64" s="375">
        <v>5.2499999999999998E-2</v>
      </c>
      <c r="BO64" s="375">
        <v>6.25E-2</v>
      </c>
      <c r="BP64" s="375">
        <v>3.3750000000000002E-2</v>
      </c>
      <c r="BQ64" s="377">
        <v>7.8200000000000006E-2</v>
      </c>
      <c r="BR64" s="380">
        <f t="shared" si="7"/>
        <v>5.5390000000000009E-2</v>
      </c>
      <c r="BT64" s="367">
        <v>45703</v>
      </c>
      <c r="BU64" s="375">
        <f t="shared" si="8"/>
        <v>3.0499999999999999E-2</v>
      </c>
      <c r="BV64" s="375">
        <f t="shared" si="9"/>
        <v>3.6071428571428574E-2</v>
      </c>
      <c r="BW64" s="377">
        <f t="shared" si="10"/>
        <v>3.4999999999999996E-2</v>
      </c>
    </row>
    <row r="65" spans="1:75" x14ac:dyDescent="0.15">
      <c r="A65" s="356"/>
      <c r="B65" s="355"/>
      <c r="C65" s="355"/>
      <c r="D65" s="355"/>
      <c r="E65" s="355"/>
      <c r="F65" s="355"/>
      <c r="G65" s="355"/>
      <c r="O65" s="356"/>
      <c r="P65" s="355"/>
      <c r="Q65" s="355"/>
      <c r="R65" s="355"/>
      <c r="S65" s="355"/>
      <c r="T65" s="355"/>
      <c r="U65" s="355"/>
      <c r="V65" s="355"/>
      <c r="W65" s="355"/>
      <c r="AG65" s="355"/>
      <c r="AH65" s="355"/>
      <c r="AI65" s="355"/>
      <c r="AJ65" s="355"/>
      <c r="AK65" s="355"/>
      <c r="AL65" s="355"/>
      <c r="AM65" s="355"/>
      <c r="AU65" s="379">
        <v>45731</v>
      </c>
      <c r="AV65" s="375"/>
      <c r="AW65" s="375"/>
      <c r="AX65" s="375"/>
      <c r="AY65" s="375">
        <v>7.4999999999999997E-2</v>
      </c>
      <c r="AZ65" s="375">
        <v>6.8750000000000006E-2</v>
      </c>
      <c r="BA65" s="375">
        <v>5.8749999999999997E-2</v>
      </c>
      <c r="BB65" s="375">
        <v>6.6250000000000003E-2</v>
      </c>
      <c r="BC65" s="375">
        <v>7.1249999999999994E-2</v>
      </c>
      <c r="BD65" s="375">
        <v>7.6249999999999998E-2</v>
      </c>
      <c r="BE65" s="375">
        <v>6.8750000000000006E-2</v>
      </c>
      <c r="BF65" s="375">
        <v>7.1249999999999994E-2</v>
      </c>
      <c r="BG65" s="375">
        <v>3.7499999999999999E-2</v>
      </c>
      <c r="BH65" s="375">
        <v>8.2799999999999999E-2</v>
      </c>
      <c r="BI65" s="373">
        <f t="shared" si="6"/>
        <v>6.7654999999999993E-2</v>
      </c>
      <c r="BJ65" s="378"/>
      <c r="BK65" s="375"/>
      <c r="BL65" s="375"/>
      <c r="BM65" s="375">
        <v>0.05</v>
      </c>
      <c r="BN65" s="375">
        <v>5.2499999999999998E-2</v>
      </c>
      <c r="BO65" s="375">
        <v>6.25E-2</v>
      </c>
      <c r="BP65" s="375">
        <v>3.3750000000000002E-2</v>
      </c>
      <c r="BQ65" s="377">
        <v>7.8200000000000006E-2</v>
      </c>
      <c r="BR65" s="380">
        <f t="shared" si="7"/>
        <v>5.5390000000000009E-2</v>
      </c>
      <c r="BT65" s="367">
        <v>45731</v>
      </c>
      <c r="BU65" s="375">
        <f t="shared" si="8"/>
        <v>3.0499999999999999E-2</v>
      </c>
      <c r="BV65" s="375">
        <f t="shared" si="9"/>
        <v>3.6071428571428574E-2</v>
      </c>
      <c r="BW65" s="377">
        <f t="shared" si="10"/>
        <v>3.4999999999999996E-2</v>
      </c>
    </row>
    <row r="66" spans="1:75" x14ac:dyDescent="0.15">
      <c r="A66" s="356"/>
      <c r="B66" s="355"/>
      <c r="C66" s="355"/>
      <c r="D66" s="355"/>
      <c r="E66" s="355"/>
      <c r="F66" s="355"/>
      <c r="G66" s="355"/>
      <c r="O66" s="356"/>
      <c r="P66" s="355"/>
      <c r="Q66" s="355"/>
      <c r="R66" s="355"/>
      <c r="S66" s="355"/>
      <c r="T66" s="355"/>
      <c r="U66" s="355"/>
      <c r="V66" s="355"/>
      <c r="W66" s="355"/>
      <c r="AG66" s="355"/>
      <c r="AH66" s="355"/>
      <c r="AI66" s="355"/>
      <c r="AJ66" s="355"/>
      <c r="AK66" s="355"/>
      <c r="AL66" s="355"/>
      <c r="AM66" s="355"/>
      <c r="AU66" s="379">
        <v>45762</v>
      </c>
      <c r="AV66" s="375"/>
      <c r="AW66" s="375"/>
      <c r="AX66" s="375"/>
      <c r="AY66" s="375">
        <v>7.4999999999999997E-2</v>
      </c>
      <c r="AZ66" s="375">
        <v>6.8750000000000006E-2</v>
      </c>
      <c r="BA66" s="375">
        <v>5.8749999999999997E-2</v>
      </c>
      <c r="BB66" s="375">
        <v>6.6250000000000003E-2</v>
      </c>
      <c r="BC66" s="375">
        <v>7.1249999999999994E-2</v>
      </c>
      <c r="BD66" s="375">
        <v>7.6249999999999998E-2</v>
      </c>
      <c r="BE66" s="375">
        <v>6.8750000000000006E-2</v>
      </c>
      <c r="BF66" s="375">
        <v>7.1249999999999994E-2</v>
      </c>
      <c r="BG66" s="375">
        <v>3.7499999999999999E-2</v>
      </c>
      <c r="BH66" s="375">
        <v>8.2799999999999999E-2</v>
      </c>
      <c r="BI66" s="373">
        <f t="shared" si="6"/>
        <v>6.7654999999999993E-2</v>
      </c>
      <c r="BJ66" s="378"/>
      <c r="BK66" s="375"/>
      <c r="BL66" s="375"/>
      <c r="BM66" s="375">
        <v>0.05</v>
      </c>
      <c r="BN66" s="375">
        <v>5.2499999999999998E-2</v>
      </c>
      <c r="BO66" s="375">
        <v>6.25E-2</v>
      </c>
      <c r="BP66" s="375">
        <v>3.3750000000000002E-2</v>
      </c>
      <c r="BQ66" s="377">
        <v>7.8200000000000006E-2</v>
      </c>
      <c r="BR66" s="380">
        <f t="shared" si="7"/>
        <v>5.5390000000000009E-2</v>
      </c>
      <c r="BT66" s="367">
        <v>45762</v>
      </c>
      <c r="BU66" s="375">
        <f t="shared" si="8"/>
        <v>3.0499999999999999E-2</v>
      </c>
      <c r="BV66" s="375">
        <f t="shared" si="9"/>
        <v>3.6071428571428574E-2</v>
      </c>
      <c r="BW66" s="377">
        <f t="shared" si="10"/>
        <v>3.4999999999999996E-2</v>
      </c>
    </row>
    <row r="67" spans="1:75" x14ac:dyDescent="0.15">
      <c r="A67" s="356"/>
      <c r="B67" s="355"/>
      <c r="C67" s="355"/>
      <c r="D67" s="355"/>
      <c r="E67" s="355"/>
      <c r="F67" s="355"/>
      <c r="G67" s="355"/>
      <c r="O67" s="356"/>
      <c r="P67" s="355"/>
      <c r="Q67" s="355"/>
      <c r="R67" s="355"/>
      <c r="S67" s="355"/>
      <c r="T67" s="355"/>
      <c r="U67" s="355"/>
      <c r="V67" s="355"/>
      <c r="W67" s="355"/>
      <c r="AG67" s="355"/>
      <c r="AH67" s="355"/>
      <c r="AI67" s="355"/>
      <c r="AJ67" s="355"/>
      <c r="AK67" s="355"/>
      <c r="AL67" s="355"/>
      <c r="AM67" s="355"/>
      <c r="AU67" s="379">
        <v>45792</v>
      </c>
      <c r="AV67" s="375"/>
      <c r="AW67" s="375"/>
      <c r="AX67" s="375"/>
      <c r="AY67" s="375">
        <v>7.4999999999999997E-2</v>
      </c>
      <c r="AZ67" s="375">
        <v>6.8750000000000006E-2</v>
      </c>
      <c r="BA67" s="375">
        <v>5.8749999999999997E-2</v>
      </c>
      <c r="BB67" s="375">
        <v>6.6250000000000003E-2</v>
      </c>
      <c r="BC67" s="375">
        <v>7.1249999999999994E-2</v>
      </c>
      <c r="BD67" s="375">
        <v>7.6249999999999998E-2</v>
      </c>
      <c r="BE67" s="375">
        <v>6.8750000000000006E-2</v>
      </c>
      <c r="BF67" s="375">
        <v>7.1249999999999994E-2</v>
      </c>
      <c r="BG67" s="375">
        <v>3.7499999999999999E-2</v>
      </c>
      <c r="BH67" s="375">
        <v>8.2799999999999999E-2</v>
      </c>
      <c r="BI67" s="373">
        <f t="shared" si="6"/>
        <v>6.7654999999999993E-2</v>
      </c>
      <c r="BJ67" s="378"/>
      <c r="BK67" s="375"/>
      <c r="BL67" s="375"/>
      <c r="BM67" s="375">
        <v>0.05</v>
      </c>
      <c r="BN67" s="375">
        <v>5.2499999999999998E-2</v>
      </c>
      <c r="BO67" s="375">
        <v>6.25E-2</v>
      </c>
      <c r="BP67" s="375">
        <v>3.3750000000000002E-2</v>
      </c>
      <c r="BQ67" s="377">
        <v>7.8200000000000006E-2</v>
      </c>
      <c r="BR67" s="380">
        <f t="shared" si="7"/>
        <v>5.5390000000000009E-2</v>
      </c>
      <c r="BT67" s="367">
        <v>45792</v>
      </c>
      <c r="BU67" s="375">
        <f t="shared" si="8"/>
        <v>3.4999999999999996E-2</v>
      </c>
      <c r="BV67" s="375">
        <f t="shared" si="9"/>
        <v>3.6071428571428574E-2</v>
      </c>
      <c r="BW67" s="377">
        <f t="shared" si="10"/>
        <v>3.4999999999999996E-2</v>
      </c>
    </row>
    <row r="68" spans="1:75" x14ac:dyDescent="0.15">
      <c r="A68" s="356"/>
      <c r="B68" s="355"/>
      <c r="C68" s="355"/>
      <c r="D68" s="355"/>
      <c r="E68" s="355"/>
      <c r="F68" s="355"/>
      <c r="G68" s="355"/>
      <c r="O68" s="356"/>
      <c r="P68" s="355"/>
      <c r="Q68" s="355"/>
      <c r="R68" s="355"/>
      <c r="S68" s="355"/>
      <c r="T68" s="355"/>
      <c r="U68" s="355"/>
      <c r="V68" s="355"/>
      <c r="W68" s="355"/>
      <c r="AG68" s="355"/>
      <c r="AH68" s="355"/>
      <c r="AI68" s="355"/>
      <c r="AJ68" s="355"/>
      <c r="AK68" s="355"/>
      <c r="AL68" s="355"/>
      <c r="AM68" s="355"/>
      <c r="AU68" s="379">
        <v>45823</v>
      </c>
      <c r="AV68" s="375"/>
      <c r="AW68" s="375"/>
      <c r="AX68" s="375"/>
      <c r="AY68" s="375">
        <v>7.4999999999999997E-2</v>
      </c>
      <c r="AZ68" s="375">
        <v>6.8750000000000006E-2</v>
      </c>
      <c r="BA68" s="375">
        <v>5.8749999999999997E-2</v>
      </c>
      <c r="BB68" s="375">
        <v>6.6250000000000003E-2</v>
      </c>
      <c r="BC68" s="375">
        <v>7.1249999999999994E-2</v>
      </c>
      <c r="BD68" s="375">
        <v>7.6249999999999998E-2</v>
      </c>
      <c r="BE68" s="375">
        <v>6.8750000000000006E-2</v>
      </c>
      <c r="BF68" s="375">
        <v>7.1249999999999994E-2</v>
      </c>
      <c r="BG68" s="375">
        <v>3.7499999999999999E-2</v>
      </c>
      <c r="BH68" s="375">
        <v>8.2799999999999999E-2</v>
      </c>
      <c r="BI68" s="373">
        <f t="shared" si="6"/>
        <v>6.7654999999999993E-2</v>
      </c>
      <c r="BJ68" s="378"/>
      <c r="BK68" s="375"/>
      <c r="BL68" s="375"/>
      <c r="BM68" s="375">
        <v>0.05</v>
      </c>
      <c r="BN68" s="375">
        <v>5.2499999999999998E-2</v>
      </c>
      <c r="BO68" s="375">
        <v>6.25E-2</v>
      </c>
      <c r="BP68" s="375">
        <v>3.3750000000000002E-2</v>
      </c>
      <c r="BQ68" s="377">
        <v>7.8200000000000006E-2</v>
      </c>
      <c r="BR68" s="380">
        <f t="shared" si="7"/>
        <v>5.5390000000000009E-2</v>
      </c>
      <c r="BT68" s="367">
        <v>45823</v>
      </c>
      <c r="BU68" s="375">
        <f t="shared" si="8"/>
        <v>3.4999999999999996E-2</v>
      </c>
      <c r="BV68" s="375">
        <f t="shared" si="9"/>
        <v>3.6071428571428574E-2</v>
      </c>
      <c r="BW68" s="377">
        <f t="shared" si="10"/>
        <v>3.4999999999999996E-2</v>
      </c>
    </row>
    <row r="69" spans="1:75" x14ac:dyDescent="0.15">
      <c r="A69" s="356"/>
      <c r="B69" s="355"/>
      <c r="C69" s="355"/>
      <c r="D69" s="355"/>
      <c r="E69" s="355"/>
      <c r="F69" s="355"/>
      <c r="G69" s="355"/>
      <c r="O69" s="356"/>
      <c r="P69" s="355"/>
      <c r="Q69" s="355"/>
      <c r="R69" s="355"/>
      <c r="S69" s="355"/>
      <c r="T69" s="355"/>
      <c r="U69" s="355"/>
      <c r="V69" s="355"/>
      <c r="W69" s="355"/>
      <c r="AG69" s="355"/>
      <c r="AH69" s="355"/>
      <c r="AI69" s="355"/>
      <c r="AJ69" s="355"/>
      <c r="AK69" s="355"/>
      <c r="AL69" s="355"/>
      <c r="AM69" s="355"/>
      <c r="AU69" s="379">
        <v>45853</v>
      </c>
      <c r="AV69" s="375"/>
      <c r="AW69" s="375"/>
      <c r="AX69" s="375"/>
      <c r="AY69" s="375">
        <v>7.4999999999999997E-2</v>
      </c>
      <c r="AZ69" s="375">
        <v>6.8750000000000006E-2</v>
      </c>
      <c r="BA69" s="375">
        <v>5.8749999999999997E-2</v>
      </c>
      <c r="BB69" s="375">
        <v>6.6250000000000003E-2</v>
      </c>
      <c r="BC69" s="375">
        <v>7.1249999999999994E-2</v>
      </c>
      <c r="BD69" s="375">
        <v>7.6249999999999998E-2</v>
      </c>
      <c r="BE69" s="375">
        <v>6.8750000000000006E-2</v>
      </c>
      <c r="BF69" s="375">
        <v>7.1249999999999994E-2</v>
      </c>
      <c r="BG69" s="375">
        <v>3.7499999999999999E-2</v>
      </c>
      <c r="BH69" s="375">
        <v>8.2799999999999999E-2</v>
      </c>
      <c r="BI69" s="373">
        <f t="shared" si="6"/>
        <v>6.7654999999999993E-2</v>
      </c>
      <c r="BJ69" s="378"/>
      <c r="BK69" s="375"/>
      <c r="BL69" s="375"/>
      <c r="BM69" s="375">
        <v>0.05</v>
      </c>
      <c r="BN69" s="375">
        <v>5.2499999999999998E-2</v>
      </c>
      <c r="BO69" s="375">
        <v>6.25E-2</v>
      </c>
      <c r="BP69" s="375">
        <v>3.3750000000000002E-2</v>
      </c>
      <c r="BQ69" s="377">
        <v>7.8200000000000006E-2</v>
      </c>
      <c r="BR69" s="380">
        <f t="shared" si="7"/>
        <v>5.5390000000000009E-2</v>
      </c>
      <c r="BT69" s="367">
        <v>45853</v>
      </c>
      <c r="BU69" s="375">
        <f t="shared" si="8"/>
        <v>3.4999999999999996E-2</v>
      </c>
      <c r="BV69" s="375">
        <f t="shared" si="9"/>
        <v>3.6071428571428574E-2</v>
      </c>
      <c r="BW69" s="377">
        <f t="shared" si="10"/>
        <v>3.4999999999999996E-2</v>
      </c>
    </row>
    <row r="70" spans="1:75" x14ac:dyDescent="0.15">
      <c r="A70" s="356"/>
      <c r="B70" s="355"/>
      <c r="C70" s="355"/>
      <c r="D70" s="355"/>
      <c r="E70" s="355"/>
      <c r="F70" s="355"/>
      <c r="G70" s="355"/>
      <c r="O70" s="356"/>
      <c r="P70" s="355"/>
      <c r="Q70" s="355"/>
      <c r="R70" s="355"/>
      <c r="S70" s="355"/>
      <c r="T70" s="355"/>
      <c r="U70" s="355"/>
      <c r="V70" s="355"/>
      <c r="W70" s="355"/>
      <c r="AG70" s="355"/>
      <c r="AH70" s="355"/>
      <c r="AI70" s="355"/>
      <c r="AJ70" s="355"/>
      <c r="AK70" s="355"/>
      <c r="AL70" s="355"/>
      <c r="AM70" s="355"/>
      <c r="AU70" s="379">
        <v>45884</v>
      </c>
      <c r="AV70" s="375"/>
      <c r="AW70" s="375"/>
      <c r="AX70" s="375"/>
      <c r="AY70" s="375">
        <v>7.4999999999999997E-2</v>
      </c>
      <c r="AZ70" s="375">
        <v>6.8750000000000006E-2</v>
      </c>
      <c r="BA70" s="375">
        <v>5.8749999999999997E-2</v>
      </c>
      <c r="BB70" s="375">
        <v>6.6250000000000003E-2</v>
      </c>
      <c r="BC70" s="375">
        <v>7.1249999999999994E-2</v>
      </c>
      <c r="BD70" s="375">
        <v>7.6249999999999998E-2</v>
      </c>
      <c r="BE70" s="375">
        <v>6.8750000000000006E-2</v>
      </c>
      <c r="BF70" s="375">
        <v>7.1249999999999994E-2</v>
      </c>
      <c r="BG70" s="375">
        <v>3.7499999999999999E-2</v>
      </c>
      <c r="BH70" s="375">
        <v>8.2799999999999999E-2</v>
      </c>
      <c r="BI70" s="373">
        <f t="shared" si="6"/>
        <v>6.7654999999999993E-2</v>
      </c>
      <c r="BJ70" s="378"/>
      <c r="BK70" s="375"/>
      <c r="BL70" s="375"/>
      <c r="BM70" s="375">
        <v>0.05</v>
      </c>
      <c r="BN70" s="375">
        <v>5.2499999999999998E-2</v>
      </c>
      <c r="BO70" s="375">
        <v>6.25E-2</v>
      </c>
      <c r="BP70" s="375">
        <v>3.3750000000000002E-2</v>
      </c>
      <c r="BQ70" s="377">
        <v>7.8200000000000006E-2</v>
      </c>
      <c r="BR70" s="380">
        <f t="shared" si="7"/>
        <v>5.5390000000000009E-2</v>
      </c>
      <c r="BT70" s="367">
        <v>45884</v>
      </c>
      <c r="BU70" s="375">
        <f t="shared" si="8"/>
        <v>3.4999999999999996E-2</v>
      </c>
      <c r="BV70" s="375">
        <f t="shared" si="9"/>
        <v>3.6071428571428574E-2</v>
      </c>
      <c r="BW70" s="377">
        <f t="shared" si="10"/>
        <v>3.4999999999999996E-2</v>
      </c>
    </row>
    <row r="71" spans="1:75" x14ac:dyDescent="0.15">
      <c r="A71" s="356"/>
      <c r="B71" s="355"/>
      <c r="C71" s="355"/>
      <c r="D71" s="355"/>
      <c r="E71" s="355"/>
      <c r="F71" s="355"/>
      <c r="G71" s="355"/>
      <c r="O71" s="356"/>
      <c r="P71" s="355"/>
      <c r="Q71" s="355"/>
      <c r="R71" s="355"/>
      <c r="S71" s="355"/>
      <c r="T71" s="355"/>
      <c r="U71" s="355"/>
      <c r="V71" s="355"/>
      <c r="W71" s="355"/>
      <c r="AG71" s="355"/>
      <c r="AH71" s="355"/>
      <c r="AI71" s="355"/>
      <c r="AJ71" s="355"/>
      <c r="AK71" s="355"/>
      <c r="AL71" s="355"/>
      <c r="AM71" s="355"/>
      <c r="AU71" s="379">
        <v>45915</v>
      </c>
      <c r="AV71" s="375"/>
      <c r="AW71" s="375"/>
      <c r="AX71" s="375"/>
      <c r="AY71" s="375">
        <v>7.4999999999999997E-2</v>
      </c>
      <c r="AZ71" s="375">
        <v>6.8750000000000006E-2</v>
      </c>
      <c r="BA71" s="375">
        <v>5.8749999999999997E-2</v>
      </c>
      <c r="BB71" s="375">
        <v>6.6250000000000003E-2</v>
      </c>
      <c r="BC71" s="375">
        <v>7.1249999999999994E-2</v>
      </c>
      <c r="BD71" s="375">
        <v>7.6249999999999998E-2</v>
      </c>
      <c r="BE71" s="375">
        <v>6.8750000000000006E-2</v>
      </c>
      <c r="BF71" s="375">
        <v>7.1249999999999994E-2</v>
      </c>
      <c r="BG71" s="375">
        <v>3.7499999999999999E-2</v>
      </c>
      <c r="BH71" s="375">
        <v>8.2799999999999999E-2</v>
      </c>
      <c r="BI71" s="373">
        <f t="shared" ref="BI71:BI134" si="11">+AVERAGE(AV71:BH71)</f>
        <v>6.7654999999999993E-2</v>
      </c>
      <c r="BJ71" s="378"/>
      <c r="BK71" s="375"/>
      <c r="BL71" s="375"/>
      <c r="BM71" s="375">
        <v>0.05</v>
      </c>
      <c r="BN71" s="375">
        <v>5.2499999999999998E-2</v>
      </c>
      <c r="BO71" s="375">
        <v>6.25E-2</v>
      </c>
      <c r="BP71" s="375">
        <v>3.3750000000000002E-2</v>
      </c>
      <c r="BQ71" s="377">
        <v>7.8200000000000006E-2</v>
      </c>
      <c r="BR71" s="380">
        <f t="shared" ref="BR71:BR134" si="12">+AVERAGE(BJ71:BQ71)</f>
        <v>5.5390000000000009E-2</v>
      </c>
      <c r="BT71" s="367">
        <v>45915</v>
      </c>
      <c r="BU71" s="375">
        <f t="shared" si="8"/>
        <v>3.4999999999999996E-2</v>
      </c>
      <c r="BV71" s="375">
        <f t="shared" si="9"/>
        <v>3.6071428571428574E-2</v>
      </c>
      <c r="BW71" s="377">
        <f t="shared" si="10"/>
        <v>3.4999999999999996E-2</v>
      </c>
    </row>
    <row r="72" spans="1:75" x14ac:dyDescent="0.15">
      <c r="A72" s="356"/>
      <c r="B72" s="355"/>
      <c r="C72" s="355"/>
      <c r="D72" s="355"/>
      <c r="E72" s="355"/>
      <c r="F72" s="355"/>
      <c r="G72" s="355"/>
      <c r="O72" s="356"/>
      <c r="P72" s="355"/>
      <c r="Q72" s="355"/>
      <c r="R72" s="355"/>
      <c r="S72" s="355"/>
      <c r="T72" s="355"/>
      <c r="U72" s="355"/>
      <c r="V72" s="355"/>
      <c r="W72" s="355"/>
      <c r="AG72" s="355"/>
      <c r="AH72" s="355"/>
      <c r="AI72" s="355"/>
      <c r="AJ72" s="355"/>
      <c r="AK72" s="355"/>
      <c r="AL72" s="355"/>
      <c r="AM72" s="355"/>
      <c r="AU72" s="379">
        <v>45945</v>
      </c>
      <c r="AV72" s="375"/>
      <c r="AW72" s="375"/>
      <c r="AX72" s="375"/>
      <c r="AY72" s="375">
        <v>7.4999999999999997E-2</v>
      </c>
      <c r="AZ72" s="375">
        <v>6.8750000000000006E-2</v>
      </c>
      <c r="BA72" s="375">
        <v>5.8749999999999997E-2</v>
      </c>
      <c r="BB72" s="375">
        <v>6.6250000000000003E-2</v>
      </c>
      <c r="BC72" s="375">
        <v>7.1249999999999994E-2</v>
      </c>
      <c r="BD72" s="375">
        <v>7.6249999999999998E-2</v>
      </c>
      <c r="BE72" s="375">
        <v>6.8750000000000006E-2</v>
      </c>
      <c r="BF72" s="375">
        <v>7.1249999999999994E-2</v>
      </c>
      <c r="BG72" s="375">
        <v>3.7499999999999999E-2</v>
      </c>
      <c r="BH72" s="375">
        <v>8.2799999999999999E-2</v>
      </c>
      <c r="BI72" s="373">
        <f t="shared" si="11"/>
        <v>6.7654999999999993E-2</v>
      </c>
      <c r="BJ72" s="378"/>
      <c r="BK72" s="375"/>
      <c r="BL72" s="375"/>
      <c r="BM72" s="375">
        <v>0.05</v>
      </c>
      <c r="BN72" s="375">
        <v>5.2499999999999998E-2</v>
      </c>
      <c r="BO72" s="375">
        <v>6.25E-2</v>
      </c>
      <c r="BP72" s="375">
        <v>3.3750000000000002E-2</v>
      </c>
      <c r="BQ72" s="377">
        <v>7.8200000000000006E-2</v>
      </c>
      <c r="BR72" s="380">
        <f t="shared" si="12"/>
        <v>5.5390000000000009E-2</v>
      </c>
      <c r="BT72" s="367">
        <v>45945</v>
      </c>
      <c r="BU72" s="375">
        <f t="shared" ref="BU72:BU135" si="13">+IFERROR(VLOOKUP($BT72,$A$8:$G$62,7,FALSE),BU71)</f>
        <v>3.4999999999999996E-2</v>
      </c>
      <c r="BV72" s="375">
        <f t="shared" ref="BV72:BV135" si="14">+IFERROR(VLOOKUP($BT72,$O$7:$W$62,9,FALSE),BV71)</f>
        <v>3.6071428571428574E-2</v>
      </c>
      <c r="BW72" s="377">
        <f t="shared" ref="BW72:BW135" si="15">+IFERROR(VLOOKUP($BT72,$AG$7:$AM$62,7,FALSE),BW71)</f>
        <v>3.4999999999999996E-2</v>
      </c>
    </row>
    <row r="73" spans="1:75" x14ac:dyDescent="0.15">
      <c r="A73" s="356"/>
      <c r="B73" s="355"/>
      <c r="C73" s="355"/>
      <c r="D73" s="355"/>
      <c r="E73" s="355"/>
      <c r="F73" s="355"/>
      <c r="G73" s="355"/>
      <c r="O73" s="356"/>
      <c r="P73" s="355"/>
      <c r="Q73" s="355"/>
      <c r="R73" s="355"/>
      <c r="S73" s="355"/>
      <c r="T73" s="355"/>
      <c r="U73" s="355"/>
      <c r="V73" s="355"/>
      <c r="W73" s="355"/>
      <c r="AG73" s="355"/>
      <c r="AH73" s="355"/>
      <c r="AI73" s="355"/>
      <c r="AJ73" s="355"/>
      <c r="AK73" s="355"/>
      <c r="AL73" s="355"/>
      <c r="AM73" s="355"/>
      <c r="AU73" s="379">
        <v>45976</v>
      </c>
      <c r="AV73" s="375"/>
      <c r="AW73" s="375"/>
      <c r="AX73" s="375"/>
      <c r="AY73" s="375">
        <v>7.4999999999999997E-2</v>
      </c>
      <c r="AZ73" s="375">
        <v>6.8750000000000006E-2</v>
      </c>
      <c r="BA73" s="375">
        <v>5.8749999999999997E-2</v>
      </c>
      <c r="BB73" s="375">
        <v>6.6250000000000003E-2</v>
      </c>
      <c r="BC73" s="375">
        <v>7.1249999999999994E-2</v>
      </c>
      <c r="BD73" s="375">
        <v>7.6249999999999998E-2</v>
      </c>
      <c r="BE73" s="375">
        <v>6.8750000000000006E-2</v>
      </c>
      <c r="BF73" s="375">
        <v>7.1249999999999994E-2</v>
      </c>
      <c r="BG73" s="375">
        <v>3.7499999999999999E-2</v>
      </c>
      <c r="BH73" s="375">
        <v>8.2799999999999999E-2</v>
      </c>
      <c r="BI73" s="373">
        <f t="shared" si="11"/>
        <v>6.7654999999999993E-2</v>
      </c>
      <c r="BJ73" s="378"/>
      <c r="BK73" s="375"/>
      <c r="BL73" s="375"/>
      <c r="BM73" s="375">
        <v>0.05</v>
      </c>
      <c r="BN73" s="375">
        <v>5.2499999999999998E-2</v>
      </c>
      <c r="BO73" s="375">
        <v>6.25E-2</v>
      </c>
      <c r="BP73" s="375">
        <v>3.3750000000000002E-2</v>
      </c>
      <c r="BQ73" s="377">
        <v>7.8200000000000006E-2</v>
      </c>
      <c r="BR73" s="380">
        <f t="shared" si="12"/>
        <v>5.5390000000000009E-2</v>
      </c>
      <c r="BT73" s="367">
        <v>45976</v>
      </c>
      <c r="BU73" s="375">
        <f t="shared" si="13"/>
        <v>3.4999999999999996E-2</v>
      </c>
      <c r="BV73" s="375">
        <f t="shared" si="14"/>
        <v>3.6071428571428574E-2</v>
      </c>
      <c r="BW73" s="377">
        <f t="shared" si="15"/>
        <v>3.4999999999999996E-2</v>
      </c>
    </row>
    <row r="74" spans="1:75" x14ac:dyDescent="0.15">
      <c r="A74" s="356"/>
      <c r="B74" s="355"/>
      <c r="C74" s="355"/>
      <c r="D74" s="355"/>
      <c r="E74" s="355"/>
      <c r="F74" s="355"/>
      <c r="G74" s="355"/>
      <c r="O74" s="356"/>
      <c r="P74" s="355"/>
      <c r="Q74" s="355"/>
      <c r="R74" s="355"/>
      <c r="S74" s="355"/>
      <c r="T74" s="355"/>
      <c r="U74" s="355"/>
      <c r="V74" s="355"/>
      <c r="W74" s="355"/>
      <c r="AG74" s="355"/>
      <c r="AH74" s="355"/>
      <c r="AI74" s="355"/>
      <c r="AJ74" s="355"/>
      <c r="AK74" s="355"/>
      <c r="AL74" s="355"/>
      <c r="AM74" s="355"/>
      <c r="AU74" s="379">
        <v>46006</v>
      </c>
      <c r="AV74" s="375"/>
      <c r="AW74" s="375"/>
      <c r="AX74" s="375"/>
      <c r="AY74" s="375">
        <v>7.4999999999999997E-2</v>
      </c>
      <c r="AZ74" s="375">
        <v>6.8750000000000006E-2</v>
      </c>
      <c r="BA74" s="375">
        <v>5.8749999999999997E-2</v>
      </c>
      <c r="BB74" s="375">
        <v>6.6250000000000003E-2</v>
      </c>
      <c r="BC74" s="375">
        <v>7.1249999999999994E-2</v>
      </c>
      <c r="BD74" s="375">
        <v>7.6249999999999998E-2</v>
      </c>
      <c r="BE74" s="375">
        <v>6.8750000000000006E-2</v>
      </c>
      <c r="BF74" s="375">
        <v>7.1249999999999994E-2</v>
      </c>
      <c r="BG74" s="375">
        <v>3.7499999999999999E-2</v>
      </c>
      <c r="BH74" s="375">
        <v>8.2799999999999999E-2</v>
      </c>
      <c r="BI74" s="373">
        <f t="shared" si="11"/>
        <v>6.7654999999999993E-2</v>
      </c>
      <c r="BJ74" s="378"/>
      <c r="BK74" s="375"/>
      <c r="BL74" s="375"/>
      <c r="BM74" s="375">
        <v>0.05</v>
      </c>
      <c r="BN74" s="375">
        <v>5.2499999999999998E-2</v>
      </c>
      <c r="BO74" s="375">
        <v>6.25E-2</v>
      </c>
      <c r="BP74" s="375">
        <v>3.3750000000000002E-2</v>
      </c>
      <c r="BQ74" s="377">
        <v>7.8200000000000006E-2</v>
      </c>
      <c r="BR74" s="380">
        <f t="shared" si="12"/>
        <v>5.5390000000000009E-2</v>
      </c>
      <c r="BT74" s="367">
        <v>46006</v>
      </c>
      <c r="BU74" s="375">
        <f t="shared" si="13"/>
        <v>3.4999999999999996E-2</v>
      </c>
      <c r="BV74" s="375">
        <f t="shared" si="14"/>
        <v>3.6071428571428574E-2</v>
      </c>
      <c r="BW74" s="377">
        <f t="shared" si="15"/>
        <v>3.4999999999999996E-2</v>
      </c>
    </row>
    <row r="75" spans="1:75" x14ac:dyDescent="0.15">
      <c r="A75" s="356"/>
      <c r="B75" s="355"/>
      <c r="C75" s="355"/>
      <c r="D75" s="355"/>
      <c r="E75" s="355"/>
      <c r="F75" s="355"/>
      <c r="G75" s="355"/>
      <c r="O75" s="356"/>
      <c r="P75" s="355"/>
      <c r="Q75" s="355"/>
      <c r="R75" s="355"/>
      <c r="S75" s="355"/>
      <c r="T75" s="355"/>
      <c r="U75" s="355"/>
      <c r="V75" s="355"/>
      <c r="W75" s="355"/>
      <c r="AG75" s="355"/>
      <c r="AH75" s="355"/>
      <c r="AI75" s="355"/>
      <c r="AJ75" s="355"/>
      <c r="AK75" s="355"/>
      <c r="AL75" s="355"/>
      <c r="AM75" s="355"/>
      <c r="AU75" s="379">
        <v>46037</v>
      </c>
      <c r="AV75" s="375"/>
      <c r="AW75" s="375"/>
      <c r="AX75" s="375"/>
      <c r="AY75" s="375">
        <v>7.4999999999999997E-2</v>
      </c>
      <c r="AZ75" s="375">
        <v>6.8750000000000006E-2</v>
      </c>
      <c r="BA75" s="375">
        <v>5.8749999999999997E-2</v>
      </c>
      <c r="BB75" s="375">
        <v>6.6250000000000003E-2</v>
      </c>
      <c r="BC75" s="375">
        <v>7.1249999999999994E-2</v>
      </c>
      <c r="BD75" s="375">
        <v>7.6249999999999998E-2</v>
      </c>
      <c r="BE75" s="375">
        <v>6.8750000000000006E-2</v>
      </c>
      <c r="BF75" s="375">
        <v>7.1249999999999994E-2</v>
      </c>
      <c r="BG75" s="375">
        <v>3.7499999999999999E-2</v>
      </c>
      <c r="BH75" s="375">
        <v>8.2799999999999999E-2</v>
      </c>
      <c r="BI75" s="373">
        <f t="shared" si="11"/>
        <v>6.7654999999999993E-2</v>
      </c>
      <c r="BJ75" s="378"/>
      <c r="BK75" s="375"/>
      <c r="BL75" s="375"/>
      <c r="BM75" s="375">
        <v>0.05</v>
      </c>
      <c r="BN75" s="375">
        <v>5.2499999999999998E-2</v>
      </c>
      <c r="BO75" s="375">
        <v>6.25E-2</v>
      </c>
      <c r="BP75" s="375">
        <v>3.3750000000000002E-2</v>
      </c>
      <c r="BQ75" s="377">
        <v>7.8200000000000006E-2</v>
      </c>
      <c r="BR75" s="380">
        <f t="shared" si="12"/>
        <v>5.5390000000000009E-2</v>
      </c>
      <c r="BT75" s="367">
        <v>46037</v>
      </c>
      <c r="BU75" s="375">
        <f t="shared" si="13"/>
        <v>3.4999999999999996E-2</v>
      </c>
      <c r="BV75" s="375">
        <f t="shared" si="14"/>
        <v>4.1214285714285717E-2</v>
      </c>
      <c r="BW75" s="377">
        <f t="shared" si="15"/>
        <v>3.4999999999999996E-2</v>
      </c>
    </row>
    <row r="76" spans="1:75" x14ac:dyDescent="0.15">
      <c r="A76" s="356"/>
      <c r="B76" s="355"/>
      <c r="C76" s="355"/>
      <c r="D76" s="355"/>
      <c r="E76" s="355"/>
      <c r="F76" s="355"/>
      <c r="G76" s="355"/>
      <c r="O76" s="356"/>
      <c r="P76" s="355"/>
      <c r="Q76" s="355"/>
      <c r="R76" s="355"/>
      <c r="S76" s="355"/>
      <c r="T76" s="355"/>
      <c r="U76" s="355"/>
      <c r="V76" s="355"/>
      <c r="W76" s="355"/>
      <c r="AG76" s="355"/>
      <c r="AH76" s="355"/>
      <c r="AI76" s="355"/>
      <c r="AJ76" s="355"/>
      <c r="AK76" s="355"/>
      <c r="AL76" s="355"/>
      <c r="AM76" s="355"/>
      <c r="AU76" s="379">
        <v>46068</v>
      </c>
      <c r="AV76" s="375"/>
      <c r="AW76" s="375"/>
      <c r="AX76" s="375"/>
      <c r="AY76" s="375">
        <v>7.4999999999999997E-2</v>
      </c>
      <c r="AZ76" s="375">
        <v>6.8750000000000006E-2</v>
      </c>
      <c r="BA76" s="375">
        <v>5.8749999999999997E-2</v>
      </c>
      <c r="BB76" s="375">
        <v>6.6250000000000003E-2</v>
      </c>
      <c r="BC76" s="375">
        <v>7.1249999999999994E-2</v>
      </c>
      <c r="BD76" s="375">
        <v>7.6249999999999998E-2</v>
      </c>
      <c r="BE76" s="375">
        <v>6.8750000000000006E-2</v>
      </c>
      <c r="BF76" s="375">
        <v>7.1249999999999994E-2</v>
      </c>
      <c r="BG76" s="375">
        <v>3.7499999999999999E-2</v>
      </c>
      <c r="BH76" s="375">
        <v>8.2799999999999999E-2</v>
      </c>
      <c r="BI76" s="373">
        <f t="shared" si="11"/>
        <v>6.7654999999999993E-2</v>
      </c>
      <c r="BJ76" s="378"/>
      <c r="BK76" s="375"/>
      <c r="BL76" s="375"/>
      <c r="BM76" s="375">
        <v>0.05</v>
      </c>
      <c r="BN76" s="375">
        <v>5.2499999999999998E-2</v>
      </c>
      <c r="BO76" s="375">
        <v>6.25E-2</v>
      </c>
      <c r="BP76" s="375">
        <v>3.3750000000000002E-2</v>
      </c>
      <c r="BQ76" s="377">
        <v>7.8200000000000006E-2</v>
      </c>
      <c r="BR76" s="380">
        <f t="shared" si="12"/>
        <v>5.5390000000000009E-2</v>
      </c>
      <c r="BT76" s="367">
        <v>46068</v>
      </c>
      <c r="BU76" s="375">
        <f t="shared" si="13"/>
        <v>3.4999999999999996E-2</v>
      </c>
      <c r="BV76" s="375">
        <f t="shared" si="14"/>
        <v>4.1214285714285717E-2</v>
      </c>
      <c r="BW76" s="377">
        <f t="shared" si="15"/>
        <v>3.4999999999999996E-2</v>
      </c>
    </row>
    <row r="77" spans="1:75" x14ac:dyDescent="0.15">
      <c r="A77" s="356"/>
      <c r="B77" s="355"/>
      <c r="C77" s="355"/>
      <c r="D77" s="355"/>
      <c r="E77" s="355"/>
      <c r="F77" s="355"/>
      <c r="G77" s="355"/>
      <c r="O77" s="356"/>
      <c r="P77" s="355"/>
      <c r="Q77" s="355"/>
      <c r="R77" s="355"/>
      <c r="S77" s="355"/>
      <c r="T77" s="355"/>
      <c r="U77" s="355"/>
      <c r="V77" s="355"/>
      <c r="W77" s="355"/>
      <c r="AG77" s="355"/>
      <c r="AH77" s="355"/>
      <c r="AI77" s="355"/>
      <c r="AJ77" s="355"/>
      <c r="AK77" s="355"/>
      <c r="AL77" s="355"/>
      <c r="AM77" s="355"/>
      <c r="AU77" s="379">
        <v>46096</v>
      </c>
      <c r="AV77" s="375"/>
      <c r="AW77" s="375"/>
      <c r="AX77" s="375"/>
      <c r="AY77" s="375">
        <v>7.4999999999999997E-2</v>
      </c>
      <c r="AZ77" s="375">
        <v>6.8750000000000006E-2</v>
      </c>
      <c r="BA77" s="375">
        <v>5.8749999999999997E-2</v>
      </c>
      <c r="BB77" s="375">
        <v>6.6250000000000003E-2</v>
      </c>
      <c r="BC77" s="375">
        <v>7.1249999999999994E-2</v>
      </c>
      <c r="BD77" s="375">
        <v>7.6249999999999998E-2</v>
      </c>
      <c r="BE77" s="375">
        <v>6.8750000000000006E-2</v>
      </c>
      <c r="BF77" s="375">
        <v>7.1249999999999994E-2</v>
      </c>
      <c r="BG77" s="375">
        <v>3.7499999999999999E-2</v>
      </c>
      <c r="BH77" s="375">
        <v>8.2799999999999999E-2</v>
      </c>
      <c r="BI77" s="373">
        <f t="shared" si="11"/>
        <v>6.7654999999999993E-2</v>
      </c>
      <c r="BJ77" s="378"/>
      <c r="BK77" s="375"/>
      <c r="BL77" s="375"/>
      <c r="BM77" s="375">
        <v>0.05</v>
      </c>
      <c r="BN77" s="375">
        <v>5.2499999999999998E-2</v>
      </c>
      <c r="BO77" s="375">
        <v>6.25E-2</v>
      </c>
      <c r="BP77" s="375">
        <v>3.3750000000000002E-2</v>
      </c>
      <c r="BQ77" s="377">
        <v>7.8200000000000006E-2</v>
      </c>
      <c r="BR77" s="380">
        <f t="shared" si="12"/>
        <v>5.5390000000000009E-2</v>
      </c>
      <c r="BT77" s="367">
        <v>46096</v>
      </c>
      <c r="BU77" s="375">
        <f t="shared" si="13"/>
        <v>3.4999999999999996E-2</v>
      </c>
      <c r="BV77" s="375">
        <f t="shared" si="14"/>
        <v>4.1214285714285717E-2</v>
      </c>
      <c r="BW77" s="377">
        <f t="shared" si="15"/>
        <v>3.4999999999999996E-2</v>
      </c>
    </row>
    <row r="78" spans="1:75" x14ac:dyDescent="0.15">
      <c r="A78" s="356"/>
      <c r="B78" s="355"/>
      <c r="C78" s="355"/>
      <c r="D78" s="355"/>
      <c r="E78" s="355"/>
      <c r="F78" s="355"/>
      <c r="G78" s="355"/>
      <c r="O78" s="356"/>
      <c r="P78" s="355"/>
      <c r="Q78" s="355"/>
      <c r="R78" s="355"/>
      <c r="S78" s="355"/>
      <c r="T78" s="355"/>
      <c r="U78" s="355"/>
      <c r="V78" s="355"/>
      <c r="W78" s="355"/>
      <c r="AG78" s="355"/>
      <c r="AH78" s="355"/>
      <c r="AI78" s="355"/>
      <c r="AJ78" s="355"/>
      <c r="AK78" s="355"/>
      <c r="AL78" s="355"/>
      <c r="AM78" s="355"/>
      <c r="AU78" s="379">
        <v>46127</v>
      </c>
      <c r="AV78" s="375"/>
      <c r="AW78" s="375"/>
      <c r="AX78" s="375"/>
      <c r="AY78" s="375">
        <v>7.4999999999999997E-2</v>
      </c>
      <c r="AZ78" s="375">
        <v>6.8750000000000006E-2</v>
      </c>
      <c r="BA78" s="375">
        <v>5.8749999999999997E-2</v>
      </c>
      <c r="BB78" s="375">
        <v>6.6250000000000003E-2</v>
      </c>
      <c r="BC78" s="375">
        <v>7.1249999999999994E-2</v>
      </c>
      <c r="BD78" s="375">
        <v>7.6249999999999998E-2</v>
      </c>
      <c r="BE78" s="375">
        <v>6.8750000000000006E-2</v>
      </c>
      <c r="BF78" s="375">
        <v>7.1249999999999994E-2</v>
      </c>
      <c r="BG78" s="375">
        <v>3.7499999999999999E-2</v>
      </c>
      <c r="BH78" s="375">
        <v>8.2799999999999999E-2</v>
      </c>
      <c r="BI78" s="373">
        <f t="shared" si="11"/>
        <v>6.7654999999999993E-2</v>
      </c>
      <c r="BJ78" s="378"/>
      <c r="BK78" s="375"/>
      <c r="BL78" s="375"/>
      <c r="BM78" s="375">
        <v>0.05</v>
      </c>
      <c r="BN78" s="375">
        <v>5.2499999999999998E-2</v>
      </c>
      <c r="BO78" s="375">
        <v>6.25E-2</v>
      </c>
      <c r="BP78" s="375">
        <v>3.3750000000000002E-2</v>
      </c>
      <c r="BQ78" s="377">
        <v>7.8200000000000006E-2</v>
      </c>
      <c r="BR78" s="380">
        <f t="shared" si="12"/>
        <v>5.5390000000000009E-2</v>
      </c>
      <c r="BT78" s="367">
        <v>46127</v>
      </c>
      <c r="BU78" s="375">
        <f t="shared" si="13"/>
        <v>3.4999999999999996E-2</v>
      </c>
      <c r="BV78" s="375">
        <f t="shared" si="14"/>
        <v>4.1214285714285717E-2</v>
      </c>
      <c r="BW78" s="377">
        <f t="shared" si="15"/>
        <v>3.4999999999999996E-2</v>
      </c>
    </row>
    <row r="79" spans="1:75" x14ac:dyDescent="0.15">
      <c r="A79" s="356"/>
      <c r="B79" s="355"/>
      <c r="C79" s="355"/>
      <c r="D79" s="355"/>
      <c r="E79" s="355"/>
      <c r="F79" s="355"/>
      <c r="G79" s="355"/>
      <c r="O79" s="356"/>
      <c r="P79" s="355"/>
      <c r="Q79" s="355"/>
      <c r="R79" s="355"/>
      <c r="S79" s="355"/>
      <c r="T79" s="355"/>
      <c r="U79" s="355"/>
      <c r="V79" s="355"/>
      <c r="W79" s="355"/>
      <c r="AG79" s="355"/>
      <c r="AH79" s="355"/>
      <c r="AI79" s="355"/>
      <c r="AJ79" s="355"/>
      <c r="AK79" s="355"/>
      <c r="AL79" s="355"/>
      <c r="AM79" s="355"/>
      <c r="AU79" s="379">
        <v>46157</v>
      </c>
      <c r="AV79" s="375"/>
      <c r="AW79" s="375"/>
      <c r="AX79" s="375"/>
      <c r="AY79" s="375"/>
      <c r="AZ79" s="375">
        <v>6.8750000000000006E-2</v>
      </c>
      <c r="BA79" s="375">
        <v>5.8749999999999997E-2</v>
      </c>
      <c r="BB79" s="375">
        <v>6.6250000000000003E-2</v>
      </c>
      <c r="BC79" s="375">
        <v>7.1249999999999994E-2</v>
      </c>
      <c r="BD79" s="375">
        <v>7.6249999999999998E-2</v>
      </c>
      <c r="BE79" s="375">
        <v>6.8750000000000006E-2</v>
      </c>
      <c r="BF79" s="375">
        <v>7.1249999999999994E-2</v>
      </c>
      <c r="BG79" s="375">
        <v>3.7499999999999999E-2</v>
      </c>
      <c r="BH79" s="375">
        <v>8.2799999999999999E-2</v>
      </c>
      <c r="BI79" s="373">
        <f t="shared" si="11"/>
        <v>6.6838888888888892E-2</v>
      </c>
      <c r="BJ79" s="378"/>
      <c r="BK79" s="375"/>
      <c r="BL79" s="375"/>
      <c r="BM79" s="375">
        <v>0.05</v>
      </c>
      <c r="BN79" s="375">
        <v>5.2499999999999998E-2</v>
      </c>
      <c r="BO79" s="375">
        <v>6.25E-2</v>
      </c>
      <c r="BP79" s="375">
        <v>3.3750000000000002E-2</v>
      </c>
      <c r="BQ79" s="377">
        <v>7.8200000000000006E-2</v>
      </c>
      <c r="BR79" s="380">
        <f t="shared" si="12"/>
        <v>5.5390000000000009E-2</v>
      </c>
      <c r="BT79" s="367">
        <v>46157</v>
      </c>
      <c r="BU79" s="375">
        <f t="shared" si="13"/>
        <v>3.4999999999999996E-2</v>
      </c>
      <c r="BV79" s="375">
        <f t="shared" si="14"/>
        <v>4.1214285714285717E-2</v>
      </c>
      <c r="BW79" s="377">
        <f t="shared" si="15"/>
        <v>3.4999999999999996E-2</v>
      </c>
    </row>
    <row r="80" spans="1:75" x14ac:dyDescent="0.15">
      <c r="A80" s="356"/>
      <c r="B80" s="355"/>
      <c r="C80" s="355"/>
      <c r="D80" s="355"/>
      <c r="E80" s="355"/>
      <c r="F80" s="355"/>
      <c r="G80" s="355"/>
      <c r="O80" s="356"/>
      <c r="P80" s="355"/>
      <c r="Q80" s="355"/>
      <c r="R80" s="355"/>
      <c r="S80" s="355"/>
      <c r="T80" s="355"/>
      <c r="U80" s="355"/>
      <c r="V80" s="355"/>
      <c r="W80" s="355"/>
      <c r="AG80" s="355"/>
      <c r="AH80" s="355"/>
      <c r="AI80" s="355"/>
      <c r="AJ80" s="355"/>
      <c r="AK80" s="355"/>
      <c r="AL80" s="355"/>
      <c r="AM80" s="355"/>
      <c r="AU80" s="379">
        <v>46188</v>
      </c>
      <c r="AV80" s="375"/>
      <c r="AW80" s="375"/>
      <c r="AX80" s="375"/>
      <c r="AY80" s="375"/>
      <c r="AZ80" s="375">
        <v>6.8750000000000006E-2</v>
      </c>
      <c r="BA80" s="375">
        <v>5.8749999999999997E-2</v>
      </c>
      <c r="BB80" s="375">
        <v>6.6250000000000003E-2</v>
      </c>
      <c r="BC80" s="375">
        <v>7.1249999999999994E-2</v>
      </c>
      <c r="BD80" s="375">
        <v>7.6249999999999998E-2</v>
      </c>
      <c r="BE80" s="375">
        <v>6.8750000000000006E-2</v>
      </c>
      <c r="BF80" s="375">
        <v>7.1249999999999994E-2</v>
      </c>
      <c r="BG80" s="375">
        <v>3.7499999999999999E-2</v>
      </c>
      <c r="BH80" s="375">
        <v>8.2799999999999999E-2</v>
      </c>
      <c r="BI80" s="373">
        <f t="shared" si="11"/>
        <v>6.6838888888888892E-2</v>
      </c>
      <c r="BJ80" s="378"/>
      <c r="BK80" s="375"/>
      <c r="BL80" s="375"/>
      <c r="BM80" s="375">
        <v>0.05</v>
      </c>
      <c r="BN80" s="375">
        <v>5.2499999999999998E-2</v>
      </c>
      <c r="BO80" s="375">
        <v>6.25E-2</v>
      </c>
      <c r="BP80" s="375">
        <v>3.3750000000000002E-2</v>
      </c>
      <c r="BQ80" s="377">
        <v>7.8200000000000006E-2</v>
      </c>
      <c r="BR80" s="380">
        <f t="shared" si="12"/>
        <v>5.5390000000000009E-2</v>
      </c>
      <c r="BT80" s="367">
        <v>46188</v>
      </c>
      <c r="BU80" s="375">
        <f t="shared" si="13"/>
        <v>3.4999999999999996E-2</v>
      </c>
      <c r="BV80" s="375">
        <f t="shared" si="14"/>
        <v>4.1214285714285717E-2</v>
      </c>
      <c r="BW80" s="377">
        <f t="shared" si="15"/>
        <v>3.4999999999999996E-2</v>
      </c>
    </row>
    <row r="81" spans="1:75" x14ac:dyDescent="0.15">
      <c r="A81" s="356"/>
      <c r="B81" s="355"/>
      <c r="C81" s="355"/>
      <c r="D81" s="355"/>
      <c r="E81" s="355"/>
      <c r="F81" s="355"/>
      <c r="G81" s="355"/>
      <c r="O81" s="356"/>
      <c r="P81" s="355"/>
      <c r="Q81" s="355"/>
      <c r="R81" s="355"/>
      <c r="S81" s="355"/>
      <c r="T81" s="355"/>
      <c r="U81" s="355"/>
      <c r="V81" s="355"/>
      <c r="W81" s="355"/>
      <c r="AG81" s="355"/>
      <c r="AH81" s="355"/>
      <c r="AI81" s="355"/>
      <c r="AJ81" s="355"/>
      <c r="AK81" s="355"/>
      <c r="AL81" s="355"/>
      <c r="AM81" s="355"/>
      <c r="AU81" s="379">
        <v>46218</v>
      </c>
      <c r="AV81" s="375"/>
      <c r="AW81" s="375"/>
      <c r="AX81" s="375"/>
      <c r="AY81" s="375"/>
      <c r="AZ81" s="375">
        <v>6.8750000000000006E-2</v>
      </c>
      <c r="BA81" s="375">
        <v>5.8749999999999997E-2</v>
      </c>
      <c r="BB81" s="375">
        <v>6.6250000000000003E-2</v>
      </c>
      <c r="BC81" s="375">
        <v>7.1249999999999994E-2</v>
      </c>
      <c r="BD81" s="375">
        <v>7.6249999999999998E-2</v>
      </c>
      <c r="BE81" s="375">
        <v>6.8750000000000006E-2</v>
      </c>
      <c r="BF81" s="375">
        <v>7.1249999999999994E-2</v>
      </c>
      <c r="BG81" s="375">
        <v>3.7499999999999999E-2</v>
      </c>
      <c r="BH81" s="375">
        <v>8.2799999999999999E-2</v>
      </c>
      <c r="BI81" s="373">
        <f t="shared" si="11"/>
        <v>6.6838888888888892E-2</v>
      </c>
      <c r="BJ81" s="378"/>
      <c r="BK81" s="375"/>
      <c r="BL81" s="375"/>
      <c r="BM81" s="375">
        <v>0.05</v>
      </c>
      <c r="BN81" s="375">
        <v>5.2499999999999998E-2</v>
      </c>
      <c r="BO81" s="375">
        <v>6.25E-2</v>
      </c>
      <c r="BP81" s="375">
        <v>3.3750000000000002E-2</v>
      </c>
      <c r="BQ81" s="377">
        <v>7.8200000000000006E-2</v>
      </c>
      <c r="BR81" s="380">
        <f t="shared" si="12"/>
        <v>5.5390000000000009E-2</v>
      </c>
      <c r="BT81" s="367">
        <v>46218</v>
      </c>
      <c r="BU81" s="375">
        <f t="shared" si="13"/>
        <v>3.4999999999999996E-2</v>
      </c>
      <c r="BV81" s="375">
        <f t="shared" si="14"/>
        <v>4.1214285714285717E-2</v>
      </c>
      <c r="BW81" s="377">
        <f t="shared" si="15"/>
        <v>3.4999999999999996E-2</v>
      </c>
    </row>
    <row r="82" spans="1:75" x14ac:dyDescent="0.15">
      <c r="A82" s="356"/>
      <c r="B82" s="355"/>
      <c r="C82" s="355"/>
      <c r="D82" s="355"/>
      <c r="E82" s="355"/>
      <c r="F82" s="355"/>
      <c r="G82" s="355"/>
      <c r="O82" s="356"/>
      <c r="P82" s="355"/>
      <c r="Q82" s="355"/>
      <c r="R82" s="355"/>
      <c r="S82" s="355"/>
      <c r="T82" s="355"/>
      <c r="U82" s="355"/>
      <c r="V82" s="355"/>
      <c r="W82" s="355"/>
      <c r="AG82" s="355"/>
      <c r="AH82" s="355"/>
      <c r="AI82" s="355"/>
      <c r="AJ82" s="355"/>
      <c r="AK82" s="355"/>
      <c r="AL82" s="355"/>
      <c r="AM82" s="355"/>
      <c r="AU82" s="379">
        <v>46249</v>
      </c>
      <c r="AV82" s="375"/>
      <c r="AW82" s="375"/>
      <c r="AX82" s="375"/>
      <c r="AY82" s="375"/>
      <c r="AZ82" s="375">
        <v>6.8750000000000006E-2</v>
      </c>
      <c r="BA82" s="375">
        <v>5.8749999999999997E-2</v>
      </c>
      <c r="BB82" s="375">
        <v>6.6250000000000003E-2</v>
      </c>
      <c r="BC82" s="375">
        <v>7.1249999999999994E-2</v>
      </c>
      <c r="BD82" s="375">
        <v>7.6249999999999998E-2</v>
      </c>
      <c r="BE82" s="375">
        <v>6.8750000000000006E-2</v>
      </c>
      <c r="BF82" s="375">
        <v>7.1249999999999994E-2</v>
      </c>
      <c r="BG82" s="375">
        <v>3.7499999999999999E-2</v>
      </c>
      <c r="BH82" s="375">
        <v>8.2799999999999999E-2</v>
      </c>
      <c r="BI82" s="373">
        <f t="shared" si="11"/>
        <v>6.6838888888888892E-2</v>
      </c>
      <c r="BJ82" s="378"/>
      <c r="BK82" s="375"/>
      <c r="BL82" s="375"/>
      <c r="BM82" s="375">
        <v>0.05</v>
      </c>
      <c r="BN82" s="375">
        <v>5.2499999999999998E-2</v>
      </c>
      <c r="BO82" s="375">
        <v>6.25E-2</v>
      </c>
      <c r="BP82" s="375">
        <v>3.3750000000000002E-2</v>
      </c>
      <c r="BQ82" s="377">
        <v>7.8200000000000006E-2</v>
      </c>
      <c r="BR82" s="380">
        <f t="shared" si="12"/>
        <v>5.5390000000000009E-2</v>
      </c>
      <c r="BT82" s="367">
        <v>46249</v>
      </c>
      <c r="BU82" s="375">
        <f t="shared" si="13"/>
        <v>3.4999999999999996E-2</v>
      </c>
      <c r="BV82" s="375">
        <f t="shared" si="14"/>
        <v>4.1214285714285717E-2</v>
      </c>
      <c r="BW82" s="377">
        <f t="shared" si="15"/>
        <v>3.4999999999999996E-2</v>
      </c>
    </row>
    <row r="83" spans="1:75" x14ac:dyDescent="0.15">
      <c r="A83" s="356"/>
      <c r="B83" s="355"/>
      <c r="C83" s="355"/>
      <c r="D83" s="355"/>
      <c r="E83" s="355"/>
      <c r="F83" s="355"/>
      <c r="G83" s="355"/>
      <c r="O83" s="356"/>
      <c r="P83" s="355"/>
      <c r="Q83" s="355"/>
      <c r="R83" s="355"/>
      <c r="S83" s="355"/>
      <c r="T83" s="355"/>
      <c r="U83" s="355"/>
      <c r="V83" s="355"/>
      <c r="W83" s="355"/>
      <c r="AG83" s="355"/>
      <c r="AH83" s="355"/>
      <c r="AI83" s="355"/>
      <c r="AJ83" s="355"/>
      <c r="AK83" s="355"/>
      <c r="AL83" s="355"/>
      <c r="AM83" s="355"/>
      <c r="AU83" s="379">
        <v>46280</v>
      </c>
      <c r="AV83" s="375"/>
      <c r="AW83" s="375"/>
      <c r="AX83" s="375"/>
      <c r="AY83" s="375"/>
      <c r="AZ83" s="375">
        <v>6.8750000000000006E-2</v>
      </c>
      <c r="BA83" s="375">
        <v>5.8749999999999997E-2</v>
      </c>
      <c r="BB83" s="375">
        <v>6.6250000000000003E-2</v>
      </c>
      <c r="BC83" s="375">
        <v>7.1249999999999994E-2</v>
      </c>
      <c r="BD83" s="375">
        <v>7.6249999999999998E-2</v>
      </c>
      <c r="BE83" s="375">
        <v>6.8750000000000006E-2</v>
      </c>
      <c r="BF83" s="375">
        <v>7.1249999999999994E-2</v>
      </c>
      <c r="BG83" s="375">
        <v>3.7499999999999999E-2</v>
      </c>
      <c r="BH83" s="375">
        <v>8.2799999999999999E-2</v>
      </c>
      <c r="BI83" s="373">
        <f t="shared" si="11"/>
        <v>6.6838888888888892E-2</v>
      </c>
      <c r="BJ83" s="378"/>
      <c r="BK83" s="375"/>
      <c r="BL83" s="375"/>
      <c r="BM83" s="375">
        <v>0.05</v>
      </c>
      <c r="BN83" s="375">
        <v>5.2499999999999998E-2</v>
      </c>
      <c r="BO83" s="375">
        <v>6.25E-2</v>
      </c>
      <c r="BP83" s="375">
        <v>3.3750000000000002E-2</v>
      </c>
      <c r="BQ83" s="377">
        <v>7.8200000000000006E-2</v>
      </c>
      <c r="BR83" s="380">
        <f t="shared" si="12"/>
        <v>5.5390000000000009E-2</v>
      </c>
      <c r="BT83" s="367">
        <v>46280</v>
      </c>
      <c r="BU83" s="375">
        <f t="shared" si="13"/>
        <v>3.4999999999999996E-2</v>
      </c>
      <c r="BV83" s="375">
        <f t="shared" si="14"/>
        <v>4.1214285714285717E-2</v>
      </c>
      <c r="BW83" s="377">
        <f t="shared" si="15"/>
        <v>3.4999999999999996E-2</v>
      </c>
    </row>
    <row r="84" spans="1:75" x14ac:dyDescent="0.15">
      <c r="A84" s="356"/>
      <c r="B84" s="355"/>
      <c r="C84" s="355"/>
      <c r="D84" s="355"/>
      <c r="E84" s="355"/>
      <c r="F84" s="355"/>
      <c r="G84" s="355"/>
      <c r="O84" s="356"/>
      <c r="P84" s="355"/>
      <c r="Q84" s="355"/>
      <c r="R84" s="355"/>
      <c r="S84" s="355"/>
      <c r="T84" s="355"/>
      <c r="U84" s="355"/>
      <c r="V84" s="355"/>
      <c r="W84" s="355"/>
      <c r="AG84" s="355"/>
      <c r="AH84" s="355"/>
      <c r="AI84" s="355"/>
      <c r="AJ84" s="355"/>
      <c r="AK84" s="355"/>
      <c r="AL84" s="355"/>
      <c r="AM84" s="355"/>
      <c r="AU84" s="379">
        <v>46310</v>
      </c>
      <c r="AV84" s="375"/>
      <c r="AW84" s="375"/>
      <c r="AX84" s="375"/>
      <c r="AY84" s="375"/>
      <c r="AZ84" s="375">
        <v>6.8750000000000006E-2</v>
      </c>
      <c r="BA84" s="375">
        <v>5.8749999999999997E-2</v>
      </c>
      <c r="BB84" s="375">
        <v>6.6250000000000003E-2</v>
      </c>
      <c r="BC84" s="375">
        <v>7.1249999999999994E-2</v>
      </c>
      <c r="BD84" s="375">
        <v>7.6249999999999998E-2</v>
      </c>
      <c r="BE84" s="375">
        <v>6.8750000000000006E-2</v>
      </c>
      <c r="BF84" s="375">
        <v>7.1249999999999994E-2</v>
      </c>
      <c r="BG84" s="375">
        <v>3.7499999999999999E-2</v>
      </c>
      <c r="BH84" s="375">
        <v>8.2799999999999999E-2</v>
      </c>
      <c r="BI84" s="373">
        <f t="shared" si="11"/>
        <v>6.6838888888888892E-2</v>
      </c>
      <c r="BJ84" s="378"/>
      <c r="BK84" s="375"/>
      <c r="BL84" s="375"/>
      <c r="BM84" s="375">
        <v>0.05</v>
      </c>
      <c r="BN84" s="375">
        <v>5.2499999999999998E-2</v>
      </c>
      <c r="BO84" s="375">
        <v>6.25E-2</v>
      </c>
      <c r="BP84" s="375">
        <v>3.3750000000000002E-2</v>
      </c>
      <c r="BQ84" s="377">
        <v>7.8200000000000006E-2</v>
      </c>
      <c r="BR84" s="380">
        <f t="shared" si="12"/>
        <v>5.5390000000000009E-2</v>
      </c>
      <c r="BT84" s="367">
        <v>46310</v>
      </c>
      <c r="BU84" s="375">
        <f t="shared" si="13"/>
        <v>3.4999999999999996E-2</v>
      </c>
      <c r="BV84" s="375">
        <f t="shared" si="14"/>
        <v>4.1214285714285717E-2</v>
      </c>
      <c r="BW84" s="377">
        <f t="shared" si="15"/>
        <v>3.4999999999999996E-2</v>
      </c>
    </row>
    <row r="85" spans="1:75" x14ac:dyDescent="0.15">
      <c r="A85" s="356"/>
      <c r="B85" s="355"/>
      <c r="C85" s="355"/>
      <c r="D85" s="355"/>
      <c r="E85" s="355"/>
      <c r="F85" s="355"/>
      <c r="G85" s="355"/>
      <c r="O85" s="356"/>
      <c r="P85" s="355"/>
      <c r="Q85" s="355"/>
      <c r="R85" s="355"/>
      <c r="S85" s="355"/>
      <c r="T85" s="355"/>
      <c r="U85" s="355"/>
      <c r="V85" s="355"/>
      <c r="W85" s="355"/>
      <c r="AG85" s="355"/>
      <c r="AH85" s="355"/>
      <c r="AI85" s="355"/>
      <c r="AJ85" s="355"/>
      <c r="AK85" s="355"/>
      <c r="AL85" s="355"/>
      <c r="AM85" s="355"/>
      <c r="AU85" s="379">
        <v>46341</v>
      </c>
      <c r="AV85" s="375"/>
      <c r="AW85" s="375"/>
      <c r="AX85" s="375"/>
      <c r="AY85" s="375"/>
      <c r="AZ85" s="375">
        <v>6.8750000000000006E-2</v>
      </c>
      <c r="BA85" s="375">
        <v>5.8749999999999997E-2</v>
      </c>
      <c r="BB85" s="375">
        <v>6.6250000000000003E-2</v>
      </c>
      <c r="BC85" s="375">
        <v>7.1249999999999994E-2</v>
      </c>
      <c r="BD85" s="375">
        <v>7.6249999999999998E-2</v>
      </c>
      <c r="BE85" s="375">
        <v>6.8750000000000006E-2</v>
      </c>
      <c r="BF85" s="375">
        <v>7.1249999999999994E-2</v>
      </c>
      <c r="BG85" s="375">
        <v>3.7499999999999999E-2</v>
      </c>
      <c r="BH85" s="375">
        <v>8.2799999999999999E-2</v>
      </c>
      <c r="BI85" s="373">
        <f t="shared" si="11"/>
        <v>6.6838888888888892E-2</v>
      </c>
      <c r="BJ85" s="378"/>
      <c r="BK85" s="375"/>
      <c r="BL85" s="375"/>
      <c r="BM85" s="375">
        <v>0.05</v>
      </c>
      <c r="BN85" s="375">
        <v>5.2499999999999998E-2</v>
      </c>
      <c r="BO85" s="375">
        <v>6.25E-2</v>
      </c>
      <c r="BP85" s="375">
        <v>3.3750000000000002E-2</v>
      </c>
      <c r="BQ85" s="377">
        <v>7.8200000000000006E-2</v>
      </c>
      <c r="BR85" s="380">
        <f t="shared" si="12"/>
        <v>5.5390000000000009E-2</v>
      </c>
      <c r="BT85" s="367">
        <v>46341</v>
      </c>
      <c r="BU85" s="375">
        <f t="shared" si="13"/>
        <v>3.4999999999999996E-2</v>
      </c>
      <c r="BV85" s="375">
        <f t="shared" si="14"/>
        <v>4.1214285714285717E-2</v>
      </c>
      <c r="BW85" s="377">
        <f t="shared" si="15"/>
        <v>3.4999999999999996E-2</v>
      </c>
    </row>
    <row r="86" spans="1:75" x14ac:dyDescent="0.15">
      <c r="A86" s="356"/>
      <c r="B86" s="355"/>
      <c r="C86" s="355"/>
      <c r="D86" s="355"/>
      <c r="E86" s="355"/>
      <c r="F86" s="355"/>
      <c r="G86" s="355"/>
      <c r="O86" s="356"/>
      <c r="P86" s="355"/>
      <c r="Q86" s="355"/>
      <c r="R86" s="355"/>
      <c r="S86" s="355"/>
      <c r="T86" s="355"/>
      <c r="U86" s="355"/>
      <c r="V86" s="355"/>
      <c r="W86" s="355"/>
      <c r="AG86" s="355"/>
      <c r="AH86" s="355"/>
      <c r="AI86" s="355"/>
      <c r="AJ86" s="355"/>
      <c r="AK86" s="355"/>
      <c r="AL86" s="355"/>
      <c r="AM86" s="355"/>
      <c r="AU86" s="379">
        <v>46371</v>
      </c>
      <c r="AV86" s="375"/>
      <c r="AW86" s="375"/>
      <c r="AX86" s="375"/>
      <c r="AY86" s="375"/>
      <c r="AZ86" s="375">
        <v>6.8750000000000006E-2</v>
      </c>
      <c r="BA86" s="375">
        <v>5.8749999999999997E-2</v>
      </c>
      <c r="BB86" s="375">
        <v>6.6250000000000003E-2</v>
      </c>
      <c r="BC86" s="375">
        <v>7.1249999999999994E-2</v>
      </c>
      <c r="BD86" s="375">
        <v>7.6249999999999998E-2</v>
      </c>
      <c r="BE86" s="375">
        <v>6.8750000000000006E-2</v>
      </c>
      <c r="BF86" s="375">
        <v>7.1249999999999994E-2</v>
      </c>
      <c r="BG86" s="375">
        <v>3.7499999999999999E-2</v>
      </c>
      <c r="BH86" s="375">
        <v>8.2799999999999999E-2</v>
      </c>
      <c r="BI86" s="373">
        <f t="shared" si="11"/>
        <v>6.6838888888888892E-2</v>
      </c>
      <c r="BJ86" s="378"/>
      <c r="BK86" s="375"/>
      <c r="BL86" s="375"/>
      <c r="BM86" s="375">
        <v>0.05</v>
      </c>
      <c r="BN86" s="375">
        <v>5.2499999999999998E-2</v>
      </c>
      <c r="BO86" s="375">
        <v>6.25E-2</v>
      </c>
      <c r="BP86" s="375">
        <v>3.3750000000000002E-2</v>
      </c>
      <c r="BQ86" s="377">
        <v>7.8200000000000006E-2</v>
      </c>
      <c r="BR86" s="380">
        <f t="shared" si="12"/>
        <v>5.5390000000000009E-2</v>
      </c>
      <c r="BT86" s="367">
        <v>46371</v>
      </c>
      <c r="BU86" s="375">
        <f t="shared" si="13"/>
        <v>3.4999999999999996E-2</v>
      </c>
      <c r="BV86" s="375">
        <f t="shared" si="14"/>
        <v>4.1214285714285717E-2</v>
      </c>
      <c r="BW86" s="377">
        <f t="shared" si="15"/>
        <v>3.4999999999999996E-2</v>
      </c>
    </row>
    <row r="87" spans="1:75" x14ac:dyDescent="0.15">
      <c r="A87" s="356"/>
      <c r="B87" s="355"/>
      <c r="C87" s="355"/>
      <c r="D87" s="355"/>
      <c r="E87" s="355"/>
      <c r="F87" s="355"/>
      <c r="G87" s="355"/>
      <c r="O87" s="356"/>
      <c r="P87" s="355"/>
      <c r="Q87" s="355"/>
      <c r="R87" s="355"/>
      <c r="S87" s="355"/>
      <c r="T87" s="355"/>
      <c r="U87" s="355"/>
      <c r="V87" s="355"/>
      <c r="W87" s="355"/>
      <c r="AG87" s="355"/>
      <c r="AH87" s="355"/>
      <c r="AI87" s="355"/>
      <c r="AJ87" s="355"/>
      <c r="AK87" s="355"/>
      <c r="AL87" s="355"/>
      <c r="AM87" s="355"/>
      <c r="AU87" s="379">
        <v>46402</v>
      </c>
      <c r="AV87" s="375"/>
      <c r="AW87" s="375"/>
      <c r="AX87" s="375"/>
      <c r="AY87" s="375"/>
      <c r="AZ87" s="375">
        <v>6.8750000000000006E-2</v>
      </c>
      <c r="BA87" s="375">
        <v>5.8749999999999997E-2</v>
      </c>
      <c r="BB87" s="375">
        <v>6.6250000000000003E-2</v>
      </c>
      <c r="BC87" s="375">
        <v>7.1249999999999994E-2</v>
      </c>
      <c r="BD87" s="375">
        <v>7.6249999999999998E-2</v>
      </c>
      <c r="BE87" s="375">
        <v>6.8750000000000006E-2</v>
      </c>
      <c r="BF87" s="375">
        <v>7.1249999999999994E-2</v>
      </c>
      <c r="BG87" s="375">
        <v>3.7499999999999999E-2</v>
      </c>
      <c r="BH87" s="375">
        <v>8.2799999999999999E-2</v>
      </c>
      <c r="BI87" s="373">
        <f t="shared" si="11"/>
        <v>6.6838888888888892E-2</v>
      </c>
      <c r="BJ87" s="378"/>
      <c r="BK87" s="375"/>
      <c r="BL87" s="375"/>
      <c r="BM87" s="375">
        <v>0.05</v>
      </c>
      <c r="BN87" s="375">
        <v>5.2499999999999998E-2</v>
      </c>
      <c r="BO87" s="375">
        <v>6.25E-2</v>
      </c>
      <c r="BP87" s="375">
        <v>3.3750000000000002E-2</v>
      </c>
      <c r="BQ87" s="377">
        <v>7.8200000000000006E-2</v>
      </c>
      <c r="BR87" s="380">
        <f t="shared" si="12"/>
        <v>5.5390000000000009E-2</v>
      </c>
      <c r="BT87" s="367">
        <v>46402</v>
      </c>
      <c r="BU87" s="375">
        <f t="shared" si="13"/>
        <v>3.4999999999999996E-2</v>
      </c>
      <c r="BV87" s="375">
        <f t="shared" si="14"/>
        <v>4.5571428571428575E-2</v>
      </c>
      <c r="BW87" s="377">
        <f t="shared" si="15"/>
        <v>3.5999999999999997E-2</v>
      </c>
    </row>
    <row r="88" spans="1:75" x14ac:dyDescent="0.15">
      <c r="A88" s="356"/>
      <c r="B88" s="355"/>
      <c r="C88" s="355"/>
      <c r="D88" s="355"/>
      <c r="E88" s="355"/>
      <c r="F88" s="355"/>
      <c r="G88" s="355"/>
      <c r="O88" s="356"/>
      <c r="P88" s="355"/>
      <c r="Q88" s="355"/>
      <c r="R88" s="355"/>
      <c r="S88" s="355"/>
      <c r="T88" s="355"/>
      <c r="U88" s="355"/>
      <c r="V88" s="355"/>
      <c r="W88" s="355"/>
      <c r="AG88" s="355"/>
      <c r="AH88" s="355"/>
      <c r="AI88" s="355"/>
      <c r="AJ88" s="355"/>
      <c r="AK88" s="355"/>
      <c r="AL88" s="355"/>
      <c r="AM88" s="355"/>
      <c r="AU88" s="379">
        <v>46433</v>
      </c>
      <c r="AV88" s="375"/>
      <c r="AW88" s="375"/>
      <c r="AX88" s="375"/>
      <c r="AY88" s="375"/>
      <c r="AZ88" s="375"/>
      <c r="BA88" s="375">
        <v>5.8749999999999997E-2</v>
      </c>
      <c r="BB88" s="375">
        <v>6.6250000000000003E-2</v>
      </c>
      <c r="BC88" s="375">
        <v>7.1249999999999994E-2</v>
      </c>
      <c r="BD88" s="375">
        <v>7.6249999999999998E-2</v>
      </c>
      <c r="BE88" s="375">
        <v>6.8750000000000006E-2</v>
      </c>
      <c r="BF88" s="375">
        <v>7.1249999999999994E-2</v>
      </c>
      <c r="BG88" s="375">
        <v>3.7499999999999999E-2</v>
      </c>
      <c r="BH88" s="375">
        <v>8.2799999999999999E-2</v>
      </c>
      <c r="BI88" s="373">
        <f t="shared" si="11"/>
        <v>6.6599999999999993E-2</v>
      </c>
      <c r="BJ88" s="378"/>
      <c r="BK88" s="375"/>
      <c r="BL88" s="375"/>
      <c r="BM88" s="375"/>
      <c r="BN88" s="375">
        <v>5.2499999999999998E-2</v>
      </c>
      <c r="BO88" s="375">
        <v>6.25E-2</v>
      </c>
      <c r="BP88" s="375">
        <v>3.3750000000000002E-2</v>
      </c>
      <c r="BQ88" s="377">
        <v>7.8200000000000006E-2</v>
      </c>
      <c r="BR88" s="380">
        <f t="shared" si="12"/>
        <v>5.6737499999999996E-2</v>
      </c>
      <c r="BT88" s="367">
        <v>46433</v>
      </c>
      <c r="BU88" s="375">
        <f t="shared" si="13"/>
        <v>3.4999999999999996E-2</v>
      </c>
      <c r="BV88" s="375">
        <f t="shared" si="14"/>
        <v>4.5571428571428575E-2</v>
      </c>
      <c r="BW88" s="377">
        <f t="shared" si="15"/>
        <v>3.5999999999999997E-2</v>
      </c>
    </row>
    <row r="89" spans="1:75" x14ac:dyDescent="0.15">
      <c r="A89" s="356"/>
      <c r="B89" s="355"/>
      <c r="C89" s="355"/>
      <c r="D89" s="355"/>
      <c r="E89" s="355"/>
      <c r="F89" s="355"/>
      <c r="G89" s="355"/>
      <c r="O89" s="356"/>
      <c r="P89" s="355"/>
      <c r="Q89" s="355"/>
      <c r="R89" s="355"/>
      <c r="S89" s="355"/>
      <c r="T89" s="355"/>
      <c r="U89" s="355"/>
      <c r="V89" s="355"/>
      <c r="W89" s="355"/>
      <c r="AG89" s="355"/>
      <c r="AH89" s="355"/>
      <c r="AI89" s="355"/>
      <c r="AJ89" s="355"/>
      <c r="AK89" s="355"/>
      <c r="AL89" s="355"/>
      <c r="AM89" s="355"/>
      <c r="AU89" s="379">
        <v>46461</v>
      </c>
      <c r="AV89" s="375"/>
      <c r="AW89" s="375"/>
      <c r="AX89" s="375"/>
      <c r="AY89" s="375"/>
      <c r="AZ89" s="375"/>
      <c r="BA89" s="375">
        <v>5.8749999999999997E-2</v>
      </c>
      <c r="BB89" s="375">
        <v>6.6250000000000003E-2</v>
      </c>
      <c r="BC89" s="375">
        <v>7.1249999999999994E-2</v>
      </c>
      <c r="BD89" s="375">
        <v>7.6249999999999998E-2</v>
      </c>
      <c r="BE89" s="375">
        <v>6.8750000000000006E-2</v>
      </c>
      <c r="BF89" s="375">
        <v>7.1249999999999994E-2</v>
      </c>
      <c r="BG89" s="375">
        <v>3.7499999999999999E-2</v>
      </c>
      <c r="BH89" s="375">
        <v>8.2799999999999999E-2</v>
      </c>
      <c r="BI89" s="373">
        <f t="shared" si="11"/>
        <v>6.6599999999999993E-2</v>
      </c>
      <c r="BJ89" s="378"/>
      <c r="BK89" s="375"/>
      <c r="BL89" s="375"/>
      <c r="BM89" s="375"/>
      <c r="BN89" s="375">
        <v>5.2499999999999998E-2</v>
      </c>
      <c r="BO89" s="375">
        <v>6.25E-2</v>
      </c>
      <c r="BP89" s="375">
        <v>3.3750000000000002E-2</v>
      </c>
      <c r="BQ89" s="377">
        <v>7.8200000000000006E-2</v>
      </c>
      <c r="BR89" s="380">
        <f t="shared" si="12"/>
        <v>5.6737499999999996E-2</v>
      </c>
      <c r="BT89" s="367">
        <v>46461</v>
      </c>
      <c r="BU89" s="375">
        <f t="shared" si="13"/>
        <v>3.4999999999999996E-2</v>
      </c>
      <c r="BV89" s="375">
        <f t="shared" si="14"/>
        <v>4.5571428571428575E-2</v>
      </c>
      <c r="BW89" s="377">
        <f t="shared" si="15"/>
        <v>3.5999999999999997E-2</v>
      </c>
    </row>
    <row r="90" spans="1:75" x14ac:dyDescent="0.15">
      <c r="A90" s="356"/>
      <c r="B90" s="355"/>
      <c r="C90" s="355"/>
      <c r="D90" s="355"/>
      <c r="E90" s="355"/>
      <c r="F90" s="355"/>
      <c r="G90" s="355"/>
      <c r="O90" s="356"/>
      <c r="P90" s="355"/>
      <c r="Q90" s="355"/>
      <c r="R90" s="355"/>
      <c r="S90" s="355"/>
      <c r="T90" s="355"/>
      <c r="U90" s="355"/>
      <c r="V90" s="355"/>
      <c r="W90" s="355"/>
      <c r="AG90" s="355"/>
      <c r="AH90" s="355"/>
      <c r="AI90" s="355"/>
      <c r="AJ90" s="355"/>
      <c r="AK90" s="355"/>
      <c r="AL90" s="355"/>
      <c r="AM90" s="355"/>
      <c r="AU90" s="379">
        <v>46492</v>
      </c>
      <c r="AV90" s="375"/>
      <c r="AW90" s="375"/>
      <c r="AX90" s="375"/>
      <c r="AY90" s="375"/>
      <c r="AZ90" s="375"/>
      <c r="BA90" s="375">
        <v>5.8749999999999997E-2</v>
      </c>
      <c r="BB90" s="375">
        <v>6.6250000000000003E-2</v>
      </c>
      <c r="BC90" s="375">
        <v>7.1249999999999994E-2</v>
      </c>
      <c r="BD90" s="375">
        <v>7.6249999999999998E-2</v>
      </c>
      <c r="BE90" s="375">
        <v>6.8750000000000006E-2</v>
      </c>
      <c r="BF90" s="375">
        <v>7.1249999999999994E-2</v>
      </c>
      <c r="BG90" s="375">
        <v>3.7499999999999999E-2</v>
      </c>
      <c r="BH90" s="375">
        <v>8.2799999999999999E-2</v>
      </c>
      <c r="BI90" s="373">
        <f t="shared" si="11"/>
        <v>6.6599999999999993E-2</v>
      </c>
      <c r="BJ90" s="378"/>
      <c r="BK90" s="375"/>
      <c r="BL90" s="375"/>
      <c r="BM90" s="375"/>
      <c r="BN90" s="375">
        <v>5.2499999999999998E-2</v>
      </c>
      <c r="BO90" s="375">
        <v>6.25E-2</v>
      </c>
      <c r="BP90" s="375">
        <v>3.3750000000000002E-2</v>
      </c>
      <c r="BQ90" s="377">
        <v>7.8200000000000006E-2</v>
      </c>
      <c r="BR90" s="380">
        <f t="shared" si="12"/>
        <v>5.6737499999999996E-2</v>
      </c>
      <c r="BT90" s="367">
        <v>46492</v>
      </c>
      <c r="BU90" s="375">
        <f t="shared" si="13"/>
        <v>3.4999999999999996E-2</v>
      </c>
      <c r="BV90" s="375">
        <f t="shared" si="14"/>
        <v>4.5571428571428575E-2</v>
      </c>
      <c r="BW90" s="377">
        <f t="shared" si="15"/>
        <v>3.5999999999999997E-2</v>
      </c>
    </row>
    <row r="91" spans="1:75" x14ac:dyDescent="0.15">
      <c r="A91" s="356"/>
      <c r="B91" s="355"/>
      <c r="C91" s="355"/>
      <c r="D91" s="355"/>
      <c r="E91" s="355"/>
      <c r="F91" s="355"/>
      <c r="G91" s="355"/>
      <c r="O91" s="356"/>
      <c r="P91" s="355"/>
      <c r="Q91" s="355"/>
      <c r="R91" s="355"/>
      <c r="S91" s="355"/>
      <c r="T91" s="355"/>
      <c r="U91" s="355"/>
      <c r="V91" s="355"/>
      <c r="W91" s="355"/>
      <c r="AG91" s="355"/>
      <c r="AH91" s="355"/>
      <c r="AI91" s="355"/>
      <c r="AJ91" s="355"/>
      <c r="AK91" s="355"/>
      <c r="AL91" s="355"/>
      <c r="AM91" s="355"/>
      <c r="AU91" s="379">
        <v>46522</v>
      </c>
      <c r="AV91" s="375"/>
      <c r="AW91" s="375"/>
      <c r="AX91" s="375"/>
      <c r="AY91" s="375"/>
      <c r="AZ91" s="375"/>
      <c r="BA91" s="375">
        <v>5.8749999999999997E-2</v>
      </c>
      <c r="BB91" s="375">
        <v>6.6250000000000003E-2</v>
      </c>
      <c r="BC91" s="375">
        <v>7.1249999999999994E-2</v>
      </c>
      <c r="BD91" s="375">
        <v>7.6249999999999998E-2</v>
      </c>
      <c r="BE91" s="375">
        <v>6.8750000000000006E-2</v>
      </c>
      <c r="BF91" s="375">
        <v>7.1249999999999994E-2</v>
      </c>
      <c r="BG91" s="375">
        <v>3.7499999999999999E-2</v>
      </c>
      <c r="BH91" s="375">
        <v>8.2799999999999999E-2</v>
      </c>
      <c r="BI91" s="373">
        <f t="shared" si="11"/>
        <v>6.6599999999999993E-2</v>
      </c>
      <c r="BJ91" s="378"/>
      <c r="BK91" s="375"/>
      <c r="BL91" s="375"/>
      <c r="BM91" s="375"/>
      <c r="BN91" s="375">
        <v>5.2499999999999998E-2</v>
      </c>
      <c r="BO91" s="375">
        <v>6.25E-2</v>
      </c>
      <c r="BP91" s="375">
        <v>3.3750000000000002E-2</v>
      </c>
      <c r="BQ91" s="377">
        <v>7.8200000000000006E-2</v>
      </c>
      <c r="BR91" s="380">
        <f t="shared" si="12"/>
        <v>5.6737499999999996E-2</v>
      </c>
      <c r="BT91" s="367">
        <v>46522</v>
      </c>
      <c r="BU91" s="375">
        <f t="shared" si="13"/>
        <v>3.5999999999999997E-2</v>
      </c>
      <c r="BV91" s="375">
        <f t="shared" si="14"/>
        <v>4.5571428571428575E-2</v>
      </c>
      <c r="BW91" s="377">
        <f t="shared" si="15"/>
        <v>3.5999999999999997E-2</v>
      </c>
    </row>
    <row r="92" spans="1:75" x14ac:dyDescent="0.15">
      <c r="A92" s="356"/>
      <c r="B92" s="355"/>
      <c r="C92" s="355"/>
      <c r="D92" s="355"/>
      <c r="E92" s="355"/>
      <c r="F92" s="355"/>
      <c r="G92" s="355"/>
      <c r="O92" s="356"/>
      <c r="P92" s="355"/>
      <c r="Q92" s="355"/>
      <c r="R92" s="355"/>
      <c r="S92" s="355"/>
      <c r="T92" s="355"/>
      <c r="U92" s="355"/>
      <c r="V92" s="355"/>
      <c r="W92" s="355"/>
      <c r="AG92" s="355"/>
      <c r="AH92" s="355"/>
      <c r="AI92" s="355"/>
      <c r="AJ92" s="355"/>
      <c r="AK92" s="355"/>
      <c r="AL92" s="355"/>
      <c r="AM92" s="355"/>
      <c r="AU92" s="379">
        <v>46553</v>
      </c>
      <c r="AV92" s="375"/>
      <c r="AW92" s="375"/>
      <c r="AX92" s="375"/>
      <c r="AY92" s="375"/>
      <c r="AZ92" s="375"/>
      <c r="BA92" s="375">
        <v>5.8749999999999997E-2</v>
      </c>
      <c r="BB92" s="375">
        <v>6.6250000000000003E-2</v>
      </c>
      <c r="BC92" s="375">
        <v>7.1249999999999994E-2</v>
      </c>
      <c r="BD92" s="375">
        <v>7.6249999999999998E-2</v>
      </c>
      <c r="BE92" s="375">
        <v>6.8750000000000006E-2</v>
      </c>
      <c r="BF92" s="375">
        <v>7.1249999999999994E-2</v>
      </c>
      <c r="BG92" s="375">
        <v>3.7499999999999999E-2</v>
      </c>
      <c r="BH92" s="375">
        <v>8.2799999999999999E-2</v>
      </c>
      <c r="BI92" s="373">
        <f t="shared" si="11"/>
        <v>6.6599999999999993E-2</v>
      </c>
      <c r="BJ92" s="378"/>
      <c r="BK92" s="375"/>
      <c r="BL92" s="375"/>
      <c r="BM92" s="375"/>
      <c r="BN92" s="375">
        <v>5.2499999999999998E-2</v>
      </c>
      <c r="BO92" s="375">
        <v>6.25E-2</v>
      </c>
      <c r="BP92" s="375">
        <v>3.3750000000000002E-2</v>
      </c>
      <c r="BQ92" s="377">
        <v>7.8200000000000006E-2</v>
      </c>
      <c r="BR92" s="380">
        <f t="shared" si="12"/>
        <v>5.6737499999999996E-2</v>
      </c>
      <c r="BT92" s="367">
        <v>46553</v>
      </c>
      <c r="BU92" s="375">
        <f t="shared" si="13"/>
        <v>3.5999999999999997E-2</v>
      </c>
      <c r="BV92" s="375">
        <f t="shared" si="14"/>
        <v>4.5571428571428575E-2</v>
      </c>
      <c r="BW92" s="377">
        <f t="shared" si="15"/>
        <v>3.5999999999999997E-2</v>
      </c>
    </row>
    <row r="93" spans="1:75" x14ac:dyDescent="0.15">
      <c r="A93" s="356"/>
      <c r="B93" s="355"/>
      <c r="C93" s="355"/>
      <c r="D93" s="355"/>
      <c r="E93" s="355"/>
      <c r="F93" s="355"/>
      <c r="G93" s="355"/>
      <c r="O93" s="356"/>
      <c r="P93" s="355"/>
      <c r="Q93" s="355"/>
      <c r="R93" s="355"/>
      <c r="S93" s="355"/>
      <c r="T93" s="355"/>
      <c r="U93" s="355"/>
      <c r="V93" s="355"/>
      <c r="W93" s="355"/>
      <c r="AG93" s="355"/>
      <c r="AH93" s="355"/>
      <c r="AI93" s="355"/>
      <c r="AJ93" s="355"/>
      <c r="AK93" s="355"/>
      <c r="AL93" s="355"/>
      <c r="AM93" s="355"/>
      <c r="AU93" s="379">
        <v>46583</v>
      </c>
      <c r="AV93" s="375"/>
      <c r="AW93" s="375"/>
      <c r="AX93" s="375"/>
      <c r="AY93" s="375"/>
      <c r="AZ93" s="375"/>
      <c r="BA93" s="375">
        <v>5.8749999999999997E-2</v>
      </c>
      <c r="BB93" s="375">
        <v>6.6250000000000003E-2</v>
      </c>
      <c r="BC93" s="375">
        <v>7.1249999999999994E-2</v>
      </c>
      <c r="BD93" s="375">
        <v>7.6249999999999998E-2</v>
      </c>
      <c r="BE93" s="375">
        <v>6.8750000000000006E-2</v>
      </c>
      <c r="BF93" s="375">
        <v>7.1249999999999994E-2</v>
      </c>
      <c r="BG93" s="375">
        <v>3.7499999999999999E-2</v>
      </c>
      <c r="BH93" s="375">
        <v>8.2799999999999999E-2</v>
      </c>
      <c r="BI93" s="373">
        <f t="shared" si="11"/>
        <v>6.6599999999999993E-2</v>
      </c>
      <c r="BJ93" s="378"/>
      <c r="BK93" s="375"/>
      <c r="BL93" s="375"/>
      <c r="BM93" s="375"/>
      <c r="BN93" s="375">
        <v>5.2499999999999998E-2</v>
      </c>
      <c r="BO93" s="375">
        <v>6.25E-2</v>
      </c>
      <c r="BP93" s="375">
        <v>3.3750000000000002E-2</v>
      </c>
      <c r="BQ93" s="377">
        <v>7.8200000000000006E-2</v>
      </c>
      <c r="BR93" s="380">
        <f t="shared" si="12"/>
        <v>5.6737499999999996E-2</v>
      </c>
      <c r="BT93" s="367">
        <v>46583</v>
      </c>
      <c r="BU93" s="375">
        <f t="shared" si="13"/>
        <v>3.5999999999999997E-2</v>
      </c>
      <c r="BV93" s="375">
        <f t="shared" si="14"/>
        <v>4.5571428571428575E-2</v>
      </c>
      <c r="BW93" s="377">
        <f t="shared" si="15"/>
        <v>3.5999999999999997E-2</v>
      </c>
    </row>
    <row r="94" spans="1:75" x14ac:dyDescent="0.15">
      <c r="A94" s="356"/>
      <c r="B94" s="355"/>
      <c r="C94" s="355"/>
      <c r="D94" s="355"/>
      <c r="E94" s="355"/>
      <c r="F94" s="355"/>
      <c r="G94" s="355"/>
      <c r="O94" s="356"/>
      <c r="P94" s="355"/>
      <c r="Q94" s="355"/>
      <c r="R94" s="355"/>
      <c r="S94" s="355"/>
      <c r="T94" s="355"/>
      <c r="U94" s="355"/>
      <c r="V94" s="355"/>
      <c r="W94" s="355"/>
      <c r="AG94" s="355"/>
      <c r="AH94" s="355"/>
      <c r="AI94" s="355"/>
      <c r="AJ94" s="355"/>
      <c r="AK94" s="355"/>
      <c r="AL94" s="355"/>
      <c r="AM94" s="355"/>
      <c r="AU94" s="379">
        <v>46614</v>
      </c>
      <c r="AV94" s="375"/>
      <c r="AW94" s="375"/>
      <c r="AX94" s="375"/>
      <c r="AY94" s="375"/>
      <c r="AZ94" s="375"/>
      <c r="BA94" s="375">
        <v>5.8749999999999997E-2</v>
      </c>
      <c r="BB94" s="375">
        <v>6.6250000000000003E-2</v>
      </c>
      <c r="BC94" s="375">
        <v>7.1249999999999994E-2</v>
      </c>
      <c r="BD94" s="375">
        <v>7.6249999999999998E-2</v>
      </c>
      <c r="BE94" s="375">
        <v>6.8750000000000006E-2</v>
      </c>
      <c r="BF94" s="375">
        <v>7.1249999999999994E-2</v>
      </c>
      <c r="BG94" s="375">
        <v>3.7499999999999999E-2</v>
      </c>
      <c r="BH94" s="375">
        <v>8.2799999999999999E-2</v>
      </c>
      <c r="BI94" s="373">
        <f t="shared" si="11"/>
        <v>6.6599999999999993E-2</v>
      </c>
      <c r="BJ94" s="378"/>
      <c r="BK94" s="375"/>
      <c r="BL94" s="375"/>
      <c r="BM94" s="375"/>
      <c r="BN94" s="375">
        <v>5.2499999999999998E-2</v>
      </c>
      <c r="BO94" s="375">
        <v>6.25E-2</v>
      </c>
      <c r="BP94" s="375">
        <v>3.3750000000000002E-2</v>
      </c>
      <c r="BQ94" s="377">
        <v>7.8200000000000006E-2</v>
      </c>
      <c r="BR94" s="380">
        <f t="shared" si="12"/>
        <v>5.6737499999999996E-2</v>
      </c>
      <c r="BT94" s="367">
        <v>46614</v>
      </c>
      <c r="BU94" s="375">
        <f t="shared" si="13"/>
        <v>3.5999999999999997E-2</v>
      </c>
      <c r="BV94" s="375">
        <f t="shared" si="14"/>
        <v>4.5571428571428575E-2</v>
      </c>
      <c r="BW94" s="377">
        <f t="shared" si="15"/>
        <v>3.5999999999999997E-2</v>
      </c>
    </row>
    <row r="95" spans="1:75" x14ac:dyDescent="0.15">
      <c r="A95" s="356"/>
      <c r="B95" s="355"/>
      <c r="C95" s="355"/>
      <c r="D95" s="355"/>
      <c r="E95" s="355"/>
      <c r="F95" s="355"/>
      <c r="G95" s="355"/>
      <c r="O95" s="356"/>
      <c r="P95" s="355"/>
      <c r="Q95" s="355"/>
      <c r="R95" s="355"/>
      <c r="S95" s="355"/>
      <c r="T95" s="355"/>
      <c r="U95" s="355"/>
      <c r="V95" s="355"/>
      <c r="W95" s="355"/>
      <c r="AG95" s="355"/>
      <c r="AH95" s="355"/>
      <c r="AI95" s="355"/>
      <c r="AJ95" s="355"/>
      <c r="AK95" s="355"/>
      <c r="AL95" s="355"/>
      <c r="AM95" s="355"/>
      <c r="AU95" s="379">
        <v>46645</v>
      </c>
      <c r="AV95" s="375"/>
      <c r="AW95" s="375"/>
      <c r="AX95" s="375"/>
      <c r="AY95" s="375"/>
      <c r="AZ95" s="375"/>
      <c r="BA95" s="375">
        <v>5.8749999999999997E-2</v>
      </c>
      <c r="BB95" s="375">
        <v>6.6250000000000003E-2</v>
      </c>
      <c r="BC95" s="375">
        <v>7.1249999999999994E-2</v>
      </c>
      <c r="BD95" s="375">
        <v>7.6249999999999998E-2</v>
      </c>
      <c r="BE95" s="375">
        <v>6.8750000000000006E-2</v>
      </c>
      <c r="BF95" s="375">
        <v>7.1249999999999994E-2</v>
      </c>
      <c r="BG95" s="375">
        <v>3.7499999999999999E-2</v>
      </c>
      <c r="BH95" s="375">
        <v>8.2799999999999999E-2</v>
      </c>
      <c r="BI95" s="373">
        <f t="shared" si="11"/>
        <v>6.6599999999999993E-2</v>
      </c>
      <c r="BJ95" s="378"/>
      <c r="BK95" s="375"/>
      <c r="BL95" s="375"/>
      <c r="BM95" s="375"/>
      <c r="BN95" s="375">
        <v>5.2499999999999998E-2</v>
      </c>
      <c r="BO95" s="375">
        <v>6.25E-2</v>
      </c>
      <c r="BP95" s="375">
        <v>3.3750000000000002E-2</v>
      </c>
      <c r="BQ95" s="377">
        <v>7.8200000000000006E-2</v>
      </c>
      <c r="BR95" s="380">
        <f t="shared" si="12"/>
        <v>5.6737499999999996E-2</v>
      </c>
      <c r="BT95" s="367">
        <v>46645</v>
      </c>
      <c r="BU95" s="375">
        <f t="shared" si="13"/>
        <v>3.5999999999999997E-2</v>
      </c>
      <c r="BV95" s="375">
        <f t="shared" si="14"/>
        <v>4.5571428571428575E-2</v>
      </c>
      <c r="BW95" s="377">
        <f t="shared" si="15"/>
        <v>3.5999999999999997E-2</v>
      </c>
    </row>
    <row r="96" spans="1:75" x14ac:dyDescent="0.15">
      <c r="A96" s="356"/>
      <c r="B96" s="355"/>
      <c r="C96" s="355"/>
      <c r="D96" s="355"/>
      <c r="E96" s="355"/>
      <c r="F96" s="355"/>
      <c r="G96" s="355"/>
      <c r="O96" s="356"/>
      <c r="P96" s="355"/>
      <c r="Q96" s="355"/>
      <c r="R96" s="355"/>
      <c r="S96" s="355"/>
      <c r="T96" s="355"/>
      <c r="U96" s="355"/>
      <c r="V96" s="355"/>
      <c r="W96" s="355"/>
      <c r="AG96" s="355"/>
      <c r="AH96" s="355"/>
      <c r="AI96" s="355"/>
      <c r="AJ96" s="355"/>
      <c r="AK96" s="355"/>
      <c r="AL96" s="355"/>
      <c r="AM96" s="355"/>
      <c r="AU96" s="379">
        <v>46675</v>
      </c>
      <c r="AV96" s="375"/>
      <c r="AW96" s="375"/>
      <c r="AX96" s="375"/>
      <c r="AY96" s="375"/>
      <c r="AZ96" s="375"/>
      <c r="BA96" s="375">
        <v>5.8749999999999997E-2</v>
      </c>
      <c r="BB96" s="375">
        <v>6.6250000000000003E-2</v>
      </c>
      <c r="BC96" s="375">
        <v>7.1249999999999994E-2</v>
      </c>
      <c r="BD96" s="375">
        <v>7.6249999999999998E-2</v>
      </c>
      <c r="BE96" s="375">
        <v>6.8750000000000006E-2</v>
      </c>
      <c r="BF96" s="375">
        <v>7.1249999999999994E-2</v>
      </c>
      <c r="BG96" s="375">
        <v>3.7499999999999999E-2</v>
      </c>
      <c r="BH96" s="375">
        <v>8.2799999999999999E-2</v>
      </c>
      <c r="BI96" s="373">
        <f t="shared" si="11"/>
        <v>6.6599999999999993E-2</v>
      </c>
      <c r="BJ96" s="378"/>
      <c r="BK96" s="375"/>
      <c r="BL96" s="375"/>
      <c r="BM96" s="375"/>
      <c r="BN96" s="375">
        <v>5.2499999999999998E-2</v>
      </c>
      <c r="BO96" s="375">
        <v>6.25E-2</v>
      </c>
      <c r="BP96" s="375">
        <v>3.3750000000000002E-2</v>
      </c>
      <c r="BQ96" s="377">
        <v>7.8200000000000006E-2</v>
      </c>
      <c r="BR96" s="380">
        <f t="shared" si="12"/>
        <v>5.6737499999999996E-2</v>
      </c>
      <c r="BT96" s="367">
        <v>46675</v>
      </c>
      <c r="BU96" s="375">
        <f t="shared" si="13"/>
        <v>3.5999999999999997E-2</v>
      </c>
      <c r="BV96" s="375">
        <f t="shared" si="14"/>
        <v>4.5571428571428575E-2</v>
      </c>
      <c r="BW96" s="377">
        <f t="shared" si="15"/>
        <v>3.5999999999999997E-2</v>
      </c>
    </row>
    <row r="97" spans="1:75" x14ac:dyDescent="0.15">
      <c r="A97" s="356"/>
      <c r="B97" s="355"/>
      <c r="C97" s="355"/>
      <c r="D97" s="355"/>
      <c r="E97" s="355"/>
      <c r="F97" s="355"/>
      <c r="G97" s="355"/>
      <c r="O97" s="356"/>
      <c r="P97" s="355"/>
      <c r="Q97" s="355"/>
      <c r="R97" s="355"/>
      <c r="S97" s="355"/>
      <c r="T97" s="355"/>
      <c r="U97" s="355"/>
      <c r="V97" s="355"/>
      <c r="W97" s="355"/>
      <c r="AG97" s="355"/>
      <c r="AH97" s="355"/>
      <c r="AI97" s="355"/>
      <c r="AJ97" s="355"/>
      <c r="AK97" s="355"/>
      <c r="AL97" s="355"/>
      <c r="AM97" s="355"/>
      <c r="AU97" s="379">
        <v>46706</v>
      </c>
      <c r="AV97" s="375"/>
      <c r="AW97" s="375"/>
      <c r="AX97" s="375"/>
      <c r="AY97" s="375"/>
      <c r="AZ97" s="375"/>
      <c r="BA97" s="375">
        <v>5.8749999999999997E-2</v>
      </c>
      <c r="BB97" s="375">
        <v>6.6250000000000003E-2</v>
      </c>
      <c r="BC97" s="375">
        <v>7.1249999999999994E-2</v>
      </c>
      <c r="BD97" s="375">
        <v>7.6249999999999998E-2</v>
      </c>
      <c r="BE97" s="375">
        <v>6.8750000000000006E-2</v>
      </c>
      <c r="BF97" s="375">
        <v>7.1249999999999994E-2</v>
      </c>
      <c r="BG97" s="375">
        <v>3.7499999999999999E-2</v>
      </c>
      <c r="BH97" s="375">
        <v>8.2799999999999999E-2</v>
      </c>
      <c r="BI97" s="373">
        <f t="shared" si="11"/>
        <v>6.6599999999999993E-2</v>
      </c>
      <c r="BJ97" s="378"/>
      <c r="BK97" s="375"/>
      <c r="BL97" s="375"/>
      <c r="BM97" s="375"/>
      <c r="BN97" s="375">
        <v>5.2499999999999998E-2</v>
      </c>
      <c r="BO97" s="375">
        <v>6.25E-2</v>
      </c>
      <c r="BP97" s="375">
        <v>3.3750000000000002E-2</v>
      </c>
      <c r="BQ97" s="377">
        <v>7.8200000000000006E-2</v>
      </c>
      <c r="BR97" s="380">
        <f t="shared" si="12"/>
        <v>5.6737499999999996E-2</v>
      </c>
      <c r="BT97" s="367">
        <v>46706</v>
      </c>
      <c r="BU97" s="375">
        <f t="shared" si="13"/>
        <v>3.5999999999999997E-2</v>
      </c>
      <c r="BV97" s="375">
        <f t="shared" si="14"/>
        <v>4.5571428571428575E-2</v>
      </c>
      <c r="BW97" s="377">
        <f t="shared" si="15"/>
        <v>3.5999999999999997E-2</v>
      </c>
    </row>
    <row r="98" spans="1:75" x14ac:dyDescent="0.15">
      <c r="A98" s="356"/>
      <c r="B98" s="355"/>
      <c r="C98" s="355"/>
      <c r="D98" s="355"/>
      <c r="E98" s="355"/>
      <c r="F98" s="355"/>
      <c r="G98" s="355"/>
      <c r="O98" s="356"/>
      <c r="P98" s="355"/>
      <c r="Q98" s="355"/>
      <c r="R98" s="355"/>
      <c r="S98" s="355"/>
      <c r="T98" s="355"/>
      <c r="U98" s="355"/>
      <c r="V98" s="355"/>
      <c r="W98" s="355"/>
      <c r="AG98" s="355"/>
      <c r="AH98" s="355"/>
      <c r="AI98" s="355"/>
      <c r="AJ98" s="355"/>
      <c r="AK98" s="355"/>
      <c r="AL98" s="355"/>
      <c r="AM98" s="355"/>
      <c r="AU98" s="379">
        <v>46736</v>
      </c>
      <c r="AV98" s="375"/>
      <c r="AW98" s="375"/>
      <c r="AX98" s="375"/>
      <c r="AY98" s="375"/>
      <c r="AZ98" s="375"/>
      <c r="BA98" s="375">
        <v>5.8749999999999997E-2</v>
      </c>
      <c r="BB98" s="375">
        <v>6.6250000000000003E-2</v>
      </c>
      <c r="BC98" s="375">
        <v>7.1249999999999994E-2</v>
      </c>
      <c r="BD98" s="375">
        <v>7.6249999999999998E-2</v>
      </c>
      <c r="BE98" s="375">
        <v>6.8750000000000006E-2</v>
      </c>
      <c r="BF98" s="375">
        <v>7.1249999999999994E-2</v>
      </c>
      <c r="BG98" s="375">
        <v>3.7499999999999999E-2</v>
      </c>
      <c r="BH98" s="375">
        <v>8.2799999999999999E-2</v>
      </c>
      <c r="BI98" s="373">
        <f t="shared" si="11"/>
        <v>6.6599999999999993E-2</v>
      </c>
      <c r="BJ98" s="378"/>
      <c r="BK98" s="375"/>
      <c r="BL98" s="375"/>
      <c r="BM98" s="375"/>
      <c r="BN98" s="375">
        <v>5.2499999999999998E-2</v>
      </c>
      <c r="BO98" s="375">
        <v>6.25E-2</v>
      </c>
      <c r="BP98" s="375">
        <v>3.3750000000000002E-2</v>
      </c>
      <c r="BQ98" s="377">
        <v>7.8200000000000006E-2</v>
      </c>
      <c r="BR98" s="380">
        <f t="shared" si="12"/>
        <v>5.6737499999999996E-2</v>
      </c>
      <c r="BT98" s="367">
        <v>46736</v>
      </c>
      <c r="BU98" s="375">
        <f t="shared" si="13"/>
        <v>3.5999999999999997E-2</v>
      </c>
      <c r="BV98" s="375">
        <f t="shared" si="14"/>
        <v>4.5571428571428575E-2</v>
      </c>
      <c r="BW98" s="377">
        <f t="shared" si="15"/>
        <v>3.5999999999999997E-2</v>
      </c>
    </row>
    <row r="99" spans="1:75" x14ac:dyDescent="0.15">
      <c r="A99" s="356"/>
      <c r="B99" s="355"/>
      <c r="C99" s="355"/>
      <c r="D99" s="355"/>
      <c r="E99" s="355"/>
      <c r="F99" s="355"/>
      <c r="G99" s="355"/>
      <c r="O99" s="356"/>
      <c r="P99" s="355"/>
      <c r="Q99" s="355"/>
      <c r="R99" s="355"/>
      <c r="S99" s="355"/>
      <c r="T99" s="355"/>
      <c r="U99" s="355"/>
      <c r="V99" s="355"/>
      <c r="W99" s="355"/>
      <c r="AG99" s="355"/>
      <c r="AH99" s="355"/>
      <c r="AI99" s="355"/>
      <c r="AJ99" s="355"/>
      <c r="AK99" s="355"/>
      <c r="AL99" s="355"/>
      <c r="AM99" s="355"/>
      <c r="AU99" s="379">
        <v>46767</v>
      </c>
      <c r="AV99" s="375"/>
      <c r="AW99" s="375"/>
      <c r="AX99" s="375"/>
      <c r="AY99" s="375"/>
      <c r="AZ99" s="375"/>
      <c r="BA99" s="375"/>
      <c r="BB99" s="375">
        <v>6.6250000000000003E-2</v>
      </c>
      <c r="BC99" s="375">
        <v>7.1249999999999994E-2</v>
      </c>
      <c r="BD99" s="375">
        <v>7.6249999999999998E-2</v>
      </c>
      <c r="BE99" s="375">
        <v>6.8750000000000006E-2</v>
      </c>
      <c r="BF99" s="375">
        <v>7.1249999999999994E-2</v>
      </c>
      <c r="BG99" s="375">
        <v>3.7499999999999999E-2</v>
      </c>
      <c r="BH99" s="375">
        <v>8.2799999999999999E-2</v>
      </c>
      <c r="BI99" s="373">
        <f t="shared" si="11"/>
        <v>6.7721428571428557E-2</v>
      </c>
      <c r="BJ99" s="378"/>
      <c r="BK99" s="375"/>
      <c r="BL99" s="375"/>
      <c r="BM99" s="375"/>
      <c r="BN99" s="375">
        <v>5.2499999999999998E-2</v>
      </c>
      <c r="BO99" s="375">
        <v>6.25E-2</v>
      </c>
      <c r="BP99" s="375">
        <v>3.3750000000000002E-2</v>
      </c>
      <c r="BQ99" s="377">
        <v>7.8200000000000006E-2</v>
      </c>
      <c r="BR99" s="380">
        <f t="shared" si="12"/>
        <v>5.6737499999999996E-2</v>
      </c>
      <c r="BT99" s="367">
        <v>46767</v>
      </c>
      <c r="BU99" s="375">
        <f t="shared" si="13"/>
        <v>3.5999999999999997E-2</v>
      </c>
      <c r="BV99" s="375">
        <f t="shared" si="14"/>
        <v>5.0666666666666665E-2</v>
      </c>
      <c r="BW99" s="377">
        <f t="shared" si="15"/>
        <v>3.7999999999999999E-2</v>
      </c>
    </row>
    <row r="100" spans="1:75" x14ac:dyDescent="0.15">
      <c r="A100" s="356"/>
      <c r="B100" s="355"/>
      <c r="C100" s="355"/>
      <c r="D100" s="355"/>
      <c r="E100" s="355"/>
      <c r="F100" s="355"/>
      <c r="G100" s="355"/>
      <c r="O100" s="356"/>
      <c r="P100" s="355"/>
      <c r="Q100" s="355"/>
      <c r="R100" s="355"/>
      <c r="S100" s="355"/>
      <c r="T100" s="355"/>
      <c r="U100" s="355"/>
      <c r="V100" s="355"/>
      <c r="W100" s="355"/>
      <c r="AG100" s="355"/>
      <c r="AH100" s="355"/>
      <c r="AI100" s="355"/>
      <c r="AJ100" s="355"/>
      <c r="AK100" s="355"/>
      <c r="AL100" s="355"/>
      <c r="AM100" s="355"/>
      <c r="AU100" s="379">
        <v>46798</v>
      </c>
      <c r="AV100" s="375"/>
      <c r="AW100" s="375"/>
      <c r="AX100" s="375"/>
      <c r="AY100" s="375"/>
      <c r="AZ100" s="375"/>
      <c r="BA100" s="375"/>
      <c r="BB100" s="375">
        <v>6.6250000000000003E-2</v>
      </c>
      <c r="BC100" s="375">
        <v>7.1249999999999994E-2</v>
      </c>
      <c r="BD100" s="375">
        <v>7.6249999999999998E-2</v>
      </c>
      <c r="BE100" s="375">
        <v>6.8750000000000006E-2</v>
      </c>
      <c r="BF100" s="375">
        <v>7.1249999999999994E-2</v>
      </c>
      <c r="BG100" s="375">
        <v>3.7499999999999999E-2</v>
      </c>
      <c r="BH100" s="375">
        <v>8.2799999999999999E-2</v>
      </c>
      <c r="BI100" s="373">
        <f t="shared" si="11"/>
        <v>6.7721428571428557E-2</v>
      </c>
      <c r="BJ100" s="378"/>
      <c r="BK100" s="375"/>
      <c r="BL100" s="375"/>
      <c r="BM100" s="375"/>
      <c r="BN100" s="375"/>
      <c r="BO100" s="375">
        <v>6.25E-2</v>
      </c>
      <c r="BP100" s="375">
        <v>3.3750000000000002E-2</v>
      </c>
      <c r="BQ100" s="377">
        <v>7.8200000000000006E-2</v>
      </c>
      <c r="BR100" s="380">
        <f t="shared" si="12"/>
        <v>5.815E-2</v>
      </c>
      <c r="BT100" s="367">
        <v>46798</v>
      </c>
      <c r="BU100" s="375">
        <f t="shared" si="13"/>
        <v>3.5999999999999997E-2</v>
      </c>
      <c r="BV100" s="375">
        <f t="shared" si="14"/>
        <v>5.0666666666666665E-2</v>
      </c>
      <c r="BW100" s="377">
        <f t="shared" si="15"/>
        <v>3.7999999999999999E-2</v>
      </c>
    </row>
    <row r="101" spans="1:75" x14ac:dyDescent="0.15">
      <c r="A101" s="356"/>
      <c r="B101" s="355"/>
      <c r="C101" s="355"/>
      <c r="D101" s="355"/>
      <c r="E101" s="355"/>
      <c r="F101" s="355"/>
      <c r="G101" s="355"/>
      <c r="O101" s="356"/>
      <c r="P101" s="355"/>
      <c r="Q101" s="355"/>
      <c r="R101" s="355"/>
      <c r="S101" s="355"/>
      <c r="T101" s="355"/>
      <c r="U101" s="355"/>
      <c r="V101" s="355"/>
      <c r="W101" s="355"/>
      <c r="AG101" s="355"/>
      <c r="AH101" s="355"/>
      <c r="AI101" s="355"/>
      <c r="AJ101" s="355"/>
      <c r="AK101" s="355"/>
      <c r="AL101" s="355"/>
      <c r="AM101" s="355"/>
      <c r="AU101" s="379">
        <v>46827</v>
      </c>
      <c r="AV101" s="375"/>
      <c r="AW101" s="375"/>
      <c r="AX101" s="375"/>
      <c r="AY101" s="375"/>
      <c r="AZ101" s="375"/>
      <c r="BA101" s="375"/>
      <c r="BB101" s="375">
        <v>6.6250000000000003E-2</v>
      </c>
      <c r="BC101" s="375">
        <v>7.1249999999999994E-2</v>
      </c>
      <c r="BD101" s="375">
        <v>7.6249999999999998E-2</v>
      </c>
      <c r="BE101" s="375">
        <v>6.8750000000000006E-2</v>
      </c>
      <c r="BF101" s="375">
        <v>7.1249999999999994E-2</v>
      </c>
      <c r="BG101" s="375">
        <v>3.7499999999999999E-2</v>
      </c>
      <c r="BH101" s="375">
        <v>8.2799999999999999E-2</v>
      </c>
      <c r="BI101" s="373">
        <f t="shared" si="11"/>
        <v>6.7721428571428557E-2</v>
      </c>
      <c r="BJ101" s="378"/>
      <c r="BK101" s="375"/>
      <c r="BL101" s="375"/>
      <c r="BM101" s="375"/>
      <c r="BN101" s="375"/>
      <c r="BO101" s="375">
        <v>6.25E-2</v>
      </c>
      <c r="BP101" s="375">
        <v>3.3750000000000002E-2</v>
      </c>
      <c r="BQ101" s="377">
        <v>7.8200000000000006E-2</v>
      </c>
      <c r="BR101" s="380">
        <f t="shared" si="12"/>
        <v>5.815E-2</v>
      </c>
      <c r="BT101" s="367">
        <v>46827</v>
      </c>
      <c r="BU101" s="375">
        <f t="shared" si="13"/>
        <v>3.5999999999999997E-2</v>
      </c>
      <c r="BV101" s="375">
        <f t="shared" si="14"/>
        <v>5.0666666666666665E-2</v>
      </c>
      <c r="BW101" s="377">
        <f t="shared" si="15"/>
        <v>3.7999999999999999E-2</v>
      </c>
    </row>
    <row r="102" spans="1:75" x14ac:dyDescent="0.15">
      <c r="A102" s="356"/>
      <c r="B102" s="355"/>
      <c r="C102" s="355"/>
      <c r="D102" s="355"/>
      <c r="E102" s="355"/>
      <c r="F102" s="355"/>
      <c r="G102" s="355"/>
      <c r="O102" s="356"/>
      <c r="P102" s="355"/>
      <c r="Q102" s="355"/>
      <c r="R102" s="355"/>
      <c r="S102" s="355"/>
      <c r="T102" s="355"/>
      <c r="U102" s="355"/>
      <c r="V102" s="355"/>
      <c r="W102" s="355"/>
      <c r="AG102" s="355"/>
      <c r="AH102" s="355"/>
      <c r="AI102" s="355"/>
      <c r="AJ102" s="355"/>
      <c r="AK102" s="355"/>
      <c r="AL102" s="355"/>
      <c r="AM102" s="355"/>
      <c r="AU102" s="379">
        <v>46858</v>
      </c>
      <c r="AV102" s="375"/>
      <c r="AW102" s="375"/>
      <c r="AX102" s="375"/>
      <c r="AY102" s="375"/>
      <c r="AZ102" s="375"/>
      <c r="BA102" s="375"/>
      <c r="BB102" s="375">
        <v>6.6250000000000003E-2</v>
      </c>
      <c r="BC102" s="375">
        <v>7.1249999999999994E-2</v>
      </c>
      <c r="BD102" s="375">
        <v>7.6249999999999998E-2</v>
      </c>
      <c r="BE102" s="375">
        <v>6.8750000000000006E-2</v>
      </c>
      <c r="BF102" s="375">
        <v>7.1249999999999994E-2</v>
      </c>
      <c r="BG102" s="375">
        <v>3.7499999999999999E-2</v>
      </c>
      <c r="BH102" s="375">
        <v>8.2799999999999999E-2</v>
      </c>
      <c r="BI102" s="373">
        <f t="shared" si="11"/>
        <v>6.7721428571428557E-2</v>
      </c>
      <c r="BJ102" s="378"/>
      <c r="BK102" s="375"/>
      <c r="BL102" s="375"/>
      <c r="BM102" s="375"/>
      <c r="BN102" s="375"/>
      <c r="BO102" s="375">
        <v>6.25E-2</v>
      </c>
      <c r="BP102" s="375">
        <v>3.3750000000000002E-2</v>
      </c>
      <c r="BQ102" s="377">
        <v>7.8200000000000006E-2</v>
      </c>
      <c r="BR102" s="380">
        <f t="shared" si="12"/>
        <v>5.815E-2</v>
      </c>
      <c r="BT102" s="367">
        <v>46858</v>
      </c>
      <c r="BU102" s="375">
        <f t="shared" si="13"/>
        <v>3.5999999999999997E-2</v>
      </c>
      <c r="BV102" s="375">
        <f t="shared" si="14"/>
        <v>5.0666666666666665E-2</v>
      </c>
      <c r="BW102" s="377">
        <f t="shared" si="15"/>
        <v>3.7999999999999999E-2</v>
      </c>
    </row>
    <row r="103" spans="1:75" x14ac:dyDescent="0.15">
      <c r="A103" s="356"/>
      <c r="B103" s="355"/>
      <c r="C103" s="355"/>
      <c r="D103" s="355"/>
      <c r="E103" s="355"/>
      <c r="F103" s="355"/>
      <c r="G103" s="355"/>
      <c r="O103" s="356"/>
      <c r="P103" s="355"/>
      <c r="Q103" s="355"/>
      <c r="R103" s="355"/>
      <c r="S103" s="355"/>
      <c r="T103" s="355"/>
      <c r="U103" s="355"/>
      <c r="V103" s="355"/>
      <c r="W103" s="355"/>
      <c r="AG103" s="355"/>
      <c r="AH103" s="355"/>
      <c r="AI103" s="355"/>
      <c r="AJ103" s="355"/>
      <c r="AK103" s="355"/>
      <c r="AL103" s="355"/>
      <c r="AM103" s="355"/>
      <c r="AU103" s="379">
        <v>46888</v>
      </c>
      <c r="AV103" s="375"/>
      <c r="AW103" s="375"/>
      <c r="AX103" s="375"/>
      <c r="AY103" s="375"/>
      <c r="AZ103" s="375"/>
      <c r="BA103" s="375"/>
      <c r="BB103" s="375">
        <v>6.6250000000000003E-2</v>
      </c>
      <c r="BC103" s="375">
        <v>7.1249999999999994E-2</v>
      </c>
      <c r="BD103" s="375">
        <v>7.6249999999999998E-2</v>
      </c>
      <c r="BE103" s="375">
        <v>6.8750000000000006E-2</v>
      </c>
      <c r="BF103" s="375">
        <v>7.1249999999999994E-2</v>
      </c>
      <c r="BG103" s="375">
        <v>3.7499999999999999E-2</v>
      </c>
      <c r="BH103" s="375">
        <v>8.2799999999999999E-2</v>
      </c>
      <c r="BI103" s="373">
        <f t="shared" si="11"/>
        <v>6.7721428571428557E-2</v>
      </c>
      <c r="BJ103" s="378"/>
      <c r="BK103" s="375"/>
      <c r="BL103" s="375"/>
      <c r="BM103" s="375"/>
      <c r="BN103" s="375"/>
      <c r="BO103" s="375">
        <v>6.25E-2</v>
      </c>
      <c r="BP103" s="375">
        <v>3.3750000000000002E-2</v>
      </c>
      <c r="BQ103" s="377">
        <v>7.8200000000000006E-2</v>
      </c>
      <c r="BR103" s="380">
        <f t="shared" si="12"/>
        <v>5.815E-2</v>
      </c>
      <c r="BT103" s="367">
        <v>46888</v>
      </c>
      <c r="BU103" s="375">
        <f t="shared" si="13"/>
        <v>3.7999999999999999E-2</v>
      </c>
      <c r="BV103" s="375">
        <f t="shared" si="14"/>
        <v>5.0666666666666665E-2</v>
      </c>
      <c r="BW103" s="377">
        <f t="shared" si="15"/>
        <v>3.7999999999999999E-2</v>
      </c>
    </row>
    <row r="104" spans="1:75" x14ac:dyDescent="0.15">
      <c r="A104" s="356"/>
      <c r="B104" s="355"/>
      <c r="C104" s="355"/>
      <c r="D104" s="355"/>
      <c r="E104" s="355"/>
      <c r="F104" s="355"/>
      <c r="G104" s="355"/>
      <c r="O104" s="356"/>
      <c r="P104" s="355"/>
      <c r="Q104" s="355"/>
      <c r="R104" s="355"/>
      <c r="S104" s="355"/>
      <c r="T104" s="355"/>
      <c r="U104" s="355"/>
      <c r="V104" s="355"/>
      <c r="W104" s="355"/>
      <c r="AG104" s="355"/>
      <c r="AH104" s="355"/>
      <c r="AI104" s="355"/>
      <c r="AJ104" s="355"/>
      <c r="AK104" s="355"/>
      <c r="AL104" s="355"/>
      <c r="AM104" s="355"/>
      <c r="AU104" s="379">
        <v>46919</v>
      </c>
      <c r="AV104" s="375"/>
      <c r="AW104" s="375"/>
      <c r="AX104" s="375"/>
      <c r="AY104" s="375"/>
      <c r="AZ104" s="375"/>
      <c r="BA104" s="375"/>
      <c r="BB104" s="375">
        <v>6.6250000000000003E-2</v>
      </c>
      <c r="BC104" s="375">
        <v>7.1249999999999994E-2</v>
      </c>
      <c r="BD104" s="375">
        <v>7.6249999999999998E-2</v>
      </c>
      <c r="BE104" s="375">
        <v>6.8750000000000006E-2</v>
      </c>
      <c r="BF104" s="375">
        <v>7.1249999999999994E-2</v>
      </c>
      <c r="BG104" s="375">
        <v>3.7499999999999999E-2</v>
      </c>
      <c r="BH104" s="375">
        <v>8.2799999999999999E-2</v>
      </c>
      <c r="BI104" s="373">
        <f t="shared" si="11"/>
        <v>6.7721428571428557E-2</v>
      </c>
      <c r="BJ104" s="378"/>
      <c r="BK104" s="375"/>
      <c r="BL104" s="375"/>
      <c r="BM104" s="375"/>
      <c r="BN104" s="375"/>
      <c r="BO104" s="375">
        <v>6.25E-2</v>
      </c>
      <c r="BP104" s="375">
        <v>3.3750000000000002E-2</v>
      </c>
      <c r="BQ104" s="377">
        <v>7.8200000000000006E-2</v>
      </c>
      <c r="BR104" s="380">
        <f t="shared" si="12"/>
        <v>5.815E-2</v>
      </c>
      <c r="BT104" s="367">
        <v>46919</v>
      </c>
      <c r="BU104" s="375">
        <f t="shared" si="13"/>
        <v>3.7999999999999999E-2</v>
      </c>
      <c r="BV104" s="375">
        <f t="shared" si="14"/>
        <v>5.0666666666666665E-2</v>
      </c>
      <c r="BW104" s="377">
        <f t="shared" si="15"/>
        <v>3.7999999999999999E-2</v>
      </c>
    </row>
    <row r="105" spans="1:75" x14ac:dyDescent="0.15">
      <c r="A105" s="356"/>
      <c r="B105" s="355"/>
      <c r="C105" s="355"/>
      <c r="D105" s="355"/>
      <c r="E105" s="355"/>
      <c r="F105" s="355"/>
      <c r="G105" s="355"/>
      <c r="O105" s="356"/>
      <c r="P105" s="355"/>
      <c r="Q105" s="355"/>
      <c r="R105" s="355"/>
      <c r="S105" s="355"/>
      <c r="T105" s="355"/>
      <c r="U105" s="355"/>
      <c r="V105" s="355"/>
      <c r="W105" s="355"/>
      <c r="AG105" s="355"/>
      <c r="AH105" s="355"/>
      <c r="AI105" s="355"/>
      <c r="AJ105" s="355"/>
      <c r="AK105" s="355"/>
      <c r="AL105" s="355"/>
      <c r="AM105" s="355"/>
      <c r="AU105" s="379">
        <v>46949</v>
      </c>
      <c r="AV105" s="375"/>
      <c r="AW105" s="375"/>
      <c r="AX105" s="375"/>
      <c r="AY105" s="375"/>
      <c r="AZ105" s="375"/>
      <c r="BA105" s="375"/>
      <c r="BB105" s="375"/>
      <c r="BC105" s="375">
        <v>7.1249999999999994E-2</v>
      </c>
      <c r="BD105" s="375">
        <v>7.6249999999999998E-2</v>
      </c>
      <c r="BE105" s="375">
        <v>6.8750000000000006E-2</v>
      </c>
      <c r="BF105" s="375">
        <v>7.1249999999999994E-2</v>
      </c>
      <c r="BG105" s="375">
        <v>3.7499999999999999E-2</v>
      </c>
      <c r="BH105" s="375">
        <v>8.2799999999999999E-2</v>
      </c>
      <c r="BI105" s="373">
        <f t="shared" si="11"/>
        <v>6.7966666666666661E-2</v>
      </c>
      <c r="BJ105" s="378"/>
      <c r="BK105" s="375"/>
      <c r="BL105" s="375"/>
      <c r="BM105" s="375"/>
      <c r="BN105" s="375"/>
      <c r="BO105" s="375">
        <v>6.25E-2</v>
      </c>
      <c r="BP105" s="375">
        <v>3.3750000000000002E-2</v>
      </c>
      <c r="BQ105" s="377">
        <v>7.8200000000000006E-2</v>
      </c>
      <c r="BR105" s="380">
        <f t="shared" si="12"/>
        <v>5.815E-2</v>
      </c>
      <c r="BT105" s="367">
        <v>46949</v>
      </c>
      <c r="BU105" s="375">
        <f t="shared" si="13"/>
        <v>3.7999999999999999E-2</v>
      </c>
      <c r="BV105" s="375">
        <f t="shared" si="14"/>
        <v>5.0666666666666665E-2</v>
      </c>
      <c r="BW105" s="377">
        <f t="shared" si="15"/>
        <v>3.7999999999999999E-2</v>
      </c>
    </row>
    <row r="106" spans="1:75" x14ac:dyDescent="0.15">
      <c r="A106" s="356"/>
      <c r="B106" s="355"/>
      <c r="C106" s="355"/>
      <c r="D106" s="355"/>
      <c r="E106" s="355"/>
      <c r="F106" s="355"/>
      <c r="G106" s="355"/>
      <c r="O106" s="356"/>
      <c r="P106" s="355"/>
      <c r="Q106" s="355"/>
      <c r="R106" s="355"/>
      <c r="S106" s="355"/>
      <c r="T106" s="355"/>
      <c r="U106" s="355"/>
      <c r="V106" s="355"/>
      <c r="W106" s="355"/>
      <c r="AG106" s="355"/>
      <c r="AH106" s="355"/>
      <c r="AI106" s="355"/>
      <c r="AJ106" s="355"/>
      <c r="AK106" s="355"/>
      <c r="AL106" s="355"/>
      <c r="AM106" s="355"/>
      <c r="AU106" s="379">
        <v>46980</v>
      </c>
      <c r="AV106" s="375"/>
      <c r="AW106" s="375"/>
      <c r="AX106" s="375"/>
      <c r="AY106" s="375"/>
      <c r="AZ106" s="375"/>
      <c r="BA106" s="375"/>
      <c r="BB106" s="375"/>
      <c r="BC106" s="375">
        <v>7.1249999999999994E-2</v>
      </c>
      <c r="BD106" s="375">
        <v>7.6249999999999998E-2</v>
      </c>
      <c r="BE106" s="375">
        <v>6.8750000000000006E-2</v>
      </c>
      <c r="BF106" s="375">
        <v>7.1249999999999994E-2</v>
      </c>
      <c r="BG106" s="375">
        <v>3.7499999999999999E-2</v>
      </c>
      <c r="BH106" s="375">
        <v>8.2799999999999999E-2</v>
      </c>
      <c r="BI106" s="373">
        <f t="shared" si="11"/>
        <v>6.7966666666666661E-2</v>
      </c>
      <c r="BJ106" s="378"/>
      <c r="BK106" s="375"/>
      <c r="BL106" s="375"/>
      <c r="BM106" s="375"/>
      <c r="BN106" s="375"/>
      <c r="BO106" s="375">
        <v>6.25E-2</v>
      </c>
      <c r="BP106" s="375">
        <v>3.3750000000000002E-2</v>
      </c>
      <c r="BQ106" s="377">
        <v>7.8200000000000006E-2</v>
      </c>
      <c r="BR106" s="380">
        <f t="shared" si="12"/>
        <v>5.815E-2</v>
      </c>
      <c r="BT106" s="367">
        <v>46980</v>
      </c>
      <c r="BU106" s="375">
        <f t="shared" si="13"/>
        <v>3.7999999999999999E-2</v>
      </c>
      <c r="BV106" s="375">
        <f t="shared" si="14"/>
        <v>5.0666666666666665E-2</v>
      </c>
      <c r="BW106" s="377">
        <f t="shared" si="15"/>
        <v>3.7999999999999999E-2</v>
      </c>
    </row>
    <row r="107" spans="1:75" x14ac:dyDescent="0.15">
      <c r="A107" s="356"/>
      <c r="B107" s="355"/>
      <c r="C107" s="355"/>
      <c r="D107" s="355"/>
      <c r="E107" s="355"/>
      <c r="F107" s="355"/>
      <c r="G107" s="355"/>
      <c r="O107" s="356"/>
      <c r="P107" s="355"/>
      <c r="Q107" s="355"/>
      <c r="R107" s="355"/>
      <c r="S107" s="355"/>
      <c r="T107" s="355"/>
      <c r="U107" s="355"/>
      <c r="V107" s="355"/>
      <c r="W107" s="355"/>
      <c r="AG107" s="355"/>
      <c r="AH107" s="355"/>
      <c r="AI107" s="355"/>
      <c r="AJ107" s="355"/>
      <c r="AK107" s="355"/>
      <c r="AL107" s="355"/>
      <c r="AM107" s="355"/>
      <c r="AU107" s="379">
        <v>47011</v>
      </c>
      <c r="AV107" s="375"/>
      <c r="AW107" s="375"/>
      <c r="AX107" s="375"/>
      <c r="AY107" s="375"/>
      <c r="AZ107" s="375"/>
      <c r="BA107" s="375"/>
      <c r="BB107" s="375"/>
      <c r="BC107" s="375">
        <v>7.1249999999999994E-2</v>
      </c>
      <c r="BD107" s="375">
        <v>7.6249999999999998E-2</v>
      </c>
      <c r="BE107" s="375">
        <v>6.8750000000000006E-2</v>
      </c>
      <c r="BF107" s="375">
        <v>7.1249999999999994E-2</v>
      </c>
      <c r="BG107" s="375">
        <v>3.7499999999999999E-2</v>
      </c>
      <c r="BH107" s="375">
        <v>8.2799999999999999E-2</v>
      </c>
      <c r="BI107" s="373">
        <f t="shared" si="11"/>
        <v>6.7966666666666661E-2</v>
      </c>
      <c r="BJ107" s="378"/>
      <c r="BK107" s="375"/>
      <c r="BL107" s="375"/>
      <c r="BM107" s="375"/>
      <c r="BN107" s="375"/>
      <c r="BO107" s="375">
        <v>6.25E-2</v>
      </c>
      <c r="BP107" s="375">
        <v>3.3750000000000002E-2</v>
      </c>
      <c r="BQ107" s="377">
        <v>7.8200000000000006E-2</v>
      </c>
      <c r="BR107" s="380">
        <f t="shared" si="12"/>
        <v>5.815E-2</v>
      </c>
      <c r="BT107" s="367">
        <v>47011</v>
      </c>
      <c r="BU107" s="375">
        <f t="shared" si="13"/>
        <v>3.7999999999999999E-2</v>
      </c>
      <c r="BV107" s="375">
        <f t="shared" si="14"/>
        <v>5.0666666666666665E-2</v>
      </c>
      <c r="BW107" s="377">
        <f t="shared" si="15"/>
        <v>3.7999999999999999E-2</v>
      </c>
    </row>
    <row r="108" spans="1:75" x14ac:dyDescent="0.15">
      <c r="A108" s="356"/>
      <c r="B108" s="355"/>
      <c r="C108" s="355"/>
      <c r="D108" s="355"/>
      <c r="E108" s="355"/>
      <c r="F108" s="355"/>
      <c r="G108" s="355"/>
      <c r="O108" s="356"/>
      <c r="P108" s="355"/>
      <c r="Q108" s="355"/>
      <c r="R108" s="355"/>
      <c r="S108" s="355"/>
      <c r="T108" s="355"/>
      <c r="U108" s="355"/>
      <c r="V108" s="355"/>
      <c r="W108" s="355"/>
      <c r="AG108" s="355"/>
      <c r="AH108" s="355"/>
      <c r="AI108" s="355"/>
      <c r="AJ108" s="355"/>
      <c r="AK108" s="355"/>
      <c r="AL108" s="355"/>
      <c r="AM108" s="355"/>
      <c r="AU108" s="379">
        <v>47041</v>
      </c>
      <c r="AV108" s="375"/>
      <c r="AW108" s="375"/>
      <c r="AX108" s="375"/>
      <c r="AY108" s="375"/>
      <c r="AZ108" s="375"/>
      <c r="BA108" s="375"/>
      <c r="BB108" s="375"/>
      <c r="BC108" s="375">
        <v>7.1249999999999994E-2</v>
      </c>
      <c r="BD108" s="375">
        <v>7.6249999999999998E-2</v>
      </c>
      <c r="BE108" s="375">
        <v>6.8750000000000006E-2</v>
      </c>
      <c r="BF108" s="375">
        <v>7.1249999999999994E-2</v>
      </c>
      <c r="BG108" s="375">
        <v>3.7499999999999999E-2</v>
      </c>
      <c r="BH108" s="375">
        <v>8.2799999999999999E-2</v>
      </c>
      <c r="BI108" s="373">
        <f t="shared" si="11"/>
        <v>6.7966666666666661E-2</v>
      </c>
      <c r="BJ108" s="378"/>
      <c r="BK108" s="375"/>
      <c r="BL108" s="375"/>
      <c r="BM108" s="375"/>
      <c r="BN108" s="375"/>
      <c r="BO108" s="375">
        <v>6.25E-2</v>
      </c>
      <c r="BP108" s="375">
        <v>3.3750000000000002E-2</v>
      </c>
      <c r="BQ108" s="377">
        <v>7.8200000000000006E-2</v>
      </c>
      <c r="BR108" s="380">
        <f t="shared" si="12"/>
        <v>5.815E-2</v>
      </c>
      <c r="BT108" s="367">
        <v>47041</v>
      </c>
      <c r="BU108" s="375">
        <f t="shared" si="13"/>
        <v>3.7999999999999999E-2</v>
      </c>
      <c r="BV108" s="375">
        <f t="shared" si="14"/>
        <v>5.0666666666666665E-2</v>
      </c>
      <c r="BW108" s="377">
        <f t="shared" si="15"/>
        <v>3.7999999999999999E-2</v>
      </c>
    </row>
    <row r="109" spans="1:75" x14ac:dyDescent="0.15">
      <c r="A109" s="356"/>
      <c r="B109" s="355"/>
      <c r="C109" s="355"/>
      <c r="D109" s="355"/>
      <c r="E109" s="355"/>
      <c r="F109" s="355"/>
      <c r="G109" s="355"/>
      <c r="O109" s="356"/>
      <c r="P109" s="355"/>
      <c r="Q109" s="355"/>
      <c r="R109" s="355"/>
      <c r="S109" s="355"/>
      <c r="T109" s="355"/>
      <c r="U109" s="355"/>
      <c r="V109" s="355"/>
      <c r="W109" s="355"/>
      <c r="AG109" s="355"/>
      <c r="AH109" s="355"/>
      <c r="AI109" s="355"/>
      <c r="AJ109" s="355"/>
      <c r="AK109" s="355"/>
      <c r="AL109" s="355"/>
      <c r="AM109" s="355"/>
      <c r="AU109" s="379">
        <v>47072</v>
      </c>
      <c r="AV109" s="375"/>
      <c r="AW109" s="375"/>
      <c r="AX109" s="375"/>
      <c r="AY109" s="375"/>
      <c r="AZ109" s="375"/>
      <c r="BA109" s="375"/>
      <c r="BB109" s="375"/>
      <c r="BC109" s="375">
        <v>7.1249999999999994E-2</v>
      </c>
      <c r="BD109" s="375">
        <v>7.6249999999999998E-2</v>
      </c>
      <c r="BE109" s="375">
        <v>6.8750000000000006E-2</v>
      </c>
      <c r="BF109" s="375">
        <v>7.1249999999999994E-2</v>
      </c>
      <c r="BG109" s="375">
        <v>3.7499999999999999E-2</v>
      </c>
      <c r="BH109" s="375">
        <v>8.2799999999999999E-2</v>
      </c>
      <c r="BI109" s="373">
        <f t="shared" si="11"/>
        <v>6.7966666666666661E-2</v>
      </c>
      <c r="BJ109" s="378"/>
      <c r="BK109" s="375"/>
      <c r="BL109" s="375"/>
      <c r="BM109" s="375"/>
      <c r="BN109" s="375"/>
      <c r="BO109" s="375">
        <v>6.25E-2</v>
      </c>
      <c r="BP109" s="375">
        <v>3.3750000000000002E-2</v>
      </c>
      <c r="BQ109" s="377">
        <v>7.8200000000000006E-2</v>
      </c>
      <c r="BR109" s="380">
        <f t="shared" si="12"/>
        <v>5.815E-2</v>
      </c>
      <c r="BT109" s="367">
        <v>47072</v>
      </c>
      <c r="BU109" s="375">
        <f t="shared" si="13"/>
        <v>3.7999999999999999E-2</v>
      </c>
      <c r="BV109" s="375">
        <f t="shared" si="14"/>
        <v>5.0666666666666665E-2</v>
      </c>
      <c r="BW109" s="377">
        <f t="shared" si="15"/>
        <v>3.7999999999999999E-2</v>
      </c>
    </row>
    <row r="110" spans="1:75" x14ac:dyDescent="0.15">
      <c r="A110" s="356"/>
      <c r="B110" s="355"/>
      <c r="C110" s="355"/>
      <c r="D110" s="355"/>
      <c r="E110" s="355"/>
      <c r="F110" s="355"/>
      <c r="G110" s="355"/>
      <c r="O110" s="356"/>
      <c r="P110" s="355"/>
      <c r="Q110" s="355"/>
      <c r="R110" s="355"/>
      <c r="S110" s="355"/>
      <c r="T110" s="355"/>
      <c r="U110" s="355"/>
      <c r="V110" s="355"/>
      <c r="W110" s="355"/>
      <c r="AG110" s="355"/>
      <c r="AH110" s="355"/>
      <c r="AI110" s="355"/>
      <c r="AJ110" s="355"/>
      <c r="AK110" s="355"/>
      <c r="AL110" s="355"/>
      <c r="AM110" s="355"/>
      <c r="AU110" s="379">
        <v>47102</v>
      </c>
      <c r="AV110" s="375"/>
      <c r="AW110" s="375"/>
      <c r="AX110" s="375"/>
      <c r="AY110" s="375"/>
      <c r="AZ110" s="375"/>
      <c r="BA110" s="375"/>
      <c r="BB110" s="375"/>
      <c r="BC110" s="375">
        <v>7.1249999999999994E-2</v>
      </c>
      <c r="BD110" s="375">
        <v>7.6249999999999998E-2</v>
      </c>
      <c r="BE110" s="375">
        <v>6.8750000000000006E-2</v>
      </c>
      <c r="BF110" s="375">
        <v>7.1249999999999994E-2</v>
      </c>
      <c r="BG110" s="375">
        <v>3.7499999999999999E-2</v>
      </c>
      <c r="BH110" s="375">
        <v>8.2799999999999999E-2</v>
      </c>
      <c r="BI110" s="373">
        <f t="shared" si="11"/>
        <v>6.7966666666666661E-2</v>
      </c>
      <c r="BJ110" s="378"/>
      <c r="BK110" s="375"/>
      <c r="BL110" s="375"/>
      <c r="BM110" s="375"/>
      <c r="BN110" s="375"/>
      <c r="BO110" s="375">
        <v>6.25E-2</v>
      </c>
      <c r="BP110" s="375">
        <v>3.3750000000000002E-2</v>
      </c>
      <c r="BQ110" s="377">
        <v>7.8200000000000006E-2</v>
      </c>
      <c r="BR110" s="380">
        <f t="shared" si="12"/>
        <v>5.815E-2</v>
      </c>
      <c r="BT110" s="367">
        <v>47102</v>
      </c>
      <c r="BU110" s="375">
        <f t="shared" si="13"/>
        <v>3.7999999999999999E-2</v>
      </c>
      <c r="BV110" s="375">
        <f t="shared" si="14"/>
        <v>5.0666666666666665E-2</v>
      </c>
      <c r="BW110" s="377">
        <f t="shared" si="15"/>
        <v>3.7999999999999999E-2</v>
      </c>
    </row>
    <row r="111" spans="1:75" x14ac:dyDescent="0.15">
      <c r="A111" s="356"/>
      <c r="B111" s="355"/>
      <c r="C111" s="355"/>
      <c r="D111" s="355"/>
      <c r="E111" s="355"/>
      <c r="F111" s="355"/>
      <c r="G111" s="355"/>
      <c r="O111" s="356"/>
      <c r="P111" s="355"/>
      <c r="Q111" s="355"/>
      <c r="R111" s="355"/>
      <c r="S111" s="355"/>
      <c r="T111" s="355"/>
      <c r="U111" s="355"/>
      <c r="V111" s="355"/>
      <c r="W111" s="355"/>
      <c r="AG111" s="355"/>
      <c r="AH111" s="355"/>
      <c r="AI111" s="355"/>
      <c r="AJ111" s="355"/>
      <c r="AK111" s="355"/>
      <c r="AL111" s="355"/>
      <c r="AM111" s="355"/>
      <c r="AU111" s="379">
        <v>47133</v>
      </c>
      <c r="AV111" s="375"/>
      <c r="AW111" s="375"/>
      <c r="AX111" s="375"/>
      <c r="AY111" s="375"/>
      <c r="AZ111" s="375"/>
      <c r="BA111" s="375"/>
      <c r="BB111" s="375"/>
      <c r="BC111" s="375">
        <v>7.1249999999999994E-2</v>
      </c>
      <c r="BD111" s="375">
        <v>7.6249999999999998E-2</v>
      </c>
      <c r="BE111" s="375">
        <v>6.8750000000000006E-2</v>
      </c>
      <c r="BF111" s="375">
        <v>7.1249999999999994E-2</v>
      </c>
      <c r="BG111" s="375">
        <v>3.7499999999999999E-2</v>
      </c>
      <c r="BH111" s="375">
        <v>8.2799999999999999E-2</v>
      </c>
      <c r="BI111" s="373">
        <f t="shared" si="11"/>
        <v>6.7966666666666661E-2</v>
      </c>
      <c r="BJ111" s="378"/>
      <c r="BK111" s="375"/>
      <c r="BL111" s="375"/>
      <c r="BM111" s="375"/>
      <c r="BN111" s="375"/>
      <c r="BO111" s="375">
        <v>6.25E-2</v>
      </c>
      <c r="BP111" s="375">
        <v>3.3750000000000002E-2</v>
      </c>
      <c r="BQ111" s="377">
        <v>7.8200000000000006E-2</v>
      </c>
      <c r="BR111" s="380">
        <f t="shared" si="12"/>
        <v>5.815E-2</v>
      </c>
      <c r="BT111" s="367">
        <v>47133</v>
      </c>
      <c r="BU111" s="375">
        <f t="shared" si="13"/>
        <v>3.7999999999999999E-2</v>
      </c>
      <c r="BV111" s="375">
        <f t="shared" si="14"/>
        <v>5.0666666666666665E-2</v>
      </c>
      <c r="BW111" s="377">
        <f t="shared" si="15"/>
        <v>4.0500000000000001E-2</v>
      </c>
    </row>
    <row r="112" spans="1:75" x14ac:dyDescent="0.15">
      <c r="A112" s="356"/>
      <c r="B112" s="355"/>
      <c r="C112" s="355"/>
      <c r="D112" s="355"/>
      <c r="E112" s="355"/>
      <c r="F112" s="355"/>
      <c r="G112" s="355"/>
      <c r="O112" s="356"/>
      <c r="P112" s="355"/>
      <c r="Q112" s="355"/>
      <c r="R112" s="355"/>
      <c r="S112" s="355"/>
      <c r="T112" s="355"/>
      <c r="U112" s="355"/>
      <c r="V112" s="355"/>
      <c r="W112" s="355"/>
      <c r="AG112" s="355"/>
      <c r="AH112" s="355"/>
      <c r="AI112" s="355"/>
      <c r="AJ112" s="355"/>
      <c r="AK112" s="355"/>
      <c r="AL112" s="355"/>
      <c r="AM112" s="355"/>
      <c r="AU112" s="379">
        <v>47164</v>
      </c>
      <c r="AV112" s="375"/>
      <c r="AW112" s="375"/>
      <c r="AX112" s="375"/>
      <c r="AY112" s="375"/>
      <c r="AZ112" s="375"/>
      <c r="BA112" s="375"/>
      <c r="BB112" s="375"/>
      <c r="BC112" s="375">
        <v>7.1249999999999994E-2</v>
      </c>
      <c r="BD112" s="375">
        <v>7.6249999999999998E-2</v>
      </c>
      <c r="BE112" s="375">
        <v>6.8750000000000006E-2</v>
      </c>
      <c r="BF112" s="375">
        <v>7.1249999999999994E-2</v>
      </c>
      <c r="BG112" s="375">
        <v>3.7499999999999999E-2</v>
      </c>
      <c r="BH112" s="375">
        <v>8.2799999999999999E-2</v>
      </c>
      <c r="BI112" s="373">
        <f t="shared" si="11"/>
        <v>6.7966666666666661E-2</v>
      </c>
      <c r="BJ112" s="378"/>
      <c r="BK112" s="375"/>
      <c r="BL112" s="375"/>
      <c r="BM112" s="375"/>
      <c r="BN112" s="375"/>
      <c r="BO112" s="375">
        <v>6.25E-2</v>
      </c>
      <c r="BP112" s="375">
        <v>3.3750000000000002E-2</v>
      </c>
      <c r="BQ112" s="377">
        <v>7.8200000000000006E-2</v>
      </c>
      <c r="BR112" s="380">
        <f t="shared" si="12"/>
        <v>5.815E-2</v>
      </c>
      <c r="BT112" s="367">
        <v>47164</v>
      </c>
      <c r="BU112" s="375">
        <f t="shared" si="13"/>
        <v>3.7999999999999999E-2</v>
      </c>
      <c r="BV112" s="375">
        <f t="shared" si="14"/>
        <v>5.0666666666666665E-2</v>
      </c>
      <c r="BW112" s="377">
        <f t="shared" si="15"/>
        <v>4.0500000000000001E-2</v>
      </c>
    </row>
    <row r="113" spans="1:75" x14ac:dyDescent="0.15">
      <c r="A113" s="356"/>
      <c r="B113" s="355"/>
      <c r="C113" s="355"/>
      <c r="D113" s="355"/>
      <c r="E113" s="355"/>
      <c r="F113" s="355"/>
      <c r="G113" s="355"/>
      <c r="O113" s="356"/>
      <c r="P113" s="355"/>
      <c r="Q113" s="355"/>
      <c r="R113" s="355"/>
      <c r="S113" s="355"/>
      <c r="T113" s="355"/>
      <c r="U113" s="355"/>
      <c r="V113" s="355"/>
      <c r="W113" s="355"/>
      <c r="AG113" s="355"/>
      <c r="AH113" s="355"/>
      <c r="AI113" s="355"/>
      <c r="AJ113" s="355"/>
      <c r="AK113" s="355"/>
      <c r="AL113" s="355"/>
      <c r="AM113" s="355"/>
      <c r="AU113" s="379">
        <v>47192</v>
      </c>
      <c r="AV113" s="375"/>
      <c r="AW113" s="375"/>
      <c r="AX113" s="375"/>
      <c r="AY113" s="375"/>
      <c r="AZ113" s="375"/>
      <c r="BA113" s="375"/>
      <c r="BB113" s="375"/>
      <c r="BC113" s="375">
        <v>7.1249999999999994E-2</v>
      </c>
      <c r="BD113" s="375">
        <v>7.6249999999999998E-2</v>
      </c>
      <c r="BE113" s="375">
        <v>6.8750000000000006E-2</v>
      </c>
      <c r="BF113" s="375">
        <v>7.1249999999999994E-2</v>
      </c>
      <c r="BG113" s="375">
        <v>3.7499999999999999E-2</v>
      </c>
      <c r="BH113" s="375">
        <v>8.2799999999999999E-2</v>
      </c>
      <c r="BI113" s="373">
        <f t="shared" si="11"/>
        <v>6.7966666666666661E-2</v>
      </c>
      <c r="BJ113" s="378"/>
      <c r="BK113" s="375"/>
      <c r="BL113" s="375"/>
      <c r="BM113" s="375"/>
      <c r="BN113" s="375"/>
      <c r="BO113" s="375">
        <v>6.25E-2</v>
      </c>
      <c r="BP113" s="375">
        <v>3.3750000000000002E-2</v>
      </c>
      <c r="BQ113" s="377">
        <v>7.8200000000000006E-2</v>
      </c>
      <c r="BR113" s="380">
        <f t="shared" si="12"/>
        <v>5.815E-2</v>
      </c>
      <c r="BT113" s="367">
        <v>47192</v>
      </c>
      <c r="BU113" s="375">
        <f t="shared" si="13"/>
        <v>3.7999999999999999E-2</v>
      </c>
      <c r="BV113" s="375">
        <f t="shared" si="14"/>
        <v>5.0666666666666665E-2</v>
      </c>
      <c r="BW113" s="377">
        <f t="shared" si="15"/>
        <v>4.0500000000000001E-2</v>
      </c>
    </row>
    <row r="114" spans="1:75" x14ac:dyDescent="0.15">
      <c r="A114" s="356"/>
      <c r="B114" s="355"/>
      <c r="C114" s="355"/>
      <c r="D114" s="355"/>
      <c r="E114" s="355"/>
      <c r="F114" s="355"/>
      <c r="G114" s="355"/>
      <c r="O114" s="356"/>
      <c r="P114" s="355"/>
      <c r="Q114" s="355"/>
      <c r="R114" s="355"/>
      <c r="S114" s="355"/>
      <c r="T114" s="355"/>
      <c r="U114" s="355"/>
      <c r="V114" s="355"/>
      <c r="W114" s="355"/>
      <c r="AG114" s="355"/>
      <c r="AH114" s="355"/>
      <c r="AI114" s="355"/>
      <c r="AJ114" s="355"/>
      <c r="AK114" s="355"/>
      <c r="AL114" s="355"/>
      <c r="AM114" s="355"/>
      <c r="AU114" s="379">
        <v>47223</v>
      </c>
      <c r="AV114" s="375"/>
      <c r="AW114" s="375"/>
      <c r="AX114" s="375"/>
      <c r="AY114" s="375"/>
      <c r="AZ114" s="375"/>
      <c r="BA114" s="375"/>
      <c r="BB114" s="375"/>
      <c r="BC114" s="375">
        <v>7.1249999999999994E-2</v>
      </c>
      <c r="BD114" s="375">
        <v>7.6249999999999998E-2</v>
      </c>
      <c r="BE114" s="375">
        <v>6.8750000000000006E-2</v>
      </c>
      <c r="BF114" s="375">
        <v>7.1249999999999994E-2</v>
      </c>
      <c r="BG114" s="375">
        <v>5.2499999999999998E-2</v>
      </c>
      <c r="BH114" s="375">
        <v>8.2799999999999999E-2</v>
      </c>
      <c r="BI114" s="373">
        <f t="shared" si="11"/>
        <v>7.0466666666666664E-2</v>
      </c>
      <c r="BJ114" s="378"/>
      <c r="BK114" s="375"/>
      <c r="BL114" s="375"/>
      <c r="BM114" s="375"/>
      <c r="BN114" s="375"/>
      <c r="BO114" s="375">
        <v>6.25E-2</v>
      </c>
      <c r="BP114" s="375">
        <v>4.7399999999999998E-2</v>
      </c>
      <c r="BQ114" s="377">
        <v>7.8200000000000006E-2</v>
      </c>
      <c r="BR114" s="380">
        <f t="shared" si="12"/>
        <v>6.2699999999999992E-2</v>
      </c>
      <c r="BT114" s="367">
        <v>47223</v>
      </c>
      <c r="BU114" s="375">
        <f t="shared" si="13"/>
        <v>3.7999999999999999E-2</v>
      </c>
      <c r="BV114" s="375">
        <f t="shared" si="14"/>
        <v>5.0666666666666665E-2</v>
      </c>
      <c r="BW114" s="377">
        <f t="shared" si="15"/>
        <v>4.0500000000000001E-2</v>
      </c>
    </row>
    <row r="115" spans="1:75" x14ac:dyDescent="0.15">
      <c r="A115" s="356"/>
      <c r="B115" s="355"/>
      <c r="C115" s="355"/>
      <c r="D115" s="355"/>
      <c r="E115" s="355"/>
      <c r="F115" s="355"/>
      <c r="G115" s="355"/>
      <c r="O115" s="356"/>
      <c r="P115" s="355"/>
      <c r="Q115" s="355"/>
      <c r="R115" s="355"/>
      <c r="S115" s="355"/>
      <c r="T115" s="355"/>
      <c r="U115" s="355"/>
      <c r="V115" s="355"/>
      <c r="W115" s="355"/>
      <c r="AG115" s="355"/>
      <c r="AH115" s="355"/>
      <c r="AI115" s="355"/>
      <c r="AJ115" s="355"/>
      <c r="AK115" s="355"/>
      <c r="AL115" s="355"/>
      <c r="AM115" s="355"/>
      <c r="AU115" s="379">
        <v>47253</v>
      </c>
      <c r="AV115" s="375"/>
      <c r="AW115" s="375"/>
      <c r="AX115" s="375"/>
      <c r="AY115" s="375"/>
      <c r="AZ115" s="375"/>
      <c r="BA115" s="375"/>
      <c r="BB115" s="375"/>
      <c r="BC115" s="375">
        <v>7.1249999999999994E-2</v>
      </c>
      <c r="BD115" s="375">
        <v>7.6249999999999998E-2</v>
      </c>
      <c r="BE115" s="375">
        <v>6.8750000000000006E-2</v>
      </c>
      <c r="BF115" s="375">
        <v>7.1249999999999994E-2</v>
      </c>
      <c r="BG115" s="375">
        <v>5.2499999999999998E-2</v>
      </c>
      <c r="BH115" s="375">
        <v>8.2799999999999999E-2</v>
      </c>
      <c r="BI115" s="373">
        <f t="shared" si="11"/>
        <v>7.0466666666666664E-2</v>
      </c>
      <c r="BJ115" s="378"/>
      <c r="BK115" s="375"/>
      <c r="BL115" s="375"/>
      <c r="BM115" s="375"/>
      <c r="BN115" s="375"/>
      <c r="BO115" s="375">
        <v>6.25E-2</v>
      </c>
      <c r="BP115" s="375">
        <v>4.7399999999999998E-2</v>
      </c>
      <c r="BQ115" s="377">
        <v>7.8200000000000006E-2</v>
      </c>
      <c r="BR115" s="380">
        <f t="shared" si="12"/>
        <v>6.2699999999999992E-2</v>
      </c>
      <c r="BT115" s="367">
        <v>47253</v>
      </c>
      <c r="BU115" s="375">
        <f t="shared" si="13"/>
        <v>4.0500000000000001E-2</v>
      </c>
      <c r="BV115" s="375">
        <f t="shared" si="14"/>
        <v>5.0666666666666665E-2</v>
      </c>
      <c r="BW115" s="377">
        <f t="shared" si="15"/>
        <v>4.0500000000000001E-2</v>
      </c>
    </row>
    <row r="116" spans="1:75" x14ac:dyDescent="0.15">
      <c r="A116" s="356"/>
      <c r="B116" s="355"/>
      <c r="C116" s="355"/>
      <c r="D116" s="355"/>
      <c r="E116" s="355"/>
      <c r="F116" s="355"/>
      <c r="G116" s="355"/>
      <c r="O116" s="356"/>
      <c r="P116" s="355"/>
      <c r="Q116" s="355"/>
      <c r="R116" s="355"/>
      <c r="S116" s="355"/>
      <c r="T116" s="355"/>
      <c r="U116" s="355"/>
      <c r="V116" s="355"/>
      <c r="W116" s="355"/>
      <c r="AG116" s="355"/>
      <c r="AH116" s="355"/>
      <c r="AI116" s="355"/>
      <c r="AJ116" s="355"/>
      <c r="AK116" s="355"/>
      <c r="AL116" s="355"/>
      <c r="AM116" s="355"/>
      <c r="AU116" s="379">
        <v>47284</v>
      </c>
      <c r="AV116" s="375"/>
      <c r="AW116" s="375"/>
      <c r="AX116" s="375"/>
      <c r="AY116" s="375"/>
      <c r="AZ116" s="375"/>
      <c r="BA116" s="375"/>
      <c r="BB116" s="375"/>
      <c r="BC116" s="375">
        <v>7.1249999999999994E-2</v>
      </c>
      <c r="BD116" s="375">
        <v>7.6249999999999998E-2</v>
      </c>
      <c r="BE116" s="375">
        <v>6.8750000000000006E-2</v>
      </c>
      <c r="BF116" s="375">
        <v>7.1249999999999994E-2</v>
      </c>
      <c r="BG116" s="375">
        <v>5.2499999999999998E-2</v>
      </c>
      <c r="BH116" s="375">
        <v>8.2799999999999999E-2</v>
      </c>
      <c r="BI116" s="373">
        <f t="shared" si="11"/>
        <v>7.0466666666666664E-2</v>
      </c>
      <c r="BJ116" s="378"/>
      <c r="BK116" s="375"/>
      <c r="BL116" s="375"/>
      <c r="BM116" s="375"/>
      <c r="BN116" s="375"/>
      <c r="BO116" s="375">
        <v>6.25E-2</v>
      </c>
      <c r="BP116" s="375">
        <v>4.7399999999999998E-2</v>
      </c>
      <c r="BQ116" s="377">
        <v>7.8200000000000006E-2</v>
      </c>
      <c r="BR116" s="380">
        <f t="shared" si="12"/>
        <v>6.2699999999999992E-2</v>
      </c>
      <c r="BT116" s="367">
        <v>47284</v>
      </c>
      <c r="BU116" s="375">
        <f t="shared" si="13"/>
        <v>4.0500000000000001E-2</v>
      </c>
      <c r="BV116" s="375">
        <f t="shared" si="14"/>
        <v>5.0666666666666665E-2</v>
      </c>
      <c r="BW116" s="377">
        <f t="shared" si="15"/>
        <v>4.0500000000000001E-2</v>
      </c>
    </row>
    <row r="117" spans="1:75" x14ac:dyDescent="0.15">
      <c r="A117" s="356"/>
      <c r="B117" s="355"/>
      <c r="C117" s="355"/>
      <c r="D117" s="355"/>
      <c r="E117" s="355"/>
      <c r="F117" s="355"/>
      <c r="G117" s="355"/>
      <c r="O117" s="356"/>
      <c r="P117" s="355"/>
      <c r="Q117" s="355"/>
      <c r="R117" s="355"/>
      <c r="S117" s="355"/>
      <c r="T117" s="355"/>
      <c r="U117" s="355"/>
      <c r="V117" s="355"/>
      <c r="W117" s="355"/>
      <c r="AG117" s="355"/>
      <c r="AH117" s="355"/>
      <c r="AI117" s="355"/>
      <c r="AJ117" s="355"/>
      <c r="AK117" s="355"/>
      <c r="AL117" s="355"/>
      <c r="AM117" s="355"/>
      <c r="AU117" s="379">
        <v>47314</v>
      </c>
      <c r="AV117" s="375"/>
      <c r="AW117" s="375"/>
      <c r="AX117" s="375"/>
      <c r="AY117" s="375"/>
      <c r="AZ117" s="375"/>
      <c r="BA117" s="375"/>
      <c r="BB117" s="375"/>
      <c r="BC117" s="375">
        <v>7.1249999999999994E-2</v>
      </c>
      <c r="BD117" s="375">
        <v>7.6249999999999998E-2</v>
      </c>
      <c r="BE117" s="375">
        <v>6.8750000000000006E-2</v>
      </c>
      <c r="BF117" s="375">
        <v>7.1249999999999994E-2</v>
      </c>
      <c r="BG117" s="375">
        <v>5.2499999999999998E-2</v>
      </c>
      <c r="BH117" s="375">
        <v>8.2799999999999999E-2</v>
      </c>
      <c r="BI117" s="373">
        <f t="shared" si="11"/>
        <v>7.0466666666666664E-2</v>
      </c>
      <c r="BJ117" s="378"/>
      <c r="BK117" s="375"/>
      <c r="BL117" s="375"/>
      <c r="BM117" s="375"/>
      <c r="BN117" s="375"/>
      <c r="BO117" s="375">
        <v>6.25E-2</v>
      </c>
      <c r="BP117" s="375">
        <v>4.7399999999999998E-2</v>
      </c>
      <c r="BQ117" s="377">
        <v>7.8200000000000006E-2</v>
      </c>
      <c r="BR117" s="380">
        <f t="shared" si="12"/>
        <v>6.2699999999999992E-2</v>
      </c>
      <c r="BT117" s="367">
        <v>47314</v>
      </c>
      <c r="BU117" s="375">
        <f t="shared" si="13"/>
        <v>4.0500000000000001E-2</v>
      </c>
      <c r="BV117" s="375">
        <f t="shared" si="14"/>
        <v>5.2749999999999998E-2</v>
      </c>
      <c r="BW117" s="377">
        <f t="shared" si="15"/>
        <v>4.3249999999999997E-2</v>
      </c>
    </row>
    <row r="118" spans="1:75" x14ac:dyDescent="0.15">
      <c r="A118" s="356"/>
      <c r="B118" s="355"/>
      <c r="C118" s="355"/>
      <c r="D118" s="355"/>
      <c r="E118" s="355"/>
      <c r="F118" s="355"/>
      <c r="G118" s="355"/>
      <c r="O118" s="356"/>
      <c r="P118" s="355"/>
      <c r="Q118" s="355"/>
      <c r="R118" s="355"/>
      <c r="S118" s="355"/>
      <c r="T118" s="355"/>
      <c r="U118" s="355"/>
      <c r="V118" s="355"/>
      <c r="W118" s="355"/>
      <c r="AG118" s="355"/>
      <c r="AH118" s="355"/>
      <c r="AI118" s="355"/>
      <c r="AJ118" s="355"/>
      <c r="AK118" s="355"/>
      <c r="AL118" s="355"/>
      <c r="AM118" s="355"/>
      <c r="AU118" s="379">
        <v>47345</v>
      </c>
      <c r="AV118" s="375"/>
      <c r="AW118" s="375"/>
      <c r="AX118" s="375"/>
      <c r="AY118" s="375"/>
      <c r="AZ118" s="375"/>
      <c r="BA118" s="375"/>
      <c r="BB118" s="375"/>
      <c r="BC118" s="375">
        <v>7.1249999999999994E-2</v>
      </c>
      <c r="BD118" s="375">
        <v>7.6249999999999998E-2</v>
      </c>
      <c r="BE118" s="375">
        <v>6.8750000000000006E-2</v>
      </c>
      <c r="BF118" s="375">
        <v>7.1249999999999994E-2</v>
      </c>
      <c r="BG118" s="375">
        <v>5.2499999999999998E-2</v>
      </c>
      <c r="BH118" s="375">
        <v>8.2799999999999999E-2</v>
      </c>
      <c r="BI118" s="373">
        <f t="shared" si="11"/>
        <v>7.0466666666666664E-2</v>
      </c>
      <c r="BJ118" s="378"/>
      <c r="BK118" s="375"/>
      <c r="BL118" s="375"/>
      <c r="BM118" s="375"/>
      <c r="BN118" s="375"/>
      <c r="BO118" s="375">
        <v>6.25E-2</v>
      </c>
      <c r="BP118" s="375">
        <v>4.7399999999999998E-2</v>
      </c>
      <c r="BQ118" s="377">
        <v>7.8200000000000006E-2</v>
      </c>
      <c r="BR118" s="380">
        <f t="shared" si="12"/>
        <v>6.2699999999999992E-2</v>
      </c>
      <c r="BT118" s="367">
        <v>47345</v>
      </c>
      <c r="BU118" s="375">
        <f t="shared" si="13"/>
        <v>4.0500000000000001E-2</v>
      </c>
      <c r="BV118" s="375">
        <f t="shared" si="14"/>
        <v>5.2749999999999998E-2</v>
      </c>
      <c r="BW118" s="377">
        <f t="shared" si="15"/>
        <v>4.3249999999999997E-2</v>
      </c>
    </row>
    <row r="119" spans="1:75" x14ac:dyDescent="0.15">
      <c r="A119" s="356"/>
      <c r="B119" s="355"/>
      <c r="C119" s="355"/>
      <c r="D119" s="355"/>
      <c r="E119" s="355"/>
      <c r="F119" s="355"/>
      <c r="G119" s="355"/>
      <c r="O119" s="356"/>
      <c r="P119" s="355"/>
      <c r="Q119" s="355"/>
      <c r="R119" s="355"/>
      <c r="S119" s="355"/>
      <c r="T119" s="355"/>
      <c r="U119" s="355"/>
      <c r="V119" s="355"/>
      <c r="W119" s="355"/>
      <c r="AG119" s="355"/>
      <c r="AH119" s="355"/>
      <c r="AI119" s="355"/>
      <c r="AJ119" s="355"/>
      <c r="AK119" s="355"/>
      <c r="AL119" s="355"/>
      <c r="AM119" s="355"/>
      <c r="AU119" s="379">
        <v>47376</v>
      </c>
      <c r="AV119" s="375"/>
      <c r="AW119" s="375"/>
      <c r="AX119" s="375"/>
      <c r="AY119" s="375"/>
      <c r="AZ119" s="375"/>
      <c r="BA119" s="375"/>
      <c r="BB119" s="375"/>
      <c r="BC119" s="375">
        <v>7.1249999999999994E-2</v>
      </c>
      <c r="BD119" s="375">
        <v>7.6249999999999998E-2</v>
      </c>
      <c r="BE119" s="375">
        <v>6.8750000000000006E-2</v>
      </c>
      <c r="BF119" s="375">
        <v>7.1249999999999994E-2</v>
      </c>
      <c r="BG119" s="375">
        <v>5.2499999999999998E-2</v>
      </c>
      <c r="BH119" s="375">
        <v>8.2799999999999999E-2</v>
      </c>
      <c r="BI119" s="373">
        <f t="shared" si="11"/>
        <v>7.0466666666666664E-2</v>
      </c>
      <c r="BJ119" s="378"/>
      <c r="BK119" s="375"/>
      <c r="BL119" s="375"/>
      <c r="BM119" s="375"/>
      <c r="BN119" s="375"/>
      <c r="BO119" s="375">
        <v>6.25E-2</v>
      </c>
      <c r="BP119" s="375">
        <v>4.7399999999999998E-2</v>
      </c>
      <c r="BQ119" s="377">
        <v>7.8200000000000006E-2</v>
      </c>
      <c r="BR119" s="380">
        <f t="shared" si="12"/>
        <v>6.2699999999999992E-2</v>
      </c>
      <c r="BT119" s="367">
        <v>47376</v>
      </c>
      <c r="BU119" s="375">
        <f t="shared" si="13"/>
        <v>4.0500000000000001E-2</v>
      </c>
      <c r="BV119" s="375">
        <f t="shared" si="14"/>
        <v>5.2749999999999998E-2</v>
      </c>
      <c r="BW119" s="377">
        <f t="shared" si="15"/>
        <v>4.3249999999999997E-2</v>
      </c>
    </row>
    <row r="120" spans="1:75" x14ac:dyDescent="0.15">
      <c r="A120" s="356"/>
      <c r="B120" s="355"/>
      <c r="C120" s="355"/>
      <c r="D120" s="355"/>
      <c r="E120" s="355"/>
      <c r="F120" s="355"/>
      <c r="G120" s="355"/>
      <c r="O120" s="356"/>
      <c r="P120" s="355"/>
      <c r="Q120" s="355"/>
      <c r="R120" s="355"/>
      <c r="S120" s="355"/>
      <c r="T120" s="355"/>
      <c r="U120" s="355"/>
      <c r="V120" s="355"/>
      <c r="W120" s="355"/>
      <c r="AG120" s="355"/>
      <c r="AH120" s="355"/>
      <c r="AI120" s="355"/>
      <c r="AJ120" s="355"/>
      <c r="AK120" s="355"/>
      <c r="AL120" s="355"/>
      <c r="AM120" s="355"/>
      <c r="AU120" s="379">
        <v>47406</v>
      </c>
      <c r="AV120" s="375"/>
      <c r="AW120" s="375"/>
      <c r="AX120" s="375"/>
      <c r="AY120" s="375"/>
      <c r="AZ120" s="375"/>
      <c r="BA120" s="375"/>
      <c r="BB120" s="375"/>
      <c r="BC120" s="375">
        <v>7.1249999999999994E-2</v>
      </c>
      <c r="BD120" s="375">
        <v>7.6249999999999998E-2</v>
      </c>
      <c r="BE120" s="375">
        <v>6.8750000000000006E-2</v>
      </c>
      <c r="BF120" s="375">
        <v>7.1249999999999994E-2</v>
      </c>
      <c r="BG120" s="375">
        <v>5.2499999999999998E-2</v>
      </c>
      <c r="BH120" s="375">
        <v>8.2799999999999999E-2</v>
      </c>
      <c r="BI120" s="373">
        <f t="shared" si="11"/>
        <v>7.0466666666666664E-2</v>
      </c>
      <c r="BJ120" s="378"/>
      <c r="BK120" s="375"/>
      <c r="BL120" s="375"/>
      <c r="BM120" s="375"/>
      <c r="BN120" s="375"/>
      <c r="BO120" s="375">
        <v>6.25E-2</v>
      </c>
      <c r="BP120" s="375">
        <v>4.7399999999999998E-2</v>
      </c>
      <c r="BQ120" s="377">
        <v>7.8200000000000006E-2</v>
      </c>
      <c r="BR120" s="380">
        <f t="shared" si="12"/>
        <v>6.2699999999999992E-2</v>
      </c>
      <c r="BT120" s="367">
        <v>47406</v>
      </c>
      <c r="BU120" s="375">
        <f t="shared" si="13"/>
        <v>4.0500000000000001E-2</v>
      </c>
      <c r="BV120" s="375">
        <f t="shared" si="14"/>
        <v>5.2749999999999998E-2</v>
      </c>
      <c r="BW120" s="377">
        <f t="shared" si="15"/>
        <v>4.3249999999999997E-2</v>
      </c>
    </row>
    <row r="121" spans="1:75" x14ac:dyDescent="0.15">
      <c r="A121" s="356"/>
      <c r="B121" s="355"/>
      <c r="C121" s="355"/>
      <c r="D121" s="355"/>
      <c r="E121" s="355"/>
      <c r="F121" s="355"/>
      <c r="G121" s="355"/>
      <c r="O121" s="356"/>
      <c r="P121" s="355"/>
      <c r="Q121" s="355"/>
      <c r="R121" s="355"/>
      <c r="S121" s="355"/>
      <c r="T121" s="355"/>
      <c r="U121" s="355"/>
      <c r="V121" s="355"/>
      <c r="W121" s="355"/>
      <c r="AG121" s="355"/>
      <c r="AH121" s="355"/>
      <c r="AI121" s="355"/>
      <c r="AJ121" s="355"/>
      <c r="AK121" s="355"/>
      <c r="AL121" s="355"/>
      <c r="AM121" s="355"/>
      <c r="AU121" s="379">
        <v>47437</v>
      </c>
      <c r="AV121" s="375"/>
      <c r="AW121" s="375"/>
      <c r="AX121" s="375"/>
      <c r="AY121" s="375"/>
      <c r="AZ121" s="375"/>
      <c r="BA121" s="375"/>
      <c r="BB121" s="375"/>
      <c r="BC121" s="375">
        <v>7.1249999999999994E-2</v>
      </c>
      <c r="BD121" s="375">
        <v>7.6249999999999998E-2</v>
      </c>
      <c r="BE121" s="375">
        <v>6.8750000000000006E-2</v>
      </c>
      <c r="BF121" s="375">
        <v>7.1249999999999994E-2</v>
      </c>
      <c r="BG121" s="375">
        <v>5.2499999999999998E-2</v>
      </c>
      <c r="BH121" s="375">
        <v>8.2799999999999999E-2</v>
      </c>
      <c r="BI121" s="373">
        <f t="shared" si="11"/>
        <v>7.0466666666666664E-2</v>
      </c>
      <c r="BJ121" s="378"/>
      <c r="BK121" s="375"/>
      <c r="BL121" s="375"/>
      <c r="BM121" s="375"/>
      <c r="BN121" s="375"/>
      <c r="BO121" s="375">
        <v>6.25E-2</v>
      </c>
      <c r="BP121" s="375">
        <v>4.7399999999999998E-2</v>
      </c>
      <c r="BQ121" s="377">
        <v>7.8200000000000006E-2</v>
      </c>
      <c r="BR121" s="380">
        <f t="shared" si="12"/>
        <v>6.2699999999999992E-2</v>
      </c>
      <c r="BT121" s="367">
        <v>47437</v>
      </c>
      <c r="BU121" s="375">
        <f t="shared" si="13"/>
        <v>4.3249999999999997E-2</v>
      </c>
      <c r="BV121" s="375">
        <f t="shared" si="14"/>
        <v>5.2749999999999998E-2</v>
      </c>
      <c r="BW121" s="377">
        <f t="shared" si="15"/>
        <v>4.3249999999999997E-2</v>
      </c>
    </row>
    <row r="122" spans="1:75" x14ac:dyDescent="0.15">
      <c r="A122" s="356"/>
      <c r="B122" s="355"/>
      <c r="C122" s="355"/>
      <c r="D122" s="355"/>
      <c r="E122" s="355"/>
      <c r="F122" s="355"/>
      <c r="G122" s="355"/>
      <c r="O122" s="356"/>
      <c r="P122" s="355"/>
      <c r="Q122" s="355"/>
      <c r="R122" s="355"/>
      <c r="S122" s="355"/>
      <c r="T122" s="355"/>
      <c r="U122" s="355"/>
      <c r="V122" s="355"/>
      <c r="W122" s="355"/>
      <c r="AG122" s="355"/>
      <c r="AH122" s="355"/>
      <c r="AI122" s="355"/>
      <c r="AJ122" s="355"/>
      <c r="AK122" s="355"/>
      <c r="AL122" s="355"/>
      <c r="AM122" s="355"/>
      <c r="AU122" s="379">
        <v>47467</v>
      </c>
      <c r="AV122" s="375"/>
      <c r="AW122" s="375"/>
      <c r="AX122" s="375"/>
      <c r="AY122" s="375"/>
      <c r="AZ122" s="375"/>
      <c r="BA122" s="375"/>
      <c r="BB122" s="375"/>
      <c r="BC122" s="375">
        <v>7.1249999999999994E-2</v>
      </c>
      <c r="BD122" s="375">
        <v>7.6249999999999998E-2</v>
      </c>
      <c r="BE122" s="375">
        <v>6.8750000000000006E-2</v>
      </c>
      <c r="BF122" s="375">
        <v>7.1249999999999994E-2</v>
      </c>
      <c r="BG122" s="375">
        <v>5.2499999999999998E-2</v>
      </c>
      <c r="BH122" s="375">
        <v>8.2799999999999999E-2</v>
      </c>
      <c r="BI122" s="373">
        <f t="shared" si="11"/>
        <v>7.0466666666666664E-2</v>
      </c>
      <c r="BJ122" s="378"/>
      <c r="BK122" s="375"/>
      <c r="BL122" s="375"/>
      <c r="BM122" s="375"/>
      <c r="BN122" s="375"/>
      <c r="BO122" s="375">
        <v>6.25E-2</v>
      </c>
      <c r="BP122" s="375">
        <v>4.7399999999999998E-2</v>
      </c>
      <c r="BQ122" s="377">
        <v>7.8200000000000006E-2</v>
      </c>
      <c r="BR122" s="380">
        <f t="shared" si="12"/>
        <v>6.2699999999999992E-2</v>
      </c>
      <c r="BT122" s="367">
        <v>47467</v>
      </c>
      <c r="BU122" s="375">
        <f t="shared" si="13"/>
        <v>4.3249999999999997E-2</v>
      </c>
      <c r="BV122" s="375">
        <f t="shared" si="14"/>
        <v>5.2749999999999998E-2</v>
      </c>
      <c r="BW122" s="377">
        <f t="shared" si="15"/>
        <v>4.3249999999999997E-2</v>
      </c>
    </row>
    <row r="123" spans="1:75" x14ac:dyDescent="0.15">
      <c r="A123" s="356"/>
      <c r="B123" s="355"/>
      <c r="C123" s="355"/>
      <c r="D123" s="355"/>
      <c r="E123" s="355"/>
      <c r="F123" s="355"/>
      <c r="G123" s="355"/>
      <c r="O123" s="356"/>
      <c r="P123" s="355"/>
      <c r="Q123" s="355"/>
      <c r="R123" s="355"/>
      <c r="S123" s="355"/>
      <c r="T123" s="355"/>
      <c r="U123" s="355"/>
      <c r="V123" s="355"/>
      <c r="W123" s="355"/>
      <c r="AG123" s="355"/>
      <c r="AH123" s="355"/>
      <c r="AI123" s="355"/>
      <c r="AJ123" s="355"/>
      <c r="AK123" s="355"/>
      <c r="AL123" s="355"/>
      <c r="AM123" s="355"/>
      <c r="AU123" s="379">
        <v>47498</v>
      </c>
      <c r="AV123" s="375"/>
      <c r="AW123" s="375"/>
      <c r="AX123" s="375"/>
      <c r="AY123" s="375"/>
      <c r="AZ123" s="375"/>
      <c r="BA123" s="375"/>
      <c r="BB123" s="375"/>
      <c r="BC123" s="375">
        <v>7.1249999999999994E-2</v>
      </c>
      <c r="BD123" s="375">
        <v>7.6249999999999998E-2</v>
      </c>
      <c r="BE123" s="375">
        <v>6.8750000000000006E-2</v>
      </c>
      <c r="BF123" s="375">
        <v>7.1249999999999994E-2</v>
      </c>
      <c r="BG123" s="375">
        <v>5.2499999999999998E-2</v>
      </c>
      <c r="BH123" s="375">
        <v>8.2799999999999999E-2</v>
      </c>
      <c r="BI123" s="373">
        <f t="shared" si="11"/>
        <v>7.0466666666666664E-2</v>
      </c>
      <c r="BJ123" s="378"/>
      <c r="BK123" s="375"/>
      <c r="BL123" s="375"/>
      <c r="BM123" s="375"/>
      <c r="BN123" s="375"/>
      <c r="BO123" s="375">
        <v>6.25E-2</v>
      </c>
      <c r="BP123" s="375">
        <v>4.7399999999999998E-2</v>
      </c>
      <c r="BQ123" s="377">
        <v>7.8200000000000006E-2</v>
      </c>
      <c r="BR123" s="380">
        <f t="shared" si="12"/>
        <v>6.2699999999999992E-2</v>
      </c>
      <c r="BT123" s="367">
        <v>47498</v>
      </c>
      <c r="BU123" s="375">
        <f t="shared" si="13"/>
        <v>4.3249999999999997E-2</v>
      </c>
      <c r="BV123" s="375">
        <f t="shared" si="14"/>
        <v>5.2749999999999998E-2</v>
      </c>
      <c r="BW123" s="377">
        <f t="shared" si="15"/>
        <v>4.3249999999999997E-2</v>
      </c>
    </row>
    <row r="124" spans="1:75" x14ac:dyDescent="0.15">
      <c r="A124" s="356"/>
      <c r="B124" s="355"/>
      <c r="C124" s="355"/>
      <c r="D124" s="355"/>
      <c r="E124" s="355"/>
      <c r="F124" s="355"/>
      <c r="G124" s="355"/>
      <c r="O124" s="356"/>
      <c r="P124" s="355"/>
      <c r="Q124" s="355"/>
      <c r="R124" s="355"/>
      <c r="S124" s="355"/>
      <c r="T124" s="355"/>
      <c r="U124" s="355"/>
      <c r="V124" s="355"/>
      <c r="W124" s="355"/>
      <c r="AG124" s="355"/>
      <c r="AH124" s="355"/>
      <c r="AI124" s="355"/>
      <c r="AJ124" s="355"/>
      <c r="AK124" s="355"/>
      <c r="AL124" s="355"/>
      <c r="AM124" s="355"/>
      <c r="AU124" s="379">
        <v>47529</v>
      </c>
      <c r="AV124" s="375"/>
      <c r="AW124" s="375"/>
      <c r="AX124" s="375"/>
      <c r="AY124" s="375"/>
      <c r="AZ124" s="375"/>
      <c r="BA124" s="375"/>
      <c r="BB124" s="375"/>
      <c r="BC124" s="375">
        <v>7.1249999999999994E-2</v>
      </c>
      <c r="BD124" s="375">
        <v>7.6249999999999998E-2</v>
      </c>
      <c r="BE124" s="375">
        <v>6.8750000000000006E-2</v>
      </c>
      <c r="BF124" s="375">
        <v>7.1249999999999994E-2</v>
      </c>
      <c r="BG124" s="375">
        <v>5.2499999999999998E-2</v>
      </c>
      <c r="BH124" s="375">
        <v>8.2799999999999999E-2</v>
      </c>
      <c r="BI124" s="373">
        <f t="shared" si="11"/>
        <v>7.0466666666666664E-2</v>
      </c>
      <c r="BJ124" s="378"/>
      <c r="BK124" s="375"/>
      <c r="BL124" s="375"/>
      <c r="BM124" s="375"/>
      <c r="BN124" s="375"/>
      <c r="BO124" s="375">
        <v>6.25E-2</v>
      </c>
      <c r="BP124" s="375">
        <v>4.7399999999999998E-2</v>
      </c>
      <c r="BQ124" s="377">
        <v>7.8200000000000006E-2</v>
      </c>
      <c r="BR124" s="380">
        <f t="shared" si="12"/>
        <v>6.2699999999999992E-2</v>
      </c>
      <c r="BT124" s="367">
        <v>47529</v>
      </c>
      <c r="BU124" s="375">
        <f t="shared" si="13"/>
        <v>4.3249999999999997E-2</v>
      </c>
      <c r="BV124" s="375">
        <f t="shared" si="14"/>
        <v>5.2749999999999998E-2</v>
      </c>
      <c r="BW124" s="377">
        <f t="shared" si="15"/>
        <v>4.3249999999999997E-2</v>
      </c>
    </row>
    <row r="125" spans="1:75" x14ac:dyDescent="0.15">
      <c r="A125" s="356"/>
      <c r="B125" s="355"/>
      <c r="C125" s="355"/>
      <c r="D125" s="355"/>
      <c r="E125" s="355"/>
      <c r="F125" s="355"/>
      <c r="G125" s="355"/>
      <c r="O125" s="356"/>
      <c r="P125" s="355"/>
      <c r="Q125" s="355"/>
      <c r="R125" s="355"/>
      <c r="S125" s="355"/>
      <c r="T125" s="355"/>
      <c r="U125" s="355"/>
      <c r="V125" s="355"/>
      <c r="W125" s="355"/>
      <c r="AG125" s="355"/>
      <c r="AH125" s="355"/>
      <c r="AI125" s="355"/>
      <c r="AJ125" s="355"/>
      <c r="AK125" s="355"/>
      <c r="AL125" s="355"/>
      <c r="AM125" s="355"/>
      <c r="AU125" s="379">
        <v>47557</v>
      </c>
      <c r="AV125" s="375"/>
      <c r="AW125" s="375"/>
      <c r="AX125" s="375"/>
      <c r="AY125" s="375"/>
      <c r="AZ125" s="375"/>
      <c r="BA125" s="375"/>
      <c r="BB125" s="375"/>
      <c r="BC125" s="375">
        <v>7.1249999999999994E-2</v>
      </c>
      <c r="BD125" s="375">
        <v>7.6249999999999998E-2</v>
      </c>
      <c r="BE125" s="375">
        <v>6.8750000000000006E-2</v>
      </c>
      <c r="BF125" s="375">
        <v>7.1249999999999994E-2</v>
      </c>
      <c r="BG125" s="375">
        <v>5.2499999999999998E-2</v>
      </c>
      <c r="BH125" s="375">
        <v>8.2799999999999999E-2</v>
      </c>
      <c r="BI125" s="373">
        <f t="shared" si="11"/>
        <v>7.0466666666666664E-2</v>
      </c>
      <c r="BJ125" s="378"/>
      <c r="BK125" s="375"/>
      <c r="BL125" s="375"/>
      <c r="BM125" s="375"/>
      <c r="BN125" s="375"/>
      <c r="BO125" s="375">
        <v>6.25E-2</v>
      </c>
      <c r="BP125" s="375">
        <v>4.7399999999999998E-2</v>
      </c>
      <c r="BQ125" s="377">
        <v>7.8200000000000006E-2</v>
      </c>
      <c r="BR125" s="380">
        <f t="shared" si="12"/>
        <v>6.2699999999999992E-2</v>
      </c>
      <c r="BT125" s="367">
        <v>47557</v>
      </c>
      <c r="BU125" s="375">
        <f t="shared" si="13"/>
        <v>4.3249999999999997E-2</v>
      </c>
      <c r="BV125" s="375">
        <f t="shared" si="14"/>
        <v>5.2749999999999998E-2</v>
      </c>
      <c r="BW125" s="377">
        <f t="shared" si="15"/>
        <v>4.3249999999999997E-2</v>
      </c>
    </row>
    <row r="126" spans="1:75" x14ac:dyDescent="0.15">
      <c r="A126" s="356"/>
      <c r="B126" s="355"/>
      <c r="C126" s="355"/>
      <c r="D126" s="355"/>
      <c r="E126" s="355"/>
      <c r="F126" s="355"/>
      <c r="G126" s="355"/>
      <c r="O126" s="356"/>
      <c r="P126" s="355"/>
      <c r="Q126" s="355"/>
      <c r="R126" s="355"/>
      <c r="S126" s="355"/>
      <c r="T126" s="355"/>
      <c r="U126" s="355"/>
      <c r="V126" s="355"/>
      <c r="W126" s="355"/>
      <c r="AG126" s="355"/>
      <c r="AH126" s="355"/>
      <c r="AI126" s="355"/>
      <c r="AJ126" s="355"/>
      <c r="AK126" s="355"/>
      <c r="AL126" s="355"/>
      <c r="AM126" s="355"/>
      <c r="AU126" s="379">
        <v>47588</v>
      </c>
      <c r="AV126" s="375"/>
      <c r="AW126" s="375"/>
      <c r="AX126" s="375"/>
      <c r="AY126" s="375"/>
      <c r="AZ126" s="375"/>
      <c r="BA126" s="375"/>
      <c r="BB126" s="375"/>
      <c r="BC126" s="375">
        <v>7.1249999999999994E-2</v>
      </c>
      <c r="BD126" s="375">
        <v>7.6249999999999998E-2</v>
      </c>
      <c r="BE126" s="375">
        <v>6.8750000000000006E-2</v>
      </c>
      <c r="BF126" s="375">
        <v>7.1249999999999994E-2</v>
      </c>
      <c r="BG126" s="375">
        <v>5.2499999999999998E-2</v>
      </c>
      <c r="BH126" s="375">
        <v>8.2799999999999999E-2</v>
      </c>
      <c r="BI126" s="373">
        <f t="shared" si="11"/>
        <v>7.0466666666666664E-2</v>
      </c>
      <c r="BJ126" s="378"/>
      <c r="BK126" s="375"/>
      <c r="BL126" s="375"/>
      <c r="BM126" s="375"/>
      <c r="BN126" s="375"/>
      <c r="BO126" s="375">
        <v>6.25E-2</v>
      </c>
      <c r="BP126" s="375">
        <v>4.7399999999999998E-2</v>
      </c>
      <c r="BQ126" s="377">
        <v>7.8200000000000006E-2</v>
      </c>
      <c r="BR126" s="380">
        <f t="shared" si="12"/>
        <v>6.2699999999999992E-2</v>
      </c>
      <c r="BT126" s="367">
        <v>47588</v>
      </c>
      <c r="BU126" s="375">
        <f t="shared" si="13"/>
        <v>4.3249999999999997E-2</v>
      </c>
      <c r="BV126" s="375">
        <f t="shared" si="14"/>
        <v>5.2749999999999998E-2</v>
      </c>
      <c r="BW126" s="377">
        <f t="shared" si="15"/>
        <v>4.3249999999999997E-2</v>
      </c>
    </row>
    <row r="127" spans="1:75" x14ac:dyDescent="0.15">
      <c r="A127" s="356"/>
      <c r="B127" s="355"/>
      <c r="C127" s="355"/>
      <c r="D127" s="355"/>
      <c r="E127" s="355"/>
      <c r="F127" s="355"/>
      <c r="G127" s="355"/>
      <c r="O127" s="356"/>
      <c r="P127" s="355"/>
      <c r="Q127" s="355"/>
      <c r="R127" s="355"/>
      <c r="S127" s="355"/>
      <c r="T127" s="355"/>
      <c r="U127" s="355"/>
      <c r="V127" s="355"/>
      <c r="W127" s="355"/>
      <c r="AG127" s="355"/>
      <c r="AH127" s="355"/>
      <c r="AI127" s="355"/>
      <c r="AJ127" s="355"/>
      <c r="AK127" s="355"/>
      <c r="AL127" s="355"/>
      <c r="AM127" s="355"/>
      <c r="AU127" s="379">
        <v>47618</v>
      </c>
      <c r="AV127" s="375"/>
      <c r="AW127" s="375"/>
      <c r="AX127" s="375"/>
      <c r="AY127" s="375"/>
      <c r="AZ127" s="375"/>
      <c r="BA127" s="375"/>
      <c r="BB127" s="375"/>
      <c r="BC127" s="375">
        <v>7.1249999999999994E-2</v>
      </c>
      <c r="BD127" s="375">
        <v>7.6249999999999998E-2</v>
      </c>
      <c r="BE127" s="375">
        <v>6.8750000000000006E-2</v>
      </c>
      <c r="BF127" s="375">
        <v>7.1249999999999994E-2</v>
      </c>
      <c r="BG127" s="375">
        <v>5.2499999999999998E-2</v>
      </c>
      <c r="BH127" s="375">
        <v>8.2799999999999999E-2</v>
      </c>
      <c r="BI127" s="373">
        <f t="shared" si="11"/>
        <v>7.0466666666666664E-2</v>
      </c>
      <c r="BJ127" s="378"/>
      <c r="BK127" s="375"/>
      <c r="BL127" s="375"/>
      <c r="BM127" s="375"/>
      <c r="BN127" s="375"/>
      <c r="BO127" s="375">
        <v>6.25E-2</v>
      </c>
      <c r="BP127" s="375">
        <v>4.7399999999999998E-2</v>
      </c>
      <c r="BQ127" s="377">
        <v>7.8200000000000006E-2</v>
      </c>
      <c r="BR127" s="380">
        <f t="shared" si="12"/>
        <v>6.2699999999999992E-2</v>
      </c>
      <c r="BT127" s="367">
        <v>47618</v>
      </c>
      <c r="BU127" s="375">
        <f t="shared" si="13"/>
        <v>4.3249999999999997E-2</v>
      </c>
      <c r="BV127" s="375">
        <f t="shared" si="14"/>
        <v>5.2749999999999998E-2</v>
      </c>
      <c r="BW127" s="377">
        <f t="shared" si="15"/>
        <v>4.3249999999999997E-2</v>
      </c>
    </row>
    <row r="128" spans="1:75" x14ac:dyDescent="0.15">
      <c r="A128" s="356"/>
      <c r="B128" s="355"/>
      <c r="C128" s="355"/>
      <c r="D128" s="355"/>
      <c r="E128" s="355"/>
      <c r="F128" s="355"/>
      <c r="G128" s="355"/>
      <c r="O128" s="356"/>
      <c r="P128" s="355"/>
      <c r="Q128" s="355"/>
      <c r="R128" s="355"/>
      <c r="S128" s="355"/>
      <c r="T128" s="355"/>
      <c r="U128" s="355"/>
      <c r="V128" s="355"/>
      <c r="W128" s="355"/>
      <c r="AG128" s="355"/>
      <c r="AH128" s="355"/>
      <c r="AI128" s="355"/>
      <c r="AJ128" s="355"/>
      <c r="AK128" s="355"/>
      <c r="AL128" s="355"/>
      <c r="AM128" s="355"/>
      <c r="AU128" s="379">
        <v>47649</v>
      </c>
      <c r="AV128" s="375"/>
      <c r="AW128" s="375"/>
      <c r="AX128" s="375"/>
      <c r="AY128" s="375"/>
      <c r="AZ128" s="375"/>
      <c r="BA128" s="375"/>
      <c r="BB128" s="375"/>
      <c r="BC128" s="375">
        <v>7.1249999999999994E-2</v>
      </c>
      <c r="BD128" s="375">
        <v>7.6249999999999998E-2</v>
      </c>
      <c r="BE128" s="375">
        <v>6.8750000000000006E-2</v>
      </c>
      <c r="BF128" s="375">
        <v>7.1249999999999994E-2</v>
      </c>
      <c r="BG128" s="375">
        <v>5.2499999999999998E-2</v>
      </c>
      <c r="BH128" s="375">
        <v>8.2799999999999999E-2</v>
      </c>
      <c r="BI128" s="373">
        <f t="shared" si="11"/>
        <v>7.0466666666666664E-2</v>
      </c>
      <c r="BJ128" s="378"/>
      <c r="BK128" s="375"/>
      <c r="BL128" s="375"/>
      <c r="BM128" s="375"/>
      <c r="BN128" s="375"/>
      <c r="BO128" s="375">
        <v>6.25E-2</v>
      </c>
      <c r="BP128" s="375">
        <v>4.7399999999999998E-2</v>
      </c>
      <c r="BQ128" s="377">
        <v>7.8200000000000006E-2</v>
      </c>
      <c r="BR128" s="380">
        <f t="shared" si="12"/>
        <v>6.2699999999999992E-2</v>
      </c>
      <c r="BT128" s="367">
        <v>47649</v>
      </c>
      <c r="BU128" s="375">
        <f t="shared" si="13"/>
        <v>4.3249999999999997E-2</v>
      </c>
      <c r="BV128" s="375">
        <f t="shared" si="14"/>
        <v>5.2749999999999998E-2</v>
      </c>
      <c r="BW128" s="377">
        <f t="shared" si="15"/>
        <v>4.3249999999999997E-2</v>
      </c>
    </row>
    <row r="129" spans="1:75" x14ac:dyDescent="0.15">
      <c r="A129" s="356"/>
      <c r="B129" s="355"/>
      <c r="C129" s="355"/>
      <c r="D129" s="355"/>
      <c r="E129" s="355"/>
      <c r="F129" s="355"/>
      <c r="G129" s="355"/>
      <c r="O129" s="356"/>
      <c r="P129" s="355"/>
      <c r="Q129" s="355"/>
      <c r="R129" s="355"/>
      <c r="S129" s="355"/>
      <c r="T129" s="355"/>
      <c r="U129" s="355"/>
      <c r="V129" s="355"/>
      <c r="W129" s="355"/>
      <c r="AG129" s="355"/>
      <c r="AH129" s="355"/>
      <c r="AI129" s="355"/>
      <c r="AJ129" s="355"/>
      <c r="AK129" s="355"/>
      <c r="AL129" s="355"/>
      <c r="AM129" s="355"/>
      <c r="AU129" s="379">
        <v>47679</v>
      </c>
      <c r="AV129" s="375"/>
      <c r="AW129" s="375"/>
      <c r="AX129" s="375"/>
      <c r="AY129" s="375"/>
      <c r="AZ129" s="375"/>
      <c r="BA129" s="375"/>
      <c r="BB129" s="375"/>
      <c r="BC129" s="375">
        <v>7.1249999999999994E-2</v>
      </c>
      <c r="BD129" s="375">
        <v>7.6249999999999998E-2</v>
      </c>
      <c r="BE129" s="375">
        <v>6.8750000000000006E-2</v>
      </c>
      <c r="BF129" s="375">
        <v>7.1249999999999994E-2</v>
      </c>
      <c r="BG129" s="375">
        <v>5.2499999999999998E-2</v>
      </c>
      <c r="BH129" s="375">
        <v>8.2799999999999999E-2</v>
      </c>
      <c r="BI129" s="373">
        <f t="shared" si="11"/>
        <v>7.0466666666666664E-2</v>
      </c>
      <c r="BJ129" s="378"/>
      <c r="BK129" s="375"/>
      <c r="BL129" s="375"/>
      <c r="BM129" s="375"/>
      <c r="BN129" s="375"/>
      <c r="BO129" s="375">
        <v>6.25E-2</v>
      </c>
      <c r="BP129" s="375">
        <v>4.7399999999999998E-2</v>
      </c>
      <c r="BQ129" s="377">
        <v>7.8200000000000006E-2</v>
      </c>
      <c r="BR129" s="380">
        <f t="shared" si="12"/>
        <v>6.2699999999999992E-2</v>
      </c>
      <c r="BT129" s="367">
        <v>47679</v>
      </c>
      <c r="BU129" s="375">
        <f t="shared" si="13"/>
        <v>4.3249999999999997E-2</v>
      </c>
      <c r="BV129" s="375">
        <f t="shared" si="14"/>
        <v>5.2749999999999998E-2</v>
      </c>
      <c r="BW129" s="377">
        <f t="shared" si="15"/>
        <v>4.3249999999999997E-2</v>
      </c>
    </row>
    <row r="130" spans="1:75" x14ac:dyDescent="0.15">
      <c r="A130" s="356"/>
      <c r="B130" s="355"/>
      <c r="C130" s="355"/>
      <c r="D130" s="355"/>
      <c r="E130" s="355"/>
      <c r="F130" s="355"/>
      <c r="G130" s="355"/>
      <c r="O130" s="356"/>
      <c r="P130" s="355"/>
      <c r="Q130" s="355"/>
      <c r="R130" s="355"/>
      <c r="S130" s="355"/>
      <c r="T130" s="355"/>
      <c r="U130" s="355"/>
      <c r="V130" s="355"/>
      <c r="W130" s="355"/>
      <c r="AG130" s="355"/>
      <c r="AH130" s="355"/>
      <c r="AI130" s="355"/>
      <c r="AJ130" s="355"/>
      <c r="AK130" s="355"/>
      <c r="AL130" s="355"/>
      <c r="AM130" s="355"/>
      <c r="AU130" s="379">
        <v>47710</v>
      </c>
      <c r="AV130" s="375"/>
      <c r="AW130" s="375"/>
      <c r="AX130" s="375"/>
      <c r="AY130" s="375"/>
      <c r="AZ130" s="375"/>
      <c r="BA130" s="375"/>
      <c r="BB130" s="375"/>
      <c r="BC130" s="375">
        <v>7.1249999999999994E-2</v>
      </c>
      <c r="BD130" s="375">
        <v>7.6249999999999998E-2</v>
      </c>
      <c r="BE130" s="375">
        <v>6.8750000000000006E-2</v>
      </c>
      <c r="BF130" s="375">
        <v>7.1249999999999994E-2</v>
      </c>
      <c r="BG130" s="375">
        <v>5.2499999999999998E-2</v>
      </c>
      <c r="BH130" s="375">
        <v>8.2799999999999999E-2</v>
      </c>
      <c r="BI130" s="373">
        <f t="shared" si="11"/>
        <v>7.0466666666666664E-2</v>
      </c>
      <c r="BJ130" s="378"/>
      <c r="BK130" s="375"/>
      <c r="BL130" s="375"/>
      <c r="BM130" s="375"/>
      <c r="BN130" s="375"/>
      <c r="BO130" s="375">
        <v>6.25E-2</v>
      </c>
      <c r="BP130" s="375">
        <v>4.7399999999999998E-2</v>
      </c>
      <c r="BQ130" s="377">
        <v>7.8200000000000006E-2</v>
      </c>
      <c r="BR130" s="380">
        <f t="shared" si="12"/>
        <v>6.2699999999999992E-2</v>
      </c>
      <c r="BT130" s="367">
        <v>47710</v>
      </c>
      <c r="BU130" s="375">
        <f t="shared" si="13"/>
        <v>4.3249999999999997E-2</v>
      </c>
      <c r="BV130" s="375">
        <f t="shared" si="14"/>
        <v>5.2749999999999998E-2</v>
      </c>
      <c r="BW130" s="377">
        <f t="shared" si="15"/>
        <v>4.3249999999999997E-2</v>
      </c>
    </row>
    <row r="131" spans="1:75" x14ac:dyDescent="0.15">
      <c r="A131" s="356"/>
      <c r="B131" s="355"/>
      <c r="C131" s="355"/>
      <c r="D131" s="355"/>
      <c r="E131" s="355"/>
      <c r="F131" s="355"/>
      <c r="G131" s="355"/>
      <c r="O131" s="356"/>
      <c r="P131" s="355"/>
      <c r="Q131" s="355"/>
      <c r="R131" s="355"/>
      <c r="S131" s="355"/>
      <c r="T131" s="355"/>
      <c r="U131" s="355"/>
      <c r="V131" s="355"/>
      <c r="W131" s="355"/>
      <c r="AG131" s="355"/>
      <c r="AH131" s="355"/>
      <c r="AI131" s="355"/>
      <c r="AJ131" s="355"/>
      <c r="AK131" s="355"/>
      <c r="AL131" s="355"/>
      <c r="AM131" s="355"/>
      <c r="AU131" s="379">
        <v>47741</v>
      </c>
      <c r="AV131" s="375"/>
      <c r="AW131" s="375"/>
      <c r="AX131" s="375"/>
      <c r="AY131" s="375"/>
      <c r="AZ131" s="375"/>
      <c r="BA131" s="375"/>
      <c r="BB131" s="375"/>
      <c r="BC131" s="375">
        <v>7.1249999999999994E-2</v>
      </c>
      <c r="BD131" s="375">
        <v>7.6249999999999998E-2</v>
      </c>
      <c r="BE131" s="375">
        <v>6.8750000000000006E-2</v>
      </c>
      <c r="BF131" s="375">
        <v>7.1249999999999994E-2</v>
      </c>
      <c r="BG131" s="375">
        <v>5.2499999999999998E-2</v>
      </c>
      <c r="BH131" s="375">
        <v>8.2799999999999999E-2</v>
      </c>
      <c r="BI131" s="373">
        <f t="shared" si="11"/>
        <v>7.0466666666666664E-2</v>
      </c>
      <c r="BJ131" s="378"/>
      <c r="BK131" s="375"/>
      <c r="BL131" s="375"/>
      <c r="BM131" s="375"/>
      <c r="BN131" s="375"/>
      <c r="BO131" s="375">
        <v>6.25E-2</v>
      </c>
      <c r="BP131" s="375">
        <v>4.7399999999999998E-2</v>
      </c>
      <c r="BQ131" s="377">
        <v>7.8200000000000006E-2</v>
      </c>
      <c r="BR131" s="380">
        <f t="shared" si="12"/>
        <v>6.2699999999999992E-2</v>
      </c>
      <c r="BT131" s="367">
        <v>47741</v>
      </c>
      <c r="BU131" s="375">
        <f t="shared" si="13"/>
        <v>4.3249999999999997E-2</v>
      </c>
      <c r="BV131" s="375">
        <f t="shared" si="14"/>
        <v>5.2749999999999998E-2</v>
      </c>
      <c r="BW131" s="377">
        <f t="shared" si="15"/>
        <v>4.3249999999999997E-2</v>
      </c>
    </row>
    <row r="132" spans="1:75" x14ac:dyDescent="0.15">
      <c r="A132" s="356"/>
      <c r="B132" s="355"/>
      <c r="C132" s="355"/>
      <c r="D132" s="355"/>
      <c r="E132" s="355"/>
      <c r="F132" s="355"/>
      <c r="G132" s="355"/>
      <c r="O132" s="356"/>
      <c r="P132" s="355"/>
      <c r="Q132" s="355"/>
      <c r="R132" s="355"/>
      <c r="S132" s="355"/>
      <c r="T132" s="355"/>
      <c r="U132" s="355"/>
      <c r="V132" s="355"/>
      <c r="W132" s="355"/>
      <c r="AG132" s="355"/>
      <c r="AH132" s="355"/>
      <c r="AI132" s="355"/>
      <c r="AJ132" s="355"/>
      <c r="AK132" s="355"/>
      <c r="AL132" s="355"/>
      <c r="AM132" s="355"/>
      <c r="AU132" s="379">
        <v>47771</v>
      </c>
      <c r="AV132" s="375"/>
      <c r="AW132" s="375"/>
      <c r="AX132" s="375"/>
      <c r="AY132" s="375"/>
      <c r="AZ132" s="375"/>
      <c r="BA132" s="375"/>
      <c r="BB132" s="375"/>
      <c r="BC132" s="375">
        <v>7.1249999999999994E-2</v>
      </c>
      <c r="BD132" s="375">
        <v>7.6249999999999998E-2</v>
      </c>
      <c r="BE132" s="375">
        <v>6.8750000000000006E-2</v>
      </c>
      <c r="BF132" s="375">
        <v>7.1249999999999994E-2</v>
      </c>
      <c r="BG132" s="375">
        <v>5.2499999999999998E-2</v>
      </c>
      <c r="BH132" s="375">
        <v>8.2799999999999999E-2</v>
      </c>
      <c r="BI132" s="373">
        <f t="shared" si="11"/>
        <v>7.0466666666666664E-2</v>
      </c>
      <c r="BJ132" s="378"/>
      <c r="BK132" s="375"/>
      <c r="BL132" s="375"/>
      <c r="BM132" s="375"/>
      <c r="BN132" s="375"/>
      <c r="BO132" s="375">
        <v>6.25E-2</v>
      </c>
      <c r="BP132" s="375">
        <v>4.7399999999999998E-2</v>
      </c>
      <c r="BQ132" s="377">
        <v>7.8200000000000006E-2</v>
      </c>
      <c r="BR132" s="380">
        <f t="shared" si="12"/>
        <v>6.2699999999999992E-2</v>
      </c>
      <c r="BT132" s="367">
        <v>47771</v>
      </c>
      <c r="BU132" s="375">
        <f t="shared" si="13"/>
        <v>4.3249999999999997E-2</v>
      </c>
      <c r="BV132" s="375">
        <f t="shared" si="14"/>
        <v>5.2749999999999998E-2</v>
      </c>
      <c r="BW132" s="377">
        <f t="shared" si="15"/>
        <v>4.3249999999999997E-2</v>
      </c>
    </row>
    <row r="133" spans="1:75" x14ac:dyDescent="0.15">
      <c r="A133" s="356"/>
      <c r="B133" s="355"/>
      <c r="C133" s="355"/>
      <c r="D133" s="355"/>
      <c r="E133" s="355"/>
      <c r="F133" s="355"/>
      <c r="G133" s="355"/>
      <c r="O133" s="356"/>
      <c r="P133" s="355"/>
      <c r="Q133" s="355"/>
      <c r="R133" s="355"/>
      <c r="S133" s="355"/>
      <c r="T133" s="355"/>
      <c r="U133" s="355"/>
      <c r="V133" s="355"/>
      <c r="W133" s="355"/>
      <c r="AG133" s="355"/>
      <c r="AH133" s="355"/>
      <c r="AI133" s="355"/>
      <c r="AJ133" s="355"/>
      <c r="AK133" s="355"/>
      <c r="AL133" s="355"/>
      <c r="AM133" s="355"/>
      <c r="AU133" s="379">
        <v>47802</v>
      </c>
      <c r="AV133" s="375"/>
      <c r="AW133" s="375"/>
      <c r="AX133" s="375"/>
      <c r="AY133" s="375"/>
      <c r="AZ133" s="375"/>
      <c r="BA133" s="375"/>
      <c r="BB133" s="375"/>
      <c r="BC133" s="375">
        <v>7.1249999999999994E-2</v>
      </c>
      <c r="BD133" s="375">
        <v>7.6249999999999998E-2</v>
      </c>
      <c r="BE133" s="375">
        <v>6.8750000000000006E-2</v>
      </c>
      <c r="BF133" s="375">
        <v>7.1249999999999994E-2</v>
      </c>
      <c r="BG133" s="375">
        <v>5.2499999999999998E-2</v>
      </c>
      <c r="BH133" s="375">
        <v>8.2799999999999999E-2</v>
      </c>
      <c r="BI133" s="373">
        <f t="shared" si="11"/>
        <v>7.0466666666666664E-2</v>
      </c>
      <c r="BJ133" s="378"/>
      <c r="BK133" s="375"/>
      <c r="BL133" s="375"/>
      <c r="BM133" s="375"/>
      <c r="BN133" s="375"/>
      <c r="BO133" s="375">
        <v>6.25E-2</v>
      </c>
      <c r="BP133" s="375">
        <v>4.7399999999999998E-2</v>
      </c>
      <c r="BQ133" s="377">
        <v>7.8200000000000006E-2</v>
      </c>
      <c r="BR133" s="380">
        <f t="shared" si="12"/>
        <v>6.2699999999999992E-2</v>
      </c>
      <c r="BT133" s="367">
        <v>47802</v>
      </c>
      <c r="BU133" s="375">
        <f t="shared" si="13"/>
        <v>4.3249999999999997E-2</v>
      </c>
      <c r="BV133" s="375">
        <f t="shared" si="14"/>
        <v>5.2749999999999998E-2</v>
      </c>
      <c r="BW133" s="377">
        <f t="shared" si="15"/>
        <v>4.3249999999999997E-2</v>
      </c>
    </row>
    <row r="134" spans="1:75" x14ac:dyDescent="0.15">
      <c r="A134" s="356"/>
      <c r="B134" s="355"/>
      <c r="C134" s="355"/>
      <c r="D134" s="355"/>
      <c r="E134" s="355"/>
      <c r="F134" s="355"/>
      <c r="G134" s="355"/>
      <c r="O134" s="356"/>
      <c r="P134" s="355"/>
      <c r="Q134" s="355"/>
      <c r="R134" s="355"/>
      <c r="S134" s="355"/>
      <c r="T134" s="355"/>
      <c r="U134" s="355"/>
      <c r="V134" s="355"/>
      <c r="W134" s="355"/>
      <c r="AG134" s="355"/>
      <c r="AH134" s="355"/>
      <c r="AI134" s="355"/>
      <c r="AJ134" s="355"/>
      <c r="AK134" s="355"/>
      <c r="AL134" s="355"/>
      <c r="AM134" s="355"/>
      <c r="AU134" s="379">
        <v>47832</v>
      </c>
      <c r="AV134" s="375"/>
      <c r="AW134" s="375"/>
      <c r="AX134" s="375"/>
      <c r="AY134" s="375"/>
      <c r="AZ134" s="375"/>
      <c r="BA134" s="375"/>
      <c r="BB134" s="375"/>
      <c r="BC134" s="375">
        <v>7.1249999999999994E-2</v>
      </c>
      <c r="BD134" s="375">
        <v>7.6249999999999998E-2</v>
      </c>
      <c r="BE134" s="375">
        <v>6.8750000000000006E-2</v>
      </c>
      <c r="BF134" s="375">
        <v>7.1249999999999994E-2</v>
      </c>
      <c r="BG134" s="375">
        <v>5.2499999999999998E-2</v>
      </c>
      <c r="BH134" s="375">
        <v>8.2799999999999999E-2</v>
      </c>
      <c r="BI134" s="373">
        <f t="shared" si="11"/>
        <v>7.0466666666666664E-2</v>
      </c>
      <c r="BJ134" s="378"/>
      <c r="BK134" s="375"/>
      <c r="BL134" s="375"/>
      <c r="BM134" s="375"/>
      <c r="BN134" s="375"/>
      <c r="BO134" s="375">
        <v>6.25E-2</v>
      </c>
      <c r="BP134" s="375">
        <v>4.7399999999999998E-2</v>
      </c>
      <c r="BQ134" s="377">
        <v>7.8200000000000006E-2</v>
      </c>
      <c r="BR134" s="380">
        <f t="shared" si="12"/>
        <v>6.2699999999999992E-2</v>
      </c>
      <c r="BT134" s="367">
        <v>47832</v>
      </c>
      <c r="BU134" s="375">
        <f t="shared" si="13"/>
        <v>4.3249999999999997E-2</v>
      </c>
      <c r="BV134" s="375">
        <f t="shared" si="14"/>
        <v>5.2749999999999998E-2</v>
      </c>
      <c r="BW134" s="377">
        <f t="shared" si="15"/>
        <v>4.3249999999999997E-2</v>
      </c>
    </row>
    <row r="135" spans="1:75" x14ac:dyDescent="0.15">
      <c r="A135" s="356"/>
      <c r="B135" s="355"/>
      <c r="C135" s="355"/>
      <c r="D135" s="355"/>
      <c r="E135" s="355"/>
      <c r="F135" s="355"/>
      <c r="G135" s="355"/>
      <c r="O135" s="356"/>
      <c r="P135" s="355"/>
      <c r="Q135" s="355"/>
      <c r="R135" s="355"/>
      <c r="S135" s="355"/>
      <c r="T135" s="355"/>
      <c r="U135" s="355"/>
      <c r="V135" s="355"/>
      <c r="W135" s="355"/>
      <c r="AG135" s="355"/>
      <c r="AH135" s="355"/>
      <c r="AI135" s="355"/>
      <c r="AJ135" s="355"/>
      <c r="AK135" s="355"/>
      <c r="AL135" s="355"/>
      <c r="AM135" s="355"/>
      <c r="AU135" s="379">
        <v>47863</v>
      </c>
      <c r="AV135" s="375"/>
      <c r="AW135" s="375"/>
      <c r="AX135" s="375"/>
      <c r="AY135" s="375"/>
      <c r="AZ135" s="375"/>
      <c r="BA135" s="375"/>
      <c r="BB135" s="375"/>
      <c r="BC135" s="375">
        <v>7.1249999999999994E-2</v>
      </c>
      <c r="BD135" s="375">
        <v>7.6249999999999998E-2</v>
      </c>
      <c r="BE135" s="375">
        <v>6.8750000000000006E-2</v>
      </c>
      <c r="BF135" s="375">
        <v>7.1249999999999994E-2</v>
      </c>
      <c r="BG135" s="375">
        <v>5.2499999999999998E-2</v>
      </c>
      <c r="BH135" s="375">
        <v>8.2799999999999999E-2</v>
      </c>
      <c r="BI135" s="373">
        <f t="shared" ref="BI135:BI198" si="16">+AVERAGE(AV135:BH135)</f>
        <v>7.0466666666666664E-2</v>
      </c>
      <c r="BJ135" s="378"/>
      <c r="BK135" s="375"/>
      <c r="BL135" s="375"/>
      <c r="BM135" s="375"/>
      <c r="BN135" s="375"/>
      <c r="BO135" s="375">
        <v>6.25E-2</v>
      </c>
      <c r="BP135" s="375">
        <v>4.7399999999999998E-2</v>
      </c>
      <c r="BQ135" s="377">
        <v>7.8200000000000006E-2</v>
      </c>
      <c r="BR135" s="380">
        <f t="shared" ref="BR135:BR198" si="17">+AVERAGE(BJ135:BQ135)</f>
        <v>6.2699999999999992E-2</v>
      </c>
      <c r="BT135" s="367">
        <v>47863</v>
      </c>
      <c r="BU135" s="375">
        <f t="shared" si="13"/>
        <v>4.3249999999999997E-2</v>
      </c>
      <c r="BV135" s="375">
        <f t="shared" si="14"/>
        <v>5.5300000000000002E-2</v>
      </c>
      <c r="BW135" s="377">
        <f t="shared" si="15"/>
        <v>4.9687499999999996E-2</v>
      </c>
    </row>
    <row r="136" spans="1:75" x14ac:dyDescent="0.15">
      <c r="A136" s="356"/>
      <c r="B136" s="355"/>
      <c r="C136" s="355"/>
      <c r="D136" s="355"/>
      <c r="E136" s="355"/>
      <c r="F136" s="355"/>
      <c r="G136" s="355"/>
      <c r="O136" s="356"/>
      <c r="P136" s="355"/>
      <c r="Q136" s="355"/>
      <c r="R136" s="355"/>
      <c r="S136" s="355"/>
      <c r="T136" s="355"/>
      <c r="U136" s="355"/>
      <c r="V136" s="355"/>
      <c r="W136" s="355"/>
      <c r="AG136" s="355"/>
      <c r="AH136" s="355"/>
      <c r="AI136" s="355"/>
      <c r="AJ136" s="355"/>
      <c r="AK136" s="355"/>
      <c r="AL136" s="355"/>
      <c r="AM136" s="355"/>
      <c r="AU136" s="379">
        <v>47894</v>
      </c>
      <c r="AV136" s="375"/>
      <c r="AW136" s="375"/>
      <c r="AX136" s="375"/>
      <c r="AY136" s="375"/>
      <c r="AZ136" s="375"/>
      <c r="BA136" s="375"/>
      <c r="BB136" s="375"/>
      <c r="BC136" s="375">
        <v>7.1249999999999994E-2</v>
      </c>
      <c r="BD136" s="375">
        <v>7.6249999999999998E-2</v>
      </c>
      <c r="BE136" s="375">
        <v>6.8750000000000006E-2</v>
      </c>
      <c r="BF136" s="375">
        <v>7.1249999999999994E-2</v>
      </c>
      <c r="BG136" s="375">
        <v>5.2499999999999998E-2</v>
      </c>
      <c r="BH136" s="375">
        <v>8.2799999999999999E-2</v>
      </c>
      <c r="BI136" s="373">
        <f t="shared" si="16"/>
        <v>7.0466666666666664E-2</v>
      </c>
      <c r="BJ136" s="378"/>
      <c r="BK136" s="375"/>
      <c r="BL136" s="375"/>
      <c r="BM136" s="375"/>
      <c r="BN136" s="375"/>
      <c r="BO136" s="375">
        <v>6.25E-2</v>
      </c>
      <c r="BP136" s="375">
        <v>4.7399999999999998E-2</v>
      </c>
      <c r="BQ136" s="377">
        <v>7.8200000000000006E-2</v>
      </c>
      <c r="BR136" s="380">
        <f t="shared" si="17"/>
        <v>6.2699999999999992E-2</v>
      </c>
      <c r="BT136" s="367">
        <v>47894</v>
      </c>
      <c r="BU136" s="375">
        <f t="shared" ref="BU136:BU199" si="18">+IFERROR(VLOOKUP($BT136,$A$8:$G$62,7,FALSE),BU135)</f>
        <v>4.3249999999999997E-2</v>
      </c>
      <c r="BV136" s="375">
        <f t="shared" ref="BV136:BV199" si="19">+IFERROR(VLOOKUP($BT136,$O$7:$W$62,9,FALSE),BV135)</f>
        <v>5.5300000000000002E-2</v>
      </c>
      <c r="BW136" s="377">
        <f t="shared" ref="BW136:BW199" si="20">+IFERROR(VLOOKUP($BT136,$AG$7:$AM$62,7,FALSE),BW135)</f>
        <v>4.9687499999999996E-2</v>
      </c>
    </row>
    <row r="137" spans="1:75" x14ac:dyDescent="0.15">
      <c r="A137" s="356"/>
      <c r="B137" s="355"/>
      <c r="C137" s="355"/>
      <c r="D137" s="355"/>
      <c r="E137" s="355"/>
      <c r="F137" s="355"/>
      <c r="G137" s="355"/>
      <c r="O137" s="356"/>
      <c r="P137" s="355"/>
      <c r="Q137" s="355"/>
      <c r="R137" s="355"/>
      <c r="S137" s="355"/>
      <c r="T137" s="355"/>
      <c r="U137" s="355"/>
      <c r="V137" s="355"/>
      <c r="W137" s="355"/>
      <c r="AG137" s="355"/>
      <c r="AH137" s="355"/>
      <c r="AI137" s="355"/>
      <c r="AJ137" s="355"/>
      <c r="AK137" s="355"/>
      <c r="AL137" s="355"/>
      <c r="AM137" s="355"/>
      <c r="AU137" s="379">
        <v>47922</v>
      </c>
      <c r="AV137" s="375"/>
      <c r="AW137" s="375"/>
      <c r="AX137" s="375"/>
      <c r="AY137" s="375"/>
      <c r="AZ137" s="375"/>
      <c r="BA137" s="375"/>
      <c r="BB137" s="375"/>
      <c r="BC137" s="375">
        <v>7.1249999999999994E-2</v>
      </c>
      <c r="BD137" s="375">
        <v>7.6249999999999998E-2</v>
      </c>
      <c r="BE137" s="375">
        <v>6.8750000000000006E-2</v>
      </c>
      <c r="BF137" s="375">
        <v>7.1249999999999994E-2</v>
      </c>
      <c r="BG137" s="375">
        <v>5.2499999999999998E-2</v>
      </c>
      <c r="BH137" s="375">
        <v>8.2799999999999999E-2</v>
      </c>
      <c r="BI137" s="373">
        <f t="shared" si="16"/>
        <v>7.0466666666666664E-2</v>
      </c>
      <c r="BJ137" s="378"/>
      <c r="BK137" s="375"/>
      <c r="BL137" s="375"/>
      <c r="BM137" s="375"/>
      <c r="BN137" s="375"/>
      <c r="BO137" s="375">
        <v>6.25E-2</v>
      </c>
      <c r="BP137" s="375">
        <v>4.7399999999999998E-2</v>
      </c>
      <c r="BQ137" s="377">
        <v>7.8200000000000006E-2</v>
      </c>
      <c r="BR137" s="380">
        <f t="shared" si="17"/>
        <v>6.2699999999999992E-2</v>
      </c>
      <c r="BT137" s="367">
        <v>47922</v>
      </c>
      <c r="BU137" s="375">
        <f t="shared" si="18"/>
        <v>4.3249999999999997E-2</v>
      </c>
      <c r="BV137" s="375">
        <f t="shared" si="19"/>
        <v>5.5300000000000002E-2</v>
      </c>
      <c r="BW137" s="377">
        <f t="shared" si="20"/>
        <v>4.9687499999999996E-2</v>
      </c>
    </row>
    <row r="138" spans="1:75" x14ac:dyDescent="0.15">
      <c r="A138" s="356"/>
      <c r="B138" s="355"/>
      <c r="C138" s="355"/>
      <c r="D138" s="355"/>
      <c r="E138" s="355"/>
      <c r="F138" s="355"/>
      <c r="G138" s="355"/>
      <c r="O138" s="356"/>
      <c r="P138" s="355"/>
      <c r="Q138" s="355"/>
      <c r="R138" s="355"/>
      <c r="S138" s="355"/>
      <c r="T138" s="355"/>
      <c r="U138" s="355"/>
      <c r="V138" s="355"/>
      <c r="W138" s="355"/>
      <c r="AG138" s="355"/>
      <c r="AH138" s="355"/>
      <c r="AI138" s="355"/>
      <c r="AJ138" s="355"/>
      <c r="AK138" s="355"/>
      <c r="AL138" s="355"/>
      <c r="AM138" s="355"/>
      <c r="AU138" s="379">
        <v>47953</v>
      </c>
      <c r="AV138" s="375"/>
      <c r="AW138" s="375"/>
      <c r="AX138" s="375"/>
      <c r="AY138" s="375"/>
      <c r="AZ138" s="375"/>
      <c r="BA138" s="375"/>
      <c r="BB138" s="375"/>
      <c r="BC138" s="375">
        <v>7.1249999999999994E-2</v>
      </c>
      <c r="BD138" s="375">
        <v>7.6249999999999998E-2</v>
      </c>
      <c r="BE138" s="375">
        <v>6.8750000000000006E-2</v>
      </c>
      <c r="BF138" s="375">
        <v>7.1249999999999994E-2</v>
      </c>
      <c r="BG138" s="375">
        <v>5.2499999999999998E-2</v>
      </c>
      <c r="BH138" s="375">
        <v>8.2799999999999999E-2</v>
      </c>
      <c r="BI138" s="373">
        <f t="shared" si="16"/>
        <v>7.0466666666666664E-2</v>
      </c>
      <c r="BJ138" s="378"/>
      <c r="BK138" s="375"/>
      <c r="BL138" s="375"/>
      <c r="BM138" s="375"/>
      <c r="BN138" s="375"/>
      <c r="BO138" s="375">
        <v>6.25E-2</v>
      </c>
      <c r="BP138" s="375">
        <v>4.7399999999999998E-2</v>
      </c>
      <c r="BQ138" s="377">
        <v>7.8200000000000006E-2</v>
      </c>
      <c r="BR138" s="380">
        <f t="shared" si="17"/>
        <v>6.2699999999999992E-2</v>
      </c>
      <c r="BT138" s="367">
        <v>47953</v>
      </c>
      <c r="BU138" s="375">
        <f t="shared" si="18"/>
        <v>4.3249999999999997E-2</v>
      </c>
      <c r="BV138" s="375">
        <f t="shared" si="19"/>
        <v>5.5300000000000002E-2</v>
      </c>
      <c r="BW138" s="377">
        <f t="shared" si="20"/>
        <v>4.9687499999999996E-2</v>
      </c>
    </row>
    <row r="139" spans="1:75" x14ac:dyDescent="0.15">
      <c r="A139" s="356"/>
      <c r="B139" s="355"/>
      <c r="C139" s="355"/>
      <c r="D139" s="355"/>
      <c r="E139" s="355"/>
      <c r="F139" s="355"/>
      <c r="G139" s="355"/>
      <c r="O139" s="356"/>
      <c r="P139" s="355"/>
      <c r="Q139" s="355"/>
      <c r="R139" s="355"/>
      <c r="S139" s="355"/>
      <c r="T139" s="355"/>
      <c r="U139" s="355"/>
      <c r="V139" s="355"/>
      <c r="W139" s="355"/>
      <c r="AG139" s="355"/>
      <c r="AH139" s="355"/>
      <c r="AI139" s="355"/>
      <c r="AJ139" s="355"/>
      <c r="AK139" s="355"/>
      <c r="AL139" s="355"/>
      <c r="AM139" s="355"/>
      <c r="AU139" s="379">
        <v>47983</v>
      </c>
      <c r="AV139" s="375"/>
      <c r="AW139" s="375"/>
      <c r="AX139" s="375"/>
      <c r="AY139" s="375"/>
      <c r="AZ139" s="375"/>
      <c r="BA139" s="375"/>
      <c r="BB139" s="375"/>
      <c r="BC139" s="375">
        <v>7.1249999999999994E-2</v>
      </c>
      <c r="BD139" s="375">
        <v>7.6249999999999998E-2</v>
      </c>
      <c r="BE139" s="375">
        <v>6.8750000000000006E-2</v>
      </c>
      <c r="BF139" s="375">
        <v>7.1249999999999994E-2</v>
      </c>
      <c r="BG139" s="375">
        <v>5.2499999999999998E-2</v>
      </c>
      <c r="BH139" s="375">
        <v>8.2799999999999999E-2</v>
      </c>
      <c r="BI139" s="373">
        <f t="shared" si="16"/>
        <v>7.0466666666666664E-2</v>
      </c>
      <c r="BJ139" s="378"/>
      <c r="BK139" s="375"/>
      <c r="BL139" s="375"/>
      <c r="BM139" s="375"/>
      <c r="BN139" s="375"/>
      <c r="BO139" s="375">
        <v>6.25E-2</v>
      </c>
      <c r="BP139" s="375">
        <v>4.7399999999999998E-2</v>
      </c>
      <c r="BQ139" s="377">
        <v>7.8200000000000006E-2</v>
      </c>
      <c r="BR139" s="380">
        <f t="shared" si="17"/>
        <v>6.2699999999999992E-2</v>
      </c>
      <c r="BT139" s="367">
        <v>47983</v>
      </c>
      <c r="BU139" s="375">
        <f t="shared" si="18"/>
        <v>4.9687499999999996E-2</v>
      </c>
      <c r="BV139" s="375">
        <f t="shared" si="19"/>
        <v>5.5300000000000002E-2</v>
      </c>
      <c r="BW139" s="377">
        <f t="shared" si="20"/>
        <v>4.9687499999999996E-2</v>
      </c>
    </row>
    <row r="140" spans="1:75" x14ac:dyDescent="0.15">
      <c r="A140" s="356"/>
      <c r="B140" s="355"/>
      <c r="C140" s="355"/>
      <c r="D140" s="355"/>
      <c r="E140" s="355"/>
      <c r="F140" s="355"/>
      <c r="G140" s="355"/>
      <c r="O140" s="356"/>
      <c r="P140" s="355"/>
      <c r="Q140" s="355"/>
      <c r="R140" s="355"/>
      <c r="S140" s="355"/>
      <c r="T140" s="355"/>
      <c r="U140" s="355"/>
      <c r="V140" s="355"/>
      <c r="W140" s="355"/>
      <c r="AG140" s="355"/>
      <c r="AH140" s="355"/>
      <c r="AI140" s="355"/>
      <c r="AJ140" s="355"/>
      <c r="AK140" s="355"/>
      <c r="AL140" s="355"/>
      <c r="AM140" s="355"/>
      <c r="AU140" s="379">
        <v>48014</v>
      </c>
      <c r="AV140" s="375"/>
      <c r="AW140" s="375"/>
      <c r="AX140" s="375"/>
      <c r="AY140" s="375"/>
      <c r="AZ140" s="375"/>
      <c r="BA140" s="375"/>
      <c r="BB140" s="375"/>
      <c r="BC140" s="375">
        <v>7.1249999999999994E-2</v>
      </c>
      <c r="BD140" s="375">
        <v>7.6249999999999998E-2</v>
      </c>
      <c r="BE140" s="375">
        <v>6.8750000000000006E-2</v>
      </c>
      <c r="BF140" s="375">
        <v>7.1249999999999994E-2</v>
      </c>
      <c r="BG140" s="375">
        <v>5.2499999999999998E-2</v>
      </c>
      <c r="BH140" s="375">
        <v>8.2799999999999999E-2</v>
      </c>
      <c r="BI140" s="373">
        <f t="shared" si="16"/>
        <v>7.0466666666666664E-2</v>
      </c>
      <c r="BJ140" s="378"/>
      <c r="BK140" s="375"/>
      <c r="BL140" s="375"/>
      <c r="BM140" s="375"/>
      <c r="BN140" s="375"/>
      <c r="BO140" s="375">
        <v>6.25E-2</v>
      </c>
      <c r="BP140" s="375">
        <v>4.7399999999999998E-2</v>
      </c>
      <c r="BQ140" s="377">
        <v>7.8200000000000006E-2</v>
      </c>
      <c r="BR140" s="380">
        <f t="shared" si="17"/>
        <v>6.2699999999999992E-2</v>
      </c>
      <c r="BT140" s="367">
        <v>48014</v>
      </c>
      <c r="BU140" s="375">
        <f t="shared" si="18"/>
        <v>4.9687499999999996E-2</v>
      </c>
      <c r="BV140" s="375">
        <f t="shared" si="19"/>
        <v>5.5300000000000002E-2</v>
      </c>
      <c r="BW140" s="377">
        <f t="shared" si="20"/>
        <v>4.9687499999999996E-2</v>
      </c>
    </row>
    <row r="141" spans="1:75" x14ac:dyDescent="0.15">
      <c r="A141" s="356"/>
      <c r="B141" s="355"/>
      <c r="C141" s="355"/>
      <c r="D141" s="355"/>
      <c r="E141" s="355"/>
      <c r="F141" s="355"/>
      <c r="G141" s="355"/>
      <c r="O141" s="356"/>
      <c r="P141" s="355"/>
      <c r="Q141" s="355"/>
      <c r="R141" s="355"/>
      <c r="S141" s="355"/>
      <c r="T141" s="355"/>
      <c r="U141" s="355"/>
      <c r="V141" s="355"/>
      <c r="W141" s="355"/>
      <c r="AG141" s="355"/>
      <c r="AH141" s="355"/>
      <c r="AI141" s="355"/>
      <c r="AJ141" s="355"/>
      <c r="AK141" s="355"/>
      <c r="AL141" s="355"/>
      <c r="AM141" s="355"/>
      <c r="AU141" s="379">
        <v>48044</v>
      </c>
      <c r="AV141" s="375"/>
      <c r="AW141" s="375"/>
      <c r="AX141" s="375"/>
      <c r="AY141" s="375"/>
      <c r="AZ141" s="375"/>
      <c r="BA141" s="375"/>
      <c r="BB141" s="375"/>
      <c r="BC141" s="375">
        <v>7.1249999999999994E-2</v>
      </c>
      <c r="BD141" s="375">
        <v>7.6249999999999998E-2</v>
      </c>
      <c r="BE141" s="375">
        <v>6.8750000000000006E-2</v>
      </c>
      <c r="BF141" s="375">
        <v>7.1249999999999994E-2</v>
      </c>
      <c r="BG141" s="375">
        <v>5.2499999999999998E-2</v>
      </c>
      <c r="BH141" s="375">
        <v>8.2799999999999999E-2</v>
      </c>
      <c r="BI141" s="373">
        <f t="shared" si="16"/>
        <v>7.0466666666666664E-2</v>
      </c>
      <c r="BJ141" s="378"/>
      <c r="BK141" s="375"/>
      <c r="BL141" s="375"/>
      <c r="BM141" s="375"/>
      <c r="BN141" s="375"/>
      <c r="BO141" s="375">
        <v>6.25E-2</v>
      </c>
      <c r="BP141" s="375">
        <v>4.7399999999999998E-2</v>
      </c>
      <c r="BQ141" s="377">
        <v>7.8200000000000006E-2</v>
      </c>
      <c r="BR141" s="380">
        <f t="shared" si="17"/>
        <v>6.2699999999999992E-2</v>
      </c>
      <c r="BT141" s="367">
        <v>48044</v>
      </c>
      <c r="BU141" s="375">
        <f t="shared" si="18"/>
        <v>4.9687499999999996E-2</v>
      </c>
      <c r="BV141" s="375">
        <f t="shared" si="19"/>
        <v>5.5300000000000002E-2</v>
      </c>
      <c r="BW141" s="377">
        <f t="shared" si="20"/>
        <v>4.9687499999999996E-2</v>
      </c>
    </row>
    <row r="142" spans="1:75" x14ac:dyDescent="0.15">
      <c r="A142" s="356"/>
      <c r="B142" s="355"/>
      <c r="C142" s="355"/>
      <c r="D142" s="355"/>
      <c r="E142" s="355"/>
      <c r="F142" s="355"/>
      <c r="G142" s="355"/>
      <c r="O142" s="356"/>
      <c r="P142" s="355"/>
      <c r="Q142" s="355"/>
      <c r="R142" s="355"/>
      <c r="S142" s="355"/>
      <c r="T142" s="355"/>
      <c r="U142" s="355"/>
      <c r="V142" s="355"/>
      <c r="W142" s="355"/>
      <c r="AG142" s="355"/>
      <c r="AH142" s="355"/>
      <c r="AI142" s="355"/>
      <c r="AJ142" s="355"/>
      <c r="AK142" s="355"/>
      <c r="AL142" s="355"/>
      <c r="AM142" s="355"/>
      <c r="AU142" s="379">
        <v>48075</v>
      </c>
      <c r="AV142" s="375"/>
      <c r="AW142" s="375"/>
      <c r="AX142" s="375"/>
      <c r="AY142" s="375"/>
      <c r="AZ142" s="375"/>
      <c r="BA142" s="375"/>
      <c r="BB142" s="375"/>
      <c r="BC142" s="375">
        <v>7.1249999999999994E-2</v>
      </c>
      <c r="BD142" s="375">
        <v>7.6249999999999998E-2</v>
      </c>
      <c r="BE142" s="375">
        <v>6.8750000000000006E-2</v>
      </c>
      <c r="BF142" s="375">
        <v>7.1249999999999994E-2</v>
      </c>
      <c r="BG142" s="375">
        <v>5.2499999999999998E-2</v>
      </c>
      <c r="BH142" s="375">
        <v>8.2799999999999999E-2</v>
      </c>
      <c r="BI142" s="373">
        <f t="shared" si="16"/>
        <v>7.0466666666666664E-2</v>
      </c>
      <c r="BJ142" s="378"/>
      <c r="BK142" s="375"/>
      <c r="BL142" s="375"/>
      <c r="BM142" s="375"/>
      <c r="BN142" s="375"/>
      <c r="BO142" s="375">
        <v>6.25E-2</v>
      </c>
      <c r="BP142" s="375">
        <v>4.7399999999999998E-2</v>
      </c>
      <c r="BQ142" s="377">
        <v>7.8200000000000006E-2</v>
      </c>
      <c r="BR142" s="380">
        <f t="shared" si="17"/>
        <v>6.2699999999999992E-2</v>
      </c>
      <c r="BT142" s="367">
        <v>48075</v>
      </c>
      <c r="BU142" s="375">
        <f t="shared" si="18"/>
        <v>4.9687499999999996E-2</v>
      </c>
      <c r="BV142" s="375">
        <f t="shared" si="19"/>
        <v>5.5300000000000002E-2</v>
      </c>
      <c r="BW142" s="377">
        <f t="shared" si="20"/>
        <v>4.9687499999999996E-2</v>
      </c>
    </row>
    <row r="143" spans="1:75" x14ac:dyDescent="0.15">
      <c r="A143" s="356"/>
      <c r="B143" s="355"/>
      <c r="C143" s="355"/>
      <c r="D143" s="355"/>
      <c r="E143" s="355"/>
      <c r="F143" s="355"/>
      <c r="G143" s="355"/>
      <c r="O143" s="356"/>
      <c r="P143" s="355"/>
      <c r="Q143" s="355"/>
      <c r="R143" s="355"/>
      <c r="S143" s="355"/>
      <c r="T143" s="355"/>
      <c r="U143" s="355"/>
      <c r="V143" s="355"/>
      <c r="W143" s="355"/>
      <c r="AG143" s="355"/>
      <c r="AH143" s="355"/>
      <c r="AI143" s="355"/>
      <c r="AJ143" s="355"/>
      <c r="AK143" s="355"/>
      <c r="AL143" s="355"/>
      <c r="AM143" s="355"/>
      <c r="AU143" s="379">
        <v>48106</v>
      </c>
      <c r="AV143" s="375"/>
      <c r="AW143" s="375"/>
      <c r="AX143" s="375"/>
      <c r="AY143" s="375"/>
      <c r="AZ143" s="375"/>
      <c r="BA143" s="375"/>
      <c r="BB143" s="375"/>
      <c r="BC143" s="375">
        <v>7.1249999999999994E-2</v>
      </c>
      <c r="BD143" s="375">
        <v>7.6249999999999998E-2</v>
      </c>
      <c r="BE143" s="375">
        <v>6.8750000000000006E-2</v>
      </c>
      <c r="BF143" s="375">
        <v>7.1249999999999994E-2</v>
      </c>
      <c r="BG143" s="375">
        <v>5.2499999999999998E-2</v>
      </c>
      <c r="BH143" s="375">
        <v>8.2799999999999999E-2</v>
      </c>
      <c r="BI143" s="373">
        <f t="shared" si="16"/>
        <v>7.0466666666666664E-2</v>
      </c>
      <c r="BJ143" s="378"/>
      <c r="BK143" s="375"/>
      <c r="BL143" s="375"/>
      <c r="BM143" s="375"/>
      <c r="BN143" s="375"/>
      <c r="BO143" s="375">
        <v>6.25E-2</v>
      </c>
      <c r="BP143" s="375">
        <v>4.7399999999999998E-2</v>
      </c>
      <c r="BQ143" s="377">
        <v>7.8200000000000006E-2</v>
      </c>
      <c r="BR143" s="380">
        <f t="shared" si="17"/>
        <v>6.2699999999999992E-2</v>
      </c>
      <c r="BT143" s="367">
        <v>48106</v>
      </c>
      <c r="BU143" s="375">
        <f t="shared" si="18"/>
        <v>4.9687499999999996E-2</v>
      </c>
      <c r="BV143" s="375">
        <f t="shared" si="19"/>
        <v>5.5300000000000002E-2</v>
      </c>
      <c r="BW143" s="377">
        <f t="shared" si="20"/>
        <v>4.9687499999999996E-2</v>
      </c>
    </row>
    <row r="144" spans="1:75" x14ac:dyDescent="0.15">
      <c r="A144" s="356"/>
      <c r="B144" s="355"/>
      <c r="C144" s="355"/>
      <c r="D144" s="355"/>
      <c r="E144" s="355"/>
      <c r="F144" s="355"/>
      <c r="G144" s="355"/>
      <c r="O144" s="356"/>
      <c r="P144" s="355"/>
      <c r="Q144" s="355"/>
      <c r="R144" s="355"/>
      <c r="S144" s="355"/>
      <c r="T144" s="355"/>
      <c r="U144" s="355"/>
      <c r="V144" s="355"/>
      <c r="W144" s="355"/>
      <c r="AG144" s="355"/>
      <c r="AH144" s="355"/>
      <c r="AI144" s="355"/>
      <c r="AJ144" s="355"/>
      <c r="AK144" s="355"/>
      <c r="AL144" s="355"/>
      <c r="AM144" s="355"/>
      <c r="AU144" s="379">
        <v>48136</v>
      </c>
      <c r="AV144" s="375"/>
      <c r="AW144" s="375"/>
      <c r="AX144" s="375"/>
      <c r="AY144" s="375"/>
      <c r="AZ144" s="375"/>
      <c r="BA144" s="375"/>
      <c r="BB144" s="375"/>
      <c r="BC144" s="375">
        <v>7.1249999999999994E-2</v>
      </c>
      <c r="BD144" s="375">
        <v>7.6249999999999998E-2</v>
      </c>
      <c r="BE144" s="375">
        <v>6.8750000000000006E-2</v>
      </c>
      <c r="BF144" s="375">
        <v>7.1249999999999994E-2</v>
      </c>
      <c r="BG144" s="375">
        <v>5.2499999999999998E-2</v>
      </c>
      <c r="BH144" s="375">
        <v>8.2799999999999999E-2</v>
      </c>
      <c r="BI144" s="373">
        <f t="shared" si="16"/>
        <v>7.0466666666666664E-2</v>
      </c>
      <c r="BJ144" s="378"/>
      <c r="BK144" s="375"/>
      <c r="BL144" s="375"/>
      <c r="BM144" s="375"/>
      <c r="BN144" s="375"/>
      <c r="BO144" s="375">
        <v>6.25E-2</v>
      </c>
      <c r="BP144" s="375">
        <v>4.7399999999999998E-2</v>
      </c>
      <c r="BQ144" s="377">
        <v>7.8200000000000006E-2</v>
      </c>
      <c r="BR144" s="380">
        <f t="shared" si="17"/>
        <v>6.2699999999999992E-2</v>
      </c>
      <c r="BT144" s="367">
        <v>48136</v>
      </c>
      <c r="BU144" s="375">
        <f t="shared" si="18"/>
        <v>4.9687499999999996E-2</v>
      </c>
      <c r="BV144" s="375">
        <f t="shared" si="19"/>
        <v>5.5300000000000002E-2</v>
      </c>
      <c r="BW144" s="377">
        <f t="shared" si="20"/>
        <v>4.9687499999999996E-2</v>
      </c>
    </row>
    <row r="145" spans="1:75" x14ac:dyDescent="0.15">
      <c r="A145" s="356"/>
      <c r="B145" s="355"/>
      <c r="C145" s="355"/>
      <c r="D145" s="355"/>
      <c r="E145" s="355"/>
      <c r="F145" s="355"/>
      <c r="G145" s="355"/>
      <c r="O145" s="356"/>
      <c r="P145" s="355"/>
      <c r="Q145" s="355"/>
      <c r="R145" s="355"/>
      <c r="S145" s="355"/>
      <c r="T145" s="355"/>
      <c r="U145" s="355"/>
      <c r="V145" s="355"/>
      <c r="W145" s="355"/>
      <c r="AG145" s="355"/>
      <c r="AH145" s="355"/>
      <c r="AI145" s="355"/>
      <c r="AJ145" s="355"/>
      <c r="AK145" s="355"/>
      <c r="AL145" s="355"/>
      <c r="AM145" s="355"/>
      <c r="AU145" s="379">
        <v>48167</v>
      </c>
      <c r="AV145" s="375"/>
      <c r="AW145" s="375"/>
      <c r="AX145" s="375"/>
      <c r="AY145" s="375"/>
      <c r="AZ145" s="375"/>
      <c r="BA145" s="375"/>
      <c r="BB145" s="375"/>
      <c r="BC145" s="375">
        <v>7.1249999999999994E-2</v>
      </c>
      <c r="BD145" s="375">
        <v>7.6249999999999998E-2</v>
      </c>
      <c r="BE145" s="375">
        <v>6.8750000000000006E-2</v>
      </c>
      <c r="BF145" s="375">
        <v>7.1249999999999994E-2</v>
      </c>
      <c r="BG145" s="375">
        <v>5.2499999999999998E-2</v>
      </c>
      <c r="BH145" s="375">
        <v>8.2799999999999999E-2</v>
      </c>
      <c r="BI145" s="373">
        <f t="shared" si="16"/>
        <v>7.0466666666666664E-2</v>
      </c>
      <c r="BJ145" s="378"/>
      <c r="BK145" s="375"/>
      <c r="BL145" s="375"/>
      <c r="BM145" s="375"/>
      <c r="BN145" s="375"/>
      <c r="BO145" s="375">
        <v>6.25E-2</v>
      </c>
      <c r="BP145" s="375">
        <v>4.7399999999999998E-2</v>
      </c>
      <c r="BQ145" s="377">
        <v>7.8200000000000006E-2</v>
      </c>
      <c r="BR145" s="380">
        <f t="shared" si="17"/>
        <v>6.2699999999999992E-2</v>
      </c>
      <c r="BT145" s="367">
        <v>48167</v>
      </c>
      <c r="BU145" s="375">
        <f t="shared" si="18"/>
        <v>4.9687499999999996E-2</v>
      </c>
      <c r="BV145" s="375">
        <f t="shared" si="19"/>
        <v>5.5300000000000002E-2</v>
      </c>
      <c r="BW145" s="377">
        <f t="shared" si="20"/>
        <v>4.9687499999999996E-2</v>
      </c>
    </row>
    <row r="146" spans="1:75" x14ac:dyDescent="0.15">
      <c r="A146" s="356"/>
      <c r="B146" s="355"/>
      <c r="C146" s="355"/>
      <c r="D146" s="355"/>
      <c r="E146" s="355"/>
      <c r="F146" s="355"/>
      <c r="G146" s="355"/>
      <c r="O146" s="356"/>
      <c r="P146" s="355"/>
      <c r="Q146" s="355"/>
      <c r="R146" s="355"/>
      <c r="S146" s="355"/>
      <c r="T146" s="355"/>
      <c r="U146" s="355"/>
      <c r="V146" s="355"/>
      <c r="W146" s="355"/>
      <c r="AG146" s="355"/>
      <c r="AH146" s="355"/>
      <c r="AI146" s="355"/>
      <c r="AJ146" s="355"/>
      <c r="AK146" s="355"/>
      <c r="AL146" s="355"/>
      <c r="AM146" s="355"/>
      <c r="AU146" s="379">
        <v>48197</v>
      </c>
      <c r="AV146" s="375"/>
      <c r="AW146" s="375"/>
      <c r="AX146" s="375"/>
      <c r="AY146" s="375"/>
      <c r="AZ146" s="375"/>
      <c r="BA146" s="375"/>
      <c r="BB146" s="375"/>
      <c r="BC146" s="375">
        <v>7.1249999999999994E-2</v>
      </c>
      <c r="BD146" s="375">
        <v>7.6249999999999998E-2</v>
      </c>
      <c r="BE146" s="375">
        <v>6.8750000000000006E-2</v>
      </c>
      <c r="BF146" s="375">
        <v>7.1249999999999994E-2</v>
      </c>
      <c r="BG146" s="375">
        <v>5.2499999999999998E-2</v>
      </c>
      <c r="BH146" s="375">
        <v>8.2799999999999999E-2</v>
      </c>
      <c r="BI146" s="373">
        <f t="shared" si="16"/>
        <v>7.0466666666666664E-2</v>
      </c>
      <c r="BJ146" s="378"/>
      <c r="BK146" s="375"/>
      <c r="BL146" s="375"/>
      <c r="BM146" s="375"/>
      <c r="BN146" s="375"/>
      <c r="BO146" s="375">
        <v>6.25E-2</v>
      </c>
      <c r="BP146" s="375">
        <v>4.7399999999999998E-2</v>
      </c>
      <c r="BQ146" s="377">
        <v>7.8200000000000006E-2</v>
      </c>
      <c r="BR146" s="380">
        <f t="shared" si="17"/>
        <v>6.2699999999999992E-2</v>
      </c>
      <c r="BT146" s="367">
        <v>48197</v>
      </c>
      <c r="BU146" s="375">
        <f t="shared" si="18"/>
        <v>4.9687499999999996E-2</v>
      </c>
      <c r="BV146" s="375">
        <f t="shared" si="19"/>
        <v>5.5300000000000002E-2</v>
      </c>
      <c r="BW146" s="377">
        <f t="shared" si="20"/>
        <v>4.9687499999999996E-2</v>
      </c>
    </row>
    <row r="147" spans="1:75" x14ac:dyDescent="0.15">
      <c r="A147" s="356"/>
      <c r="B147" s="355"/>
      <c r="C147" s="355"/>
      <c r="D147" s="355"/>
      <c r="E147" s="355"/>
      <c r="F147" s="355"/>
      <c r="G147" s="355"/>
      <c r="O147" s="356"/>
      <c r="P147" s="355"/>
      <c r="Q147" s="355"/>
      <c r="R147" s="355"/>
      <c r="S147" s="355"/>
      <c r="T147" s="355"/>
      <c r="U147" s="355"/>
      <c r="V147" s="355"/>
      <c r="W147" s="355"/>
      <c r="AG147" s="355"/>
      <c r="AH147" s="355"/>
      <c r="AI147" s="355"/>
      <c r="AJ147" s="355"/>
      <c r="AK147" s="355"/>
      <c r="AL147" s="355"/>
      <c r="AM147" s="355"/>
      <c r="AU147" s="379">
        <v>48228</v>
      </c>
      <c r="AV147" s="375"/>
      <c r="AW147" s="375"/>
      <c r="AX147" s="375"/>
      <c r="AY147" s="375"/>
      <c r="AZ147" s="375"/>
      <c r="BA147" s="375"/>
      <c r="BB147" s="375"/>
      <c r="BC147" s="375">
        <v>7.1249999999999994E-2</v>
      </c>
      <c r="BD147" s="375">
        <v>7.6249999999999998E-2</v>
      </c>
      <c r="BE147" s="375">
        <v>6.8750000000000006E-2</v>
      </c>
      <c r="BF147" s="375">
        <v>7.1249999999999994E-2</v>
      </c>
      <c r="BG147" s="375">
        <v>5.2499999999999998E-2</v>
      </c>
      <c r="BH147" s="375">
        <v>8.2799999999999999E-2</v>
      </c>
      <c r="BI147" s="373">
        <f t="shared" si="16"/>
        <v>7.0466666666666664E-2</v>
      </c>
      <c r="BJ147" s="378"/>
      <c r="BK147" s="375"/>
      <c r="BL147" s="375"/>
      <c r="BM147" s="375"/>
      <c r="BN147" s="375"/>
      <c r="BO147" s="375">
        <v>6.25E-2</v>
      </c>
      <c r="BP147" s="375">
        <v>4.7399999999999998E-2</v>
      </c>
      <c r="BQ147" s="377">
        <v>7.8200000000000006E-2</v>
      </c>
      <c r="BR147" s="380">
        <f t="shared" si="17"/>
        <v>6.2699999999999992E-2</v>
      </c>
      <c r="BT147" s="367">
        <v>48228</v>
      </c>
      <c r="BU147" s="375">
        <f t="shared" si="18"/>
        <v>4.9687499999999996E-2</v>
      </c>
      <c r="BV147" s="375">
        <f t="shared" si="19"/>
        <v>5.5300000000000002E-2</v>
      </c>
      <c r="BW147" s="377">
        <f t="shared" si="20"/>
        <v>4.9687499999999996E-2</v>
      </c>
    </row>
    <row r="148" spans="1:75" x14ac:dyDescent="0.15">
      <c r="A148" s="356"/>
      <c r="B148" s="355"/>
      <c r="C148" s="355"/>
      <c r="D148" s="355"/>
      <c r="E148" s="355"/>
      <c r="F148" s="355"/>
      <c r="G148" s="355"/>
      <c r="O148" s="356"/>
      <c r="P148" s="355"/>
      <c r="Q148" s="355"/>
      <c r="R148" s="355"/>
      <c r="S148" s="355"/>
      <c r="T148" s="355"/>
      <c r="U148" s="355"/>
      <c r="V148" s="355"/>
      <c r="W148" s="355"/>
      <c r="AG148" s="355"/>
      <c r="AH148" s="355"/>
      <c r="AI148" s="355"/>
      <c r="AJ148" s="355"/>
      <c r="AK148" s="355"/>
      <c r="AL148" s="355"/>
      <c r="AM148" s="355"/>
      <c r="AU148" s="379">
        <v>48259</v>
      </c>
      <c r="AV148" s="375"/>
      <c r="AW148" s="375"/>
      <c r="AX148" s="375"/>
      <c r="AY148" s="375"/>
      <c r="AZ148" s="375"/>
      <c r="BA148" s="375"/>
      <c r="BB148" s="375"/>
      <c r="BC148" s="375">
        <v>7.1249999999999994E-2</v>
      </c>
      <c r="BD148" s="375">
        <v>7.6249999999999998E-2</v>
      </c>
      <c r="BE148" s="375">
        <v>6.8750000000000006E-2</v>
      </c>
      <c r="BF148" s="375">
        <v>7.1249999999999994E-2</v>
      </c>
      <c r="BG148" s="375">
        <v>5.2499999999999998E-2</v>
      </c>
      <c r="BH148" s="375">
        <v>8.2799999999999999E-2</v>
      </c>
      <c r="BI148" s="373">
        <f t="shared" si="16"/>
        <v>7.0466666666666664E-2</v>
      </c>
      <c r="BJ148" s="378"/>
      <c r="BK148" s="375"/>
      <c r="BL148" s="375"/>
      <c r="BM148" s="375"/>
      <c r="BN148" s="375"/>
      <c r="BO148" s="375">
        <v>6.25E-2</v>
      </c>
      <c r="BP148" s="375">
        <v>4.7399999999999998E-2</v>
      </c>
      <c r="BQ148" s="377">
        <v>7.8200000000000006E-2</v>
      </c>
      <c r="BR148" s="380">
        <f t="shared" si="17"/>
        <v>6.2699999999999992E-2</v>
      </c>
      <c r="BT148" s="367">
        <v>48259</v>
      </c>
      <c r="BU148" s="375">
        <f t="shared" si="18"/>
        <v>4.9687499999999996E-2</v>
      </c>
      <c r="BV148" s="375">
        <f t="shared" si="19"/>
        <v>5.5300000000000002E-2</v>
      </c>
      <c r="BW148" s="377">
        <f t="shared" si="20"/>
        <v>4.9687499999999996E-2</v>
      </c>
    </row>
    <row r="149" spans="1:75" x14ac:dyDescent="0.15">
      <c r="A149" s="356"/>
      <c r="B149" s="355"/>
      <c r="C149" s="355"/>
      <c r="D149" s="355"/>
      <c r="E149" s="355"/>
      <c r="F149" s="355"/>
      <c r="G149" s="355"/>
      <c r="O149" s="356"/>
      <c r="P149" s="355"/>
      <c r="Q149" s="355"/>
      <c r="R149" s="355"/>
      <c r="S149" s="355"/>
      <c r="T149" s="355"/>
      <c r="U149" s="355"/>
      <c r="V149" s="355"/>
      <c r="W149" s="355"/>
      <c r="AG149" s="355"/>
      <c r="AH149" s="355"/>
      <c r="AI149" s="355"/>
      <c r="AJ149" s="355"/>
      <c r="AK149" s="355"/>
      <c r="AL149" s="355"/>
      <c r="AM149" s="355"/>
      <c r="AU149" s="379">
        <v>48288</v>
      </c>
      <c r="AV149" s="375"/>
      <c r="AW149" s="375"/>
      <c r="AX149" s="375"/>
      <c r="AY149" s="375"/>
      <c r="AZ149" s="375"/>
      <c r="BA149" s="375"/>
      <c r="BB149" s="375"/>
      <c r="BC149" s="375">
        <v>7.1249999999999994E-2</v>
      </c>
      <c r="BD149" s="375">
        <v>7.6249999999999998E-2</v>
      </c>
      <c r="BE149" s="375">
        <v>6.8750000000000006E-2</v>
      </c>
      <c r="BF149" s="375">
        <v>7.1249999999999994E-2</v>
      </c>
      <c r="BG149" s="375">
        <v>5.2499999999999998E-2</v>
      </c>
      <c r="BH149" s="375">
        <v>8.2799999999999999E-2</v>
      </c>
      <c r="BI149" s="373">
        <f t="shared" si="16"/>
        <v>7.0466666666666664E-2</v>
      </c>
      <c r="BJ149" s="378"/>
      <c r="BK149" s="375"/>
      <c r="BL149" s="375"/>
      <c r="BM149" s="375"/>
      <c r="BN149" s="375"/>
      <c r="BO149" s="375">
        <v>6.25E-2</v>
      </c>
      <c r="BP149" s="375">
        <v>4.7399999999999998E-2</v>
      </c>
      <c r="BQ149" s="377">
        <v>7.8200000000000006E-2</v>
      </c>
      <c r="BR149" s="380">
        <f t="shared" si="17"/>
        <v>6.2699999999999992E-2</v>
      </c>
      <c r="BT149" s="367">
        <v>48288</v>
      </c>
      <c r="BU149" s="375">
        <f t="shared" si="18"/>
        <v>4.9687499999999996E-2</v>
      </c>
      <c r="BV149" s="375">
        <f t="shared" si="19"/>
        <v>5.5300000000000002E-2</v>
      </c>
      <c r="BW149" s="377">
        <f t="shared" si="20"/>
        <v>4.9687499999999996E-2</v>
      </c>
    </row>
    <row r="150" spans="1:75" x14ac:dyDescent="0.15">
      <c r="A150" s="356"/>
      <c r="B150" s="355"/>
      <c r="C150" s="355"/>
      <c r="D150" s="355"/>
      <c r="E150" s="355"/>
      <c r="F150" s="355"/>
      <c r="G150" s="355"/>
      <c r="O150" s="356"/>
      <c r="P150" s="355"/>
      <c r="Q150" s="355"/>
      <c r="R150" s="355"/>
      <c r="S150" s="355"/>
      <c r="T150" s="355"/>
      <c r="U150" s="355"/>
      <c r="V150" s="355"/>
      <c r="W150" s="355"/>
      <c r="AG150" s="355"/>
      <c r="AH150" s="355"/>
      <c r="AI150" s="355"/>
      <c r="AJ150" s="355"/>
      <c r="AK150" s="355"/>
      <c r="AL150" s="355"/>
      <c r="AM150" s="355"/>
      <c r="AU150" s="379">
        <v>48319</v>
      </c>
      <c r="AV150" s="375"/>
      <c r="AW150" s="375"/>
      <c r="AX150" s="375"/>
      <c r="AY150" s="375"/>
      <c r="AZ150" s="375"/>
      <c r="BA150" s="375"/>
      <c r="BB150" s="375"/>
      <c r="BC150" s="375">
        <v>7.1249999999999994E-2</v>
      </c>
      <c r="BD150" s="375">
        <v>7.6249999999999998E-2</v>
      </c>
      <c r="BE150" s="375">
        <v>6.8750000000000006E-2</v>
      </c>
      <c r="BF150" s="375">
        <v>7.1249999999999994E-2</v>
      </c>
      <c r="BG150" s="375">
        <v>5.2499999999999998E-2</v>
      </c>
      <c r="BH150" s="375">
        <v>8.2799999999999999E-2</v>
      </c>
      <c r="BI150" s="373">
        <f t="shared" si="16"/>
        <v>7.0466666666666664E-2</v>
      </c>
      <c r="BJ150" s="378"/>
      <c r="BK150" s="375"/>
      <c r="BL150" s="375"/>
      <c r="BM150" s="375"/>
      <c r="BN150" s="375"/>
      <c r="BO150" s="375">
        <v>6.25E-2</v>
      </c>
      <c r="BP150" s="375">
        <v>4.7399999999999998E-2</v>
      </c>
      <c r="BQ150" s="377">
        <v>7.8200000000000006E-2</v>
      </c>
      <c r="BR150" s="380">
        <f t="shared" si="17"/>
        <v>6.2699999999999992E-2</v>
      </c>
      <c r="BT150" s="367">
        <v>48319</v>
      </c>
      <c r="BU150" s="375">
        <f t="shared" si="18"/>
        <v>4.9687499999999996E-2</v>
      </c>
      <c r="BV150" s="375">
        <f t="shared" si="19"/>
        <v>5.5300000000000002E-2</v>
      </c>
      <c r="BW150" s="377">
        <f t="shared" si="20"/>
        <v>4.9687499999999996E-2</v>
      </c>
    </row>
    <row r="151" spans="1:75" x14ac:dyDescent="0.15">
      <c r="A151" s="356"/>
      <c r="B151" s="355"/>
      <c r="C151" s="355"/>
      <c r="D151" s="355"/>
      <c r="E151" s="355"/>
      <c r="F151" s="355"/>
      <c r="G151" s="355"/>
      <c r="O151" s="356"/>
      <c r="P151" s="355"/>
      <c r="Q151" s="355"/>
      <c r="R151" s="355"/>
      <c r="S151" s="355"/>
      <c r="T151" s="355"/>
      <c r="U151" s="355"/>
      <c r="V151" s="355"/>
      <c r="W151" s="355"/>
      <c r="AG151" s="355"/>
      <c r="AH151" s="355"/>
      <c r="AI151" s="355"/>
      <c r="AJ151" s="355"/>
      <c r="AK151" s="355"/>
      <c r="AL151" s="355"/>
      <c r="AM151" s="355"/>
      <c r="AU151" s="379">
        <v>48349</v>
      </c>
      <c r="AV151" s="375"/>
      <c r="AW151" s="375"/>
      <c r="AX151" s="375"/>
      <c r="AY151" s="375"/>
      <c r="AZ151" s="375"/>
      <c r="BA151" s="375"/>
      <c r="BB151" s="375"/>
      <c r="BC151" s="375">
        <v>7.1249999999999994E-2</v>
      </c>
      <c r="BD151" s="375">
        <v>7.6249999999999998E-2</v>
      </c>
      <c r="BE151" s="375">
        <v>6.8750000000000006E-2</v>
      </c>
      <c r="BF151" s="375">
        <v>7.1249999999999994E-2</v>
      </c>
      <c r="BG151" s="375">
        <v>5.2499999999999998E-2</v>
      </c>
      <c r="BH151" s="375">
        <v>8.2799999999999999E-2</v>
      </c>
      <c r="BI151" s="373">
        <f t="shared" si="16"/>
        <v>7.0466666666666664E-2</v>
      </c>
      <c r="BJ151" s="378"/>
      <c r="BK151" s="375"/>
      <c r="BL151" s="375"/>
      <c r="BM151" s="375"/>
      <c r="BN151" s="375"/>
      <c r="BO151" s="375">
        <v>6.25E-2</v>
      </c>
      <c r="BP151" s="375">
        <v>4.7399999999999998E-2</v>
      </c>
      <c r="BQ151" s="377">
        <v>7.8200000000000006E-2</v>
      </c>
      <c r="BR151" s="380">
        <f t="shared" si="17"/>
        <v>6.2699999999999992E-2</v>
      </c>
      <c r="BT151" s="367">
        <v>48349</v>
      </c>
      <c r="BU151" s="375">
        <f t="shared" si="18"/>
        <v>4.9687499999999996E-2</v>
      </c>
      <c r="BV151" s="375">
        <f t="shared" si="19"/>
        <v>5.5300000000000002E-2</v>
      </c>
      <c r="BW151" s="377">
        <f t="shared" si="20"/>
        <v>4.9687499999999996E-2</v>
      </c>
    </row>
    <row r="152" spans="1:75" x14ac:dyDescent="0.15">
      <c r="A152" s="356"/>
      <c r="B152" s="355"/>
      <c r="C152" s="355"/>
      <c r="D152" s="355"/>
      <c r="E152" s="355"/>
      <c r="F152" s="355"/>
      <c r="G152" s="355"/>
      <c r="O152" s="356"/>
      <c r="P152" s="355"/>
      <c r="Q152" s="355"/>
      <c r="R152" s="355"/>
      <c r="S152" s="355"/>
      <c r="T152" s="355"/>
      <c r="U152" s="355"/>
      <c r="V152" s="355"/>
      <c r="W152" s="355"/>
      <c r="AG152" s="355"/>
      <c r="AH152" s="355"/>
      <c r="AI152" s="355"/>
      <c r="AJ152" s="355"/>
      <c r="AK152" s="355"/>
      <c r="AL152" s="355"/>
      <c r="AM152" s="355"/>
      <c r="AU152" s="379">
        <v>48380</v>
      </c>
      <c r="AV152" s="375"/>
      <c r="AW152" s="375"/>
      <c r="AX152" s="375"/>
      <c r="AY152" s="375"/>
      <c r="AZ152" s="375"/>
      <c r="BA152" s="375"/>
      <c r="BB152" s="375"/>
      <c r="BC152" s="375">
        <v>7.1249999999999994E-2</v>
      </c>
      <c r="BD152" s="375">
        <v>7.6249999999999998E-2</v>
      </c>
      <c r="BE152" s="375">
        <v>6.8750000000000006E-2</v>
      </c>
      <c r="BF152" s="375">
        <v>7.1249999999999994E-2</v>
      </c>
      <c r="BG152" s="375">
        <v>5.2499999999999998E-2</v>
      </c>
      <c r="BH152" s="375">
        <v>8.2799999999999999E-2</v>
      </c>
      <c r="BI152" s="373">
        <f t="shared" si="16"/>
        <v>7.0466666666666664E-2</v>
      </c>
      <c r="BJ152" s="378"/>
      <c r="BK152" s="375"/>
      <c r="BL152" s="375"/>
      <c r="BM152" s="375"/>
      <c r="BN152" s="375"/>
      <c r="BO152" s="375">
        <v>6.25E-2</v>
      </c>
      <c r="BP152" s="375">
        <v>4.7399999999999998E-2</v>
      </c>
      <c r="BQ152" s="377">
        <v>7.8200000000000006E-2</v>
      </c>
      <c r="BR152" s="380">
        <f t="shared" si="17"/>
        <v>6.2699999999999992E-2</v>
      </c>
      <c r="BT152" s="367">
        <v>48380</v>
      </c>
      <c r="BU152" s="375">
        <f t="shared" si="18"/>
        <v>4.9687499999999996E-2</v>
      </c>
      <c r="BV152" s="375">
        <f t="shared" si="19"/>
        <v>5.5300000000000002E-2</v>
      </c>
      <c r="BW152" s="377">
        <f t="shared" si="20"/>
        <v>4.9687499999999996E-2</v>
      </c>
    </row>
    <row r="153" spans="1:75" x14ac:dyDescent="0.15">
      <c r="A153" s="356"/>
      <c r="B153" s="355"/>
      <c r="C153" s="355"/>
      <c r="D153" s="355"/>
      <c r="E153" s="355"/>
      <c r="F153" s="355"/>
      <c r="G153" s="355"/>
      <c r="O153" s="356"/>
      <c r="P153" s="355"/>
      <c r="Q153" s="355"/>
      <c r="R153" s="355"/>
      <c r="S153" s="355"/>
      <c r="T153" s="355"/>
      <c r="U153" s="355"/>
      <c r="V153" s="355"/>
      <c r="W153" s="355"/>
      <c r="AG153" s="355"/>
      <c r="AH153" s="355"/>
      <c r="AI153" s="355"/>
      <c r="AJ153" s="355"/>
      <c r="AK153" s="355"/>
      <c r="AL153" s="355"/>
      <c r="AM153" s="355"/>
      <c r="AU153" s="379">
        <v>48410</v>
      </c>
      <c r="AV153" s="375"/>
      <c r="AW153" s="375"/>
      <c r="AX153" s="375"/>
      <c r="AY153" s="375"/>
      <c r="AZ153" s="375"/>
      <c r="BA153" s="375"/>
      <c r="BB153" s="375"/>
      <c r="BC153" s="375">
        <v>7.1249999999999994E-2</v>
      </c>
      <c r="BD153" s="375">
        <v>7.6249999999999998E-2</v>
      </c>
      <c r="BE153" s="375">
        <v>6.8750000000000006E-2</v>
      </c>
      <c r="BF153" s="375">
        <v>7.1249999999999994E-2</v>
      </c>
      <c r="BG153" s="375">
        <v>5.2499999999999998E-2</v>
      </c>
      <c r="BH153" s="375">
        <v>8.2799999999999999E-2</v>
      </c>
      <c r="BI153" s="373">
        <f t="shared" si="16"/>
        <v>7.0466666666666664E-2</v>
      </c>
      <c r="BJ153" s="378"/>
      <c r="BK153" s="375"/>
      <c r="BL153" s="375"/>
      <c r="BM153" s="375"/>
      <c r="BN153" s="375"/>
      <c r="BO153" s="375">
        <v>6.25E-2</v>
      </c>
      <c r="BP153" s="375">
        <v>4.7399999999999998E-2</v>
      </c>
      <c r="BQ153" s="377">
        <v>7.8200000000000006E-2</v>
      </c>
      <c r="BR153" s="380">
        <f t="shared" si="17"/>
        <v>6.2699999999999992E-2</v>
      </c>
      <c r="BT153" s="367">
        <v>48410</v>
      </c>
      <c r="BU153" s="375">
        <f t="shared" si="18"/>
        <v>4.9687499999999996E-2</v>
      </c>
      <c r="BV153" s="375">
        <f t="shared" si="19"/>
        <v>5.5300000000000002E-2</v>
      </c>
      <c r="BW153" s="377">
        <f t="shared" si="20"/>
        <v>4.9687499999999996E-2</v>
      </c>
    </row>
    <row r="154" spans="1:75" x14ac:dyDescent="0.15">
      <c r="A154" s="356"/>
      <c r="B154" s="355"/>
      <c r="C154" s="355"/>
      <c r="D154" s="355"/>
      <c r="E154" s="355"/>
      <c r="F154" s="355"/>
      <c r="G154" s="355"/>
      <c r="O154" s="356"/>
      <c r="P154" s="355"/>
      <c r="Q154" s="355"/>
      <c r="R154" s="355"/>
      <c r="S154" s="355"/>
      <c r="T154" s="355"/>
      <c r="U154" s="355"/>
      <c r="V154" s="355"/>
      <c r="W154" s="355"/>
      <c r="AG154" s="355"/>
      <c r="AH154" s="355"/>
      <c r="AI154" s="355"/>
      <c r="AJ154" s="355"/>
      <c r="AK154" s="355"/>
      <c r="AL154" s="355"/>
      <c r="AM154" s="355"/>
      <c r="AU154" s="379">
        <v>48441</v>
      </c>
      <c r="AV154" s="375"/>
      <c r="AW154" s="375"/>
      <c r="AX154" s="375"/>
      <c r="AY154" s="375"/>
      <c r="AZ154" s="375"/>
      <c r="BA154" s="375"/>
      <c r="BB154" s="375"/>
      <c r="BC154" s="375">
        <v>7.1249999999999994E-2</v>
      </c>
      <c r="BD154" s="375">
        <v>7.6249999999999998E-2</v>
      </c>
      <c r="BE154" s="375">
        <v>6.8750000000000006E-2</v>
      </c>
      <c r="BF154" s="375">
        <v>7.1249999999999994E-2</v>
      </c>
      <c r="BG154" s="375">
        <v>5.2499999999999998E-2</v>
      </c>
      <c r="BH154" s="375">
        <v>8.2799999999999999E-2</v>
      </c>
      <c r="BI154" s="373">
        <f t="shared" si="16"/>
        <v>7.0466666666666664E-2</v>
      </c>
      <c r="BJ154" s="378"/>
      <c r="BK154" s="375"/>
      <c r="BL154" s="375"/>
      <c r="BM154" s="375"/>
      <c r="BN154" s="375"/>
      <c r="BO154" s="375">
        <v>6.25E-2</v>
      </c>
      <c r="BP154" s="375">
        <v>4.7399999999999998E-2</v>
      </c>
      <c r="BQ154" s="377">
        <v>7.8200000000000006E-2</v>
      </c>
      <c r="BR154" s="380">
        <f t="shared" si="17"/>
        <v>6.2699999999999992E-2</v>
      </c>
      <c r="BT154" s="367">
        <v>48441</v>
      </c>
      <c r="BU154" s="375">
        <f t="shared" si="18"/>
        <v>4.9687499999999996E-2</v>
      </c>
      <c r="BV154" s="375">
        <f t="shared" si="19"/>
        <v>5.5300000000000002E-2</v>
      </c>
      <c r="BW154" s="377">
        <f t="shared" si="20"/>
        <v>4.9687499999999996E-2</v>
      </c>
    </row>
    <row r="155" spans="1:75" x14ac:dyDescent="0.15">
      <c r="A155" s="356"/>
      <c r="B155" s="355"/>
      <c r="C155" s="355"/>
      <c r="D155" s="355"/>
      <c r="E155" s="355"/>
      <c r="F155" s="355"/>
      <c r="G155" s="355"/>
      <c r="O155" s="356"/>
      <c r="P155" s="355"/>
      <c r="Q155" s="355"/>
      <c r="R155" s="355"/>
      <c r="S155" s="355"/>
      <c r="T155" s="355"/>
      <c r="U155" s="355"/>
      <c r="V155" s="355"/>
      <c r="W155" s="355"/>
      <c r="AG155" s="355"/>
      <c r="AH155" s="355"/>
      <c r="AI155" s="355"/>
      <c r="AJ155" s="355"/>
      <c r="AK155" s="355"/>
      <c r="AL155" s="355"/>
      <c r="AM155" s="355"/>
      <c r="AU155" s="379">
        <v>48472</v>
      </c>
      <c r="AV155" s="375"/>
      <c r="AW155" s="375"/>
      <c r="AX155" s="375"/>
      <c r="AY155" s="375"/>
      <c r="AZ155" s="375"/>
      <c r="BA155" s="375"/>
      <c r="BB155" s="375"/>
      <c r="BC155" s="375">
        <v>7.1249999999999994E-2</v>
      </c>
      <c r="BD155" s="375">
        <v>7.6249999999999998E-2</v>
      </c>
      <c r="BE155" s="375">
        <v>6.8750000000000006E-2</v>
      </c>
      <c r="BF155" s="375">
        <v>7.1249999999999994E-2</v>
      </c>
      <c r="BG155" s="375">
        <v>5.2499999999999998E-2</v>
      </c>
      <c r="BH155" s="375">
        <v>8.2799999999999999E-2</v>
      </c>
      <c r="BI155" s="373">
        <f t="shared" si="16"/>
        <v>7.0466666666666664E-2</v>
      </c>
      <c r="BJ155" s="378"/>
      <c r="BK155" s="375"/>
      <c r="BL155" s="375"/>
      <c r="BM155" s="375"/>
      <c r="BN155" s="375"/>
      <c r="BO155" s="375">
        <v>6.25E-2</v>
      </c>
      <c r="BP155" s="375">
        <v>4.7399999999999998E-2</v>
      </c>
      <c r="BQ155" s="377">
        <v>7.8200000000000006E-2</v>
      </c>
      <c r="BR155" s="380">
        <f t="shared" si="17"/>
        <v>6.2699999999999992E-2</v>
      </c>
      <c r="BT155" s="367">
        <v>48472</v>
      </c>
      <c r="BU155" s="375">
        <f t="shared" si="18"/>
        <v>4.9687499999999996E-2</v>
      </c>
      <c r="BV155" s="375">
        <f t="shared" si="19"/>
        <v>5.5300000000000002E-2</v>
      </c>
      <c r="BW155" s="377">
        <f t="shared" si="20"/>
        <v>4.9687499999999996E-2</v>
      </c>
    </row>
    <row r="156" spans="1:75" x14ac:dyDescent="0.15">
      <c r="A156" s="356"/>
      <c r="B156" s="355"/>
      <c r="C156" s="355"/>
      <c r="D156" s="355"/>
      <c r="E156" s="355"/>
      <c r="F156" s="355"/>
      <c r="G156" s="355"/>
      <c r="O156" s="356"/>
      <c r="P156" s="355"/>
      <c r="Q156" s="355"/>
      <c r="R156" s="355"/>
      <c r="S156" s="355"/>
      <c r="T156" s="355"/>
      <c r="U156" s="355"/>
      <c r="V156" s="355"/>
      <c r="W156" s="355"/>
      <c r="AG156" s="355"/>
      <c r="AH156" s="355"/>
      <c r="AI156" s="355"/>
      <c r="AJ156" s="355"/>
      <c r="AK156" s="355"/>
      <c r="AL156" s="355"/>
      <c r="AM156" s="355"/>
      <c r="AU156" s="379">
        <v>48502</v>
      </c>
      <c r="AV156" s="375"/>
      <c r="AW156" s="375"/>
      <c r="AX156" s="375"/>
      <c r="AY156" s="375"/>
      <c r="AZ156" s="375"/>
      <c r="BA156" s="375"/>
      <c r="BB156" s="375"/>
      <c r="BC156" s="375">
        <v>7.1249999999999994E-2</v>
      </c>
      <c r="BD156" s="375">
        <v>7.6249999999999998E-2</v>
      </c>
      <c r="BE156" s="375">
        <v>6.8750000000000006E-2</v>
      </c>
      <c r="BF156" s="375">
        <v>7.1249999999999994E-2</v>
      </c>
      <c r="BG156" s="375">
        <v>5.2499999999999998E-2</v>
      </c>
      <c r="BH156" s="375">
        <v>8.2799999999999999E-2</v>
      </c>
      <c r="BI156" s="373">
        <f t="shared" si="16"/>
        <v>7.0466666666666664E-2</v>
      </c>
      <c r="BJ156" s="378"/>
      <c r="BK156" s="375"/>
      <c r="BL156" s="375"/>
      <c r="BM156" s="375"/>
      <c r="BN156" s="375"/>
      <c r="BO156" s="375">
        <v>6.25E-2</v>
      </c>
      <c r="BP156" s="375">
        <v>4.7399999999999998E-2</v>
      </c>
      <c r="BQ156" s="377">
        <v>7.8200000000000006E-2</v>
      </c>
      <c r="BR156" s="380">
        <f t="shared" si="17"/>
        <v>6.2699999999999992E-2</v>
      </c>
      <c r="BT156" s="367">
        <v>48502</v>
      </c>
      <c r="BU156" s="375">
        <f t="shared" si="18"/>
        <v>4.9687499999999996E-2</v>
      </c>
      <c r="BV156" s="375">
        <f t="shared" si="19"/>
        <v>5.5300000000000002E-2</v>
      </c>
      <c r="BW156" s="377">
        <f t="shared" si="20"/>
        <v>4.9687499999999996E-2</v>
      </c>
    </row>
    <row r="157" spans="1:75" x14ac:dyDescent="0.15">
      <c r="A157" s="356"/>
      <c r="B157" s="355"/>
      <c r="C157" s="355"/>
      <c r="D157" s="355"/>
      <c r="E157" s="355"/>
      <c r="F157" s="355"/>
      <c r="G157" s="355"/>
      <c r="O157" s="356"/>
      <c r="P157" s="355"/>
      <c r="Q157" s="355"/>
      <c r="R157" s="355"/>
      <c r="S157" s="355"/>
      <c r="T157" s="355"/>
      <c r="U157" s="355"/>
      <c r="V157" s="355"/>
      <c r="W157" s="355"/>
      <c r="AG157" s="355"/>
      <c r="AH157" s="355"/>
      <c r="AI157" s="355"/>
      <c r="AJ157" s="355"/>
      <c r="AK157" s="355"/>
      <c r="AL157" s="355"/>
      <c r="AM157" s="355"/>
      <c r="AU157" s="379">
        <v>48533</v>
      </c>
      <c r="AV157" s="375"/>
      <c r="AW157" s="375"/>
      <c r="AX157" s="375"/>
      <c r="AY157" s="375"/>
      <c r="AZ157" s="375"/>
      <c r="BA157" s="375"/>
      <c r="BB157" s="375"/>
      <c r="BC157" s="375">
        <v>7.1249999999999994E-2</v>
      </c>
      <c r="BD157" s="375">
        <v>7.6249999999999998E-2</v>
      </c>
      <c r="BE157" s="375">
        <v>6.8750000000000006E-2</v>
      </c>
      <c r="BF157" s="375">
        <v>7.1249999999999994E-2</v>
      </c>
      <c r="BG157" s="375">
        <v>5.2499999999999998E-2</v>
      </c>
      <c r="BH157" s="375">
        <v>8.2799999999999999E-2</v>
      </c>
      <c r="BI157" s="373">
        <f t="shared" si="16"/>
        <v>7.0466666666666664E-2</v>
      </c>
      <c r="BJ157" s="378"/>
      <c r="BK157" s="375"/>
      <c r="BL157" s="375"/>
      <c r="BM157" s="375"/>
      <c r="BN157" s="375"/>
      <c r="BO157" s="375">
        <v>6.25E-2</v>
      </c>
      <c r="BP157" s="375">
        <v>4.7399999999999998E-2</v>
      </c>
      <c r="BQ157" s="377">
        <v>7.8200000000000006E-2</v>
      </c>
      <c r="BR157" s="380">
        <f t="shared" si="17"/>
        <v>6.2699999999999992E-2</v>
      </c>
      <c r="BT157" s="367">
        <v>48533</v>
      </c>
      <c r="BU157" s="375">
        <f t="shared" si="18"/>
        <v>4.9687499999999996E-2</v>
      </c>
      <c r="BV157" s="375">
        <f t="shared" si="19"/>
        <v>5.5300000000000002E-2</v>
      </c>
      <c r="BW157" s="377">
        <f t="shared" si="20"/>
        <v>4.9687499999999996E-2</v>
      </c>
    </row>
    <row r="158" spans="1:75" x14ac:dyDescent="0.15">
      <c r="A158" s="356"/>
      <c r="B158" s="355"/>
      <c r="C158" s="355"/>
      <c r="D158" s="355"/>
      <c r="E158" s="355"/>
      <c r="F158" s="355"/>
      <c r="G158" s="355"/>
      <c r="O158" s="356"/>
      <c r="P158" s="355"/>
      <c r="Q158" s="355"/>
      <c r="R158" s="355"/>
      <c r="S158" s="355"/>
      <c r="T158" s="355"/>
      <c r="U158" s="355"/>
      <c r="V158" s="355"/>
      <c r="W158" s="355"/>
      <c r="AG158" s="355"/>
      <c r="AH158" s="355"/>
      <c r="AI158" s="355"/>
      <c r="AJ158" s="355"/>
      <c r="AK158" s="355"/>
      <c r="AL158" s="355"/>
      <c r="AM158" s="355"/>
      <c r="AU158" s="379">
        <v>48563</v>
      </c>
      <c r="AV158" s="375"/>
      <c r="AW158" s="375"/>
      <c r="AX158" s="375"/>
      <c r="AY158" s="375"/>
      <c r="AZ158" s="375"/>
      <c r="BA158" s="375"/>
      <c r="BB158" s="375"/>
      <c r="BC158" s="375">
        <v>7.1249999999999994E-2</v>
      </c>
      <c r="BD158" s="375">
        <v>7.6249999999999998E-2</v>
      </c>
      <c r="BE158" s="375">
        <v>6.8750000000000006E-2</v>
      </c>
      <c r="BF158" s="375">
        <v>7.1249999999999994E-2</v>
      </c>
      <c r="BG158" s="375">
        <v>5.2499999999999998E-2</v>
      </c>
      <c r="BH158" s="375">
        <v>8.2799999999999999E-2</v>
      </c>
      <c r="BI158" s="373">
        <f t="shared" si="16"/>
        <v>7.0466666666666664E-2</v>
      </c>
      <c r="BJ158" s="378"/>
      <c r="BK158" s="375"/>
      <c r="BL158" s="375"/>
      <c r="BM158" s="375"/>
      <c r="BN158" s="375"/>
      <c r="BO158" s="375">
        <v>6.25E-2</v>
      </c>
      <c r="BP158" s="375">
        <v>4.7399999999999998E-2</v>
      </c>
      <c r="BQ158" s="377">
        <v>7.8200000000000006E-2</v>
      </c>
      <c r="BR158" s="380">
        <f t="shared" si="17"/>
        <v>6.2699999999999992E-2</v>
      </c>
      <c r="BT158" s="367">
        <v>48563</v>
      </c>
      <c r="BU158" s="375">
        <f t="shared" si="18"/>
        <v>4.9687499999999996E-2</v>
      </c>
      <c r="BV158" s="375">
        <f t="shared" si="19"/>
        <v>5.5300000000000002E-2</v>
      </c>
      <c r="BW158" s="377">
        <f t="shared" si="20"/>
        <v>4.9687499999999996E-2</v>
      </c>
    </row>
    <row r="159" spans="1:75" x14ac:dyDescent="0.15">
      <c r="A159" s="356"/>
      <c r="B159" s="355"/>
      <c r="C159" s="355"/>
      <c r="D159" s="355"/>
      <c r="E159" s="355"/>
      <c r="F159" s="355"/>
      <c r="G159" s="355"/>
      <c r="O159" s="356"/>
      <c r="P159" s="355"/>
      <c r="Q159" s="355"/>
      <c r="R159" s="355"/>
      <c r="S159" s="355"/>
      <c r="T159" s="355"/>
      <c r="U159" s="355"/>
      <c r="V159" s="355"/>
      <c r="W159" s="355"/>
      <c r="AG159" s="355"/>
      <c r="AH159" s="355"/>
      <c r="AI159" s="355"/>
      <c r="AJ159" s="355"/>
      <c r="AK159" s="355"/>
      <c r="AL159" s="355"/>
      <c r="AM159" s="355"/>
      <c r="AU159" s="379">
        <v>48594</v>
      </c>
      <c r="AV159" s="375"/>
      <c r="AW159" s="375"/>
      <c r="AX159" s="375"/>
      <c r="AY159" s="375"/>
      <c r="AZ159" s="375"/>
      <c r="BA159" s="375"/>
      <c r="BB159" s="375"/>
      <c r="BC159" s="375">
        <v>7.1249999999999994E-2</v>
      </c>
      <c r="BD159" s="375">
        <v>7.6249999999999998E-2</v>
      </c>
      <c r="BE159" s="375">
        <v>6.8750000000000006E-2</v>
      </c>
      <c r="BF159" s="375">
        <v>7.1249999999999994E-2</v>
      </c>
      <c r="BG159" s="375">
        <v>5.2499999999999998E-2</v>
      </c>
      <c r="BH159" s="375">
        <v>8.2799999999999999E-2</v>
      </c>
      <c r="BI159" s="373">
        <f t="shared" si="16"/>
        <v>7.0466666666666664E-2</v>
      </c>
      <c r="BJ159" s="378"/>
      <c r="BK159" s="375"/>
      <c r="BL159" s="375"/>
      <c r="BM159" s="375"/>
      <c r="BN159" s="375"/>
      <c r="BO159" s="375">
        <v>6.25E-2</v>
      </c>
      <c r="BP159" s="375">
        <v>4.7399999999999998E-2</v>
      </c>
      <c r="BQ159" s="377">
        <v>7.8200000000000006E-2</v>
      </c>
      <c r="BR159" s="380">
        <f t="shared" si="17"/>
        <v>6.2699999999999992E-2</v>
      </c>
      <c r="BT159" s="367">
        <v>48594</v>
      </c>
      <c r="BU159" s="375">
        <f t="shared" si="18"/>
        <v>4.9687499999999996E-2</v>
      </c>
      <c r="BV159" s="375">
        <f t="shared" si="19"/>
        <v>5.5300000000000002E-2</v>
      </c>
      <c r="BW159" s="377">
        <f t="shared" si="20"/>
        <v>4.9687499999999996E-2</v>
      </c>
    </row>
    <row r="160" spans="1:75" x14ac:dyDescent="0.15">
      <c r="A160" s="356"/>
      <c r="B160" s="355"/>
      <c r="C160" s="355"/>
      <c r="D160" s="355"/>
      <c r="E160" s="355"/>
      <c r="F160" s="355"/>
      <c r="G160" s="355"/>
      <c r="O160" s="356"/>
      <c r="P160" s="355"/>
      <c r="Q160" s="355"/>
      <c r="R160" s="355"/>
      <c r="S160" s="355"/>
      <c r="T160" s="355"/>
      <c r="U160" s="355"/>
      <c r="V160" s="355"/>
      <c r="W160" s="355"/>
      <c r="AG160" s="355"/>
      <c r="AH160" s="355"/>
      <c r="AI160" s="355"/>
      <c r="AJ160" s="355"/>
      <c r="AK160" s="355"/>
      <c r="AL160" s="355"/>
      <c r="AM160" s="355"/>
      <c r="AU160" s="379">
        <v>48625</v>
      </c>
      <c r="AV160" s="375"/>
      <c r="AW160" s="375"/>
      <c r="AX160" s="375"/>
      <c r="AY160" s="375"/>
      <c r="AZ160" s="375"/>
      <c r="BA160" s="375"/>
      <c r="BB160" s="375"/>
      <c r="BC160" s="375">
        <v>7.1249999999999994E-2</v>
      </c>
      <c r="BD160" s="375">
        <v>7.6249999999999998E-2</v>
      </c>
      <c r="BE160" s="375">
        <v>6.8750000000000006E-2</v>
      </c>
      <c r="BF160" s="375">
        <v>7.1249999999999994E-2</v>
      </c>
      <c r="BG160" s="375">
        <v>5.2499999999999998E-2</v>
      </c>
      <c r="BH160" s="375">
        <v>8.2799999999999999E-2</v>
      </c>
      <c r="BI160" s="373">
        <f t="shared" si="16"/>
        <v>7.0466666666666664E-2</v>
      </c>
      <c r="BJ160" s="378"/>
      <c r="BK160" s="375"/>
      <c r="BL160" s="375"/>
      <c r="BM160" s="375"/>
      <c r="BN160" s="375"/>
      <c r="BO160" s="375">
        <v>6.25E-2</v>
      </c>
      <c r="BP160" s="375">
        <v>4.7399999999999998E-2</v>
      </c>
      <c r="BQ160" s="377">
        <v>7.8200000000000006E-2</v>
      </c>
      <c r="BR160" s="380">
        <f t="shared" si="17"/>
        <v>6.2699999999999992E-2</v>
      </c>
      <c r="BT160" s="367">
        <v>48625</v>
      </c>
      <c r="BU160" s="375">
        <f t="shared" si="18"/>
        <v>4.9687499999999996E-2</v>
      </c>
      <c r="BV160" s="375">
        <f t="shared" si="19"/>
        <v>5.5300000000000002E-2</v>
      </c>
      <c r="BW160" s="377">
        <f t="shared" si="20"/>
        <v>4.9687499999999996E-2</v>
      </c>
    </row>
    <row r="161" spans="1:75" x14ac:dyDescent="0.15">
      <c r="A161" s="356"/>
      <c r="B161" s="355"/>
      <c r="C161" s="355"/>
      <c r="D161" s="355"/>
      <c r="E161" s="355"/>
      <c r="F161" s="355"/>
      <c r="G161" s="355"/>
      <c r="O161" s="356"/>
      <c r="P161" s="355"/>
      <c r="Q161" s="355"/>
      <c r="R161" s="355"/>
      <c r="S161" s="355"/>
      <c r="T161" s="355"/>
      <c r="U161" s="355"/>
      <c r="V161" s="355"/>
      <c r="W161" s="355"/>
      <c r="AG161" s="355"/>
      <c r="AH161" s="355"/>
      <c r="AI161" s="355"/>
      <c r="AJ161" s="355"/>
      <c r="AK161" s="355"/>
      <c r="AL161" s="355"/>
      <c r="AM161" s="355"/>
      <c r="AU161" s="379">
        <v>48653</v>
      </c>
      <c r="AV161" s="375"/>
      <c r="AW161" s="375"/>
      <c r="AX161" s="375"/>
      <c r="AY161" s="375"/>
      <c r="AZ161" s="375"/>
      <c r="BA161" s="375"/>
      <c r="BB161" s="375"/>
      <c r="BC161" s="375">
        <v>7.1249999999999994E-2</v>
      </c>
      <c r="BD161" s="375">
        <v>7.6249999999999998E-2</v>
      </c>
      <c r="BE161" s="375">
        <v>6.8750000000000006E-2</v>
      </c>
      <c r="BF161" s="375">
        <v>7.1249999999999994E-2</v>
      </c>
      <c r="BG161" s="375">
        <v>5.2499999999999998E-2</v>
      </c>
      <c r="BH161" s="375">
        <v>8.2799999999999999E-2</v>
      </c>
      <c r="BI161" s="373">
        <f t="shared" si="16"/>
        <v>7.0466666666666664E-2</v>
      </c>
      <c r="BJ161" s="378"/>
      <c r="BK161" s="375"/>
      <c r="BL161" s="375"/>
      <c r="BM161" s="375"/>
      <c r="BN161" s="375"/>
      <c r="BO161" s="375">
        <v>6.25E-2</v>
      </c>
      <c r="BP161" s="375">
        <v>4.7399999999999998E-2</v>
      </c>
      <c r="BQ161" s="377">
        <v>7.8200000000000006E-2</v>
      </c>
      <c r="BR161" s="380">
        <f t="shared" si="17"/>
        <v>6.2699999999999992E-2</v>
      </c>
      <c r="BT161" s="367">
        <v>48653</v>
      </c>
      <c r="BU161" s="375">
        <f t="shared" si="18"/>
        <v>4.9687499999999996E-2</v>
      </c>
      <c r="BV161" s="375">
        <f t="shared" si="19"/>
        <v>5.5300000000000002E-2</v>
      </c>
      <c r="BW161" s="377">
        <f t="shared" si="20"/>
        <v>4.9687499999999996E-2</v>
      </c>
    </row>
    <row r="162" spans="1:75" x14ac:dyDescent="0.15">
      <c r="A162" s="356"/>
      <c r="B162" s="355"/>
      <c r="C162" s="355"/>
      <c r="D162" s="355"/>
      <c r="E162" s="355"/>
      <c r="F162" s="355"/>
      <c r="G162" s="355"/>
      <c r="O162" s="356"/>
      <c r="P162" s="355"/>
      <c r="Q162" s="355"/>
      <c r="R162" s="355"/>
      <c r="S162" s="355"/>
      <c r="T162" s="355"/>
      <c r="U162" s="355"/>
      <c r="V162" s="355"/>
      <c r="W162" s="355"/>
      <c r="AG162" s="355"/>
      <c r="AH162" s="355"/>
      <c r="AI162" s="355"/>
      <c r="AJ162" s="355"/>
      <c r="AK162" s="355"/>
      <c r="AL162" s="355"/>
      <c r="AM162" s="355"/>
      <c r="AU162" s="379">
        <v>48684</v>
      </c>
      <c r="AV162" s="375"/>
      <c r="AW162" s="375"/>
      <c r="AX162" s="375"/>
      <c r="AY162" s="375"/>
      <c r="AZ162" s="375"/>
      <c r="BA162" s="375"/>
      <c r="BB162" s="375"/>
      <c r="BC162" s="375">
        <v>7.1249999999999994E-2</v>
      </c>
      <c r="BD162" s="375">
        <v>7.6249999999999998E-2</v>
      </c>
      <c r="BE162" s="375">
        <v>6.8750000000000006E-2</v>
      </c>
      <c r="BF162" s="375">
        <v>7.1249999999999994E-2</v>
      </c>
      <c r="BG162" s="375">
        <v>5.2499999999999998E-2</v>
      </c>
      <c r="BH162" s="375">
        <v>8.2799999999999999E-2</v>
      </c>
      <c r="BI162" s="373">
        <f t="shared" si="16"/>
        <v>7.0466666666666664E-2</v>
      </c>
      <c r="BJ162" s="378"/>
      <c r="BK162" s="375"/>
      <c r="BL162" s="375"/>
      <c r="BM162" s="375"/>
      <c r="BN162" s="375"/>
      <c r="BO162" s="375">
        <v>6.25E-2</v>
      </c>
      <c r="BP162" s="375">
        <v>4.7399999999999998E-2</v>
      </c>
      <c r="BQ162" s="377">
        <v>7.8200000000000006E-2</v>
      </c>
      <c r="BR162" s="380">
        <f t="shared" si="17"/>
        <v>6.2699999999999992E-2</v>
      </c>
      <c r="BT162" s="367">
        <v>48684</v>
      </c>
      <c r="BU162" s="375">
        <f t="shared" si="18"/>
        <v>4.9687499999999996E-2</v>
      </c>
      <c r="BV162" s="375">
        <f t="shared" si="19"/>
        <v>5.5300000000000002E-2</v>
      </c>
      <c r="BW162" s="377">
        <f t="shared" si="20"/>
        <v>4.9687499999999996E-2</v>
      </c>
    </row>
    <row r="163" spans="1:75" x14ac:dyDescent="0.15">
      <c r="A163" s="356"/>
      <c r="B163" s="355"/>
      <c r="C163" s="355"/>
      <c r="D163" s="355"/>
      <c r="E163" s="355"/>
      <c r="F163" s="355"/>
      <c r="G163" s="355"/>
      <c r="O163" s="356"/>
      <c r="P163" s="355"/>
      <c r="Q163" s="355"/>
      <c r="R163" s="355"/>
      <c r="S163" s="355"/>
      <c r="T163" s="355"/>
      <c r="U163" s="355"/>
      <c r="V163" s="355"/>
      <c r="W163" s="355"/>
      <c r="AG163" s="355"/>
      <c r="AH163" s="355"/>
      <c r="AI163" s="355"/>
      <c r="AJ163" s="355"/>
      <c r="AK163" s="355"/>
      <c r="AL163" s="355"/>
      <c r="AM163" s="355"/>
      <c r="AU163" s="379">
        <v>48714</v>
      </c>
      <c r="AV163" s="375"/>
      <c r="AW163" s="375"/>
      <c r="AX163" s="375"/>
      <c r="AY163" s="375"/>
      <c r="AZ163" s="375"/>
      <c r="BA163" s="375"/>
      <c r="BB163" s="375"/>
      <c r="BC163" s="375">
        <v>7.1249999999999994E-2</v>
      </c>
      <c r="BD163" s="375">
        <v>7.6249999999999998E-2</v>
      </c>
      <c r="BE163" s="375">
        <v>6.8750000000000006E-2</v>
      </c>
      <c r="BF163" s="375">
        <v>7.1249999999999994E-2</v>
      </c>
      <c r="BG163" s="375">
        <v>5.2499999999999998E-2</v>
      </c>
      <c r="BH163" s="375">
        <v>8.2799999999999999E-2</v>
      </c>
      <c r="BI163" s="373">
        <f t="shared" si="16"/>
        <v>7.0466666666666664E-2</v>
      </c>
      <c r="BJ163" s="378"/>
      <c r="BK163" s="375"/>
      <c r="BL163" s="375"/>
      <c r="BM163" s="375"/>
      <c r="BN163" s="375"/>
      <c r="BO163" s="375">
        <v>6.25E-2</v>
      </c>
      <c r="BP163" s="375">
        <v>4.7399999999999998E-2</v>
      </c>
      <c r="BQ163" s="377">
        <v>7.8200000000000006E-2</v>
      </c>
      <c r="BR163" s="380">
        <f t="shared" si="17"/>
        <v>6.2699999999999992E-2</v>
      </c>
      <c r="BT163" s="367">
        <v>48714</v>
      </c>
      <c r="BU163" s="375">
        <f t="shared" si="18"/>
        <v>4.9687499999999996E-2</v>
      </c>
      <c r="BV163" s="375">
        <f t="shared" si="19"/>
        <v>5.5300000000000002E-2</v>
      </c>
      <c r="BW163" s="377">
        <f t="shared" si="20"/>
        <v>4.9687499999999996E-2</v>
      </c>
    </row>
    <row r="164" spans="1:75" x14ac:dyDescent="0.15">
      <c r="A164" s="356"/>
      <c r="B164" s="355"/>
      <c r="C164" s="355"/>
      <c r="D164" s="355"/>
      <c r="E164" s="355"/>
      <c r="F164" s="355"/>
      <c r="G164" s="355"/>
      <c r="O164" s="356"/>
      <c r="P164" s="355"/>
      <c r="Q164" s="355"/>
      <c r="R164" s="355"/>
      <c r="S164" s="355"/>
      <c r="T164" s="355"/>
      <c r="U164" s="355"/>
      <c r="V164" s="355"/>
      <c r="W164" s="355"/>
      <c r="AG164" s="355"/>
      <c r="AH164" s="355"/>
      <c r="AI164" s="355"/>
      <c r="AJ164" s="355"/>
      <c r="AK164" s="355"/>
      <c r="AL164" s="355"/>
      <c r="AM164" s="355"/>
      <c r="AU164" s="379">
        <v>48745</v>
      </c>
      <c r="AV164" s="375"/>
      <c r="AW164" s="375"/>
      <c r="AX164" s="375"/>
      <c r="AY164" s="375"/>
      <c r="AZ164" s="375"/>
      <c r="BA164" s="375"/>
      <c r="BB164" s="375"/>
      <c r="BC164" s="375">
        <v>7.1249999999999994E-2</v>
      </c>
      <c r="BD164" s="375">
        <v>7.6249999999999998E-2</v>
      </c>
      <c r="BE164" s="375">
        <v>6.8750000000000006E-2</v>
      </c>
      <c r="BF164" s="375">
        <v>7.1249999999999994E-2</v>
      </c>
      <c r="BG164" s="375">
        <v>5.2499999999999998E-2</v>
      </c>
      <c r="BH164" s="375">
        <v>8.2799999999999999E-2</v>
      </c>
      <c r="BI164" s="373">
        <f t="shared" si="16"/>
        <v>7.0466666666666664E-2</v>
      </c>
      <c r="BJ164" s="378"/>
      <c r="BK164" s="375"/>
      <c r="BL164" s="375"/>
      <c r="BM164" s="375"/>
      <c r="BN164" s="375"/>
      <c r="BO164" s="375">
        <v>6.25E-2</v>
      </c>
      <c r="BP164" s="375">
        <v>4.7399999999999998E-2</v>
      </c>
      <c r="BQ164" s="377">
        <v>7.8200000000000006E-2</v>
      </c>
      <c r="BR164" s="380">
        <f t="shared" si="17"/>
        <v>6.2699999999999992E-2</v>
      </c>
      <c r="BT164" s="367">
        <v>48745</v>
      </c>
      <c r="BU164" s="375">
        <f t="shared" si="18"/>
        <v>4.9687499999999996E-2</v>
      </c>
      <c r="BV164" s="375">
        <f t="shared" si="19"/>
        <v>5.5300000000000002E-2</v>
      </c>
      <c r="BW164" s="377">
        <f t="shared" si="20"/>
        <v>4.9687499999999996E-2</v>
      </c>
    </row>
    <row r="165" spans="1:75" x14ac:dyDescent="0.15">
      <c r="A165" s="356"/>
      <c r="B165" s="355"/>
      <c r="C165" s="355"/>
      <c r="D165" s="355"/>
      <c r="E165" s="355"/>
      <c r="F165" s="355"/>
      <c r="G165" s="355"/>
      <c r="O165" s="356"/>
      <c r="P165" s="355"/>
      <c r="Q165" s="355"/>
      <c r="R165" s="355"/>
      <c r="S165" s="355"/>
      <c r="T165" s="355"/>
      <c r="U165" s="355"/>
      <c r="V165" s="355"/>
      <c r="W165" s="355"/>
      <c r="AG165" s="355"/>
      <c r="AH165" s="355"/>
      <c r="AI165" s="355"/>
      <c r="AJ165" s="355"/>
      <c r="AK165" s="355"/>
      <c r="AL165" s="355"/>
      <c r="AM165" s="355"/>
      <c r="AU165" s="379">
        <v>48775</v>
      </c>
      <c r="AV165" s="375"/>
      <c r="AW165" s="375"/>
      <c r="AX165" s="375"/>
      <c r="AY165" s="375"/>
      <c r="AZ165" s="375"/>
      <c r="BA165" s="375"/>
      <c r="BB165" s="375"/>
      <c r="BC165" s="375">
        <v>7.1249999999999994E-2</v>
      </c>
      <c r="BD165" s="375">
        <v>7.6249999999999998E-2</v>
      </c>
      <c r="BE165" s="375">
        <v>6.8750000000000006E-2</v>
      </c>
      <c r="BF165" s="375">
        <v>7.1249999999999994E-2</v>
      </c>
      <c r="BG165" s="375">
        <v>5.2499999999999998E-2</v>
      </c>
      <c r="BH165" s="375">
        <v>8.2799999999999999E-2</v>
      </c>
      <c r="BI165" s="373">
        <f t="shared" si="16"/>
        <v>7.0466666666666664E-2</v>
      </c>
      <c r="BJ165" s="378"/>
      <c r="BK165" s="375"/>
      <c r="BL165" s="375"/>
      <c r="BM165" s="375"/>
      <c r="BN165" s="375"/>
      <c r="BO165" s="375">
        <v>6.25E-2</v>
      </c>
      <c r="BP165" s="375">
        <v>4.7399999999999998E-2</v>
      </c>
      <c r="BQ165" s="377">
        <v>7.8200000000000006E-2</v>
      </c>
      <c r="BR165" s="380">
        <f t="shared" si="17"/>
        <v>6.2699999999999992E-2</v>
      </c>
      <c r="BT165" s="367">
        <v>48775</v>
      </c>
      <c r="BU165" s="375">
        <f t="shared" si="18"/>
        <v>4.9687499999999996E-2</v>
      </c>
      <c r="BV165" s="375">
        <f t="shared" si="19"/>
        <v>5.5300000000000002E-2</v>
      </c>
      <c r="BW165" s="377">
        <f t="shared" si="20"/>
        <v>4.9687499999999996E-2</v>
      </c>
    </row>
    <row r="166" spans="1:75" x14ac:dyDescent="0.15">
      <c r="A166" s="356"/>
      <c r="B166" s="355"/>
      <c r="C166" s="355"/>
      <c r="D166" s="355"/>
      <c r="E166" s="355"/>
      <c r="F166" s="355"/>
      <c r="G166" s="355"/>
      <c r="O166" s="356"/>
      <c r="P166" s="355"/>
      <c r="Q166" s="355"/>
      <c r="R166" s="355"/>
      <c r="S166" s="355"/>
      <c r="T166" s="355"/>
      <c r="U166" s="355"/>
      <c r="V166" s="355"/>
      <c r="W166" s="355"/>
      <c r="AG166" s="355"/>
      <c r="AH166" s="355"/>
      <c r="AI166" s="355"/>
      <c r="AJ166" s="355"/>
      <c r="AK166" s="355"/>
      <c r="AL166" s="355"/>
      <c r="AM166" s="355"/>
      <c r="AU166" s="379">
        <v>48806</v>
      </c>
      <c r="AV166" s="375"/>
      <c r="AW166" s="375"/>
      <c r="AX166" s="375"/>
      <c r="AY166" s="375"/>
      <c r="AZ166" s="375"/>
      <c r="BA166" s="375"/>
      <c r="BB166" s="375"/>
      <c r="BC166" s="375">
        <v>7.1249999999999994E-2</v>
      </c>
      <c r="BD166" s="375">
        <v>7.6249999999999998E-2</v>
      </c>
      <c r="BE166" s="375">
        <v>6.8750000000000006E-2</v>
      </c>
      <c r="BF166" s="375">
        <v>7.1249999999999994E-2</v>
      </c>
      <c r="BG166" s="375">
        <v>5.2499999999999998E-2</v>
      </c>
      <c r="BH166" s="375">
        <v>8.2799999999999999E-2</v>
      </c>
      <c r="BI166" s="373">
        <f t="shared" si="16"/>
        <v>7.0466666666666664E-2</v>
      </c>
      <c r="BJ166" s="378"/>
      <c r="BK166" s="375"/>
      <c r="BL166" s="375"/>
      <c r="BM166" s="375"/>
      <c r="BN166" s="375"/>
      <c r="BO166" s="375">
        <v>6.25E-2</v>
      </c>
      <c r="BP166" s="375">
        <v>4.7399999999999998E-2</v>
      </c>
      <c r="BQ166" s="377">
        <v>7.8200000000000006E-2</v>
      </c>
      <c r="BR166" s="380">
        <f t="shared" si="17"/>
        <v>6.2699999999999992E-2</v>
      </c>
      <c r="BT166" s="367">
        <v>48806</v>
      </c>
      <c r="BU166" s="375">
        <f t="shared" si="18"/>
        <v>4.9687499999999996E-2</v>
      </c>
      <c r="BV166" s="375">
        <f t="shared" si="19"/>
        <v>5.5300000000000002E-2</v>
      </c>
      <c r="BW166" s="377">
        <f t="shared" si="20"/>
        <v>4.9687499999999996E-2</v>
      </c>
    </row>
    <row r="167" spans="1:75" x14ac:dyDescent="0.15">
      <c r="A167" s="356"/>
      <c r="B167" s="355"/>
      <c r="C167" s="355"/>
      <c r="D167" s="355"/>
      <c r="E167" s="355"/>
      <c r="F167" s="355"/>
      <c r="G167" s="355"/>
      <c r="O167" s="356"/>
      <c r="P167" s="355"/>
      <c r="Q167" s="355"/>
      <c r="R167" s="355"/>
      <c r="S167" s="355"/>
      <c r="T167" s="355"/>
      <c r="U167" s="355"/>
      <c r="V167" s="355"/>
      <c r="W167" s="355"/>
      <c r="AG167" s="355"/>
      <c r="AH167" s="355"/>
      <c r="AI167" s="355"/>
      <c r="AJ167" s="355"/>
      <c r="AK167" s="355"/>
      <c r="AL167" s="355"/>
      <c r="AM167" s="355"/>
      <c r="AU167" s="379">
        <v>48837</v>
      </c>
      <c r="AV167" s="375"/>
      <c r="AW167" s="375"/>
      <c r="AX167" s="375"/>
      <c r="AY167" s="375"/>
      <c r="AZ167" s="375"/>
      <c r="BA167" s="375"/>
      <c r="BB167" s="375"/>
      <c r="BC167" s="375">
        <v>7.1249999999999994E-2</v>
      </c>
      <c r="BD167" s="375">
        <v>7.6249999999999998E-2</v>
      </c>
      <c r="BE167" s="375">
        <v>6.8750000000000006E-2</v>
      </c>
      <c r="BF167" s="375">
        <v>7.1249999999999994E-2</v>
      </c>
      <c r="BG167" s="375">
        <v>5.2499999999999998E-2</v>
      </c>
      <c r="BH167" s="375">
        <v>8.2799999999999999E-2</v>
      </c>
      <c r="BI167" s="373">
        <f t="shared" si="16"/>
        <v>7.0466666666666664E-2</v>
      </c>
      <c r="BJ167" s="378"/>
      <c r="BK167" s="375"/>
      <c r="BL167" s="375"/>
      <c r="BM167" s="375"/>
      <c r="BN167" s="375"/>
      <c r="BO167" s="375">
        <v>6.25E-2</v>
      </c>
      <c r="BP167" s="375">
        <v>4.7399999999999998E-2</v>
      </c>
      <c r="BQ167" s="377">
        <v>7.8200000000000006E-2</v>
      </c>
      <c r="BR167" s="380">
        <f t="shared" si="17"/>
        <v>6.2699999999999992E-2</v>
      </c>
      <c r="BT167" s="367">
        <v>48837</v>
      </c>
      <c r="BU167" s="375">
        <f t="shared" si="18"/>
        <v>4.9687499999999996E-2</v>
      </c>
      <c r="BV167" s="375">
        <f t="shared" si="19"/>
        <v>5.5300000000000002E-2</v>
      </c>
      <c r="BW167" s="377">
        <f t="shared" si="20"/>
        <v>4.9687499999999996E-2</v>
      </c>
    </row>
    <row r="168" spans="1:75" x14ac:dyDescent="0.15">
      <c r="A168" s="356"/>
      <c r="B168" s="355"/>
      <c r="C168" s="355"/>
      <c r="D168" s="355"/>
      <c r="E168" s="355"/>
      <c r="F168" s="355"/>
      <c r="G168" s="355"/>
      <c r="O168" s="356"/>
      <c r="P168" s="355"/>
      <c r="Q168" s="355"/>
      <c r="R168" s="355"/>
      <c r="S168" s="355"/>
      <c r="T168" s="355"/>
      <c r="U168" s="355"/>
      <c r="V168" s="355"/>
      <c r="W168" s="355"/>
      <c r="AG168" s="355"/>
      <c r="AH168" s="355"/>
      <c r="AI168" s="355"/>
      <c r="AJ168" s="355"/>
      <c r="AK168" s="355"/>
      <c r="AL168" s="355"/>
      <c r="AM168" s="355"/>
      <c r="AU168" s="379">
        <v>48867</v>
      </c>
      <c r="AV168" s="375"/>
      <c r="AW168" s="375"/>
      <c r="AX168" s="375"/>
      <c r="AY168" s="375"/>
      <c r="AZ168" s="375"/>
      <c r="BA168" s="375"/>
      <c r="BB168" s="375"/>
      <c r="BC168" s="375">
        <v>7.1249999999999994E-2</v>
      </c>
      <c r="BD168" s="375">
        <v>7.6249999999999998E-2</v>
      </c>
      <c r="BE168" s="375">
        <v>6.8750000000000006E-2</v>
      </c>
      <c r="BF168" s="375">
        <v>7.1249999999999994E-2</v>
      </c>
      <c r="BG168" s="375">
        <v>5.2499999999999998E-2</v>
      </c>
      <c r="BH168" s="375">
        <v>8.2799999999999999E-2</v>
      </c>
      <c r="BI168" s="373">
        <f t="shared" si="16"/>
        <v>7.0466666666666664E-2</v>
      </c>
      <c r="BJ168" s="378"/>
      <c r="BK168" s="375"/>
      <c r="BL168" s="375"/>
      <c r="BM168" s="375"/>
      <c r="BN168" s="375"/>
      <c r="BO168" s="375">
        <v>6.25E-2</v>
      </c>
      <c r="BP168" s="375">
        <v>4.7399999999999998E-2</v>
      </c>
      <c r="BQ168" s="377">
        <v>7.8200000000000006E-2</v>
      </c>
      <c r="BR168" s="380">
        <f t="shared" si="17"/>
        <v>6.2699999999999992E-2</v>
      </c>
      <c r="BT168" s="367">
        <v>48867</v>
      </c>
      <c r="BU168" s="375">
        <f t="shared" si="18"/>
        <v>4.9687499999999996E-2</v>
      </c>
      <c r="BV168" s="375">
        <f t="shared" si="19"/>
        <v>5.5300000000000002E-2</v>
      </c>
      <c r="BW168" s="377">
        <f t="shared" si="20"/>
        <v>4.9687499999999996E-2</v>
      </c>
    </row>
    <row r="169" spans="1:75" x14ac:dyDescent="0.15">
      <c r="A169" s="356"/>
      <c r="B169" s="355"/>
      <c r="C169" s="355"/>
      <c r="D169" s="355"/>
      <c r="E169" s="355"/>
      <c r="F169" s="355"/>
      <c r="G169" s="355"/>
      <c r="O169" s="356"/>
      <c r="P169" s="355"/>
      <c r="Q169" s="355"/>
      <c r="R169" s="355"/>
      <c r="S169" s="355"/>
      <c r="T169" s="355"/>
      <c r="U169" s="355"/>
      <c r="V169" s="355"/>
      <c r="W169" s="355"/>
      <c r="AG169" s="355"/>
      <c r="AH169" s="355"/>
      <c r="AI169" s="355"/>
      <c r="AJ169" s="355"/>
      <c r="AK169" s="355"/>
      <c r="AL169" s="355"/>
      <c r="AM169" s="355"/>
      <c r="AU169" s="379">
        <v>48898</v>
      </c>
      <c r="AV169" s="375"/>
      <c r="AW169" s="375"/>
      <c r="AX169" s="375"/>
      <c r="AY169" s="375"/>
      <c r="AZ169" s="375"/>
      <c r="BA169" s="375"/>
      <c r="BB169" s="375"/>
      <c r="BC169" s="375">
        <v>7.1249999999999994E-2</v>
      </c>
      <c r="BD169" s="375">
        <v>7.6249999999999998E-2</v>
      </c>
      <c r="BE169" s="375">
        <v>6.8750000000000006E-2</v>
      </c>
      <c r="BF169" s="375">
        <v>7.1249999999999994E-2</v>
      </c>
      <c r="BG169" s="375">
        <v>5.2499999999999998E-2</v>
      </c>
      <c r="BH169" s="375">
        <v>8.2799999999999999E-2</v>
      </c>
      <c r="BI169" s="373">
        <f t="shared" si="16"/>
        <v>7.0466666666666664E-2</v>
      </c>
      <c r="BJ169" s="378"/>
      <c r="BK169" s="375"/>
      <c r="BL169" s="375"/>
      <c r="BM169" s="375"/>
      <c r="BN169" s="375"/>
      <c r="BO169" s="375">
        <v>6.25E-2</v>
      </c>
      <c r="BP169" s="375">
        <v>4.7399999999999998E-2</v>
      </c>
      <c r="BQ169" s="377">
        <v>7.8200000000000006E-2</v>
      </c>
      <c r="BR169" s="380">
        <f t="shared" si="17"/>
        <v>6.2699999999999992E-2</v>
      </c>
      <c r="BT169" s="367">
        <v>48898</v>
      </c>
      <c r="BU169" s="375">
        <f t="shared" si="18"/>
        <v>4.9687499999999996E-2</v>
      </c>
      <c r="BV169" s="375">
        <f t="shared" si="19"/>
        <v>5.5300000000000002E-2</v>
      </c>
      <c r="BW169" s="377">
        <f t="shared" si="20"/>
        <v>4.9687499999999996E-2</v>
      </c>
    </row>
    <row r="170" spans="1:75" x14ac:dyDescent="0.15">
      <c r="A170" s="356"/>
      <c r="B170" s="355"/>
      <c r="C170" s="355"/>
      <c r="D170" s="355"/>
      <c r="E170" s="355"/>
      <c r="F170" s="355"/>
      <c r="G170" s="355"/>
      <c r="O170" s="356"/>
      <c r="P170" s="355"/>
      <c r="Q170" s="355"/>
      <c r="R170" s="355"/>
      <c r="S170" s="355"/>
      <c r="T170" s="355"/>
      <c r="U170" s="355"/>
      <c r="V170" s="355"/>
      <c r="W170" s="355"/>
      <c r="AG170" s="355"/>
      <c r="AH170" s="355"/>
      <c r="AI170" s="355"/>
      <c r="AJ170" s="355"/>
      <c r="AK170" s="355"/>
      <c r="AL170" s="355"/>
      <c r="AM170" s="355"/>
      <c r="AU170" s="379">
        <v>48928</v>
      </c>
      <c r="AV170" s="375"/>
      <c r="AW170" s="375"/>
      <c r="AX170" s="375"/>
      <c r="AY170" s="375"/>
      <c r="AZ170" s="375"/>
      <c r="BA170" s="375"/>
      <c r="BB170" s="375"/>
      <c r="BC170" s="375">
        <v>7.1249999999999994E-2</v>
      </c>
      <c r="BD170" s="375">
        <v>7.6249999999999998E-2</v>
      </c>
      <c r="BE170" s="375">
        <v>6.8750000000000006E-2</v>
      </c>
      <c r="BF170" s="375">
        <v>7.1249999999999994E-2</v>
      </c>
      <c r="BG170" s="375">
        <v>5.2499999999999998E-2</v>
      </c>
      <c r="BH170" s="375">
        <v>8.2799999999999999E-2</v>
      </c>
      <c r="BI170" s="373">
        <f t="shared" si="16"/>
        <v>7.0466666666666664E-2</v>
      </c>
      <c r="BJ170" s="378"/>
      <c r="BK170" s="375"/>
      <c r="BL170" s="375"/>
      <c r="BM170" s="375"/>
      <c r="BN170" s="375"/>
      <c r="BO170" s="375">
        <v>6.25E-2</v>
      </c>
      <c r="BP170" s="375">
        <v>4.7399999999999998E-2</v>
      </c>
      <c r="BQ170" s="377">
        <v>7.8200000000000006E-2</v>
      </c>
      <c r="BR170" s="380">
        <f t="shared" si="17"/>
        <v>6.2699999999999992E-2</v>
      </c>
      <c r="BT170" s="367">
        <v>48928</v>
      </c>
      <c r="BU170" s="375">
        <f t="shared" si="18"/>
        <v>4.9687499999999996E-2</v>
      </c>
      <c r="BV170" s="375">
        <f t="shared" si="19"/>
        <v>5.5300000000000002E-2</v>
      </c>
      <c r="BW170" s="377">
        <f t="shared" si="20"/>
        <v>4.9687499999999996E-2</v>
      </c>
    </row>
    <row r="171" spans="1:75" x14ac:dyDescent="0.15">
      <c r="A171" s="356"/>
      <c r="B171" s="355"/>
      <c r="C171" s="355"/>
      <c r="D171" s="355"/>
      <c r="E171" s="355"/>
      <c r="F171" s="355"/>
      <c r="G171" s="355"/>
      <c r="O171" s="356"/>
      <c r="P171" s="355"/>
      <c r="Q171" s="355"/>
      <c r="R171" s="355"/>
      <c r="S171" s="355"/>
      <c r="T171" s="355"/>
      <c r="U171" s="355"/>
      <c r="V171" s="355"/>
      <c r="W171" s="355"/>
      <c r="AG171" s="355"/>
      <c r="AH171" s="355"/>
      <c r="AI171" s="355"/>
      <c r="AJ171" s="355"/>
      <c r="AK171" s="355"/>
      <c r="AL171" s="355"/>
      <c r="AM171" s="355"/>
      <c r="AU171" s="379">
        <v>48959</v>
      </c>
      <c r="AV171" s="375"/>
      <c r="AW171" s="375"/>
      <c r="AX171" s="375"/>
      <c r="AY171" s="375"/>
      <c r="AZ171" s="375"/>
      <c r="BA171" s="375"/>
      <c r="BB171" s="375"/>
      <c r="BC171" s="375">
        <v>7.1249999999999994E-2</v>
      </c>
      <c r="BD171" s="375">
        <v>7.6249999999999998E-2</v>
      </c>
      <c r="BE171" s="375">
        <v>6.8750000000000006E-2</v>
      </c>
      <c r="BF171" s="375">
        <v>7.1249999999999994E-2</v>
      </c>
      <c r="BG171" s="375">
        <v>5.2499999999999998E-2</v>
      </c>
      <c r="BH171" s="375"/>
      <c r="BI171" s="373">
        <f t="shared" si="16"/>
        <v>6.7999999999999991E-2</v>
      </c>
      <c r="BJ171" s="378"/>
      <c r="BK171" s="375"/>
      <c r="BL171" s="375"/>
      <c r="BM171" s="375"/>
      <c r="BN171" s="375"/>
      <c r="BO171" s="375">
        <v>6.25E-2</v>
      </c>
      <c r="BP171" s="375">
        <v>4.7399999999999998E-2</v>
      </c>
      <c r="BQ171" s="377"/>
      <c r="BR171" s="380">
        <f t="shared" si="17"/>
        <v>5.4949999999999999E-2</v>
      </c>
      <c r="BT171" s="367">
        <v>48959</v>
      </c>
      <c r="BU171" s="375">
        <f t="shared" si="18"/>
        <v>4.9687499999999996E-2</v>
      </c>
      <c r="BV171" s="375">
        <f t="shared" si="19"/>
        <v>5.5E-2</v>
      </c>
      <c r="BW171" s="377">
        <f t="shared" si="20"/>
        <v>4.9687499999999996E-2</v>
      </c>
    </row>
    <row r="172" spans="1:75" x14ac:dyDescent="0.15">
      <c r="A172" s="356"/>
      <c r="B172" s="355"/>
      <c r="C172" s="355"/>
      <c r="D172" s="355"/>
      <c r="E172" s="355"/>
      <c r="F172" s="355"/>
      <c r="G172" s="355"/>
      <c r="O172" s="356"/>
      <c r="P172" s="355"/>
      <c r="Q172" s="355"/>
      <c r="R172" s="355"/>
      <c r="S172" s="355"/>
      <c r="T172" s="355"/>
      <c r="U172" s="355"/>
      <c r="V172" s="355"/>
      <c r="W172" s="355"/>
      <c r="AG172" s="355"/>
      <c r="AH172" s="355"/>
      <c r="AI172" s="355"/>
      <c r="AJ172" s="355"/>
      <c r="AK172" s="355"/>
      <c r="AL172" s="355"/>
      <c r="AM172" s="355"/>
      <c r="AU172" s="379">
        <v>48990</v>
      </c>
      <c r="AV172" s="375"/>
      <c r="AW172" s="375"/>
      <c r="AX172" s="375"/>
      <c r="AY172" s="375"/>
      <c r="AZ172" s="375"/>
      <c r="BA172" s="375"/>
      <c r="BB172" s="375"/>
      <c r="BC172" s="375">
        <v>7.1249999999999994E-2</v>
      </c>
      <c r="BD172" s="375">
        <v>7.6249999999999998E-2</v>
      </c>
      <c r="BE172" s="375">
        <v>6.8750000000000006E-2</v>
      </c>
      <c r="BF172" s="375">
        <v>7.1249999999999994E-2</v>
      </c>
      <c r="BG172" s="375">
        <v>5.2499999999999998E-2</v>
      </c>
      <c r="BH172" s="375"/>
      <c r="BI172" s="373">
        <f t="shared" si="16"/>
        <v>6.7999999999999991E-2</v>
      </c>
      <c r="BJ172" s="378"/>
      <c r="BK172" s="375"/>
      <c r="BL172" s="375"/>
      <c r="BM172" s="375"/>
      <c r="BN172" s="375"/>
      <c r="BO172" s="375">
        <v>6.25E-2</v>
      </c>
      <c r="BP172" s="375">
        <v>4.7399999999999998E-2</v>
      </c>
      <c r="BQ172" s="377"/>
      <c r="BR172" s="380">
        <f t="shared" si="17"/>
        <v>5.4949999999999999E-2</v>
      </c>
      <c r="BT172" s="367">
        <v>48990</v>
      </c>
      <c r="BU172" s="375">
        <f t="shared" si="18"/>
        <v>4.9687499999999996E-2</v>
      </c>
      <c r="BV172" s="375">
        <f t="shared" si="19"/>
        <v>5.5E-2</v>
      </c>
      <c r="BW172" s="377">
        <f t="shared" si="20"/>
        <v>4.9687499999999996E-2</v>
      </c>
    </row>
    <row r="173" spans="1:75" x14ac:dyDescent="0.15">
      <c r="A173" s="356"/>
      <c r="B173" s="355"/>
      <c r="C173" s="355"/>
      <c r="D173" s="355"/>
      <c r="E173" s="355"/>
      <c r="F173" s="355"/>
      <c r="G173" s="355"/>
      <c r="O173" s="356"/>
      <c r="P173" s="355"/>
      <c r="Q173" s="355"/>
      <c r="R173" s="355"/>
      <c r="S173" s="355"/>
      <c r="T173" s="355"/>
      <c r="U173" s="355"/>
      <c r="V173" s="355"/>
      <c r="W173" s="355"/>
      <c r="AG173" s="355"/>
      <c r="AH173" s="355"/>
      <c r="AI173" s="355"/>
      <c r="AJ173" s="355"/>
      <c r="AK173" s="355"/>
      <c r="AL173" s="355"/>
      <c r="AM173" s="355"/>
      <c r="AU173" s="379">
        <v>49018</v>
      </c>
      <c r="AV173" s="375"/>
      <c r="AW173" s="375"/>
      <c r="AX173" s="375"/>
      <c r="AY173" s="375"/>
      <c r="AZ173" s="375"/>
      <c r="BA173" s="375"/>
      <c r="BB173" s="375"/>
      <c r="BC173" s="375">
        <v>7.1249999999999994E-2</v>
      </c>
      <c r="BD173" s="375">
        <v>7.6249999999999998E-2</v>
      </c>
      <c r="BE173" s="375">
        <v>6.8750000000000006E-2</v>
      </c>
      <c r="BF173" s="375">
        <v>7.1249999999999994E-2</v>
      </c>
      <c r="BG173" s="375">
        <v>5.2499999999999998E-2</v>
      </c>
      <c r="BH173" s="375"/>
      <c r="BI173" s="373">
        <f t="shared" si="16"/>
        <v>6.7999999999999991E-2</v>
      </c>
      <c r="BJ173" s="378"/>
      <c r="BK173" s="375"/>
      <c r="BL173" s="375"/>
      <c r="BM173" s="375"/>
      <c r="BN173" s="375"/>
      <c r="BO173" s="375">
        <v>6.25E-2</v>
      </c>
      <c r="BP173" s="375">
        <v>4.7399999999999998E-2</v>
      </c>
      <c r="BQ173" s="377"/>
      <c r="BR173" s="380">
        <f t="shared" si="17"/>
        <v>5.4949999999999999E-2</v>
      </c>
      <c r="BT173" s="367">
        <v>49018</v>
      </c>
      <c r="BU173" s="375">
        <f t="shared" si="18"/>
        <v>4.9687499999999996E-2</v>
      </c>
      <c r="BV173" s="375">
        <f t="shared" si="19"/>
        <v>5.5E-2</v>
      </c>
      <c r="BW173" s="377">
        <f t="shared" si="20"/>
        <v>4.9687499999999996E-2</v>
      </c>
    </row>
    <row r="174" spans="1:75" x14ac:dyDescent="0.15">
      <c r="A174" s="356"/>
      <c r="B174" s="355"/>
      <c r="C174" s="355"/>
      <c r="D174" s="355"/>
      <c r="E174" s="355"/>
      <c r="F174" s="355"/>
      <c r="G174" s="355"/>
      <c r="O174" s="356"/>
      <c r="P174" s="355"/>
      <c r="Q174" s="355"/>
      <c r="R174" s="355"/>
      <c r="S174" s="355"/>
      <c r="T174" s="355"/>
      <c r="U174" s="355"/>
      <c r="V174" s="355"/>
      <c r="W174" s="355"/>
      <c r="AG174" s="355"/>
      <c r="AH174" s="355"/>
      <c r="AI174" s="355"/>
      <c r="AJ174" s="355"/>
      <c r="AK174" s="355"/>
      <c r="AL174" s="355"/>
      <c r="AM174" s="355"/>
      <c r="AU174" s="379">
        <v>49049</v>
      </c>
      <c r="AV174" s="375"/>
      <c r="AW174" s="375"/>
      <c r="AX174" s="375"/>
      <c r="AY174" s="375"/>
      <c r="AZ174" s="375"/>
      <c r="BA174" s="375"/>
      <c r="BB174" s="375"/>
      <c r="BC174" s="375">
        <v>7.1249999999999994E-2</v>
      </c>
      <c r="BD174" s="375">
        <v>7.6249999999999998E-2</v>
      </c>
      <c r="BE174" s="375">
        <v>6.8750000000000006E-2</v>
      </c>
      <c r="BF174" s="375">
        <v>7.1249999999999994E-2</v>
      </c>
      <c r="BG174" s="375">
        <v>5.2499999999999998E-2</v>
      </c>
      <c r="BH174" s="375"/>
      <c r="BI174" s="373">
        <f t="shared" si="16"/>
        <v>6.7999999999999991E-2</v>
      </c>
      <c r="BJ174" s="378"/>
      <c r="BK174" s="375"/>
      <c r="BL174" s="375"/>
      <c r="BM174" s="375"/>
      <c r="BN174" s="375"/>
      <c r="BO174" s="375">
        <v>6.25E-2</v>
      </c>
      <c r="BP174" s="375">
        <v>4.7399999999999998E-2</v>
      </c>
      <c r="BQ174" s="377"/>
      <c r="BR174" s="380">
        <f t="shared" si="17"/>
        <v>5.4949999999999999E-2</v>
      </c>
      <c r="BT174" s="367">
        <v>49049</v>
      </c>
      <c r="BU174" s="375">
        <f t="shared" si="18"/>
        <v>4.9687499999999996E-2</v>
      </c>
      <c r="BV174" s="375">
        <f t="shared" si="19"/>
        <v>5.5E-2</v>
      </c>
      <c r="BW174" s="377">
        <f t="shared" si="20"/>
        <v>4.9687499999999996E-2</v>
      </c>
    </row>
    <row r="175" spans="1:75" x14ac:dyDescent="0.15">
      <c r="A175" s="356"/>
      <c r="B175" s="355"/>
      <c r="C175" s="355"/>
      <c r="D175" s="355"/>
      <c r="E175" s="355"/>
      <c r="F175" s="355"/>
      <c r="G175" s="355"/>
      <c r="O175" s="356"/>
      <c r="P175" s="355"/>
      <c r="Q175" s="355"/>
      <c r="R175" s="355"/>
      <c r="S175" s="355"/>
      <c r="T175" s="355"/>
      <c r="U175" s="355"/>
      <c r="V175" s="355"/>
      <c r="W175" s="355"/>
      <c r="AG175" s="355"/>
      <c r="AH175" s="355"/>
      <c r="AI175" s="355"/>
      <c r="AJ175" s="355"/>
      <c r="AK175" s="355"/>
      <c r="AL175" s="355"/>
      <c r="AM175" s="355"/>
      <c r="AU175" s="379">
        <v>49079</v>
      </c>
      <c r="AV175" s="375"/>
      <c r="AW175" s="375"/>
      <c r="AX175" s="375"/>
      <c r="AY175" s="375"/>
      <c r="AZ175" s="375"/>
      <c r="BA175" s="375"/>
      <c r="BB175" s="375"/>
      <c r="BC175" s="375">
        <v>7.1249999999999994E-2</v>
      </c>
      <c r="BD175" s="375">
        <v>7.6249999999999998E-2</v>
      </c>
      <c r="BE175" s="375">
        <v>6.8750000000000006E-2</v>
      </c>
      <c r="BF175" s="375">
        <v>7.1249999999999994E-2</v>
      </c>
      <c r="BG175" s="375">
        <v>5.2499999999999998E-2</v>
      </c>
      <c r="BH175" s="375"/>
      <c r="BI175" s="373">
        <f t="shared" si="16"/>
        <v>6.7999999999999991E-2</v>
      </c>
      <c r="BJ175" s="378"/>
      <c r="BK175" s="375"/>
      <c r="BL175" s="375"/>
      <c r="BM175" s="375"/>
      <c r="BN175" s="375"/>
      <c r="BO175" s="375">
        <v>6.25E-2</v>
      </c>
      <c r="BP175" s="375">
        <v>4.7399999999999998E-2</v>
      </c>
      <c r="BQ175" s="377"/>
      <c r="BR175" s="380">
        <f t="shared" si="17"/>
        <v>5.4949999999999999E-2</v>
      </c>
      <c r="BT175" s="367">
        <v>49079</v>
      </c>
      <c r="BU175" s="375">
        <f t="shared" si="18"/>
        <v>4.9687499999999996E-2</v>
      </c>
      <c r="BV175" s="375">
        <f t="shared" si="19"/>
        <v>5.5E-2</v>
      </c>
      <c r="BW175" s="377">
        <f t="shared" si="20"/>
        <v>4.9687499999999996E-2</v>
      </c>
    </row>
    <row r="176" spans="1:75" x14ac:dyDescent="0.15">
      <c r="A176" s="356"/>
      <c r="B176" s="355"/>
      <c r="C176" s="355"/>
      <c r="D176" s="355"/>
      <c r="E176" s="355"/>
      <c r="F176" s="355"/>
      <c r="G176" s="355"/>
      <c r="O176" s="356"/>
      <c r="P176" s="355"/>
      <c r="Q176" s="355"/>
      <c r="R176" s="355"/>
      <c r="S176" s="355"/>
      <c r="T176" s="355"/>
      <c r="U176" s="355"/>
      <c r="V176" s="355"/>
      <c r="W176" s="355"/>
      <c r="AG176" s="355"/>
      <c r="AH176" s="355"/>
      <c r="AI176" s="355"/>
      <c r="AJ176" s="355"/>
      <c r="AK176" s="355"/>
      <c r="AL176" s="355"/>
      <c r="AM176" s="355"/>
      <c r="AU176" s="379">
        <v>49110</v>
      </c>
      <c r="AV176" s="375"/>
      <c r="AW176" s="375"/>
      <c r="AX176" s="375"/>
      <c r="AY176" s="375"/>
      <c r="AZ176" s="375"/>
      <c r="BA176" s="375"/>
      <c r="BB176" s="375"/>
      <c r="BC176" s="375">
        <v>7.1249999999999994E-2</v>
      </c>
      <c r="BD176" s="375">
        <v>7.6249999999999998E-2</v>
      </c>
      <c r="BE176" s="375">
        <v>6.8750000000000006E-2</v>
      </c>
      <c r="BF176" s="375">
        <v>7.1249999999999994E-2</v>
      </c>
      <c r="BG176" s="375">
        <v>5.2499999999999998E-2</v>
      </c>
      <c r="BH176" s="375"/>
      <c r="BI176" s="373">
        <f t="shared" si="16"/>
        <v>6.7999999999999991E-2</v>
      </c>
      <c r="BJ176" s="378"/>
      <c r="BK176" s="375"/>
      <c r="BL176" s="375"/>
      <c r="BM176" s="375"/>
      <c r="BN176" s="375"/>
      <c r="BO176" s="375">
        <v>6.25E-2</v>
      </c>
      <c r="BP176" s="375">
        <v>4.7399999999999998E-2</v>
      </c>
      <c r="BQ176" s="377"/>
      <c r="BR176" s="380">
        <f t="shared" si="17"/>
        <v>5.4949999999999999E-2</v>
      </c>
      <c r="BT176" s="367">
        <v>49110</v>
      </c>
      <c r="BU176" s="375">
        <f t="shared" si="18"/>
        <v>4.9687499999999996E-2</v>
      </c>
      <c r="BV176" s="375">
        <f t="shared" si="19"/>
        <v>5.5E-2</v>
      </c>
      <c r="BW176" s="377">
        <f t="shared" si="20"/>
        <v>4.9687499999999996E-2</v>
      </c>
    </row>
    <row r="177" spans="1:75" x14ac:dyDescent="0.15">
      <c r="A177" s="356"/>
      <c r="B177" s="355"/>
      <c r="C177" s="355"/>
      <c r="D177" s="355"/>
      <c r="E177" s="355"/>
      <c r="F177" s="355"/>
      <c r="G177" s="355"/>
      <c r="O177" s="356"/>
      <c r="P177" s="355"/>
      <c r="Q177" s="355"/>
      <c r="R177" s="355"/>
      <c r="S177" s="355"/>
      <c r="T177" s="355"/>
      <c r="U177" s="355"/>
      <c r="V177" s="355"/>
      <c r="W177" s="355"/>
      <c r="AG177" s="355"/>
      <c r="AH177" s="355"/>
      <c r="AI177" s="355"/>
      <c r="AJ177" s="355"/>
      <c r="AK177" s="355"/>
      <c r="AL177" s="355"/>
      <c r="AM177" s="355"/>
      <c r="AU177" s="379">
        <v>49140</v>
      </c>
      <c r="AV177" s="375"/>
      <c r="AW177" s="375"/>
      <c r="AX177" s="375"/>
      <c r="AY177" s="375"/>
      <c r="AZ177" s="375"/>
      <c r="BA177" s="375"/>
      <c r="BB177" s="375"/>
      <c r="BC177" s="375">
        <v>7.1249999999999994E-2</v>
      </c>
      <c r="BD177" s="375">
        <v>7.6249999999999998E-2</v>
      </c>
      <c r="BE177" s="375">
        <v>6.8750000000000006E-2</v>
      </c>
      <c r="BF177" s="375">
        <v>7.1249999999999994E-2</v>
      </c>
      <c r="BG177" s="375">
        <v>5.2499999999999998E-2</v>
      </c>
      <c r="BH177" s="375"/>
      <c r="BI177" s="373">
        <f t="shared" si="16"/>
        <v>6.7999999999999991E-2</v>
      </c>
      <c r="BJ177" s="378"/>
      <c r="BK177" s="375"/>
      <c r="BL177" s="375"/>
      <c r="BM177" s="375"/>
      <c r="BN177" s="375"/>
      <c r="BO177" s="375">
        <v>6.25E-2</v>
      </c>
      <c r="BP177" s="375">
        <v>4.7399999999999998E-2</v>
      </c>
      <c r="BQ177" s="377"/>
      <c r="BR177" s="380">
        <f t="shared" si="17"/>
        <v>5.4949999999999999E-2</v>
      </c>
      <c r="BT177" s="367">
        <v>49140</v>
      </c>
      <c r="BU177" s="375">
        <f t="shared" si="18"/>
        <v>4.9687499999999996E-2</v>
      </c>
      <c r="BV177" s="375">
        <f t="shared" si="19"/>
        <v>5.5E-2</v>
      </c>
      <c r="BW177" s="377">
        <f t="shared" si="20"/>
        <v>4.9687499999999996E-2</v>
      </c>
    </row>
    <row r="178" spans="1:75" x14ac:dyDescent="0.15">
      <c r="A178" s="356"/>
      <c r="B178" s="355"/>
      <c r="C178" s="355"/>
      <c r="D178" s="355"/>
      <c r="E178" s="355"/>
      <c r="F178" s="355"/>
      <c r="G178" s="355"/>
      <c r="O178" s="356"/>
      <c r="P178" s="355"/>
      <c r="Q178" s="355"/>
      <c r="R178" s="355"/>
      <c r="S178" s="355"/>
      <c r="T178" s="355"/>
      <c r="U178" s="355"/>
      <c r="V178" s="355"/>
      <c r="W178" s="355"/>
      <c r="AG178" s="355"/>
      <c r="AH178" s="355"/>
      <c r="AI178" s="355"/>
      <c r="AJ178" s="355"/>
      <c r="AK178" s="355"/>
      <c r="AL178" s="355"/>
      <c r="AM178" s="355"/>
      <c r="AU178" s="379">
        <v>49171</v>
      </c>
      <c r="AV178" s="375"/>
      <c r="AW178" s="375"/>
      <c r="AX178" s="375"/>
      <c r="AY178" s="375"/>
      <c r="AZ178" s="375"/>
      <c r="BA178" s="375"/>
      <c r="BB178" s="375"/>
      <c r="BC178" s="375">
        <v>7.1249999999999994E-2</v>
      </c>
      <c r="BD178" s="375">
        <v>7.6249999999999998E-2</v>
      </c>
      <c r="BE178" s="375">
        <v>6.8750000000000006E-2</v>
      </c>
      <c r="BF178" s="375">
        <v>7.1249999999999994E-2</v>
      </c>
      <c r="BG178" s="375">
        <v>5.2499999999999998E-2</v>
      </c>
      <c r="BH178" s="375"/>
      <c r="BI178" s="373">
        <f t="shared" si="16"/>
        <v>6.7999999999999991E-2</v>
      </c>
      <c r="BJ178" s="378"/>
      <c r="BK178" s="375"/>
      <c r="BL178" s="375"/>
      <c r="BM178" s="375"/>
      <c r="BN178" s="375"/>
      <c r="BO178" s="375">
        <v>6.25E-2</v>
      </c>
      <c r="BP178" s="375">
        <v>4.7399999999999998E-2</v>
      </c>
      <c r="BQ178" s="377"/>
      <c r="BR178" s="380">
        <f t="shared" si="17"/>
        <v>5.4949999999999999E-2</v>
      </c>
      <c r="BT178" s="367">
        <v>49171</v>
      </c>
      <c r="BU178" s="375">
        <f t="shared" si="18"/>
        <v>4.9687499999999996E-2</v>
      </c>
      <c r="BV178" s="375">
        <f t="shared" si="19"/>
        <v>5.5E-2</v>
      </c>
      <c r="BW178" s="377">
        <f t="shared" si="20"/>
        <v>4.9687499999999996E-2</v>
      </c>
    </row>
    <row r="179" spans="1:75" x14ac:dyDescent="0.15">
      <c r="A179" s="356"/>
      <c r="B179" s="355"/>
      <c r="C179" s="355"/>
      <c r="D179" s="355"/>
      <c r="E179" s="355"/>
      <c r="F179" s="355"/>
      <c r="G179" s="355"/>
      <c r="O179" s="356"/>
      <c r="P179" s="355"/>
      <c r="Q179" s="355"/>
      <c r="R179" s="355"/>
      <c r="S179" s="355"/>
      <c r="T179" s="355"/>
      <c r="U179" s="355"/>
      <c r="V179" s="355"/>
      <c r="W179" s="355"/>
      <c r="AG179" s="355"/>
      <c r="AH179" s="355"/>
      <c r="AI179" s="355"/>
      <c r="AJ179" s="355"/>
      <c r="AK179" s="355"/>
      <c r="AL179" s="355"/>
      <c r="AM179" s="355"/>
      <c r="AU179" s="379">
        <v>49202</v>
      </c>
      <c r="AV179" s="375"/>
      <c r="AW179" s="375"/>
      <c r="AX179" s="375"/>
      <c r="AY179" s="375"/>
      <c r="AZ179" s="375"/>
      <c r="BA179" s="375"/>
      <c r="BB179" s="375"/>
      <c r="BC179" s="375">
        <v>7.1249999999999994E-2</v>
      </c>
      <c r="BD179" s="375">
        <v>7.6249999999999998E-2</v>
      </c>
      <c r="BE179" s="375">
        <v>6.8750000000000006E-2</v>
      </c>
      <c r="BF179" s="375">
        <v>7.1249999999999994E-2</v>
      </c>
      <c r="BG179" s="375">
        <v>5.2499999999999998E-2</v>
      </c>
      <c r="BH179" s="375"/>
      <c r="BI179" s="373">
        <f t="shared" si="16"/>
        <v>6.7999999999999991E-2</v>
      </c>
      <c r="BJ179" s="378"/>
      <c r="BK179" s="375"/>
      <c r="BL179" s="375"/>
      <c r="BM179" s="375"/>
      <c r="BN179" s="375"/>
      <c r="BO179" s="375">
        <v>6.25E-2</v>
      </c>
      <c r="BP179" s="375">
        <v>4.7399999999999998E-2</v>
      </c>
      <c r="BQ179" s="377"/>
      <c r="BR179" s="380">
        <f t="shared" si="17"/>
        <v>5.4949999999999999E-2</v>
      </c>
      <c r="BT179" s="367">
        <v>49202</v>
      </c>
      <c r="BU179" s="375">
        <f t="shared" si="18"/>
        <v>4.9687499999999996E-2</v>
      </c>
      <c r="BV179" s="375">
        <f t="shared" si="19"/>
        <v>5.5E-2</v>
      </c>
      <c r="BW179" s="377">
        <f t="shared" si="20"/>
        <v>4.9687499999999996E-2</v>
      </c>
    </row>
    <row r="180" spans="1:75" x14ac:dyDescent="0.15">
      <c r="A180" s="356"/>
      <c r="B180" s="355"/>
      <c r="C180" s="355"/>
      <c r="D180" s="355"/>
      <c r="E180" s="355"/>
      <c r="F180" s="355"/>
      <c r="G180" s="355"/>
      <c r="O180" s="356"/>
      <c r="P180" s="355"/>
      <c r="Q180" s="355"/>
      <c r="R180" s="355"/>
      <c r="S180" s="355"/>
      <c r="T180" s="355"/>
      <c r="U180" s="355"/>
      <c r="V180" s="355"/>
      <c r="W180" s="355"/>
      <c r="AG180" s="355"/>
      <c r="AH180" s="355"/>
      <c r="AI180" s="355"/>
      <c r="AJ180" s="355"/>
      <c r="AK180" s="355"/>
      <c r="AL180" s="355"/>
      <c r="AM180" s="355"/>
      <c r="AU180" s="379">
        <v>49232</v>
      </c>
      <c r="AV180" s="375"/>
      <c r="AW180" s="375"/>
      <c r="AX180" s="375"/>
      <c r="AY180" s="375"/>
      <c r="AZ180" s="375"/>
      <c r="BA180" s="375"/>
      <c r="BB180" s="375"/>
      <c r="BC180" s="375">
        <v>7.1249999999999994E-2</v>
      </c>
      <c r="BD180" s="375">
        <v>7.6249999999999998E-2</v>
      </c>
      <c r="BE180" s="375">
        <v>6.8750000000000006E-2</v>
      </c>
      <c r="BF180" s="375">
        <v>7.1249999999999994E-2</v>
      </c>
      <c r="BG180" s="375">
        <v>5.2499999999999998E-2</v>
      </c>
      <c r="BH180" s="375"/>
      <c r="BI180" s="373">
        <f t="shared" si="16"/>
        <v>6.7999999999999991E-2</v>
      </c>
      <c r="BJ180" s="378"/>
      <c r="BK180" s="375"/>
      <c r="BL180" s="375"/>
      <c r="BM180" s="375"/>
      <c r="BN180" s="375"/>
      <c r="BO180" s="375">
        <v>6.25E-2</v>
      </c>
      <c r="BP180" s="375">
        <v>4.7399999999999998E-2</v>
      </c>
      <c r="BQ180" s="377"/>
      <c r="BR180" s="380">
        <f t="shared" si="17"/>
        <v>5.4949999999999999E-2</v>
      </c>
      <c r="BT180" s="367">
        <v>49232</v>
      </c>
      <c r="BU180" s="375">
        <f t="shared" si="18"/>
        <v>4.9687499999999996E-2</v>
      </c>
      <c r="BV180" s="375">
        <f t="shared" si="19"/>
        <v>5.5E-2</v>
      </c>
      <c r="BW180" s="377">
        <f t="shared" si="20"/>
        <v>4.9687499999999996E-2</v>
      </c>
    </row>
    <row r="181" spans="1:75" x14ac:dyDescent="0.15">
      <c r="A181" s="356"/>
      <c r="B181" s="355"/>
      <c r="C181" s="355"/>
      <c r="D181" s="355"/>
      <c r="E181" s="355"/>
      <c r="F181" s="355"/>
      <c r="G181" s="355"/>
      <c r="O181" s="356"/>
      <c r="P181" s="355"/>
      <c r="Q181" s="355"/>
      <c r="R181" s="355"/>
      <c r="S181" s="355"/>
      <c r="T181" s="355"/>
      <c r="U181" s="355"/>
      <c r="V181" s="355"/>
      <c r="W181" s="355"/>
      <c r="AG181" s="355"/>
      <c r="AH181" s="355"/>
      <c r="AI181" s="355"/>
      <c r="AJ181" s="355"/>
      <c r="AK181" s="355"/>
      <c r="AL181" s="355"/>
      <c r="AM181" s="355"/>
      <c r="AU181" s="379">
        <v>49263</v>
      </c>
      <c r="AV181" s="375"/>
      <c r="AW181" s="375"/>
      <c r="AX181" s="375"/>
      <c r="AY181" s="375"/>
      <c r="AZ181" s="375"/>
      <c r="BA181" s="375"/>
      <c r="BB181" s="375"/>
      <c r="BC181" s="375">
        <v>7.1249999999999994E-2</v>
      </c>
      <c r="BD181" s="375">
        <v>7.6249999999999998E-2</v>
      </c>
      <c r="BE181" s="375">
        <v>6.8750000000000006E-2</v>
      </c>
      <c r="BF181" s="375">
        <v>7.1249999999999994E-2</v>
      </c>
      <c r="BG181" s="375">
        <v>5.2499999999999998E-2</v>
      </c>
      <c r="BH181" s="375"/>
      <c r="BI181" s="373">
        <f t="shared" si="16"/>
        <v>6.7999999999999991E-2</v>
      </c>
      <c r="BJ181" s="378"/>
      <c r="BK181" s="375"/>
      <c r="BL181" s="375"/>
      <c r="BM181" s="375"/>
      <c r="BN181" s="375"/>
      <c r="BO181" s="375">
        <v>6.25E-2</v>
      </c>
      <c r="BP181" s="375">
        <v>4.7399999999999998E-2</v>
      </c>
      <c r="BQ181" s="377"/>
      <c r="BR181" s="380">
        <f t="shared" si="17"/>
        <v>5.4949999999999999E-2</v>
      </c>
      <c r="BT181" s="367">
        <v>49263</v>
      </c>
      <c r="BU181" s="375">
        <f t="shared" si="18"/>
        <v>4.9687499999999996E-2</v>
      </c>
      <c r="BV181" s="375">
        <f t="shared" si="19"/>
        <v>5.5E-2</v>
      </c>
      <c r="BW181" s="377">
        <f t="shared" si="20"/>
        <v>4.9687499999999996E-2</v>
      </c>
    </row>
    <row r="182" spans="1:75" x14ac:dyDescent="0.15">
      <c r="A182" s="356"/>
      <c r="B182" s="355"/>
      <c r="C182" s="355"/>
      <c r="D182" s="355"/>
      <c r="E182" s="355"/>
      <c r="F182" s="355"/>
      <c r="G182" s="355"/>
      <c r="O182" s="356"/>
      <c r="P182" s="355"/>
      <c r="Q182" s="355"/>
      <c r="R182" s="355"/>
      <c r="S182" s="355"/>
      <c r="T182" s="355"/>
      <c r="U182" s="355"/>
      <c r="V182" s="355"/>
      <c r="W182" s="355"/>
      <c r="AG182" s="355"/>
      <c r="AH182" s="355"/>
      <c r="AI182" s="355"/>
      <c r="AJ182" s="355"/>
      <c r="AK182" s="355"/>
      <c r="AL182" s="355"/>
      <c r="AM182" s="355"/>
      <c r="AU182" s="379">
        <v>49293</v>
      </c>
      <c r="AV182" s="375"/>
      <c r="AW182" s="375"/>
      <c r="AX182" s="375"/>
      <c r="AY182" s="375"/>
      <c r="AZ182" s="375"/>
      <c r="BA182" s="375"/>
      <c r="BB182" s="375"/>
      <c r="BC182" s="375">
        <v>7.1249999999999994E-2</v>
      </c>
      <c r="BD182" s="375">
        <v>7.6249999999999998E-2</v>
      </c>
      <c r="BE182" s="375">
        <v>6.8750000000000006E-2</v>
      </c>
      <c r="BF182" s="375">
        <v>7.1249999999999994E-2</v>
      </c>
      <c r="BG182" s="375">
        <v>5.2499999999999998E-2</v>
      </c>
      <c r="BH182" s="375"/>
      <c r="BI182" s="373">
        <f t="shared" si="16"/>
        <v>6.7999999999999991E-2</v>
      </c>
      <c r="BJ182" s="378"/>
      <c r="BK182" s="375"/>
      <c r="BL182" s="375"/>
      <c r="BM182" s="375"/>
      <c r="BN182" s="375"/>
      <c r="BO182" s="375">
        <v>6.25E-2</v>
      </c>
      <c r="BP182" s="375">
        <v>4.7399999999999998E-2</v>
      </c>
      <c r="BQ182" s="377"/>
      <c r="BR182" s="380">
        <f t="shared" si="17"/>
        <v>5.4949999999999999E-2</v>
      </c>
      <c r="BT182" s="367">
        <v>49293</v>
      </c>
      <c r="BU182" s="375">
        <f t="shared" si="18"/>
        <v>4.9687499999999996E-2</v>
      </c>
      <c r="BV182" s="375">
        <f t="shared" si="19"/>
        <v>5.5E-2</v>
      </c>
      <c r="BW182" s="377">
        <f t="shared" si="20"/>
        <v>4.9687499999999996E-2</v>
      </c>
    </row>
    <row r="183" spans="1:75" x14ac:dyDescent="0.15">
      <c r="A183" s="356"/>
      <c r="B183" s="355"/>
      <c r="C183" s="355"/>
      <c r="D183" s="355"/>
      <c r="E183" s="355"/>
      <c r="F183" s="355"/>
      <c r="G183" s="355"/>
      <c r="O183" s="356"/>
      <c r="P183" s="355"/>
      <c r="Q183" s="355"/>
      <c r="R183" s="355"/>
      <c r="S183" s="355"/>
      <c r="T183" s="355"/>
      <c r="U183" s="355"/>
      <c r="V183" s="355"/>
      <c r="W183" s="355"/>
      <c r="AG183" s="355"/>
      <c r="AH183" s="355"/>
      <c r="AI183" s="355"/>
      <c r="AJ183" s="355"/>
      <c r="AK183" s="355"/>
      <c r="AL183" s="355"/>
      <c r="AM183" s="355"/>
      <c r="AU183" s="379">
        <v>49324</v>
      </c>
      <c r="AV183" s="375"/>
      <c r="AW183" s="375"/>
      <c r="AX183" s="375"/>
      <c r="AY183" s="375"/>
      <c r="AZ183" s="375"/>
      <c r="BA183" s="375"/>
      <c r="BB183" s="375"/>
      <c r="BC183" s="375">
        <v>7.1249999999999994E-2</v>
      </c>
      <c r="BD183" s="375">
        <v>7.6249999999999998E-2</v>
      </c>
      <c r="BE183" s="375">
        <v>6.8750000000000006E-2</v>
      </c>
      <c r="BF183" s="375">
        <v>7.1249999999999994E-2</v>
      </c>
      <c r="BG183" s="375">
        <v>5.2499999999999998E-2</v>
      </c>
      <c r="BH183" s="375"/>
      <c r="BI183" s="373">
        <f t="shared" si="16"/>
        <v>6.7999999999999991E-2</v>
      </c>
      <c r="BJ183" s="378"/>
      <c r="BK183" s="375"/>
      <c r="BL183" s="375"/>
      <c r="BM183" s="375"/>
      <c r="BN183" s="375"/>
      <c r="BO183" s="375">
        <v>6.25E-2</v>
      </c>
      <c r="BP183" s="375">
        <v>4.7399999999999998E-2</v>
      </c>
      <c r="BQ183" s="377"/>
      <c r="BR183" s="380">
        <f t="shared" si="17"/>
        <v>5.4949999999999999E-2</v>
      </c>
      <c r="BT183" s="367">
        <v>49324</v>
      </c>
      <c r="BU183" s="375">
        <f t="shared" si="18"/>
        <v>4.9687499999999996E-2</v>
      </c>
      <c r="BV183" s="375">
        <f t="shared" si="19"/>
        <v>5.5E-2</v>
      </c>
      <c r="BW183" s="377">
        <f t="shared" si="20"/>
        <v>4.9687499999999996E-2</v>
      </c>
    </row>
    <row r="184" spans="1:75" x14ac:dyDescent="0.15">
      <c r="A184" s="356"/>
      <c r="B184" s="355"/>
      <c r="C184" s="355"/>
      <c r="D184" s="355"/>
      <c r="E184" s="355"/>
      <c r="F184" s="355"/>
      <c r="G184" s="355"/>
      <c r="O184" s="356"/>
      <c r="P184" s="355"/>
      <c r="Q184" s="355"/>
      <c r="R184" s="355"/>
      <c r="S184" s="355"/>
      <c r="T184" s="355"/>
      <c r="U184" s="355"/>
      <c r="V184" s="355"/>
      <c r="W184" s="355"/>
      <c r="AG184" s="355"/>
      <c r="AH184" s="355"/>
      <c r="AI184" s="355"/>
      <c r="AJ184" s="355"/>
      <c r="AK184" s="355"/>
      <c r="AL184" s="355"/>
      <c r="AM184" s="355"/>
      <c r="AU184" s="379">
        <v>49355</v>
      </c>
      <c r="AV184" s="375"/>
      <c r="AW184" s="375"/>
      <c r="AX184" s="375"/>
      <c r="AY184" s="375"/>
      <c r="AZ184" s="375"/>
      <c r="BA184" s="375"/>
      <c r="BB184" s="375"/>
      <c r="BC184" s="375">
        <v>7.1249999999999994E-2</v>
      </c>
      <c r="BD184" s="375">
        <v>7.6249999999999998E-2</v>
      </c>
      <c r="BE184" s="375">
        <v>6.8750000000000006E-2</v>
      </c>
      <c r="BF184" s="375">
        <v>7.1249999999999994E-2</v>
      </c>
      <c r="BG184" s="375">
        <v>5.2499999999999998E-2</v>
      </c>
      <c r="BH184" s="375"/>
      <c r="BI184" s="373">
        <f t="shared" si="16"/>
        <v>6.7999999999999991E-2</v>
      </c>
      <c r="BJ184" s="378"/>
      <c r="BK184" s="375"/>
      <c r="BL184" s="375"/>
      <c r="BM184" s="375"/>
      <c r="BN184" s="375"/>
      <c r="BO184" s="375">
        <v>6.25E-2</v>
      </c>
      <c r="BP184" s="375">
        <v>4.7399999999999998E-2</v>
      </c>
      <c r="BQ184" s="377"/>
      <c r="BR184" s="380">
        <f t="shared" si="17"/>
        <v>5.4949999999999999E-2</v>
      </c>
      <c r="BT184" s="367">
        <v>49355</v>
      </c>
      <c r="BU184" s="375">
        <f t="shared" si="18"/>
        <v>4.9687499999999996E-2</v>
      </c>
      <c r="BV184" s="375">
        <f t="shared" si="19"/>
        <v>5.5E-2</v>
      </c>
      <c r="BW184" s="377">
        <f t="shared" si="20"/>
        <v>4.9687499999999996E-2</v>
      </c>
    </row>
    <row r="185" spans="1:75" x14ac:dyDescent="0.15">
      <c r="A185" s="356"/>
      <c r="B185" s="355"/>
      <c r="C185" s="355"/>
      <c r="D185" s="355"/>
      <c r="E185" s="355"/>
      <c r="F185" s="355"/>
      <c r="G185" s="355"/>
      <c r="O185" s="356"/>
      <c r="P185" s="355"/>
      <c r="Q185" s="355"/>
      <c r="R185" s="355"/>
      <c r="S185" s="355"/>
      <c r="T185" s="355"/>
      <c r="U185" s="355"/>
      <c r="V185" s="355"/>
      <c r="W185" s="355"/>
      <c r="AG185" s="355"/>
      <c r="AH185" s="355"/>
      <c r="AI185" s="355"/>
      <c r="AJ185" s="355"/>
      <c r="AK185" s="355"/>
      <c r="AL185" s="355"/>
      <c r="AM185" s="355"/>
      <c r="AU185" s="379">
        <v>49383</v>
      </c>
      <c r="AV185" s="375"/>
      <c r="AW185" s="375"/>
      <c r="AX185" s="375"/>
      <c r="AY185" s="375"/>
      <c r="AZ185" s="375"/>
      <c r="BA185" s="375"/>
      <c r="BB185" s="375"/>
      <c r="BC185" s="375">
        <v>7.1249999999999994E-2</v>
      </c>
      <c r="BD185" s="375">
        <v>7.6249999999999998E-2</v>
      </c>
      <c r="BE185" s="375">
        <v>6.8750000000000006E-2</v>
      </c>
      <c r="BF185" s="375">
        <v>7.1249999999999994E-2</v>
      </c>
      <c r="BG185" s="375">
        <v>5.2499999999999998E-2</v>
      </c>
      <c r="BH185" s="375"/>
      <c r="BI185" s="373">
        <f t="shared" si="16"/>
        <v>6.7999999999999991E-2</v>
      </c>
      <c r="BJ185" s="378"/>
      <c r="BK185" s="375"/>
      <c r="BL185" s="375"/>
      <c r="BM185" s="375"/>
      <c r="BN185" s="375"/>
      <c r="BO185" s="375">
        <v>6.25E-2</v>
      </c>
      <c r="BP185" s="375">
        <v>4.7399999999999998E-2</v>
      </c>
      <c r="BQ185" s="377"/>
      <c r="BR185" s="380">
        <f t="shared" si="17"/>
        <v>5.4949999999999999E-2</v>
      </c>
      <c r="BT185" s="367">
        <v>49383</v>
      </c>
      <c r="BU185" s="375">
        <f t="shared" si="18"/>
        <v>4.9687499999999996E-2</v>
      </c>
      <c r="BV185" s="375">
        <f t="shared" si="19"/>
        <v>5.5E-2</v>
      </c>
      <c r="BW185" s="377">
        <f t="shared" si="20"/>
        <v>4.9687499999999996E-2</v>
      </c>
    </row>
    <row r="186" spans="1:75" x14ac:dyDescent="0.15">
      <c r="A186" s="356"/>
      <c r="B186" s="355"/>
      <c r="C186" s="355"/>
      <c r="D186" s="355"/>
      <c r="E186" s="355"/>
      <c r="F186" s="355"/>
      <c r="G186" s="355"/>
      <c r="O186" s="356"/>
      <c r="P186" s="355"/>
      <c r="Q186" s="355"/>
      <c r="R186" s="355"/>
      <c r="S186" s="355"/>
      <c r="T186" s="355"/>
      <c r="U186" s="355"/>
      <c r="V186" s="355"/>
      <c r="W186" s="355"/>
      <c r="AG186" s="355"/>
      <c r="AH186" s="355"/>
      <c r="AI186" s="355"/>
      <c r="AJ186" s="355"/>
      <c r="AK186" s="355"/>
      <c r="AL186" s="355"/>
      <c r="AM186" s="355"/>
      <c r="AU186" s="379">
        <v>49414</v>
      </c>
      <c r="AV186" s="375"/>
      <c r="AW186" s="375"/>
      <c r="AX186" s="375"/>
      <c r="AY186" s="375"/>
      <c r="AZ186" s="375"/>
      <c r="BA186" s="375"/>
      <c r="BB186" s="375"/>
      <c r="BC186" s="375">
        <v>7.1249999999999994E-2</v>
      </c>
      <c r="BD186" s="375">
        <v>7.6249999999999998E-2</v>
      </c>
      <c r="BE186" s="375">
        <v>6.8750000000000006E-2</v>
      </c>
      <c r="BF186" s="375">
        <v>7.1249999999999994E-2</v>
      </c>
      <c r="BG186" s="375">
        <v>5.2499999999999998E-2</v>
      </c>
      <c r="BH186" s="375"/>
      <c r="BI186" s="373">
        <f t="shared" si="16"/>
        <v>6.7999999999999991E-2</v>
      </c>
      <c r="BJ186" s="378"/>
      <c r="BK186" s="375"/>
      <c r="BL186" s="375"/>
      <c r="BM186" s="375"/>
      <c r="BN186" s="375"/>
      <c r="BO186" s="375">
        <v>6.25E-2</v>
      </c>
      <c r="BP186" s="375">
        <v>4.7399999999999998E-2</v>
      </c>
      <c r="BQ186" s="377"/>
      <c r="BR186" s="380">
        <f t="shared" si="17"/>
        <v>5.4949999999999999E-2</v>
      </c>
      <c r="BT186" s="367">
        <v>49414</v>
      </c>
      <c r="BU186" s="375">
        <f t="shared" si="18"/>
        <v>4.9687499999999996E-2</v>
      </c>
      <c r="BV186" s="375">
        <f t="shared" si="19"/>
        <v>5.5E-2</v>
      </c>
      <c r="BW186" s="377">
        <f t="shared" si="20"/>
        <v>4.9687499999999996E-2</v>
      </c>
    </row>
    <row r="187" spans="1:75" x14ac:dyDescent="0.15">
      <c r="A187" s="356"/>
      <c r="B187" s="355"/>
      <c r="C187" s="355"/>
      <c r="D187" s="355"/>
      <c r="E187" s="355"/>
      <c r="F187" s="355"/>
      <c r="G187" s="355"/>
      <c r="O187" s="356"/>
      <c r="P187" s="355"/>
      <c r="Q187" s="355"/>
      <c r="R187" s="355"/>
      <c r="S187" s="355"/>
      <c r="T187" s="355"/>
      <c r="U187" s="355"/>
      <c r="V187" s="355"/>
      <c r="W187" s="355"/>
      <c r="AG187" s="355"/>
      <c r="AH187" s="355"/>
      <c r="AI187" s="355"/>
      <c r="AJ187" s="355"/>
      <c r="AK187" s="355"/>
      <c r="AL187" s="355"/>
      <c r="AM187" s="355"/>
      <c r="AU187" s="379">
        <v>49444</v>
      </c>
      <c r="AV187" s="375"/>
      <c r="AW187" s="375"/>
      <c r="AX187" s="375"/>
      <c r="AY187" s="375"/>
      <c r="AZ187" s="375"/>
      <c r="BA187" s="375"/>
      <c r="BB187" s="375"/>
      <c r="BC187" s="375">
        <v>7.1249999999999994E-2</v>
      </c>
      <c r="BD187" s="375">
        <v>7.6249999999999998E-2</v>
      </c>
      <c r="BE187" s="375">
        <v>6.8750000000000006E-2</v>
      </c>
      <c r="BF187" s="375">
        <v>7.1249999999999994E-2</v>
      </c>
      <c r="BG187" s="375">
        <v>5.2499999999999998E-2</v>
      </c>
      <c r="BH187" s="375"/>
      <c r="BI187" s="373">
        <f t="shared" si="16"/>
        <v>6.7999999999999991E-2</v>
      </c>
      <c r="BJ187" s="378"/>
      <c r="BK187" s="375"/>
      <c r="BL187" s="375"/>
      <c r="BM187" s="375"/>
      <c r="BN187" s="375"/>
      <c r="BO187" s="375">
        <v>6.25E-2</v>
      </c>
      <c r="BP187" s="375">
        <v>4.7399999999999998E-2</v>
      </c>
      <c r="BQ187" s="377"/>
      <c r="BR187" s="380">
        <f t="shared" si="17"/>
        <v>5.4949999999999999E-2</v>
      </c>
      <c r="BT187" s="367">
        <v>49444</v>
      </c>
      <c r="BU187" s="375">
        <f t="shared" si="18"/>
        <v>4.9687499999999996E-2</v>
      </c>
      <c r="BV187" s="375">
        <f t="shared" si="19"/>
        <v>5.5E-2</v>
      </c>
      <c r="BW187" s="377">
        <f t="shared" si="20"/>
        <v>4.9687499999999996E-2</v>
      </c>
    </row>
    <row r="188" spans="1:75" x14ac:dyDescent="0.15">
      <c r="A188" s="356"/>
      <c r="B188" s="355"/>
      <c r="C188" s="355"/>
      <c r="D188" s="355"/>
      <c r="E188" s="355"/>
      <c r="F188" s="355"/>
      <c r="G188" s="355"/>
      <c r="O188" s="356"/>
      <c r="P188" s="355"/>
      <c r="Q188" s="355"/>
      <c r="R188" s="355"/>
      <c r="S188" s="355"/>
      <c r="T188" s="355"/>
      <c r="U188" s="355"/>
      <c r="V188" s="355"/>
      <c r="W188" s="355"/>
      <c r="AG188" s="355"/>
      <c r="AH188" s="355"/>
      <c r="AI188" s="355"/>
      <c r="AJ188" s="355"/>
      <c r="AK188" s="355"/>
      <c r="AL188" s="355"/>
      <c r="AM188" s="355"/>
      <c r="AU188" s="379">
        <v>49475</v>
      </c>
      <c r="AV188" s="375"/>
      <c r="AW188" s="375"/>
      <c r="AX188" s="375"/>
      <c r="AY188" s="375"/>
      <c r="AZ188" s="375"/>
      <c r="BA188" s="375"/>
      <c r="BB188" s="375"/>
      <c r="BC188" s="375">
        <v>7.1249999999999994E-2</v>
      </c>
      <c r="BD188" s="375">
        <v>7.6249999999999998E-2</v>
      </c>
      <c r="BE188" s="375">
        <v>6.8750000000000006E-2</v>
      </c>
      <c r="BF188" s="375">
        <v>7.1249999999999994E-2</v>
      </c>
      <c r="BG188" s="375">
        <v>5.2499999999999998E-2</v>
      </c>
      <c r="BH188" s="375"/>
      <c r="BI188" s="373">
        <f t="shared" si="16"/>
        <v>6.7999999999999991E-2</v>
      </c>
      <c r="BJ188" s="378"/>
      <c r="BK188" s="375"/>
      <c r="BL188" s="375"/>
      <c r="BM188" s="375"/>
      <c r="BN188" s="375"/>
      <c r="BO188" s="375">
        <v>6.25E-2</v>
      </c>
      <c r="BP188" s="375">
        <v>4.7399999999999998E-2</v>
      </c>
      <c r="BQ188" s="377"/>
      <c r="BR188" s="380">
        <f t="shared" si="17"/>
        <v>5.4949999999999999E-2</v>
      </c>
      <c r="BT188" s="367">
        <v>49475</v>
      </c>
      <c r="BU188" s="375">
        <f t="shared" si="18"/>
        <v>4.9687499999999996E-2</v>
      </c>
      <c r="BV188" s="375">
        <f t="shared" si="19"/>
        <v>5.5E-2</v>
      </c>
      <c r="BW188" s="377">
        <f t="shared" si="20"/>
        <v>4.9687499999999996E-2</v>
      </c>
    </row>
    <row r="189" spans="1:75" x14ac:dyDescent="0.15">
      <c r="A189" s="356"/>
      <c r="B189" s="355"/>
      <c r="C189" s="355"/>
      <c r="D189" s="355"/>
      <c r="E189" s="355"/>
      <c r="F189" s="355"/>
      <c r="G189" s="355"/>
      <c r="O189" s="356"/>
      <c r="P189" s="355"/>
      <c r="Q189" s="355"/>
      <c r="R189" s="355"/>
      <c r="S189" s="355"/>
      <c r="T189" s="355"/>
      <c r="U189" s="355"/>
      <c r="V189" s="355"/>
      <c r="W189" s="355"/>
      <c r="AG189" s="355"/>
      <c r="AH189" s="355"/>
      <c r="AI189" s="355"/>
      <c r="AJ189" s="355"/>
      <c r="AK189" s="355"/>
      <c r="AL189" s="355"/>
      <c r="AM189" s="355"/>
      <c r="AU189" s="379">
        <v>49505</v>
      </c>
      <c r="AV189" s="375"/>
      <c r="AW189" s="375"/>
      <c r="AX189" s="375"/>
      <c r="AY189" s="375"/>
      <c r="AZ189" s="375"/>
      <c r="BA189" s="375"/>
      <c r="BB189" s="375"/>
      <c r="BC189" s="375">
        <v>7.1249999999999994E-2</v>
      </c>
      <c r="BD189" s="375">
        <v>7.6249999999999998E-2</v>
      </c>
      <c r="BE189" s="375">
        <v>6.8750000000000006E-2</v>
      </c>
      <c r="BF189" s="375">
        <v>7.1249999999999994E-2</v>
      </c>
      <c r="BG189" s="375">
        <v>5.2499999999999998E-2</v>
      </c>
      <c r="BH189" s="375"/>
      <c r="BI189" s="373">
        <f t="shared" si="16"/>
        <v>6.7999999999999991E-2</v>
      </c>
      <c r="BJ189" s="378"/>
      <c r="BK189" s="375"/>
      <c r="BL189" s="375"/>
      <c r="BM189" s="375"/>
      <c r="BN189" s="375"/>
      <c r="BO189" s="375">
        <v>6.25E-2</v>
      </c>
      <c r="BP189" s="375">
        <v>4.7399999999999998E-2</v>
      </c>
      <c r="BQ189" s="377"/>
      <c r="BR189" s="380">
        <f t="shared" si="17"/>
        <v>5.4949999999999999E-2</v>
      </c>
      <c r="BT189" s="367">
        <v>49505</v>
      </c>
      <c r="BU189" s="375">
        <f t="shared" si="18"/>
        <v>4.9687499999999996E-2</v>
      </c>
      <c r="BV189" s="375">
        <f t="shared" si="19"/>
        <v>5.5E-2</v>
      </c>
      <c r="BW189" s="377">
        <f t="shared" si="20"/>
        <v>4.9687499999999996E-2</v>
      </c>
    </row>
    <row r="190" spans="1:75" x14ac:dyDescent="0.15">
      <c r="A190" s="356"/>
      <c r="B190" s="355"/>
      <c r="C190" s="355"/>
      <c r="D190" s="355"/>
      <c r="E190" s="355"/>
      <c r="F190" s="355"/>
      <c r="G190" s="355"/>
      <c r="O190" s="356"/>
      <c r="P190" s="355"/>
      <c r="Q190" s="355"/>
      <c r="R190" s="355"/>
      <c r="S190" s="355"/>
      <c r="T190" s="355"/>
      <c r="U190" s="355"/>
      <c r="V190" s="355"/>
      <c r="W190" s="355"/>
      <c r="AG190" s="355"/>
      <c r="AH190" s="355"/>
      <c r="AI190" s="355"/>
      <c r="AJ190" s="355"/>
      <c r="AK190" s="355"/>
      <c r="AL190" s="355"/>
      <c r="AM190" s="355"/>
      <c r="AU190" s="379">
        <v>49536</v>
      </c>
      <c r="AV190" s="375"/>
      <c r="AW190" s="375"/>
      <c r="AX190" s="375"/>
      <c r="AY190" s="375"/>
      <c r="AZ190" s="375"/>
      <c r="BA190" s="375"/>
      <c r="BB190" s="375"/>
      <c r="BC190" s="375">
        <v>7.1249999999999994E-2</v>
      </c>
      <c r="BD190" s="375">
        <v>7.6249999999999998E-2</v>
      </c>
      <c r="BE190" s="375">
        <v>6.8750000000000006E-2</v>
      </c>
      <c r="BF190" s="375">
        <v>7.1249999999999994E-2</v>
      </c>
      <c r="BG190" s="375">
        <v>5.2499999999999998E-2</v>
      </c>
      <c r="BH190" s="375"/>
      <c r="BI190" s="373">
        <f t="shared" si="16"/>
        <v>6.7999999999999991E-2</v>
      </c>
      <c r="BJ190" s="378"/>
      <c r="BK190" s="375"/>
      <c r="BL190" s="375"/>
      <c r="BM190" s="375"/>
      <c r="BN190" s="375"/>
      <c r="BO190" s="375">
        <v>6.25E-2</v>
      </c>
      <c r="BP190" s="375">
        <v>4.7399999999999998E-2</v>
      </c>
      <c r="BQ190" s="377"/>
      <c r="BR190" s="380">
        <f t="shared" si="17"/>
        <v>5.4949999999999999E-2</v>
      </c>
      <c r="BT190" s="367">
        <v>49536</v>
      </c>
      <c r="BU190" s="375">
        <f t="shared" si="18"/>
        <v>4.9687499999999996E-2</v>
      </c>
      <c r="BV190" s="375">
        <f t="shared" si="19"/>
        <v>5.5E-2</v>
      </c>
      <c r="BW190" s="377">
        <f t="shared" si="20"/>
        <v>4.9687499999999996E-2</v>
      </c>
    </row>
    <row r="191" spans="1:75" x14ac:dyDescent="0.15">
      <c r="A191" s="356"/>
      <c r="B191" s="355"/>
      <c r="C191" s="355"/>
      <c r="D191" s="355"/>
      <c r="E191" s="355"/>
      <c r="F191" s="355"/>
      <c r="G191" s="355"/>
      <c r="O191" s="356"/>
      <c r="P191" s="355"/>
      <c r="Q191" s="355"/>
      <c r="R191" s="355"/>
      <c r="S191" s="355"/>
      <c r="T191" s="355"/>
      <c r="U191" s="355"/>
      <c r="V191" s="355"/>
      <c r="W191" s="355"/>
      <c r="AG191" s="355"/>
      <c r="AH191" s="355"/>
      <c r="AI191" s="355"/>
      <c r="AJ191" s="355"/>
      <c r="AK191" s="355"/>
      <c r="AL191" s="355"/>
      <c r="AM191" s="355"/>
      <c r="AU191" s="379">
        <v>49567</v>
      </c>
      <c r="AV191" s="375"/>
      <c r="AW191" s="375"/>
      <c r="AX191" s="375"/>
      <c r="AY191" s="375"/>
      <c r="AZ191" s="375"/>
      <c r="BA191" s="375"/>
      <c r="BB191" s="375"/>
      <c r="BC191" s="375">
        <v>7.1249999999999994E-2</v>
      </c>
      <c r="BD191" s="375">
        <v>7.6249999999999998E-2</v>
      </c>
      <c r="BE191" s="375">
        <v>6.8750000000000006E-2</v>
      </c>
      <c r="BF191" s="375">
        <v>7.1249999999999994E-2</v>
      </c>
      <c r="BG191" s="375">
        <v>5.2499999999999998E-2</v>
      </c>
      <c r="BH191" s="375"/>
      <c r="BI191" s="373">
        <f t="shared" si="16"/>
        <v>6.7999999999999991E-2</v>
      </c>
      <c r="BJ191" s="378"/>
      <c r="BK191" s="375"/>
      <c r="BL191" s="375"/>
      <c r="BM191" s="375"/>
      <c r="BN191" s="375"/>
      <c r="BO191" s="375">
        <v>6.25E-2</v>
      </c>
      <c r="BP191" s="375">
        <v>4.7399999999999998E-2</v>
      </c>
      <c r="BQ191" s="377"/>
      <c r="BR191" s="380">
        <f t="shared" si="17"/>
        <v>5.4949999999999999E-2</v>
      </c>
      <c r="BT191" s="367">
        <v>49567</v>
      </c>
      <c r="BU191" s="375">
        <f t="shared" si="18"/>
        <v>4.9687499999999996E-2</v>
      </c>
      <c r="BV191" s="375">
        <f t="shared" si="19"/>
        <v>5.5E-2</v>
      </c>
      <c r="BW191" s="377">
        <f t="shared" si="20"/>
        <v>4.9687499999999996E-2</v>
      </c>
    </row>
    <row r="192" spans="1:75" x14ac:dyDescent="0.15">
      <c r="A192" s="356"/>
      <c r="B192" s="355"/>
      <c r="C192" s="355"/>
      <c r="D192" s="355"/>
      <c r="E192" s="355"/>
      <c r="F192" s="355"/>
      <c r="G192" s="355"/>
      <c r="O192" s="356"/>
      <c r="P192" s="355"/>
      <c r="Q192" s="355"/>
      <c r="R192" s="355"/>
      <c r="S192" s="355"/>
      <c r="T192" s="355"/>
      <c r="U192" s="355"/>
      <c r="V192" s="355"/>
      <c r="W192" s="355"/>
      <c r="AG192" s="355"/>
      <c r="AH192" s="355"/>
      <c r="AI192" s="355"/>
      <c r="AJ192" s="355"/>
      <c r="AK192" s="355"/>
      <c r="AL192" s="355"/>
      <c r="AM192" s="355"/>
      <c r="AU192" s="379">
        <v>49597</v>
      </c>
      <c r="AV192" s="375"/>
      <c r="AW192" s="375"/>
      <c r="AX192" s="375"/>
      <c r="AY192" s="375"/>
      <c r="AZ192" s="375"/>
      <c r="BA192" s="375"/>
      <c r="BB192" s="375"/>
      <c r="BC192" s="375">
        <v>7.1249999999999994E-2</v>
      </c>
      <c r="BD192" s="375">
        <v>7.6249999999999998E-2</v>
      </c>
      <c r="BE192" s="375">
        <v>6.8750000000000006E-2</v>
      </c>
      <c r="BF192" s="375">
        <v>7.1249999999999994E-2</v>
      </c>
      <c r="BG192" s="375">
        <v>5.2499999999999998E-2</v>
      </c>
      <c r="BH192" s="375"/>
      <c r="BI192" s="373">
        <f t="shared" si="16"/>
        <v>6.7999999999999991E-2</v>
      </c>
      <c r="BJ192" s="378"/>
      <c r="BK192" s="375"/>
      <c r="BL192" s="375"/>
      <c r="BM192" s="375"/>
      <c r="BN192" s="375"/>
      <c r="BO192" s="375">
        <v>6.25E-2</v>
      </c>
      <c r="BP192" s="375">
        <v>4.7399999999999998E-2</v>
      </c>
      <c r="BQ192" s="377"/>
      <c r="BR192" s="380">
        <f t="shared" si="17"/>
        <v>5.4949999999999999E-2</v>
      </c>
      <c r="BT192" s="367">
        <v>49597</v>
      </c>
      <c r="BU192" s="375">
        <f t="shared" si="18"/>
        <v>4.9687499999999996E-2</v>
      </c>
      <c r="BV192" s="375">
        <f t="shared" si="19"/>
        <v>5.5E-2</v>
      </c>
      <c r="BW192" s="377">
        <f t="shared" si="20"/>
        <v>4.9687499999999996E-2</v>
      </c>
    </row>
    <row r="193" spans="1:75" x14ac:dyDescent="0.15">
      <c r="A193" s="356"/>
      <c r="B193" s="355"/>
      <c r="C193" s="355"/>
      <c r="D193" s="355"/>
      <c r="E193" s="355"/>
      <c r="F193" s="355"/>
      <c r="G193" s="355"/>
      <c r="O193" s="356"/>
      <c r="P193" s="355"/>
      <c r="Q193" s="355"/>
      <c r="R193" s="355"/>
      <c r="S193" s="355"/>
      <c r="T193" s="355"/>
      <c r="U193" s="355"/>
      <c r="V193" s="355"/>
      <c r="W193" s="355"/>
      <c r="AG193" s="355"/>
      <c r="AH193" s="355"/>
      <c r="AI193" s="355"/>
      <c r="AJ193" s="355"/>
      <c r="AK193" s="355"/>
      <c r="AL193" s="355"/>
      <c r="AM193" s="355"/>
      <c r="AU193" s="379">
        <v>49628</v>
      </c>
      <c r="AV193" s="375"/>
      <c r="AW193" s="375"/>
      <c r="AX193" s="375"/>
      <c r="AY193" s="375"/>
      <c r="AZ193" s="375"/>
      <c r="BA193" s="375"/>
      <c r="BB193" s="375"/>
      <c r="BC193" s="375">
        <v>7.1249999999999994E-2</v>
      </c>
      <c r="BD193" s="375">
        <v>7.6249999999999998E-2</v>
      </c>
      <c r="BE193" s="375">
        <v>6.8750000000000006E-2</v>
      </c>
      <c r="BF193" s="375">
        <v>7.1249999999999994E-2</v>
      </c>
      <c r="BG193" s="375">
        <v>5.2499999999999998E-2</v>
      </c>
      <c r="BH193" s="375"/>
      <c r="BI193" s="373">
        <f t="shared" si="16"/>
        <v>6.7999999999999991E-2</v>
      </c>
      <c r="BJ193" s="378"/>
      <c r="BK193" s="375"/>
      <c r="BL193" s="375"/>
      <c r="BM193" s="375"/>
      <c r="BN193" s="375"/>
      <c r="BO193" s="375">
        <v>6.25E-2</v>
      </c>
      <c r="BP193" s="375">
        <v>4.7399999999999998E-2</v>
      </c>
      <c r="BQ193" s="377"/>
      <c r="BR193" s="380">
        <f t="shared" si="17"/>
        <v>5.4949999999999999E-2</v>
      </c>
      <c r="BT193" s="367">
        <v>49628</v>
      </c>
      <c r="BU193" s="375">
        <f t="shared" si="18"/>
        <v>4.9687499999999996E-2</v>
      </c>
      <c r="BV193" s="375">
        <f t="shared" si="19"/>
        <v>5.5E-2</v>
      </c>
      <c r="BW193" s="377">
        <f t="shared" si="20"/>
        <v>4.9687499999999996E-2</v>
      </c>
    </row>
    <row r="194" spans="1:75" x14ac:dyDescent="0.15">
      <c r="A194" s="356"/>
      <c r="B194" s="355"/>
      <c r="C194" s="355"/>
      <c r="D194" s="355"/>
      <c r="E194" s="355"/>
      <c r="F194" s="355"/>
      <c r="G194" s="355"/>
      <c r="O194" s="356"/>
      <c r="P194" s="355"/>
      <c r="Q194" s="355"/>
      <c r="R194" s="355"/>
      <c r="S194" s="355"/>
      <c r="T194" s="355"/>
      <c r="U194" s="355"/>
      <c r="V194" s="355"/>
      <c r="W194" s="355"/>
      <c r="AG194" s="355"/>
      <c r="AH194" s="355"/>
      <c r="AI194" s="355"/>
      <c r="AJ194" s="355"/>
      <c r="AK194" s="355"/>
      <c r="AL194" s="355"/>
      <c r="AM194" s="355"/>
      <c r="AU194" s="379">
        <v>49658</v>
      </c>
      <c r="AV194" s="375"/>
      <c r="AW194" s="375"/>
      <c r="AX194" s="375"/>
      <c r="AY194" s="375"/>
      <c r="AZ194" s="375"/>
      <c r="BA194" s="375"/>
      <c r="BB194" s="375"/>
      <c r="BC194" s="375">
        <v>7.1249999999999994E-2</v>
      </c>
      <c r="BD194" s="375">
        <v>7.6249999999999998E-2</v>
      </c>
      <c r="BE194" s="375">
        <v>6.8750000000000006E-2</v>
      </c>
      <c r="BF194" s="375">
        <v>7.1249999999999994E-2</v>
      </c>
      <c r="BG194" s="375">
        <v>5.2499999999999998E-2</v>
      </c>
      <c r="BH194" s="375"/>
      <c r="BI194" s="373">
        <f t="shared" si="16"/>
        <v>6.7999999999999991E-2</v>
      </c>
      <c r="BJ194" s="378"/>
      <c r="BK194" s="375"/>
      <c r="BL194" s="375"/>
      <c r="BM194" s="375"/>
      <c r="BN194" s="375"/>
      <c r="BO194" s="375">
        <v>6.25E-2</v>
      </c>
      <c r="BP194" s="375">
        <v>4.7399999999999998E-2</v>
      </c>
      <c r="BQ194" s="377"/>
      <c r="BR194" s="380">
        <f t="shared" si="17"/>
        <v>5.4949999999999999E-2</v>
      </c>
      <c r="BT194" s="367">
        <v>49658</v>
      </c>
      <c r="BU194" s="375">
        <f t="shared" si="18"/>
        <v>4.9687499999999996E-2</v>
      </c>
      <c r="BV194" s="375">
        <f t="shared" si="19"/>
        <v>5.5E-2</v>
      </c>
      <c r="BW194" s="377">
        <f t="shared" si="20"/>
        <v>4.9687499999999996E-2</v>
      </c>
    </row>
    <row r="195" spans="1:75" x14ac:dyDescent="0.15">
      <c r="A195" s="356"/>
      <c r="B195" s="355"/>
      <c r="C195" s="355"/>
      <c r="D195" s="355"/>
      <c r="E195" s="355"/>
      <c r="F195" s="355"/>
      <c r="G195" s="355"/>
      <c r="O195" s="356"/>
      <c r="P195" s="355"/>
      <c r="Q195" s="355"/>
      <c r="R195" s="355"/>
      <c r="S195" s="355"/>
      <c r="T195" s="355"/>
      <c r="U195" s="355"/>
      <c r="V195" s="355"/>
      <c r="W195" s="355"/>
      <c r="AG195" s="355"/>
      <c r="AH195" s="355"/>
      <c r="AI195" s="355"/>
      <c r="AJ195" s="355"/>
      <c r="AK195" s="355"/>
      <c r="AL195" s="355"/>
      <c r="AM195" s="355"/>
      <c r="AU195" s="379">
        <v>49689</v>
      </c>
      <c r="AV195" s="375"/>
      <c r="AW195" s="375"/>
      <c r="AX195" s="375"/>
      <c r="AY195" s="375"/>
      <c r="AZ195" s="375"/>
      <c r="BA195" s="375"/>
      <c r="BB195" s="375"/>
      <c r="BC195" s="375">
        <v>7.1249999999999994E-2</v>
      </c>
      <c r="BD195" s="375">
        <v>7.6249999999999998E-2</v>
      </c>
      <c r="BE195" s="375">
        <v>6.8750000000000006E-2</v>
      </c>
      <c r="BF195" s="375">
        <v>7.1249999999999994E-2</v>
      </c>
      <c r="BG195" s="375">
        <v>5.2499999999999998E-2</v>
      </c>
      <c r="BH195" s="375"/>
      <c r="BI195" s="373">
        <f t="shared" si="16"/>
        <v>6.7999999999999991E-2</v>
      </c>
      <c r="BJ195" s="378"/>
      <c r="BK195" s="375"/>
      <c r="BL195" s="375"/>
      <c r="BM195" s="375"/>
      <c r="BN195" s="375"/>
      <c r="BO195" s="375">
        <v>6.25E-2</v>
      </c>
      <c r="BP195" s="375">
        <v>4.7399999999999998E-2</v>
      </c>
      <c r="BQ195" s="377"/>
      <c r="BR195" s="380">
        <f t="shared" si="17"/>
        <v>5.4949999999999999E-2</v>
      </c>
      <c r="BT195" s="367">
        <v>49689</v>
      </c>
      <c r="BU195" s="375">
        <f t="shared" si="18"/>
        <v>4.9687499999999996E-2</v>
      </c>
      <c r="BV195" s="375">
        <f t="shared" si="19"/>
        <v>5.5E-2</v>
      </c>
      <c r="BW195" s="377">
        <f t="shared" si="20"/>
        <v>4.9583333333333333E-2</v>
      </c>
    </row>
    <row r="196" spans="1:75" x14ac:dyDescent="0.15">
      <c r="A196" s="356"/>
      <c r="B196" s="355"/>
      <c r="C196" s="355"/>
      <c r="D196" s="355"/>
      <c r="E196" s="355"/>
      <c r="F196" s="355"/>
      <c r="G196" s="355"/>
      <c r="O196" s="356"/>
      <c r="P196" s="355"/>
      <c r="Q196" s="355"/>
      <c r="R196" s="355"/>
      <c r="S196" s="355"/>
      <c r="T196" s="355"/>
      <c r="U196" s="355"/>
      <c r="V196" s="355"/>
      <c r="W196" s="355"/>
      <c r="AG196" s="355"/>
      <c r="AH196" s="355"/>
      <c r="AI196" s="355"/>
      <c r="AJ196" s="355"/>
      <c r="AK196" s="355"/>
      <c r="AL196" s="355"/>
      <c r="AM196" s="355"/>
      <c r="AU196" s="379">
        <v>49720</v>
      </c>
      <c r="AV196" s="375"/>
      <c r="AW196" s="375"/>
      <c r="AX196" s="375"/>
      <c r="AY196" s="375"/>
      <c r="AZ196" s="375"/>
      <c r="BA196" s="375"/>
      <c r="BB196" s="375"/>
      <c r="BC196" s="375">
        <v>7.1249999999999994E-2</v>
      </c>
      <c r="BD196" s="375">
        <v>7.6249999999999998E-2</v>
      </c>
      <c r="BE196" s="375">
        <v>6.8750000000000006E-2</v>
      </c>
      <c r="BF196" s="375">
        <v>7.1249999999999994E-2</v>
      </c>
      <c r="BG196" s="375">
        <v>5.2499999999999998E-2</v>
      </c>
      <c r="BH196" s="375"/>
      <c r="BI196" s="373">
        <f t="shared" si="16"/>
        <v>6.7999999999999991E-2</v>
      </c>
      <c r="BJ196" s="378"/>
      <c r="BK196" s="375"/>
      <c r="BL196" s="375"/>
      <c r="BM196" s="375"/>
      <c r="BN196" s="375"/>
      <c r="BO196" s="375">
        <v>6.25E-2</v>
      </c>
      <c r="BP196" s="375">
        <v>4.7399999999999998E-2</v>
      </c>
      <c r="BQ196" s="377"/>
      <c r="BR196" s="380">
        <f t="shared" si="17"/>
        <v>5.4949999999999999E-2</v>
      </c>
      <c r="BT196" s="367">
        <v>49720</v>
      </c>
      <c r="BU196" s="375">
        <f t="shared" si="18"/>
        <v>4.9687499999999996E-2</v>
      </c>
      <c r="BV196" s="375">
        <f t="shared" si="19"/>
        <v>5.5E-2</v>
      </c>
      <c r="BW196" s="377">
        <f t="shared" si="20"/>
        <v>4.9583333333333333E-2</v>
      </c>
    </row>
    <row r="197" spans="1:75" x14ac:dyDescent="0.15">
      <c r="A197" s="356"/>
      <c r="B197" s="355"/>
      <c r="C197" s="355"/>
      <c r="D197" s="355"/>
      <c r="E197" s="355"/>
      <c r="F197" s="355"/>
      <c r="G197" s="355"/>
      <c r="O197" s="356"/>
      <c r="P197" s="355"/>
      <c r="Q197" s="355"/>
      <c r="R197" s="355"/>
      <c r="S197" s="355"/>
      <c r="T197" s="355"/>
      <c r="U197" s="355"/>
      <c r="V197" s="355"/>
      <c r="W197" s="355"/>
      <c r="AG197" s="355"/>
      <c r="AH197" s="355"/>
      <c r="AI197" s="355"/>
      <c r="AJ197" s="355"/>
      <c r="AK197" s="355"/>
      <c r="AL197" s="355"/>
      <c r="AM197" s="355"/>
      <c r="AU197" s="379">
        <v>49749</v>
      </c>
      <c r="AV197" s="375"/>
      <c r="AW197" s="375"/>
      <c r="AX197" s="375"/>
      <c r="AY197" s="375"/>
      <c r="AZ197" s="375"/>
      <c r="BA197" s="375"/>
      <c r="BB197" s="375"/>
      <c r="BC197" s="375">
        <v>7.1249999999999994E-2</v>
      </c>
      <c r="BD197" s="375">
        <v>7.6249999999999998E-2</v>
      </c>
      <c r="BE197" s="375">
        <v>6.8750000000000006E-2</v>
      </c>
      <c r="BF197" s="375">
        <v>7.1249999999999994E-2</v>
      </c>
      <c r="BG197" s="375">
        <v>5.2499999999999998E-2</v>
      </c>
      <c r="BH197" s="375"/>
      <c r="BI197" s="373">
        <f t="shared" si="16"/>
        <v>6.7999999999999991E-2</v>
      </c>
      <c r="BJ197" s="378"/>
      <c r="BK197" s="375"/>
      <c r="BL197" s="375"/>
      <c r="BM197" s="375"/>
      <c r="BN197" s="375"/>
      <c r="BO197" s="375">
        <v>6.25E-2</v>
      </c>
      <c r="BP197" s="375">
        <v>4.7399999999999998E-2</v>
      </c>
      <c r="BQ197" s="377"/>
      <c r="BR197" s="380">
        <f t="shared" si="17"/>
        <v>5.4949999999999999E-2</v>
      </c>
      <c r="BT197" s="367">
        <v>49749</v>
      </c>
      <c r="BU197" s="375">
        <f t="shared" si="18"/>
        <v>4.9687499999999996E-2</v>
      </c>
      <c r="BV197" s="375">
        <f t="shared" si="19"/>
        <v>5.5E-2</v>
      </c>
      <c r="BW197" s="377">
        <f t="shared" si="20"/>
        <v>4.9583333333333333E-2</v>
      </c>
    </row>
    <row r="198" spans="1:75" x14ac:dyDescent="0.15">
      <c r="A198" s="356"/>
      <c r="B198" s="355"/>
      <c r="C198" s="355"/>
      <c r="D198" s="355"/>
      <c r="E198" s="355"/>
      <c r="F198" s="355"/>
      <c r="G198" s="355"/>
      <c r="O198" s="356"/>
      <c r="P198" s="355"/>
      <c r="Q198" s="355"/>
      <c r="R198" s="355"/>
      <c r="S198" s="355"/>
      <c r="T198" s="355"/>
      <c r="U198" s="355"/>
      <c r="V198" s="355"/>
      <c r="W198" s="355"/>
      <c r="AG198" s="355"/>
      <c r="AH198" s="355"/>
      <c r="AI198" s="355"/>
      <c r="AJ198" s="355"/>
      <c r="AK198" s="355"/>
      <c r="AL198" s="355"/>
      <c r="AM198" s="355"/>
      <c r="AU198" s="379">
        <v>49780</v>
      </c>
      <c r="AV198" s="375"/>
      <c r="AW198" s="375"/>
      <c r="AX198" s="375"/>
      <c r="AY198" s="375"/>
      <c r="AZ198" s="375"/>
      <c r="BA198" s="375"/>
      <c r="BB198" s="375"/>
      <c r="BC198" s="375">
        <v>7.1249999999999994E-2</v>
      </c>
      <c r="BD198" s="375">
        <v>7.6249999999999998E-2</v>
      </c>
      <c r="BE198" s="375">
        <v>6.8750000000000006E-2</v>
      </c>
      <c r="BF198" s="375">
        <v>7.1249999999999994E-2</v>
      </c>
      <c r="BG198" s="375">
        <v>5.2499999999999998E-2</v>
      </c>
      <c r="BH198" s="375"/>
      <c r="BI198" s="373">
        <f t="shared" si="16"/>
        <v>6.7999999999999991E-2</v>
      </c>
      <c r="BJ198" s="378"/>
      <c r="BK198" s="375"/>
      <c r="BL198" s="375"/>
      <c r="BM198" s="375"/>
      <c r="BN198" s="375"/>
      <c r="BO198" s="375">
        <v>6.25E-2</v>
      </c>
      <c r="BP198" s="375">
        <v>4.7399999999999998E-2</v>
      </c>
      <c r="BQ198" s="377"/>
      <c r="BR198" s="380">
        <f t="shared" si="17"/>
        <v>5.4949999999999999E-2</v>
      </c>
      <c r="BT198" s="367">
        <v>49780</v>
      </c>
      <c r="BU198" s="375">
        <f t="shared" si="18"/>
        <v>4.9687499999999996E-2</v>
      </c>
      <c r="BV198" s="375">
        <f t="shared" si="19"/>
        <v>5.5E-2</v>
      </c>
      <c r="BW198" s="377">
        <f t="shared" si="20"/>
        <v>4.9583333333333333E-2</v>
      </c>
    </row>
    <row r="199" spans="1:75" x14ac:dyDescent="0.15">
      <c r="A199" s="356"/>
      <c r="B199" s="355"/>
      <c r="C199" s="355"/>
      <c r="D199" s="355"/>
      <c r="E199" s="355"/>
      <c r="F199" s="355"/>
      <c r="G199" s="355"/>
      <c r="O199" s="356"/>
      <c r="P199" s="355"/>
      <c r="Q199" s="355"/>
      <c r="R199" s="355"/>
      <c r="S199" s="355"/>
      <c r="T199" s="355"/>
      <c r="U199" s="355"/>
      <c r="V199" s="355"/>
      <c r="W199" s="355"/>
      <c r="AG199" s="355"/>
      <c r="AH199" s="355"/>
      <c r="AI199" s="355"/>
      <c r="AJ199" s="355"/>
      <c r="AK199" s="355"/>
      <c r="AL199" s="355"/>
      <c r="AM199" s="355"/>
      <c r="AU199" s="379">
        <v>49810</v>
      </c>
      <c r="AV199" s="375"/>
      <c r="AW199" s="375"/>
      <c r="AX199" s="375"/>
      <c r="AY199" s="375"/>
      <c r="AZ199" s="375"/>
      <c r="BA199" s="375"/>
      <c r="BB199" s="375"/>
      <c r="BC199" s="375">
        <v>7.1249999999999994E-2</v>
      </c>
      <c r="BD199" s="375">
        <v>7.6249999999999998E-2</v>
      </c>
      <c r="BE199" s="375">
        <v>6.8750000000000006E-2</v>
      </c>
      <c r="BF199" s="375">
        <v>7.1249999999999994E-2</v>
      </c>
      <c r="BG199" s="375">
        <v>5.2499999999999998E-2</v>
      </c>
      <c r="BH199" s="375"/>
      <c r="BI199" s="373">
        <f t="shared" ref="BI199:BI262" si="21">+AVERAGE(AV199:BH199)</f>
        <v>6.7999999999999991E-2</v>
      </c>
      <c r="BJ199" s="378"/>
      <c r="BK199" s="375"/>
      <c r="BL199" s="375"/>
      <c r="BM199" s="375"/>
      <c r="BN199" s="375"/>
      <c r="BO199" s="375">
        <v>6.25E-2</v>
      </c>
      <c r="BP199" s="375">
        <v>4.7399999999999998E-2</v>
      </c>
      <c r="BQ199" s="377"/>
      <c r="BR199" s="380">
        <f t="shared" ref="BR199:BR262" si="22">+AVERAGE(BJ199:BQ199)</f>
        <v>5.4949999999999999E-2</v>
      </c>
      <c r="BT199" s="367">
        <v>49810</v>
      </c>
      <c r="BU199" s="375">
        <f t="shared" si="18"/>
        <v>4.9583333333333333E-2</v>
      </c>
      <c r="BV199" s="375">
        <f t="shared" si="19"/>
        <v>5.5E-2</v>
      </c>
      <c r="BW199" s="377">
        <f t="shared" si="20"/>
        <v>4.9583333333333333E-2</v>
      </c>
    </row>
    <row r="200" spans="1:75" x14ac:dyDescent="0.15">
      <c r="A200" s="356"/>
      <c r="B200" s="355"/>
      <c r="C200" s="355"/>
      <c r="D200" s="355"/>
      <c r="E200" s="355"/>
      <c r="F200" s="355"/>
      <c r="G200" s="355"/>
      <c r="O200" s="356"/>
      <c r="P200" s="355"/>
      <c r="Q200" s="355"/>
      <c r="R200" s="355"/>
      <c r="S200" s="355"/>
      <c r="T200" s="355"/>
      <c r="U200" s="355"/>
      <c r="V200" s="355"/>
      <c r="W200" s="355"/>
      <c r="AG200" s="355"/>
      <c r="AH200" s="355"/>
      <c r="AI200" s="355"/>
      <c r="AJ200" s="355"/>
      <c r="AK200" s="355"/>
      <c r="AL200" s="355"/>
      <c r="AM200" s="355"/>
      <c r="AU200" s="379">
        <v>49841</v>
      </c>
      <c r="AV200" s="375"/>
      <c r="AW200" s="375"/>
      <c r="AX200" s="375"/>
      <c r="AY200" s="375"/>
      <c r="AZ200" s="375"/>
      <c r="BA200" s="375"/>
      <c r="BB200" s="375"/>
      <c r="BC200" s="375">
        <v>7.1249999999999994E-2</v>
      </c>
      <c r="BD200" s="375">
        <v>7.6249999999999998E-2</v>
      </c>
      <c r="BE200" s="375">
        <v>6.8750000000000006E-2</v>
      </c>
      <c r="BF200" s="375">
        <v>7.1249999999999994E-2</v>
      </c>
      <c r="BG200" s="375">
        <v>5.2499999999999998E-2</v>
      </c>
      <c r="BH200" s="375"/>
      <c r="BI200" s="373">
        <f t="shared" si="21"/>
        <v>6.7999999999999991E-2</v>
      </c>
      <c r="BJ200" s="378"/>
      <c r="BK200" s="375"/>
      <c r="BL200" s="375"/>
      <c r="BM200" s="375"/>
      <c r="BN200" s="375"/>
      <c r="BO200" s="375">
        <v>6.25E-2</v>
      </c>
      <c r="BP200" s="375">
        <v>4.7399999999999998E-2</v>
      </c>
      <c r="BQ200" s="377"/>
      <c r="BR200" s="380">
        <f t="shared" si="22"/>
        <v>5.4949999999999999E-2</v>
      </c>
      <c r="BT200" s="367">
        <v>49841</v>
      </c>
      <c r="BU200" s="375">
        <f t="shared" ref="BU200:BU263" si="23">+IFERROR(VLOOKUP($BT200,$A$8:$G$62,7,FALSE),BU199)</f>
        <v>4.9583333333333333E-2</v>
      </c>
      <c r="BV200" s="375">
        <f t="shared" ref="BV200:BV263" si="24">+IFERROR(VLOOKUP($BT200,$O$7:$W$62,9,FALSE),BV199)</f>
        <v>5.5E-2</v>
      </c>
      <c r="BW200" s="377">
        <f t="shared" ref="BW200:BW263" si="25">+IFERROR(VLOOKUP($BT200,$AG$7:$AM$62,7,FALSE),BW199)</f>
        <v>4.9583333333333333E-2</v>
      </c>
    </row>
    <row r="201" spans="1:75" x14ac:dyDescent="0.15">
      <c r="A201" s="356"/>
      <c r="B201" s="355"/>
      <c r="C201" s="355"/>
      <c r="D201" s="355"/>
      <c r="E201" s="355"/>
      <c r="F201" s="355"/>
      <c r="G201" s="355"/>
      <c r="O201" s="356"/>
      <c r="P201" s="355"/>
      <c r="Q201" s="355"/>
      <c r="R201" s="355"/>
      <c r="S201" s="355"/>
      <c r="T201" s="355"/>
      <c r="U201" s="355"/>
      <c r="V201" s="355"/>
      <c r="W201" s="355"/>
      <c r="AG201" s="355"/>
      <c r="AH201" s="355"/>
      <c r="AI201" s="355"/>
      <c r="AJ201" s="355"/>
      <c r="AK201" s="355"/>
      <c r="AL201" s="355"/>
      <c r="AM201" s="355"/>
      <c r="AU201" s="379">
        <v>49871</v>
      </c>
      <c r="AV201" s="375"/>
      <c r="AW201" s="375"/>
      <c r="AX201" s="375"/>
      <c r="AY201" s="375"/>
      <c r="AZ201" s="375"/>
      <c r="BA201" s="375"/>
      <c r="BB201" s="375"/>
      <c r="BC201" s="375">
        <v>7.1249999999999994E-2</v>
      </c>
      <c r="BD201" s="375">
        <v>7.6249999999999998E-2</v>
      </c>
      <c r="BE201" s="375">
        <v>6.8750000000000006E-2</v>
      </c>
      <c r="BF201" s="375">
        <v>7.1249999999999994E-2</v>
      </c>
      <c r="BG201" s="375">
        <v>5.2499999999999998E-2</v>
      </c>
      <c r="BH201" s="375"/>
      <c r="BI201" s="373">
        <f t="shared" si="21"/>
        <v>6.7999999999999991E-2</v>
      </c>
      <c r="BJ201" s="378"/>
      <c r="BK201" s="375"/>
      <c r="BL201" s="375"/>
      <c r="BM201" s="375"/>
      <c r="BN201" s="375"/>
      <c r="BO201" s="375">
        <v>6.25E-2</v>
      </c>
      <c r="BP201" s="375">
        <v>4.7399999999999998E-2</v>
      </c>
      <c r="BQ201" s="377"/>
      <c r="BR201" s="380">
        <f t="shared" si="22"/>
        <v>5.4949999999999999E-2</v>
      </c>
      <c r="BT201" s="367">
        <v>49871</v>
      </c>
      <c r="BU201" s="375">
        <f t="shared" si="23"/>
        <v>4.9583333333333333E-2</v>
      </c>
      <c r="BV201" s="375">
        <f t="shared" si="24"/>
        <v>5.5E-2</v>
      </c>
      <c r="BW201" s="377">
        <f t="shared" si="25"/>
        <v>4.9583333333333333E-2</v>
      </c>
    </row>
    <row r="202" spans="1:75" x14ac:dyDescent="0.15">
      <c r="A202" s="356"/>
      <c r="B202" s="355"/>
      <c r="C202" s="355"/>
      <c r="D202" s="355"/>
      <c r="E202" s="355"/>
      <c r="F202" s="355"/>
      <c r="G202" s="355"/>
      <c r="O202" s="356"/>
      <c r="P202" s="355"/>
      <c r="Q202" s="355"/>
      <c r="R202" s="355"/>
      <c r="S202" s="355"/>
      <c r="T202" s="355"/>
      <c r="U202" s="355"/>
      <c r="V202" s="355"/>
      <c r="W202" s="355"/>
      <c r="AG202" s="355"/>
      <c r="AH202" s="355"/>
      <c r="AI202" s="355"/>
      <c r="AJ202" s="355"/>
      <c r="AK202" s="355"/>
      <c r="AL202" s="355"/>
      <c r="AM202" s="355"/>
      <c r="AU202" s="379">
        <v>49902</v>
      </c>
      <c r="AV202" s="375"/>
      <c r="AW202" s="375"/>
      <c r="AX202" s="375"/>
      <c r="AY202" s="375"/>
      <c r="AZ202" s="375"/>
      <c r="BA202" s="375"/>
      <c r="BB202" s="375"/>
      <c r="BC202" s="375"/>
      <c r="BD202" s="375">
        <v>7.6249999999999998E-2</v>
      </c>
      <c r="BE202" s="375">
        <v>6.8750000000000006E-2</v>
      </c>
      <c r="BF202" s="375">
        <v>7.1249999999999994E-2</v>
      </c>
      <c r="BG202" s="375">
        <v>5.2499999999999998E-2</v>
      </c>
      <c r="BH202" s="375"/>
      <c r="BI202" s="373">
        <f t="shared" si="21"/>
        <v>6.7187499999999997E-2</v>
      </c>
      <c r="BJ202" s="378"/>
      <c r="BK202" s="375"/>
      <c r="BL202" s="375"/>
      <c r="BM202" s="375"/>
      <c r="BN202" s="375"/>
      <c r="BO202" s="375">
        <v>6.25E-2</v>
      </c>
      <c r="BP202" s="375">
        <v>4.7399999999999998E-2</v>
      </c>
      <c r="BQ202" s="377"/>
      <c r="BR202" s="380">
        <f t="shared" si="22"/>
        <v>5.4949999999999999E-2</v>
      </c>
      <c r="BT202" s="367">
        <v>49902</v>
      </c>
      <c r="BU202" s="375">
        <f t="shared" si="23"/>
        <v>4.9583333333333333E-2</v>
      </c>
      <c r="BV202" s="375">
        <f t="shared" si="24"/>
        <v>5.5E-2</v>
      </c>
      <c r="BW202" s="377">
        <f t="shared" si="25"/>
        <v>4.9583333333333333E-2</v>
      </c>
    </row>
    <row r="203" spans="1:75" x14ac:dyDescent="0.15">
      <c r="A203" s="356"/>
      <c r="B203" s="355"/>
      <c r="C203" s="355"/>
      <c r="D203" s="355"/>
      <c r="E203" s="355"/>
      <c r="F203" s="355"/>
      <c r="G203" s="355"/>
      <c r="O203" s="356"/>
      <c r="P203" s="355"/>
      <c r="Q203" s="355"/>
      <c r="R203" s="355"/>
      <c r="S203" s="355"/>
      <c r="T203" s="355"/>
      <c r="U203" s="355"/>
      <c r="V203" s="355"/>
      <c r="W203" s="355"/>
      <c r="AG203" s="355"/>
      <c r="AH203" s="355"/>
      <c r="AI203" s="355"/>
      <c r="AJ203" s="355"/>
      <c r="AK203" s="355"/>
      <c r="AL203" s="355"/>
      <c r="AM203" s="355"/>
      <c r="AU203" s="379">
        <v>49933</v>
      </c>
      <c r="AV203" s="375"/>
      <c r="AW203" s="375"/>
      <c r="AX203" s="375"/>
      <c r="AY203" s="375"/>
      <c r="AZ203" s="375"/>
      <c r="BA203" s="375"/>
      <c r="BB203" s="375"/>
      <c r="BC203" s="375"/>
      <c r="BD203" s="375">
        <v>7.6249999999999998E-2</v>
      </c>
      <c r="BE203" s="375">
        <v>6.8750000000000006E-2</v>
      </c>
      <c r="BF203" s="375">
        <v>7.1249999999999994E-2</v>
      </c>
      <c r="BG203" s="375">
        <v>5.2499999999999998E-2</v>
      </c>
      <c r="BH203" s="375"/>
      <c r="BI203" s="373">
        <f t="shared" si="21"/>
        <v>6.7187499999999997E-2</v>
      </c>
      <c r="BJ203" s="378"/>
      <c r="BK203" s="375"/>
      <c r="BL203" s="375"/>
      <c r="BM203" s="375"/>
      <c r="BN203" s="375"/>
      <c r="BO203" s="375">
        <v>6.25E-2</v>
      </c>
      <c r="BP203" s="375">
        <v>4.7399999999999998E-2</v>
      </c>
      <c r="BQ203" s="377"/>
      <c r="BR203" s="380">
        <f t="shared" si="22"/>
        <v>5.4949999999999999E-2</v>
      </c>
      <c r="BT203" s="367">
        <v>49933</v>
      </c>
      <c r="BU203" s="375">
        <f t="shared" si="23"/>
        <v>4.9583333333333333E-2</v>
      </c>
      <c r="BV203" s="375">
        <f t="shared" si="24"/>
        <v>5.5E-2</v>
      </c>
      <c r="BW203" s="377">
        <f t="shared" si="25"/>
        <v>4.9583333333333333E-2</v>
      </c>
    </row>
    <row r="204" spans="1:75" x14ac:dyDescent="0.15">
      <c r="A204" s="356"/>
      <c r="B204" s="355"/>
      <c r="C204" s="355"/>
      <c r="D204" s="355"/>
      <c r="E204" s="355"/>
      <c r="F204" s="355"/>
      <c r="G204" s="355"/>
      <c r="O204" s="356"/>
      <c r="P204" s="355"/>
      <c r="Q204" s="355"/>
      <c r="R204" s="355"/>
      <c r="S204" s="355"/>
      <c r="T204" s="355"/>
      <c r="U204" s="355"/>
      <c r="V204" s="355"/>
      <c r="W204" s="355"/>
      <c r="AG204" s="355"/>
      <c r="AH204" s="355"/>
      <c r="AI204" s="355"/>
      <c r="AJ204" s="355"/>
      <c r="AK204" s="355"/>
      <c r="AL204" s="355"/>
      <c r="AM204" s="355"/>
      <c r="AU204" s="379">
        <v>49963</v>
      </c>
      <c r="AV204" s="375"/>
      <c r="AW204" s="375"/>
      <c r="AX204" s="375"/>
      <c r="AY204" s="375"/>
      <c r="AZ204" s="375"/>
      <c r="BA204" s="375"/>
      <c r="BB204" s="375"/>
      <c r="BC204" s="375"/>
      <c r="BD204" s="375">
        <v>7.6249999999999998E-2</v>
      </c>
      <c r="BE204" s="375">
        <v>6.8750000000000006E-2</v>
      </c>
      <c r="BF204" s="375">
        <v>7.1249999999999994E-2</v>
      </c>
      <c r="BG204" s="375">
        <v>5.2499999999999998E-2</v>
      </c>
      <c r="BH204" s="375"/>
      <c r="BI204" s="373">
        <f t="shared" si="21"/>
        <v>6.7187499999999997E-2</v>
      </c>
      <c r="BJ204" s="378"/>
      <c r="BK204" s="375"/>
      <c r="BL204" s="375"/>
      <c r="BM204" s="375"/>
      <c r="BN204" s="375"/>
      <c r="BO204" s="375">
        <v>6.25E-2</v>
      </c>
      <c r="BP204" s="375">
        <v>4.7399999999999998E-2</v>
      </c>
      <c r="BQ204" s="377"/>
      <c r="BR204" s="380">
        <f t="shared" si="22"/>
        <v>5.4949999999999999E-2</v>
      </c>
      <c r="BT204" s="367">
        <v>49963</v>
      </c>
      <c r="BU204" s="375">
        <f t="shared" si="23"/>
        <v>4.9583333333333333E-2</v>
      </c>
      <c r="BV204" s="375">
        <f t="shared" si="24"/>
        <v>5.5E-2</v>
      </c>
      <c r="BW204" s="377">
        <f t="shared" si="25"/>
        <v>4.9583333333333333E-2</v>
      </c>
    </row>
    <row r="205" spans="1:75" x14ac:dyDescent="0.15">
      <c r="A205" s="356"/>
      <c r="B205" s="355"/>
      <c r="C205" s="355"/>
      <c r="D205" s="355"/>
      <c r="E205" s="355"/>
      <c r="F205" s="355"/>
      <c r="G205" s="355"/>
      <c r="O205" s="356"/>
      <c r="P205" s="355"/>
      <c r="Q205" s="355"/>
      <c r="R205" s="355"/>
      <c r="S205" s="355"/>
      <c r="T205" s="355"/>
      <c r="U205" s="355"/>
      <c r="V205" s="355"/>
      <c r="W205" s="355"/>
      <c r="AG205" s="355"/>
      <c r="AH205" s="355"/>
      <c r="AI205" s="355"/>
      <c r="AJ205" s="355"/>
      <c r="AK205" s="355"/>
      <c r="AL205" s="355"/>
      <c r="AM205" s="355"/>
      <c r="AU205" s="379">
        <v>49994</v>
      </c>
      <c r="AV205" s="375"/>
      <c r="AW205" s="375"/>
      <c r="AX205" s="375"/>
      <c r="AY205" s="375"/>
      <c r="AZ205" s="375"/>
      <c r="BA205" s="375"/>
      <c r="BB205" s="375"/>
      <c r="BC205" s="375"/>
      <c r="BD205" s="375">
        <v>7.6249999999999998E-2</v>
      </c>
      <c r="BE205" s="375">
        <v>6.8750000000000006E-2</v>
      </c>
      <c r="BF205" s="375">
        <v>7.1249999999999994E-2</v>
      </c>
      <c r="BG205" s="375">
        <v>5.2499999999999998E-2</v>
      </c>
      <c r="BH205" s="375"/>
      <c r="BI205" s="373">
        <f t="shared" si="21"/>
        <v>6.7187499999999997E-2</v>
      </c>
      <c r="BJ205" s="378"/>
      <c r="BK205" s="375"/>
      <c r="BL205" s="375"/>
      <c r="BM205" s="375"/>
      <c r="BN205" s="375"/>
      <c r="BO205" s="375">
        <v>6.25E-2</v>
      </c>
      <c r="BP205" s="375">
        <v>4.7399999999999998E-2</v>
      </c>
      <c r="BQ205" s="377"/>
      <c r="BR205" s="380">
        <f t="shared" si="22"/>
        <v>5.4949999999999999E-2</v>
      </c>
      <c r="BT205" s="367">
        <v>49994</v>
      </c>
      <c r="BU205" s="375">
        <f t="shared" si="23"/>
        <v>4.9583333333333333E-2</v>
      </c>
      <c r="BV205" s="375">
        <f t="shared" si="24"/>
        <v>5.5E-2</v>
      </c>
      <c r="BW205" s="377">
        <f t="shared" si="25"/>
        <v>4.9583333333333333E-2</v>
      </c>
    </row>
    <row r="206" spans="1:75" x14ac:dyDescent="0.15">
      <c r="A206" s="356"/>
      <c r="B206" s="355"/>
      <c r="C206" s="355"/>
      <c r="D206" s="355"/>
      <c r="E206" s="355"/>
      <c r="F206" s="355"/>
      <c r="G206" s="355"/>
      <c r="O206" s="356"/>
      <c r="P206" s="355"/>
      <c r="Q206" s="355"/>
      <c r="R206" s="355"/>
      <c r="S206" s="355"/>
      <c r="T206" s="355"/>
      <c r="U206" s="355"/>
      <c r="V206" s="355"/>
      <c r="W206" s="355"/>
      <c r="AG206" s="355"/>
      <c r="AH206" s="355"/>
      <c r="AI206" s="355"/>
      <c r="AJ206" s="355"/>
      <c r="AK206" s="355"/>
      <c r="AL206" s="355"/>
      <c r="AM206" s="355"/>
      <c r="AU206" s="379">
        <v>50024</v>
      </c>
      <c r="AV206" s="375"/>
      <c r="AW206" s="375"/>
      <c r="AX206" s="375"/>
      <c r="AY206" s="375"/>
      <c r="AZ206" s="375"/>
      <c r="BA206" s="375"/>
      <c r="BB206" s="375"/>
      <c r="BC206" s="375"/>
      <c r="BD206" s="375">
        <v>7.6249999999999998E-2</v>
      </c>
      <c r="BE206" s="375">
        <v>6.8750000000000006E-2</v>
      </c>
      <c r="BF206" s="375">
        <v>7.1249999999999994E-2</v>
      </c>
      <c r="BG206" s="375">
        <v>5.2499999999999998E-2</v>
      </c>
      <c r="BH206" s="375"/>
      <c r="BI206" s="373">
        <f t="shared" si="21"/>
        <v>6.7187499999999997E-2</v>
      </c>
      <c r="BJ206" s="378"/>
      <c r="BK206" s="375"/>
      <c r="BL206" s="375"/>
      <c r="BM206" s="375"/>
      <c r="BN206" s="375"/>
      <c r="BO206" s="375">
        <v>6.25E-2</v>
      </c>
      <c r="BP206" s="375">
        <v>4.7399999999999998E-2</v>
      </c>
      <c r="BQ206" s="377"/>
      <c r="BR206" s="380">
        <f t="shared" si="22"/>
        <v>5.4949999999999999E-2</v>
      </c>
      <c r="BT206" s="367">
        <v>50024</v>
      </c>
      <c r="BU206" s="375">
        <f t="shared" si="23"/>
        <v>4.9583333333333333E-2</v>
      </c>
      <c r="BV206" s="375">
        <f t="shared" si="24"/>
        <v>5.5E-2</v>
      </c>
      <c r="BW206" s="377">
        <f t="shared" si="25"/>
        <v>4.9583333333333333E-2</v>
      </c>
    </row>
    <row r="207" spans="1:75" x14ac:dyDescent="0.15">
      <c r="A207" s="356"/>
      <c r="B207" s="355"/>
      <c r="C207" s="355"/>
      <c r="D207" s="355"/>
      <c r="E207" s="355"/>
      <c r="F207" s="355"/>
      <c r="G207" s="355"/>
      <c r="O207" s="356"/>
      <c r="P207" s="355"/>
      <c r="Q207" s="355"/>
      <c r="R207" s="355"/>
      <c r="S207" s="355"/>
      <c r="T207" s="355"/>
      <c r="U207" s="355"/>
      <c r="V207" s="355"/>
      <c r="W207" s="355"/>
      <c r="AG207" s="355"/>
      <c r="AH207" s="355"/>
      <c r="AI207" s="355"/>
      <c r="AJ207" s="355"/>
      <c r="AK207" s="355"/>
      <c r="AL207" s="355"/>
      <c r="AM207" s="355"/>
      <c r="AU207" s="379">
        <v>50055</v>
      </c>
      <c r="AV207" s="375"/>
      <c r="AW207" s="375"/>
      <c r="AX207" s="375"/>
      <c r="AY207" s="375"/>
      <c r="AZ207" s="375"/>
      <c r="BA207" s="375"/>
      <c r="BB207" s="375"/>
      <c r="BC207" s="375"/>
      <c r="BD207" s="375">
        <v>7.6249999999999998E-2</v>
      </c>
      <c r="BE207" s="375">
        <v>6.8750000000000006E-2</v>
      </c>
      <c r="BF207" s="375">
        <v>7.1249999999999994E-2</v>
      </c>
      <c r="BG207" s="375">
        <v>5.2499999999999998E-2</v>
      </c>
      <c r="BH207" s="375"/>
      <c r="BI207" s="373">
        <f t="shared" si="21"/>
        <v>6.7187499999999997E-2</v>
      </c>
      <c r="BJ207" s="378"/>
      <c r="BK207" s="375"/>
      <c r="BL207" s="375"/>
      <c r="BM207" s="375"/>
      <c r="BN207" s="375"/>
      <c r="BO207" s="375">
        <v>6.25E-2</v>
      </c>
      <c r="BP207" s="375">
        <v>4.7399999999999998E-2</v>
      </c>
      <c r="BQ207" s="377"/>
      <c r="BR207" s="380">
        <f t="shared" si="22"/>
        <v>5.4949999999999999E-2</v>
      </c>
      <c r="BT207" s="367">
        <v>50055</v>
      </c>
      <c r="BU207" s="375">
        <f t="shared" si="23"/>
        <v>4.9583333333333333E-2</v>
      </c>
      <c r="BV207" s="375">
        <f t="shared" si="24"/>
        <v>5.4166666666666669E-2</v>
      </c>
      <c r="BW207" s="377">
        <f t="shared" si="25"/>
        <v>4.9583333333333333E-2</v>
      </c>
    </row>
    <row r="208" spans="1:75" x14ac:dyDescent="0.15">
      <c r="A208" s="356"/>
      <c r="B208" s="355"/>
      <c r="C208" s="355"/>
      <c r="D208" s="355"/>
      <c r="E208" s="355"/>
      <c r="F208" s="355"/>
      <c r="G208" s="355"/>
      <c r="O208" s="356"/>
      <c r="P208" s="355"/>
      <c r="Q208" s="355"/>
      <c r="R208" s="355"/>
      <c r="S208" s="355"/>
      <c r="T208" s="355"/>
      <c r="U208" s="355"/>
      <c r="V208" s="355"/>
      <c r="W208" s="355"/>
      <c r="AG208" s="355"/>
      <c r="AH208" s="355"/>
      <c r="AI208" s="355"/>
      <c r="AJ208" s="355"/>
      <c r="AK208" s="355"/>
      <c r="AL208" s="355"/>
      <c r="AM208" s="355"/>
      <c r="AU208" s="379">
        <v>50086</v>
      </c>
      <c r="AV208" s="375"/>
      <c r="AW208" s="375"/>
      <c r="AX208" s="375"/>
      <c r="AY208" s="375"/>
      <c r="AZ208" s="375"/>
      <c r="BA208" s="375"/>
      <c r="BB208" s="375"/>
      <c r="BC208" s="375"/>
      <c r="BD208" s="375">
        <v>7.6249999999999998E-2</v>
      </c>
      <c r="BE208" s="375">
        <v>6.8750000000000006E-2</v>
      </c>
      <c r="BF208" s="375">
        <v>7.1249999999999994E-2</v>
      </c>
      <c r="BG208" s="375">
        <v>5.2499999999999998E-2</v>
      </c>
      <c r="BH208" s="375"/>
      <c r="BI208" s="373">
        <f t="shared" si="21"/>
        <v>6.7187499999999997E-2</v>
      </c>
      <c r="BJ208" s="378"/>
      <c r="BK208" s="375"/>
      <c r="BL208" s="375"/>
      <c r="BM208" s="375"/>
      <c r="BN208" s="375"/>
      <c r="BO208" s="375">
        <v>6.25E-2</v>
      </c>
      <c r="BP208" s="375">
        <v>4.7399999999999998E-2</v>
      </c>
      <c r="BQ208" s="377"/>
      <c r="BR208" s="380">
        <f t="shared" si="22"/>
        <v>5.4949999999999999E-2</v>
      </c>
      <c r="BT208" s="367">
        <v>50086</v>
      </c>
      <c r="BU208" s="375">
        <f t="shared" si="23"/>
        <v>4.9583333333333333E-2</v>
      </c>
      <c r="BV208" s="375">
        <f t="shared" si="24"/>
        <v>5.4166666666666669E-2</v>
      </c>
      <c r="BW208" s="377">
        <f t="shared" si="25"/>
        <v>4.9583333333333333E-2</v>
      </c>
    </row>
    <row r="209" spans="1:75" x14ac:dyDescent="0.15">
      <c r="A209" s="356"/>
      <c r="B209" s="355"/>
      <c r="C209" s="355"/>
      <c r="D209" s="355"/>
      <c r="E209" s="355"/>
      <c r="F209" s="355"/>
      <c r="G209" s="355"/>
      <c r="O209" s="356"/>
      <c r="P209" s="355"/>
      <c r="Q209" s="355"/>
      <c r="R209" s="355"/>
      <c r="S209" s="355"/>
      <c r="T209" s="355"/>
      <c r="U209" s="355"/>
      <c r="V209" s="355"/>
      <c r="W209" s="355"/>
      <c r="AG209" s="355"/>
      <c r="AH209" s="355"/>
      <c r="AI209" s="355"/>
      <c r="AJ209" s="355"/>
      <c r="AK209" s="355"/>
      <c r="AL209" s="355"/>
      <c r="AM209" s="355"/>
      <c r="AU209" s="379">
        <v>50114</v>
      </c>
      <c r="AV209" s="375"/>
      <c r="AW209" s="375"/>
      <c r="AX209" s="375"/>
      <c r="AY209" s="375"/>
      <c r="AZ209" s="375"/>
      <c r="BA209" s="375"/>
      <c r="BB209" s="375"/>
      <c r="BC209" s="375"/>
      <c r="BD209" s="375">
        <v>7.6249999999999998E-2</v>
      </c>
      <c r="BE209" s="375">
        <v>6.8750000000000006E-2</v>
      </c>
      <c r="BF209" s="375">
        <v>7.1249999999999994E-2</v>
      </c>
      <c r="BG209" s="375">
        <v>5.2499999999999998E-2</v>
      </c>
      <c r="BH209" s="375"/>
      <c r="BI209" s="373">
        <f t="shared" si="21"/>
        <v>6.7187499999999997E-2</v>
      </c>
      <c r="BJ209" s="378"/>
      <c r="BK209" s="375"/>
      <c r="BL209" s="375"/>
      <c r="BM209" s="375"/>
      <c r="BN209" s="375"/>
      <c r="BO209" s="375">
        <v>6.25E-2</v>
      </c>
      <c r="BP209" s="375">
        <v>4.7399999999999998E-2</v>
      </c>
      <c r="BQ209" s="377"/>
      <c r="BR209" s="380">
        <f t="shared" si="22"/>
        <v>5.4949999999999999E-2</v>
      </c>
      <c r="BT209" s="367">
        <v>50114</v>
      </c>
      <c r="BU209" s="375">
        <f t="shared" si="23"/>
        <v>4.9583333333333333E-2</v>
      </c>
      <c r="BV209" s="375">
        <f t="shared" si="24"/>
        <v>5.4166666666666669E-2</v>
      </c>
      <c r="BW209" s="377">
        <f t="shared" si="25"/>
        <v>4.9583333333333333E-2</v>
      </c>
    </row>
    <row r="210" spans="1:75" x14ac:dyDescent="0.15">
      <c r="A210" s="356"/>
      <c r="B210" s="355"/>
      <c r="C210" s="355"/>
      <c r="D210" s="355"/>
      <c r="E210" s="355"/>
      <c r="F210" s="355"/>
      <c r="G210" s="355"/>
      <c r="O210" s="356"/>
      <c r="P210" s="355"/>
      <c r="Q210" s="355"/>
      <c r="R210" s="355"/>
      <c r="S210" s="355"/>
      <c r="T210" s="355"/>
      <c r="U210" s="355"/>
      <c r="V210" s="355"/>
      <c r="W210" s="355"/>
      <c r="AG210" s="355"/>
      <c r="AH210" s="355"/>
      <c r="AI210" s="355"/>
      <c r="AJ210" s="355"/>
      <c r="AK210" s="355"/>
      <c r="AL210" s="355"/>
      <c r="AM210" s="355"/>
      <c r="AU210" s="379">
        <v>50145</v>
      </c>
      <c r="AV210" s="375"/>
      <c r="AW210" s="375"/>
      <c r="AX210" s="375"/>
      <c r="AY210" s="375"/>
      <c r="AZ210" s="375"/>
      <c r="BA210" s="375"/>
      <c r="BB210" s="375"/>
      <c r="BC210" s="375"/>
      <c r="BD210" s="375">
        <v>7.6249999999999998E-2</v>
      </c>
      <c r="BE210" s="375">
        <v>6.8750000000000006E-2</v>
      </c>
      <c r="BF210" s="375">
        <v>7.1249999999999994E-2</v>
      </c>
      <c r="BG210" s="375">
        <v>5.2499999999999998E-2</v>
      </c>
      <c r="BH210" s="375"/>
      <c r="BI210" s="373">
        <f t="shared" si="21"/>
        <v>6.7187499999999997E-2</v>
      </c>
      <c r="BJ210" s="378"/>
      <c r="BK210" s="375"/>
      <c r="BL210" s="375"/>
      <c r="BM210" s="375"/>
      <c r="BN210" s="375"/>
      <c r="BO210" s="375">
        <v>6.25E-2</v>
      </c>
      <c r="BP210" s="375">
        <v>4.7399999999999998E-2</v>
      </c>
      <c r="BQ210" s="377"/>
      <c r="BR210" s="380">
        <f t="shared" si="22"/>
        <v>5.4949999999999999E-2</v>
      </c>
      <c r="BT210" s="367">
        <v>50145</v>
      </c>
      <c r="BU210" s="375">
        <f t="shared" si="23"/>
        <v>4.9583333333333333E-2</v>
      </c>
      <c r="BV210" s="375">
        <f t="shared" si="24"/>
        <v>5.4166666666666669E-2</v>
      </c>
      <c r="BW210" s="377">
        <f t="shared" si="25"/>
        <v>4.9583333333333333E-2</v>
      </c>
    </row>
    <row r="211" spans="1:75" x14ac:dyDescent="0.15">
      <c r="A211" s="356"/>
      <c r="B211" s="355"/>
      <c r="C211" s="355"/>
      <c r="D211" s="355"/>
      <c r="E211" s="355"/>
      <c r="F211" s="355"/>
      <c r="G211" s="355"/>
      <c r="O211" s="356"/>
      <c r="P211" s="355"/>
      <c r="Q211" s="355"/>
      <c r="R211" s="355"/>
      <c r="S211" s="355"/>
      <c r="T211" s="355"/>
      <c r="U211" s="355"/>
      <c r="V211" s="355"/>
      <c r="W211" s="355"/>
      <c r="AG211" s="355"/>
      <c r="AH211" s="355"/>
      <c r="AI211" s="355"/>
      <c r="AJ211" s="355"/>
      <c r="AK211" s="355"/>
      <c r="AL211" s="355"/>
      <c r="AM211" s="355"/>
      <c r="AU211" s="379">
        <v>50175</v>
      </c>
      <c r="AV211" s="375"/>
      <c r="AW211" s="375"/>
      <c r="AX211" s="375"/>
      <c r="AY211" s="375"/>
      <c r="AZ211" s="375"/>
      <c r="BA211" s="375"/>
      <c r="BB211" s="375"/>
      <c r="BC211" s="375"/>
      <c r="BD211" s="375">
        <v>7.6249999999999998E-2</v>
      </c>
      <c r="BE211" s="375">
        <v>6.8750000000000006E-2</v>
      </c>
      <c r="BF211" s="375">
        <v>7.1249999999999994E-2</v>
      </c>
      <c r="BG211" s="375">
        <v>5.2499999999999998E-2</v>
      </c>
      <c r="BH211" s="375"/>
      <c r="BI211" s="373">
        <f t="shared" si="21"/>
        <v>6.7187499999999997E-2</v>
      </c>
      <c r="BJ211" s="378"/>
      <c r="BK211" s="375"/>
      <c r="BL211" s="375"/>
      <c r="BM211" s="375"/>
      <c r="BN211" s="375"/>
      <c r="BO211" s="375">
        <v>6.25E-2</v>
      </c>
      <c r="BP211" s="375">
        <v>4.7399999999999998E-2</v>
      </c>
      <c r="BQ211" s="377"/>
      <c r="BR211" s="380">
        <f t="shared" si="22"/>
        <v>5.4949999999999999E-2</v>
      </c>
      <c r="BT211" s="367">
        <v>50175</v>
      </c>
      <c r="BU211" s="375">
        <f t="shared" si="23"/>
        <v>4.9583333333333333E-2</v>
      </c>
      <c r="BV211" s="375">
        <f t="shared" si="24"/>
        <v>5.4166666666666669E-2</v>
      </c>
      <c r="BW211" s="377">
        <f t="shared" si="25"/>
        <v>4.9583333333333333E-2</v>
      </c>
    </row>
    <row r="212" spans="1:75" x14ac:dyDescent="0.15">
      <c r="A212" s="356"/>
      <c r="B212" s="355"/>
      <c r="C212" s="355"/>
      <c r="D212" s="355"/>
      <c r="E212" s="355"/>
      <c r="F212" s="355"/>
      <c r="G212" s="355"/>
      <c r="O212" s="356"/>
      <c r="P212" s="355"/>
      <c r="Q212" s="355"/>
      <c r="R212" s="355"/>
      <c r="S212" s="355"/>
      <c r="T212" s="355"/>
      <c r="U212" s="355"/>
      <c r="V212" s="355"/>
      <c r="W212" s="355"/>
      <c r="AG212" s="355"/>
      <c r="AH212" s="355"/>
      <c r="AI212" s="355"/>
      <c r="AJ212" s="355"/>
      <c r="AK212" s="355"/>
      <c r="AL212" s="355"/>
      <c r="AM212" s="355"/>
      <c r="AU212" s="379">
        <v>50206</v>
      </c>
      <c r="AV212" s="375"/>
      <c r="AW212" s="375"/>
      <c r="AX212" s="375"/>
      <c r="AY212" s="375"/>
      <c r="AZ212" s="375"/>
      <c r="BA212" s="375"/>
      <c r="BB212" s="375"/>
      <c r="BC212" s="375"/>
      <c r="BD212" s="375">
        <v>7.6249999999999998E-2</v>
      </c>
      <c r="BE212" s="375">
        <v>6.8750000000000006E-2</v>
      </c>
      <c r="BF212" s="375">
        <v>7.1249999999999994E-2</v>
      </c>
      <c r="BG212" s="375">
        <v>5.2499999999999998E-2</v>
      </c>
      <c r="BH212" s="375"/>
      <c r="BI212" s="373">
        <f t="shared" si="21"/>
        <v>6.7187499999999997E-2</v>
      </c>
      <c r="BJ212" s="378"/>
      <c r="BK212" s="375"/>
      <c r="BL212" s="375"/>
      <c r="BM212" s="375"/>
      <c r="BN212" s="375"/>
      <c r="BO212" s="375">
        <v>6.25E-2</v>
      </c>
      <c r="BP212" s="375">
        <v>4.7399999999999998E-2</v>
      </c>
      <c r="BQ212" s="377"/>
      <c r="BR212" s="380">
        <f t="shared" si="22"/>
        <v>5.4949999999999999E-2</v>
      </c>
      <c r="BT212" s="367">
        <v>50206</v>
      </c>
      <c r="BU212" s="375">
        <f t="shared" si="23"/>
        <v>4.9583333333333333E-2</v>
      </c>
      <c r="BV212" s="375">
        <f t="shared" si="24"/>
        <v>5.4166666666666669E-2</v>
      </c>
      <c r="BW212" s="377">
        <f t="shared" si="25"/>
        <v>4.9583333333333333E-2</v>
      </c>
    </row>
    <row r="213" spans="1:75" x14ac:dyDescent="0.15">
      <c r="A213" s="356"/>
      <c r="B213" s="355"/>
      <c r="C213" s="355"/>
      <c r="D213" s="355"/>
      <c r="E213" s="355"/>
      <c r="F213" s="355"/>
      <c r="G213" s="355"/>
      <c r="O213" s="356"/>
      <c r="P213" s="355"/>
      <c r="Q213" s="355"/>
      <c r="R213" s="355"/>
      <c r="S213" s="355"/>
      <c r="T213" s="355"/>
      <c r="U213" s="355"/>
      <c r="V213" s="355"/>
      <c r="W213" s="355"/>
      <c r="AG213" s="355"/>
      <c r="AH213" s="355"/>
      <c r="AI213" s="355"/>
      <c r="AJ213" s="355"/>
      <c r="AK213" s="355"/>
      <c r="AL213" s="355"/>
      <c r="AM213" s="355"/>
      <c r="AU213" s="379">
        <v>50236</v>
      </c>
      <c r="AV213" s="375"/>
      <c r="AW213" s="375"/>
      <c r="AX213" s="375"/>
      <c r="AY213" s="375"/>
      <c r="AZ213" s="375"/>
      <c r="BA213" s="375"/>
      <c r="BB213" s="375"/>
      <c r="BC213" s="375"/>
      <c r="BD213" s="375">
        <v>7.6249999999999998E-2</v>
      </c>
      <c r="BE213" s="375">
        <v>6.8750000000000006E-2</v>
      </c>
      <c r="BF213" s="375">
        <v>7.1249999999999994E-2</v>
      </c>
      <c r="BG213" s="375">
        <v>5.2499999999999998E-2</v>
      </c>
      <c r="BH213" s="375"/>
      <c r="BI213" s="373">
        <f t="shared" si="21"/>
        <v>6.7187499999999997E-2</v>
      </c>
      <c r="BJ213" s="378"/>
      <c r="BK213" s="375"/>
      <c r="BL213" s="375"/>
      <c r="BM213" s="375"/>
      <c r="BN213" s="375"/>
      <c r="BO213" s="375">
        <v>6.25E-2</v>
      </c>
      <c r="BP213" s="375">
        <v>4.7399999999999998E-2</v>
      </c>
      <c r="BQ213" s="377"/>
      <c r="BR213" s="380">
        <f t="shared" si="22"/>
        <v>5.4949999999999999E-2</v>
      </c>
      <c r="BT213" s="367">
        <v>50236</v>
      </c>
      <c r="BU213" s="375">
        <f t="shared" si="23"/>
        <v>4.9583333333333333E-2</v>
      </c>
      <c r="BV213" s="375">
        <f t="shared" si="24"/>
        <v>5.4166666666666669E-2</v>
      </c>
      <c r="BW213" s="377">
        <f t="shared" si="25"/>
        <v>4.9583333333333333E-2</v>
      </c>
    </row>
    <row r="214" spans="1:75" x14ac:dyDescent="0.15">
      <c r="A214" s="356"/>
      <c r="B214" s="355"/>
      <c r="C214" s="355"/>
      <c r="D214" s="355"/>
      <c r="E214" s="355"/>
      <c r="F214" s="355"/>
      <c r="G214" s="355"/>
      <c r="O214" s="356"/>
      <c r="P214" s="355"/>
      <c r="Q214" s="355"/>
      <c r="R214" s="355"/>
      <c r="S214" s="355"/>
      <c r="T214" s="355"/>
      <c r="U214" s="355"/>
      <c r="V214" s="355"/>
      <c r="W214" s="355"/>
      <c r="AG214" s="355"/>
      <c r="AH214" s="355"/>
      <c r="AI214" s="355"/>
      <c r="AJ214" s="355"/>
      <c r="AK214" s="355"/>
      <c r="AL214" s="355"/>
      <c r="AM214" s="355"/>
      <c r="AU214" s="379">
        <v>50267</v>
      </c>
      <c r="AV214" s="375"/>
      <c r="AW214" s="375"/>
      <c r="AX214" s="375"/>
      <c r="AY214" s="375"/>
      <c r="AZ214" s="375"/>
      <c r="BA214" s="375"/>
      <c r="BB214" s="375"/>
      <c r="BC214" s="375"/>
      <c r="BD214" s="375">
        <v>7.6249999999999998E-2</v>
      </c>
      <c r="BE214" s="375">
        <v>6.8750000000000006E-2</v>
      </c>
      <c r="BF214" s="375">
        <v>7.1249999999999994E-2</v>
      </c>
      <c r="BG214" s="375">
        <v>5.2499999999999998E-2</v>
      </c>
      <c r="BH214" s="375"/>
      <c r="BI214" s="373">
        <f t="shared" si="21"/>
        <v>6.7187499999999997E-2</v>
      </c>
      <c r="BJ214" s="378"/>
      <c r="BK214" s="375"/>
      <c r="BL214" s="375"/>
      <c r="BM214" s="375"/>
      <c r="BN214" s="375"/>
      <c r="BO214" s="375">
        <v>6.25E-2</v>
      </c>
      <c r="BP214" s="375">
        <v>4.7399999999999998E-2</v>
      </c>
      <c r="BQ214" s="377"/>
      <c r="BR214" s="380">
        <f t="shared" si="22"/>
        <v>5.4949999999999999E-2</v>
      </c>
      <c r="BT214" s="367">
        <v>50267</v>
      </c>
      <c r="BU214" s="375">
        <f t="shared" si="23"/>
        <v>4.9583333333333333E-2</v>
      </c>
      <c r="BV214" s="375">
        <f t="shared" si="24"/>
        <v>5.4166666666666669E-2</v>
      </c>
      <c r="BW214" s="377">
        <f t="shared" si="25"/>
        <v>4.9583333333333333E-2</v>
      </c>
    </row>
    <row r="215" spans="1:75" x14ac:dyDescent="0.15">
      <c r="A215" s="356"/>
      <c r="B215" s="355"/>
      <c r="C215" s="355"/>
      <c r="D215" s="355"/>
      <c r="E215" s="355"/>
      <c r="F215" s="355"/>
      <c r="G215" s="355"/>
      <c r="O215" s="356"/>
      <c r="P215" s="355"/>
      <c r="Q215" s="355"/>
      <c r="R215" s="355"/>
      <c r="S215" s="355"/>
      <c r="T215" s="355"/>
      <c r="U215" s="355"/>
      <c r="V215" s="355"/>
      <c r="W215" s="355"/>
      <c r="AG215" s="355"/>
      <c r="AH215" s="355"/>
      <c r="AI215" s="355"/>
      <c r="AJ215" s="355"/>
      <c r="AK215" s="355"/>
      <c r="AL215" s="355"/>
      <c r="AM215" s="355"/>
      <c r="AU215" s="379">
        <v>50298</v>
      </c>
      <c r="AV215" s="375"/>
      <c r="AW215" s="375"/>
      <c r="AX215" s="375"/>
      <c r="AY215" s="375"/>
      <c r="AZ215" s="375"/>
      <c r="BA215" s="375"/>
      <c r="BB215" s="375"/>
      <c r="BC215" s="375"/>
      <c r="BD215" s="375">
        <v>7.6249999999999998E-2</v>
      </c>
      <c r="BE215" s="375">
        <v>6.8750000000000006E-2</v>
      </c>
      <c r="BF215" s="375">
        <v>7.1249999999999994E-2</v>
      </c>
      <c r="BG215" s="375">
        <v>5.2499999999999998E-2</v>
      </c>
      <c r="BH215" s="375"/>
      <c r="BI215" s="373">
        <f t="shared" si="21"/>
        <v>6.7187499999999997E-2</v>
      </c>
      <c r="BJ215" s="378"/>
      <c r="BK215" s="375"/>
      <c r="BL215" s="375"/>
      <c r="BM215" s="375"/>
      <c r="BN215" s="375"/>
      <c r="BO215" s="375">
        <v>6.25E-2</v>
      </c>
      <c r="BP215" s="375">
        <v>4.7399999999999998E-2</v>
      </c>
      <c r="BQ215" s="377"/>
      <c r="BR215" s="380">
        <f t="shared" si="22"/>
        <v>5.4949999999999999E-2</v>
      </c>
      <c r="BT215" s="367">
        <v>50298</v>
      </c>
      <c r="BU215" s="375">
        <f t="shared" si="23"/>
        <v>4.9583333333333333E-2</v>
      </c>
      <c r="BV215" s="375">
        <f t="shared" si="24"/>
        <v>5.4166666666666669E-2</v>
      </c>
      <c r="BW215" s="377">
        <f t="shared" si="25"/>
        <v>4.9583333333333333E-2</v>
      </c>
    </row>
    <row r="216" spans="1:75" x14ac:dyDescent="0.15">
      <c r="A216" s="356"/>
      <c r="B216" s="355"/>
      <c r="C216" s="355"/>
      <c r="D216" s="355"/>
      <c r="E216" s="355"/>
      <c r="F216" s="355"/>
      <c r="G216" s="355"/>
      <c r="O216" s="356"/>
      <c r="P216" s="355"/>
      <c r="Q216" s="355"/>
      <c r="R216" s="355"/>
      <c r="S216" s="355"/>
      <c r="T216" s="355"/>
      <c r="U216" s="355"/>
      <c r="V216" s="355"/>
      <c r="W216" s="355"/>
      <c r="AG216" s="355"/>
      <c r="AH216" s="355"/>
      <c r="AI216" s="355"/>
      <c r="AJ216" s="355"/>
      <c r="AK216" s="355"/>
      <c r="AL216" s="355"/>
      <c r="AM216" s="355"/>
      <c r="AU216" s="379">
        <v>50328</v>
      </c>
      <c r="AV216" s="375"/>
      <c r="AW216" s="375"/>
      <c r="AX216" s="375"/>
      <c r="AY216" s="375"/>
      <c r="AZ216" s="375"/>
      <c r="BA216" s="375"/>
      <c r="BB216" s="375"/>
      <c r="BC216" s="375"/>
      <c r="BD216" s="375">
        <v>7.6249999999999998E-2</v>
      </c>
      <c r="BE216" s="375">
        <v>6.8750000000000006E-2</v>
      </c>
      <c r="BF216" s="375">
        <v>7.1249999999999994E-2</v>
      </c>
      <c r="BG216" s="375">
        <v>5.2499999999999998E-2</v>
      </c>
      <c r="BH216" s="375"/>
      <c r="BI216" s="373">
        <f t="shared" si="21"/>
        <v>6.7187499999999997E-2</v>
      </c>
      <c r="BJ216" s="378"/>
      <c r="BK216" s="375"/>
      <c r="BL216" s="375"/>
      <c r="BM216" s="375"/>
      <c r="BN216" s="375"/>
      <c r="BO216" s="375">
        <v>6.25E-2</v>
      </c>
      <c r="BP216" s="375">
        <v>4.7399999999999998E-2</v>
      </c>
      <c r="BQ216" s="377"/>
      <c r="BR216" s="380">
        <f t="shared" si="22"/>
        <v>5.4949999999999999E-2</v>
      </c>
      <c r="BT216" s="367">
        <v>50328</v>
      </c>
      <c r="BU216" s="375">
        <f t="shared" si="23"/>
        <v>4.9583333333333333E-2</v>
      </c>
      <c r="BV216" s="375">
        <f t="shared" si="24"/>
        <v>5.4166666666666669E-2</v>
      </c>
      <c r="BW216" s="377">
        <f t="shared" si="25"/>
        <v>4.9583333333333333E-2</v>
      </c>
    </row>
    <row r="217" spans="1:75" x14ac:dyDescent="0.15">
      <c r="A217" s="356"/>
      <c r="B217" s="355"/>
      <c r="C217" s="355"/>
      <c r="D217" s="355"/>
      <c r="E217" s="355"/>
      <c r="F217" s="355"/>
      <c r="G217" s="355"/>
      <c r="O217" s="356"/>
      <c r="P217" s="355"/>
      <c r="Q217" s="355"/>
      <c r="R217" s="355"/>
      <c r="S217" s="355"/>
      <c r="T217" s="355"/>
      <c r="U217" s="355"/>
      <c r="V217" s="355"/>
      <c r="W217" s="355"/>
      <c r="AG217" s="355"/>
      <c r="AH217" s="355"/>
      <c r="AI217" s="355"/>
      <c r="AJ217" s="355"/>
      <c r="AK217" s="355"/>
      <c r="AL217" s="355"/>
      <c r="AM217" s="355"/>
      <c r="AU217" s="379">
        <v>50359</v>
      </c>
      <c r="AV217" s="375"/>
      <c r="AW217" s="375"/>
      <c r="AX217" s="375"/>
      <c r="AY217" s="375"/>
      <c r="AZ217" s="375"/>
      <c r="BA217" s="375"/>
      <c r="BB217" s="375"/>
      <c r="BC217" s="375"/>
      <c r="BD217" s="375">
        <v>7.6249999999999998E-2</v>
      </c>
      <c r="BE217" s="375">
        <v>6.8750000000000006E-2</v>
      </c>
      <c r="BF217" s="375">
        <v>7.1249999999999994E-2</v>
      </c>
      <c r="BG217" s="375">
        <v>5.2499999999999998E-2</v>
      </c>
      <c r="BH217" s="375"/>
      <c r="BI217" s="373">
        <f t="shared" si="21"/>
        <v>6.7187499999999997E-2</v>
      </c>
      <c r="BJ217" s="378"/>
      <c r="BK217" s="375"/>
      <c r="BL217" s="375"/>
      <c r="BM217" s="375"/>
      <c r="BN217" s="375"/>
      <c r="BO217" s="375">
        <v>6.25E-2</v>
      </c>
      <c r="BP217" s="375">
        <v>4.7399999999999998E-2</v>
      </c>
      <c r="BQ217" s="377"/>
      <c r="BR217" s="380">
        <f t="shared" si="22"/>
        <v>5.4949999999999999E-2</v>
      </c>
      <c r="BT217" s="367">
        <v>50359</v>
      </c>
      <c r="BU217" s="375">
        <f t="shared" si="23"/>
        <v>4.9583333333333333E-2</v>
      </c>
      <c r="BV217" s="375">
        <f t="shared" si="24"/>
        <v>5.4166666666666669E-2</v>
      </c>
      <c r="BW217" s="377">
        <f t="shared" si="25"/>
        <v>4.9583333333333333E-2</v>
      </c>
    </row>
    <row r="218" spans="1:75" x14ac:dyDescent="0.15">
      <c r="A218" s="356"/>
      <c r="B218" s="355"/>
      <c r="C218" s="355"/>
      <c r="D218" s="355"/>
      <c r="E218" s="355"/>
      <c r="F218" s="355"/>
      <c r="G218" s="355"/>
      <c r="O218" s="356"/>
      <c r="P218" s="355"/>
      <c r="Q218" s="355"/>
      <c r="R218" s="355"/>
      <c r="S218" s="355"/>
      <c r="T218" s="355"/>
      <c r="U218" s="355"/>
      <c r="V218" s="355"/>
      <c r="W218" s="355"/>
      <c r="AG218" s="355"/>
      <c r="AH218" s="355"/>
      <c r="AI218" s="355"/>
      <c r="AJ218" s="355"/>
      <c r="AK218" s="355"/>
      <c r="AL218" s="355"/>
      <c r="AM218" s="355"/>
      <c r="AU218" s="379">
        <v>50389</v>
      </c>
      <c r="AV218" s="375"/>
      <c r="AW218" s="375"/>
      <c r="AX218" s="375"/>
      <c r="AY218" s="375"/>
      <c r="AZ218" s="375"/>
      <c r="BA218" s="375"/>
      <c r="BB218" s="375"/>
      <c r="BC218" s="375"/>
      <c r="BD218" s="375">
        <v>7.6249999999999998E-2</v>
      </c>
      <c r="BE218" s="375">
        <v>6.8750000000000006E-2</v>
      </c>
      <c r="BF218" s="375">
        <v>7.1249999999999994E-2</v>
      </c>
      <c r="BG218" s="375">
        <v>5.2499999999999998E-2</v>
      </c>
      <c r="BH218" s="375"/>
      <c r="BI218" s="373">
        <f t="shared" si="21"/>
        <v>6.7187499999999997E-2</v>
      </c>
      <c r="BJ218" s="378"/>
      <c r="BK218" s="375"/>
      <c r="BL218" s="375"/>
      <c r="BM218" s="375"/>
      <c r="BN218" s="375"/>
      <c r="BO218" s="375">
        <v>6.25E-2</v>
      </c>
      <c r="BP218" s="375">
        <v>4.7399999999999998E-2</v>
      </c>
      <c r="BQ218" s="377"/>
      <c r="BR218" s="380">
        <f t="shared" si="22"/>
        <v>5.4949999999999999E-2</v>
      </c>
      <c r="BT218" s="367">
        <v>50389</v>
      </c>
      <c r="BU218" s="375">
        <f t="shared" si="23"/>
        <v>4.9583333333333333E-2</v>
      </c>
      <c r="BV218" s="375">
        <f t="shared" si="24"/>
        <v>5.4166666666666669E-2</v>
      </c>
      <c r="BW218" s="377">
        <f t="shared" si="25"/>
        <v>4.9583333333333333E-2</v>
      </c>
    </row>
    <row r="219" spans="1:75" x14ac:dyDescent="0.15">
      <c r="A219" s="356"/>
      <c r="B219" s="355"/>
      <c r="C219" s="355"/>
      <c r="D219" s="355"/>
      <c r="E219" s="355"/>
      <c r="F219" s="355"/>
      <c r="G219" s="355"/>
      <c r="O219" s="356"/>
      <c r="P219" s="355"/>
      <c r="Q219" s="355"/>
      <c r="R219" s="355"/>
      <c r="S219" s="355"/>
      <c r="T219" s="355"/>
      <c r="U219" s="355"/>
      <c r="V219" s="355"/>
      <c r="W219" s="355"/>
      <c r="AG219" s="355"/>
      <c r="AH219" s="355"/>
      <c r="AI219" s="355"/>
      <c r="AJ219" s="355"/>
      <c r="AK219" s="355"/>
      <c r="AL219" s="355"/>
      <c r="AM219" s="355"/>
      <c r="AU219" s="379">
        <v>50420</v>
      </c>
      <c r="AV219" s="375"/>
      <c r="AW219" s="375"/>
      <c r="AX219" s="375"/>
      <c r="AY219" s="375"/>
      <c r="AZ219" s="375"/>
      <c r="BA219" s="375"/>
      <c r="BB219" s="375"/>
      <c r="BC219" s="375"/>
      <c r="BD219" s="375">
        <v>7.6249999999999998E-2</v>
      </c>
      <c r="BE219" s="375">
        <v>6.8750000000000006E-2</v>
      </c>
      <c r="BF219" s="375">
        <v>7.1249999999999994E-2</v>
      </c>
      <c r="BG219" s="375">
        <v>5.2499999999999998E-2</v>
      </c>
      <c r="BH219" s="375"/>
      <c r="BI219" s="373">
        <f t="shared" si="21"/>
        <v>6.7187499999999997E-2</v>
      </c>
      <c r="BJ219" s="378"/>
      <c r="BK219" s="375"/>
      <c r="BL219" s="375"/>
      <c r="BM219" s="375"/>
      <c r="BN219" s="375"/>
      <c r="BO219" s="375">
        <v>6.25E-2</v>
      </c>
      <c r="BP219" s="375">
        <v>4.7399999999999998E-2</v>
      </c>
      <c r="BQ219" s="377"/>
      <c r="BR219" s="380">
        <f t="shared" si="22"/>
        <v>5.4949999999999999E-2</v>
      </c>
      <c r="BT219" s="367">
        <v>50420</v>
      </c>
      <c r="BU219" s="375">
        <f t="shared" si="23"/>
        <v>4.9583333333333333E-2</v>
      </c>
      <c r="BV219" s="375">
        <f t="shared" si="24"/>
        <v>5.4166666666666669E-2</v>
      </c>
      <c r="BW219" s="377">
        <f t="shared" si="25"/>
        <v>4.9583333333333333E-2</v>
      </c>
    </row>
    <row r="220" spans="1:75" x14ac:dyDescent="0.15">
      <c r="A220" s="356"/>
      <c r="B220" s="355"/>
      <c r="C220" s="355"/>
      <c r="D220" s="355"/>
      <c r="E220" s="355"/>
      <c r="F220" s="355"/>
      <c r="G220" s="355"/>
      <c r="O220" s="356"/>
      <c r="P220" s="355"/>
      <c r="Q220" s="355"/>
      <c r="R220" s="355"/>
      <c r="S220" s="355"/>
      <c r="T220" s="355"/>
      <c r="U220" s="355"/>
      <c r="V220" s="355"/>
      <c r="W220" s="355"/>
      <c r="AG220" s="355"/>
      <c r="AH220" s="355"/>
      <c r="AI220" s="355"/>
      <c r="AJ220" s="355"/>
      <c r="AK220" s="355"/>
      <c r="AL220" s="355"/>
      <c r="AM220" s="355"/>
      <c r="AU220" s="379">
        <v>50451</v>
      </c>
      <c r="AV220" s="375"/>
      <c r="AW220" s="375"/>
      <c r="AX220" s="375"/>
      <c r="AY220" s="375"/>
      <c r="AZ220" s="375"/>
      <c r="BA220" s="375"/>
      <c r="BB220" s="375"/>
      <c r="BC220" s="375"/>
      <c r="BD220" s="375">
        <v>7.6249999999999998E-2</v>
      </c>
      <c r="BE220" s="375">
        <v>6.8750000000000006E-2</v>
      </c>
      <c r="BF220" s="375">
        <v>7.1249999999999994E-2</v>
      </c>
      <c r="BG220" s="375">
        <v>5.2499999999999998E-2</v>
      </c>
      <c r="BH220" s="375"/>
      <c r="BI220" s="373">
        <f t="shared" si="21"/>
        <v>6.7187499999999997E-2</v>
      </c>
      <c r="BJ220" s="378"/>
      <c r="BK220" s="375"/>
      <c r="BL220" s="375"/>
      <c r="BM220" s="375"/>
      <c r="BN220" s="375"/>
      <c r="BO220" s="375">
        <v>6.25E-2</v>
      </c>
      <c r="BP220" s="375">
        <v>4.7399999999999998E-2</v>
      </c>
      <c r="BQ220" s="377"/>
      <c r="BR220" s="380">
        <f t="shared" si="22"/>
        <v>5.4949999999999999E-2</v>
      </c>
      <c r="BT220" s="367">
        <v>50451</v>
      </c>
      <c r="BU220" s="375">
        <f t="shared" si="23"/>
        <v>4.9583333333333333E-2</v>
      </c>
      <c r="BV220" s="375">
        <f t="shared" si="24"/>
        <v>5.4166666666666669E-2</v>
      </c>
      <c r="BW220" s="377">
        <f t="shared" si="25"/>
        <v>4.9583333333333333E-2</v>
      </c>
    </row>
    <row r="221" spans="1:75" x14ac:dyDescent="0.15">
      <c r="A221" s="356"/>
      <c r="B221" s="355"/>
      <c r="C221" s="355"/>
      <c r="D221" s="355"/>
      <c r="E221" s="355"/>
      <c r="F221" s="355"/>
      <c r="G221" s="355"/>
      <c r="O221" s="356"/>
      <c r="P221" s="355"/>
      <c r="Q221" s="355"/>
      <c r="R221" s="355"/>
      <c r="S221" s="355"/>
      <c r="T221" s="355"/>
      <c r="U221" s="355"/>
      <c r="V221" s="355"/>
      <c r="W221" s="355"/>
      <c r="AG221" s="355"/>
      <c r="AH221" s="355"/>
      <c r="AI221" s="355"/>
      <c r="AJ221" s="355"/>
      <c r="AK221" s="355"/>
      <c r="AL221" s="355"/>
      <c r="AM221" s="355"/>
      <c r="AU221" s="379">
        <v>50479</v>
      </c>
      <c r="AV221" s="375"/>
      <c r="AW221" s="375"/>
      <c r="AX221" s="375"/>
      <c r="AY221" s="375"/>
      <c r="AZ221" s="375"/>
      <c r="BA221" s="375"/>
      <c r="BB221" s="375"/>
      <c r="BC221" s="375"/>
      <c r="BD221" s="375">
        <v>7.6249999999999998E-2</v>
      </c>
      <c r="BE221" s="375">
        <v>6.8750000000000006E-2</v>
      </c>
      <c r="BF221" s="375">
        <v>7.1249999999999994E-2</v>
      </c>
      <c r="BG221" s="375">
        <v>5.2499999999999998E-2</v>
      </c>
      <c r="BH221" s="375"/>
      <c r="BI221" s="373">
        <f t="shared" si="21"/>
        <v>6.7187499999999997E-2</v>
      </c>
      <c r="BJ221" s="378"/>
      <c r="BK221" s="375"/>
      <c r="BL221" s="375"/>
      <c r="BM221" s="375"/>
      <c r="BN221" s="375"/>
      <c r="BO221" s="375">
        <v>6.25E-2</v>
      </c>
      <c r="BP221" s="375">
        <v>4.7399999999999998E-2</v>
      </c>
      <c r="BQ221" s="377"/>
      <c r="BR221" s="380">
        <f t="shared" si="22"/>
        <v>5.4949999999999999E-2</v>
      </c>
      <c r="BT221" s="367">
        <v>50479</v>
      </c>
      <c r="BU221" s="375">
        <f t="shared" si="23"/>
        <v>4.9583333333333333E-2</v>
      </c>
      <c r="BV221" s="375">
        <f t="shared" si="24"/>
        <v>5.4166666666666669E-2</v>
      </c>
      <c r="BW221" s="377">
        <f t="shared" si="25"/>
        <v>4.9583333333333333E-2</v>
      </c>
    </row>
    <row r="222" spans="1:75" x14ac:dyDescent="0.15">
      <c r="A222" s="356"/>
      <c r="B222" s="355"/>
      <c r="C222" s="355"/>
      <c r="D222" s="355"/>
      <c r="E222" s="355"/>
      <c r="F222" s="355"/>
      <c r="G222" s="355"/>
      <c r="O222" s="356"/>
      <c r="P222" s="355"/>
      <c r="Q222" s="355"/>
      <c r="R222" s="355"/>
      <c r="S222" s="355"/>
      <c r="T222" s="355"/>
      <c r="U222" s="355"/>
      <c r="V222" s="355"/>
      <c r="W222" s="355"/>
      <c r="AG222" s="355"/>
      <c r="AH222" s="355"/>
      <c r="AI222" s="355"/>
      <c r="AJ222" s="355"/>
      <c r="AK222" s="355"/>
      <c r="AL222" s="355"/>
      <c r="AM222" s="355"/>
      <c r="AU222" s="379">
        <v>50510</v>
      </c>
      <c r="AV222" s="375"/>
      <c r="AW222" s="375"/>
      <c r="AX222" s="375"/>
      <c r="AY222" s="375"/>
      <c r="AZ222" s="375"/>
      <c r="BA222" s="375"/>
      <c r="BB222" s="375"/>
      <c r="BC222" s="375"/>
      <c r="BD222" s="375">
        <v>7.6249999999999998E-2</v>
      </c>
      <c r="BE222" s="375">
        <v>6.8750000000000006E-2</v>
      </c>
      <c r="BF222" s="375">
        <v>7.1249999999999994E-2</v>
      </c>
      <c r="BG222" s="375">
        <v>5.2499999999999998E-2</v>
      </c>
      <c r="BH222" s="375"/>
      <c r="BI222" s="373">
        <f t="shared" si="21"/>
        <v>6.7187499999999997E-2</v>
      </c>
      <c r="BJ222" s="378"/>
      <c r="BK222" s="375"/>
      <c r="BL222" s="375"/>
      <c r="BM222" s="375"/>
      <c r="BN222" s="375"/>
      <c r="BO222" s="375">
        <v>6.25E-2</v>
      </c>
      <c r="BP222" s="375">
        <v>4.7399999999999998E-2</v>
      </c>
      <c r="BQ222" s="377"/>
      <c r="BR222" s="380">
        <f t="shared" si="22"/>
        <v>5.4949999999999999E-2</v>
      </c>
      <c r="BT222" s="367">
        <v>50510</v>
      </c>
      <c r="BU222" s="375">
        <f t="shared" si="23"/>
        <v>4.9583333333333333E-2</v>
      </c>
      <c r="BV222" s="375">
        <f t="shared" si="24"/>
        <v>5.4166666666666669E-2</v>
      </c>
      <c r="BW222" s="377">
        <f t="shared" si="25"/>
        <v>4.9583333333333333E-2</v>
      </c>
    </row>
    <row r="223" spans="1:75" x14ac:dyDescent="0.15">
      <c r="A223" s="356"/>
      <c r="B223" s="355"/>
      <c r="C223" s="355"/>
      <c r="D223" s="355"/>
      <c r="E223" s="355"/>
      <c r="F223" s="355"/>
      <c r="G223" s="355"/>
      <c r="O223" s="356"/>
      <c r="P223" s="355"/>
      <c r="Q223" s="355"/>
      <c r="R223" s="355"/>
      <c r="S223" s="355"/>
      <c r="T223" s="355"/>
      <c r="U223" s="355"/>
      <c r="V223" s="355"/>
      <c r="W223" s="355"/>
      <c r="AG223" s="355"/>
      <c r="AH223" s="355"/>
      <c r="AI223" s="355"/>
      <c r="AJ223" s="355"/>
      <c r="AK223" s="355"/>
      <c r="AL223" s="355"/>
      <c r="AM223" s="355"/>
      <c r="AU223" s="379">
        <v>50540</v>
      </c>
      <c r="AV223" s="375"/>
      <c r="AW223" s="375"/>
      <c r="AX223" s="375"/>
      <c r="AY223" s="375"/>
      <c r="AZ223" s="375"/>
      <c r="BA223" s="375"/>
      <c r="BB223" s="375"/>
      <c r="BC223" s="375"/>
      <c r="BD223" s="375">
        <v>7.6249999999999998E-2</v>
      </c>
      <c r="BE223" s="375">
        <v>6.8750000000000006E-2</v>
      </c>
      <c r="BF223" s="375">
        <v>7.1249999999999994E-2</v>
      </c>
      <c r="BG223" s="375">
        <v>5.2499999999999998E-2</v>
      </c>
      <c r="BH223" s="375"/>
      <c r="BI223" s="373">
        <f t="shared" si="21"/>
        <v>6.7187499999999997E-2</v>
      </c>
      <c r="BJ223" s="378"/>
      <c r="BK223" s="375"/>
      <c r="BL223" s="375"/>
      <c r="BM223" s="375"/>
      <c r="BN223" s="375"/>
      <c r="BO223" s="375">
        <v>6.25E-2</v>
      </c>
      <c r="BP223" s="375">
        <v>4.7399999999999998E-2</v>
      </c>
      <c r="BQ223" s="377"/>
      <c r="BR223" s="380">
        <f t="shared" si="22"/>
        <v>5.4949999999999999E-2</v>
      </c>
      <c r="BT223" s="367">
        <v>50540</v>
      </c>
      <c r="BU223" s="375">
        <f t="shared" si="23"/>
        <v>4.9583333333333333E-2</v>
      </c>
      <c r="BV223" s="375">
        <f t="shared" si="24"/>
        <v>5.4166666666666669E-2</v>
      </c>
      <c r="BW223" s="377">
        <f t="shared" si="25"/>
        <v>4.9583333333333333E-2</v>
      </c>
    </row>
    <row r="224" spans="1:75" x14ac:dyDescent="0.15">
      <c r="A224" s="356"/>
      <c r="B224" s="355"/>
      <c r="C224" s="355"/>
      <c r="D224" s="355"/>
      <c r="E224" s="355"/>
      <c r="F224" s="355"/>
      <c r="G224" s="355"/>
      <c r="O224" s="356"/>
      <c r="P224" s="355"/>
      <c r="Q224" s="355"/>
      <c r="R224" s="355"/>
      <c r="S224" s="355"/>
      <c r="T224" s="355"/>
      <c r="U224" s="355"/>
      <c r="V224" s="355"/>
      <c r="W224" s="355"/>
      <c r="AG224" s="355"/>
      <c r="AH224" s="355"/>
      <c r="AI224" s="355"/>
      <c r="AJ224" s="355"/>
      <c r="AK224" s="355"/>
      <c r="AL224" s="355"/>
      <c r="AM224" s="355"/>
      <c r="AU224" s="379">
        <v>50571</v>
      </c>
      <c r="AV224" s="375"/>
      <c r="AW224" s="375"/>
      <c r="AX224" s="375"/>
      <c r="AY224" s="375"/>
      <c r="AZ224" s="375"/>
      <c r="BA224" s="375"/>
      <c r="BB224" s="375"/>
      <c r="BC224" s="375"/>
      <c r="BD224" s="375">
        <v>7.6249999999999998E-2</v>
      </c>
      <c r="BE224" s="375">
        <v>6.8750000000000006E-2</v>
      </c>
      <c r="BF224" s="375">
        <v>7.1249999999999994E-2</v>
      </c>
      <c r="BG224" s="375">
        <v>5.2499999999999998E-2</v>
      </c>
      <c r="BH224" s="375"/>
      <c r="BI224" s="373">
        <f t="shared" si="21"/>
        <v>6.7187499999999997E-2</v>
      </c>
      <c r="BJ224" s="378"/>
      <c r="BK224" s="375"/>
      <c r="BL224" s="375"/>
      <c r="BM224" s="375"/>
      <c r="BN224" s="375"/>
      <c r="BO224" s="375">
        <v>6.25E-2</v>
      </c>
      <c r="BP224" s="375">
        <v>4.7399999999999998E-2</v>
      </c>
      <c r="BQ224" s="377"/>
      <c r="BR224" s="380">
        <f t="shared" si="22"/>
        <v>5.4949999999999999E-2</v>
      </c>
      <c r="BT224" s="367">
        <v>50571</v>
      </c>
      <c r="BU224" s="375">
        <f t="shared" si="23"/>
        <v>4.9583333333333333E-2</v>
      </c>
      <c r="BV224" s="375">
        <f t="shared" si="24"/>
        <v>5.4166666666666669E-2</v>
      </c>
      <c r="BW224" s="377">
        <f t="shared" si="25"/>
        <v>4.9583333333333333E-2</v>
      </c>
    </row>
    <row r="225" spans="1:75" x14ac:dyDescent="0.15">
      <c r="A225" s="356"/>
      <c r="B225" s="355"/>
      <c r="C225" s="355"/>
      <c r="D225" s="355"/>
      <c r="E225" s="355"/>
      <c r="F225" s="355"/>
      <c r="G225" s="355"/>
      <c r="O225" s="356"/>
      <c r="P225" s="355"/>
      <c r="Q225" s="355"/>
      <c r="R225" s="355"/>
      <c r="S225" s="355"/>
      <c r="T225" s="355"/>
      <c r="U225" s="355"/>
      <c r="V225" s="355"/>
      <c r="W225" s="355"/>
      <c r="AG225" s="355"/>
      <c r="AH225" s="355"/>
      <c r="AI225" s="355"/>
      <c r="AJ225" s="355"/>
      <c r="AK225" s="355"/>
      <c r="AL225" s="355"/>
      <c r="AM225" s="355"/>
      <c r="AU225" s="379">
        <v>50601</v>
      </c>
      <c r="AV225" s="375"/>
      <c r="AW225" s="375"/>
      <c r="AX225" s="375"/>
      <c r="AY225" s="375"/>
      <c r="AZ225" s="375"/>
      <c r="BA225" s="375"/>
      <c r="BB225" s="375"/>
      <c r="BC225" s="375"/>
      <c r="BD225" s="375">
        <v>7.6249999999999998E-2</v>
      </c>
      <c r="BE225" s="375">
        <v>6.8750000000000006E-2</v>
      </c>
      <c r="BF225" s="375">
        <v>7.1249999999999994E-2</v>
      </c>
      <c r="BG225" s="375">
        <v>5.2499999999999998E-2</v>
      </c>
      <c r="BH225" s="375"/>
      <c r="BI225" s="373">
        <f t="shared" si="21"/>
        <v>6.7187499999999997E-2</v>
      </c>
      <c r="BJ225" s="378"/>
      <c r="BK225" s="375"/>
      <c r="BL225" s="375"/>
      <c r="BM225" s="375"/>
      <c r="BN225" s="375"/>
      <c r="BO225" s="375">
        <v>6.25E-2</v>
      </c>
      <c r="BP225" s="375">
        <v>4.7399999999999998E-2</v>
      </c>
      <c r="BQ225" s="377"/>
      <c r="BR225" s="380">
        <f t="shared" si="22"/>
        <v>5.4949999999999999E-2</v>
      </c>
      <c r="BT225" s="367">
        <v>50601</v>
      </c>
      <c r="BU225" s="375">
        <f t="shared" si="23"/>
        <v>4.9583333333333333E-2</v>
      </c>
      <c r="BV225" s="375">
        <f t="shared" si="24"/>
        <v>5.4166666666666669E-2</v>
      </c>
      <c r="BW225" s="377">
        <f t="shared" si="25"/>
        <v>4.9583333333333333E-2</v>
      </c>
    </row>
    <row r="226" spans="1:75" x14ac:dyDescent="0.15">
      <c r="A226" s="356"/>
      <c r="B226" s="355"/>
      <c r="C226" s="355"/>
      <c r="D226" s="355"/>
      <c r="E226" s="355"/>
      <c r="F226" s="355"/>
      <c r="G226" s="355"/>
      <c r="O226" s="356"/>
      <c r="P226" s="355"/>
      <c r="Q226" s="355"/>
      <c r="R226" s="355"/>
      <c r="S226" s="355"/>
      <c r="T226" s="355"/>
      <c r="U226" s="355"/>
      <c r="V226" s="355"/>
      <c r="W226" s="355"/>
      <c r="AG226" s="355"/>
      <c r="AH226" s="355"/>
      <c r="AI226" s="355"/>
      <c r="AJ226" s="355"/>
      <c r="AK226" s="355"/>
      <c r="AL226" s="355"/>
      <c r="AM226" s="355"/>
      <c r="AU226" s="379">
        <v>50632</v>
      </c>
      <c r="AV226" s="375"/>
      <c r="AW226" s="375"/>
      <c r="AX226" s="375"/>
      <c r="AY226" s="375"/>
      <c r="AZ226" s="375"/>
      <c r="BA226" s="375"/>
      <c r="BB226" s="375"/>
      <c r="BC226" s="375"/>
      <c r="BD226" s="375">
        <v>7.6249999999999998E-2</v>
      </c>
      <c r="BE226" s="375">
        <v>6.8750000000000006E-2</v>
      </c>
      <c r="BF226" s="375">
        <v>7.1249999999999994E-2</v>
      </c>
      <c r="BG226" s="375">
        <v>5.2499999999999998E-2</v>
      </c>
      <c r="BH226" s="375"/>
      <c r="BI226" s="373">
        <f t="shared" si="21"/>
        <v>6.7187499999999997E-2</v>
      </c>
      <c r="BJ226" s="378"/>
      <c r="BK226" s="375"/>
      <c r="BL226" s="375"/>
      <c r="BM226" s="375"/>
      <c r="BN226" s="375"/>
      <c r="BO226" s="375">
        <v>6.25E-2</v>
      </c>
      <c r="BP226" s="375">
        <v>4.7399999999999998E-2</v>
      </c>
      <c r="BQ226" s="377"/>
      <c r="BR226" s="380">
        <f t="shared" si="22"/>
        <v>5.4949999999999999E-2</v>
      </c>
      <c r="BT226" s="367">
        <v>50632</v>
      </c>
      <c r="BU226" s="375">
        <f t="shared" si="23"/>
        <v>4.9583333333333333E-2</v>
      </c>
      <c r="BV226" s="375">
        <f t="shared" si="24"/>
        <v>5.4166666666666669E-2</v>
      </c>
      <c r="BW226" s="377">
        <f t="shared" si="25"/>
        <v>4.9583333333333333E-2</v>
      </c>
    </row>
    <row r="227" spans="1:75" x14ac:dyDescent="0.15">
      <c r="A227" s="356"/>
      <c r="B227" s="355"/>
      <c r="C227" s="355"/>
      <c r="D227" s="355"/>
      <c r="E227" s="355"/>
      <c r="F227" s="355"/>
      <c r="G227" s="355"/>
      <c r="O227" s="356"/>
      <c r="P227" s="355"/>
      <c r="Q227" s="355"/>
      <c r="R227" s="355"/>
      <c r="S227" s="355"/>
      <c r="T227" s="355"/>
      <c r="U227" s="355"/>
      <c r="V227" s="355"/>
      <c r="W227" s="355"/>
      <c r="AG227" s="355"/>
      <c r="AH227" s="355"/>
      <c r="AI227" s="355"/>
      <c r="AJ227" s="355"/>
      <c r="AK227" s="355"/>
      <c r="AL227" s="355"/>
      <c r="AM227" s="355"/>
      <c r="AU227" s="379">
        <v>50663</v>
      </c>
      <c r="AV227" s="375"/>
      <c r="AW227" s="375"/>
      <c r="AX227" s="375"/>
      <c r="AY227" s="375"/>
      <c r="AZ227" s="375"/>
      <c r="BA227" s="375"/>
      <c r="BB227" s="375"/>
      <c r="BC227" s="375"/>
      <c r="BD227" s="375">
        <v>7.6249999999999998E-2</v>
      </c>
      <c r="BE227" s="375">
        <v>6.8750000000000006E-2</v>
      </c>
      <c r="BF227" s="375">
        <v>7.1249999999999994E-2</v>
      </c>
      <c r="BG227" s="375">
        <v>5.2499999999999998E-2</v>
      </c>
      <c r="BH227" s="375"/>
      <c r="BI227" s="373">
        <f t="shared" si="21"/>
        <v>6.7187499999999997E-2</v>
      </c>
      <c r="BJ227" s="378"/>
      <c r="BK227" s="375"/>
      <c r="BL227" s="375"/>
      <c r="BM227" s="375"/>
      <c r="BN227" s="375"/>
      <c r="BO227" s="375">
        <v>6.25E-2</v>
      </c>
      <c r="BP227" s="375">
        <v>4.7399999999999998E-2</v>
      </c>
      <c r="BQ227" s="377"/>
      <c r="BR227" s="380">
        <f t="shared" si="22"/>
        <v>5.4949999999999999E-2</v>
      </c>
      <c r="BT227" s="367">
        <v>50663</v>
      </c>
      <c r="BU227" s="375">
        <f t="shared" si="23"/>
        <v>4.9583333333333333E-2</v>
      </c>
      <c r="BV227" s="375">
        <f t="shared" si="24"/>
        <v>5.4166666666666669E-2</v>
      </c>
      <c r="BW227" s="377">
        <f t="shared" si="25"/>
        <v>4.9583333333333333E-2</v>
      </c>
    </row>
    <row r="228" spans="1:75" x14ac:dyDescent="0.15">
      <c r="A228" s="356"/>
      <c r="B228" s="355"/>
      <c r="C228" s="355"/>
      <c r="D228" s="355"/>
      <c r="E228" s="355"/>
      <c r="F228" s="355"/>
      <c r="G228" s="355"/>
      <c r="O228" s="356"/>
      <c r="P228" s="355"/>
      <c r="Q228" s="355"/>
      <c r="R228" s="355"/>
      <c r="S228" s="355"/>
      <c r="T228" s="355"/>
      <c r="U228" s="355"/>
      <c r="V228" s="355"/>
      <c r="W228" s="355"/>
      <c r="AG228" s="355"/>
      <c r="AH228" s="355"/>
      <c r="AI228" s="355"/>
      <c r="AJ228" s="355"/>
      <c r="AK228" s="355"/>
      <c r="AL228" s="355"/>
      <c r="AM228" s="355"/>
      <c r="AU228" s="379">
        <v>50693</v>
      </c>
      <c r="AV228" s="375"/>
      <c r="AW228" s="375"/>
      <c r="AX228" s="375"/>
      <c r="AY228" s="375"/>
      <c r="AZ228" s="375"/>
      <c r="BA228" s="375"/>
      <c r="BB228" s="375"/>
      <c r="BC228" s="375"/>
      <c r="BD228" s="375">
        <v>7.6249999999999998E-2</v>
      </c>
      <c r="BE228" s="375">
        <v>6.8750000000000006E-2</v>
      </c>
      <c r="BF228" s="375">
        <v>7.1249999999999994E-2</v>
      </c>
      <c r="BG228" s="375">
        <v>5.2499999999999998E-2</v>
      </c>
      <c r="BH228" s="375"/>
      <c r="BI228" s="373">
        <f t="shared" si="21"/>
        <v>6.7187499999999997E-2</v>
      </c>
      <c r="BJ228" s="378"/>
      <c r="BK228" s="375"/>
      <c r="BL228" s="375"/>
      <c r="BM228" s="375"/>
      <c r="BN228" s="375"/>
      <c r="BO228" s="375">
        <v>6.25E-2</v>
      </c>
      <c r="BP228" s="375">
        <v>4.7399999999999998E-2</v>
      </c>
      <c r="BQ228" s="377"/>
      <c r="BR228" s="380">
        <f t="shared" si="22"/>
        <v>5.4949999999999999E-2</v>
      </c>
      <c r="BT228" s="367">
        <v>50693</v>
      </c>
      <c r="BU228" s="375">
        <f t="shared" si="23"/>
        <v>4.9583333333333333E-2</v>
      </c>
      <c r="BV228" s="375">
        <f t="shared" si="24"/>
        <v>5.4166666666666669E-2</v>
      </c>
      <c r="BW228" s="377">
        <f t="shared" si="25"/>
        <v>4.9583333333333333E-2</v>
      </c>
    </row>
    <row r="229" spans="1:75" x14ac:dyDescent="0.15">
      <c r="A229" s="356"/>
      <c r="B229" s="355"/>
      <c r="C229" s="355"/>
      <c r="D229" s="355"/>
      <c r="E229" s="355"/>
      <c r="F229" s="355"/>
      <c r="G229" s="355"/>
      <c r="O229" s="356"/>
      <c r="P229" s="355"/>
      <c r="Q229" s="355"/>
      <c r="R229" s="355"/>
      <c r="S229" s="355"/>
      <c r="T229" s="355"/>
      <c r="U229" s="355"/>
      <c r="V229" s="355"/>
      <c r="W229" s="355"/>
      <c r="AG229" s="355"/>
      <c r="AH229" s="355"/>
      <c r="AI229" s="355"/>
      <c r="AJ229" s="355"/>
      <c r="AK229" s="355"/>
      <c r="AL229" s="355"/>
      <c r="AM229" s="355"/>
      <c r="AU229" s="379">
        <v>50724</v>
      </c>
      <c r="AV229" s="375"/>
      <c r="AW229" s="375"/>
      <c r="AX229" s="375"/>
      <c r="AY229" s="375"/>
      <c r="AZ229" s="375"/>
      <c r="BA229" s="375"/>
      <c r="BB229" s="375"/>
      <c r="BC229" s="375"/>
      <c r="BD229" s="375">
        <v>7.6249999999999998E-2</v>
      </c>
      <c r="BE229" s="375">
        <v>6.8750000000000006E-2</v>
      </c>
      <c r="BF229" s="375">
        <v>7.1249999999999994E-2</v>
      </c>
      <c r="BG229" s="375">
        <v>5.2499999999999998E-2</v>
      </c>
      <c r="BH229" s="375"/>
      <c r="BI229" s="373">
        <f t="shared" si="21"/>
        <v>6.7187499999999997E-2</v>
      </c>
      <c r="BJ229" s="378"/>
      <c r="BK229" s="375"/>
      <c r="BL229" s="375"/>
      <c r="BM229" s="375"/>
      <c r="BN229" s="375"/>
      <c r="BO229" s="375">
        <v>6.25E-2</v>
      </c>
      <c r="BP229" s="375">
        <v>4.7399999999999998E-2</v>
      </c>
      <c r="BQ229" s="377"/>
      <c r="BR229" s="380">
        <f t="shared" si="22"/>
        <v>5.4949999999999999E-2</v>
      </c>
      <c r="BT229" s="367">
        <v>50724</v>
      </c>
      <c r="BU229" s="375">
        <f t="shared" si="23"/>
        <v>4.9583333333333333E-2</v>
      </c>
      <c r="BV229" s="375">
        <f t="shared" si="24"/>
        <v>5.4166666666666669E-2</v>
      </c>
      <c r="BW229" s="377">
        <f t="shared" si="25"/>
        <v>4.9583333333333333E-2</v>
      </c>
    </row>
    <row r="230" spans="1:75" x14ac:dyDescent="0.15">
      <c r="A230" s="356"/>
      <c r="B230" s="355"/>
      <c r="C230" s="355"/>
      <c r="D230" s="355"/>
      <c r="E230" s="355"/>
      <c r="F230" s="355"/>
      <c r="G230" s="355"/>
      <c r="O230" s="356"/>
      <c r="P230" s="355"/>
      <c r="Q230" s="355"/>
      <c r="R230" s="355"/>
      <c r="S230" s="355"/>
      <c r="T230" s="355"/>
      <c r="U230" s="355"/>
      <c r="V230" s="355"/>
      <c r="W230" s="355"/>
      <c r="AG230" s="355"/>
      <c r="AH230" s="355"/>
      <c r="AI230" s="355"/>
      <c r="AJ230" s="355"/>
      <c r="AK230" s="355"/>
      <c r="AL230" s="355"/>
      <c r="AM230" s="355"/>
      <c r="AU230" s="379">
        <v>50754</v>
      </c>
      <c r="AV230" s="375"/>
      <c r="AW230" s="375"/>
      <c r="AX230" s="375"/>
      <c r="AY230" s="375"/>
      <c r="AZ230" s="375"/>
      <c r="BA230" s="375"/>
      <c r="BB230" s="375"/>
      <c r="BC230" s="375"/>
      <c r="BD230" s="375">
        <v>7.6249999999999998E-2</v>
      </c>
      <c r="BE230" s="375">
        <v>6.8750000000000006E-2</v>
      </c>
      <c r="BF230" s="375">
        <v>7.1249999999999994E-2</v>
      </c>
      <c r="BG230" s="375">
        <v>5.2499999999999998E-2</v>
      </c>
      <c r="BH230" s="375"/>
      <c r="BI230" s="373">
        <f t="shared" si="21"/>
        <v>6.7187499999999997E-2</v>
      </c>
      <c r="BJ230" s="378"/>
      <c r="BK230" s="375"/>
      <c r="BL230" s="375"/>
      <c r="BM230" s="375"/>
      <c r="BN230" s="375"/>
      <c r="BO230" s="375">
        <v>6.25E-2</v>
      </c>
      <c r="BP230" s="375">
        <v>4.7399999999999998E-2</v>
      </c>
      <c r="BQ230" s="377"/>
      <c r="BR230" s="380">
        <f t="shared" si="22"/>
        <v>5.4949999999999999E-2</v>
      </c>
      <c r="BT230" s="367">
        <v>50754</v>
      </c>
      <c r="BU230" s="375">
        <f t="shared" si="23"/>
        <v>4.9583333333333333E-2</v>
      </c>
      <c r="BV230" s="375">
        <f t="shared" si="24"/>
        <v>5.4166666666666669E-2</v>
      </c>
      <c r="BW230" s="377">
        <f t="shared" si="25"/>
        <v>4.9583333333333333E-2</v>
      </c>
    </row>
    <row r="231" spans="1:75" x14ac:dyDescent="0.15">
      <c r="A231" s="356"/>
      <c r="B231" s="355"/>
      <c r="C231" s="355"/>
      <c r="D231" s="355"/>
      <c r="E231" s="355"/>
      <c r="F231" s="355"/>
      <c r="G231" s="355"/>
      <c r="O231" s="356"/>
      <c r="P231" s="355"/>
      <c r="Q231" s="355"/>
      <c r="R231" s="355"/>
      <c r="S231" s="355"/>
      <c r="T231" s="355"/>
      <c r="U231" s="355"/>
      <c r="V231" s="355"/>
      <c r="W231" s="355"/>
      <c r="AG231" s="355"/>
      <c r="AH231" s="355"/>
      <c r="AI231" s="355"/>
      <c r="AJ231" s="355"/>
      <c r="AK231" s="355"/>
      <c r="AL231" s="355"/>
      <c r="AM231" s="355"/>
      <c r="AU231" s="379">
        <v>50785</v>
      </c>
      <c r="AV231" s="375"/>
      <c r="AW231" s="375"/>
      <c r="AX231" s="375"/>
      <c r="AY231" s="375"/>
      <c r="AZ231" s="375"/>
      <c r="BA231" s="375"/>
      <c r="BB231" s="375"/>
      <c r="BC231" s="375"/>
      <c r="BD231" s="375">
        <v>7.6249999999999998E-2</v>
      </c>
      <c r="BE231" s="375">
        <v>6.8750000000000006E-2</v>
      </c>
      <c r="BF231" s="375">
        <v>7.1249999999999994E-2</v>
      </c>
      <c r="BG231" s="375"/>
      <c r="BH231" s="375"/>
      <c r="BI231" s="373">
        <f t="shared" si="21"/>
        <v>7.2083333333333333E-2</v>
      </c>
      <c r="BJ231" s="378"/>
      <c r="BK231" s="375"/>
      <c r="BL231" s="375"/>
      <c r="BM231" s="375"/>
      <c r="BN231" s="375"/>
      <c r="BO231" s="375">
        <v>6.25E-2</v>
      </c>
      <c r="BP231" s="375"/>
      <c r="BQ231" s="377"/>
      <c r="BR231" s="380">
        <f t="shared" si="22"/>
        <v>6.25E-2</v>
      </c>
      <c r="BT231" s="367">
        <v>50785</v>
      </c>
      <c r="BU231" s="375">
        <f t="shared" si="23"/>
        <v>4.9583333333333333E-2</v>
      </c>
      <c r="BV231" s="375">
        <f t="shared" si="24"/>
        <v>5.2500000000000005E-2</v>
      </c>
      <c r="BW231" s="377">
        <f t="shared" si="25"/>
        <v>4.9375000000000002E-2</v>
      </c>
    </row>
    <row r="232" spans="1:75" x14ac:dyDescent="0.15">
      <c r="A232" s="356"/>
      <c r="B232" s="355"/>
      <c r="C232" s="355"/>
      <c r="D232" s="355"/>
      <c r="E232" s="355"/>
      <c r="F232" s="355"/>
      <c r="G232" s="355"/>
      <c r="O232" s="356"/>
      <c r="P232" s="355"/>
      <c r="Q232" s="355"/>
      <c r="R232" s="355"/>
      <c r="S232" s="355"/>
      <c r="T232" s="355"/>
      <c r="U232" s="355"/>
      <c r="V232" s="355"/>
      <c r="W232" s="355"/>
      <c r="AG232" s="355"/>
      <c r="AH232" s="355"/>
      <c r="AI232" s="355"/>
      <c r="AJ232" s="355"/>
      <c r="AK232" s="355"/>
      <c r="AL232" s="355"/>
      <c r="AM232" s="355"/>
      <c r="AU232" s="379">
        <v>50816</v>
      </c>
      <c r="AV232" s="375"/>
      <c r="AW232" s="375"/>
      <c r="AX232" s="375"/>
      <c r="AY232" s="375"/>
      <c r="AZ232" s="375"/>
      <c r="BA232" s="375"/>
      <c r="BB232" s="375"/>
      <c r="BC232" s="375"/>
      <c r="BD232" s="375">
        <v>7.6249999999999998E-2</v>
      </c>
      <c r="BE232" s="375">
        <v>6.8750000000000006E-2</v>
      </c>
      <c r="BF232" s="375">
        <v>7.1249999999999994E-2</v>
      </c>
      <c r="BG232" s="375"/>
      <c r="BH232" s="375"/>
      <c r="BI232" s="373">
        <f t="shared" si="21"/>
        <v>7.2083333333333333E-2</v>
      </c>
      <c r="BJ232" s="378"/>
      <c r="BK232" s="375"/>
      <c r="BL232" s="375"/>
      <c r="BM232" s="375"/>
      <c r="BN232" s="375"/>
      <c r="BO232" s="375">
        <v>6.25E-2</v>
      </c>
      <c r="BP232" s="375"/>
      <c r="BQ232" s="377"/>
      <c r="BR232" s="380">
        <f t="shared" si="22"/>
        <v>6.25E-2</v>
      </c>
      <c r="BT232" s="367">
        <v>50816</v>
      </c>
      <c r="BU232" s="375">
        <f t="shared" si="23"/>
        <v>4.9583333333333333E-2</v>
      </c>
      <c r="BV232" s="375">
        <f t="shared" si="24"/>
        <v>5.2500000000000005E-2</v>
      </c>
      <c r="BW232" s="377">
        <f t="shared" si="25"/>
        <v>4.9375000000000002E-2</v>
      </c>
    </row>
    <row r="233" spans="1:75" x14ac:dyDescent="0.15">
      <c r="A233" s="356"/>
      <c r="B233" s="355"/>
      <c r="C233" s="355"/>
      <c r="D233" s="355"/>
      <c r="E233" s="355"/>
      <c r="F233" s="355"/>
      <c r="G233" s="355"/>
      <c r="O233" s="356"/>
      <c r="P233" s="355"/>
      <c r="Q233" s="355"/>
      <c r="R233" s="355"/>
      <c r="S233" s="355"/>
      <c r="T233" s="355"/>
      <c r="U233" s="355"/>
      <c r="V233" s="355"/>
      <c r="W233" s="355"/>
      <c r="AG233" s="355"/>
      <c r="AH233" s="355"/>
      <c r="AI233" s="355"/>
      <c r="AJ233" s="355"/>
      <c r="AK233" s="355"/>
      <c r="AL233" s="355"/>
      <c r="AM233" s="355"/>
      <c r="AU233" s="379">
        <v>50844</v>
      </c>
      <c r="AV233" s="375"/>
      <c r="AW233" s="375"/>
      <c r="AX233" s="375"/>
      <c r="AY233" s="375"/>
      <c r="AZ233" s="375"/>
      <c r="BA233" s="375"/>
      <c r="BB233" s="375"/>
      <c r="BC233" s="375"/>
      <c r="BD233" s="375">
        <v>7.6249999999999998E-2</v>
      </c>
      <c r="BE233" s="375">
        <v>6.8750000000000006E-2</v>
      </c>
      <c r="BF233" s="375">
        <v>7.1249999999999994E-2</v>
      </c>
      <c r="BG233" s="375"/>
      <c r="BH233" s="375"/>
      <c r="BI233" s="373">
        <f t="shared" si="21"/>
        <v>7.2083333333333333E-2</v>
      </c>
      <c r="BJ233" s="378"/>
      <c r="BK233" s="375"/>
      <c r="BL233" s="375"/>
      <c r="BM233" s="375"/>
      <c r="BN233" s="375"/>
      <c r="BO233" s="375">
        <v>6.25E-2</v>
      </c>
      <c r="BP233" s="375"/>
      <c r="BQ233" s="377"/>
      <c r="BR233" s="380">
        <f t="shared" si="22"/>
        <v>6.25E-2</v>
      </c>
      <c r="BT233" s="367">
        <v>50844</v>
      </c>
      <c r="BU233" s="375">
        <f t="shared" si="23"/>
        <v>4.9583333333333333E-2</v>
      </c>
      <c r="BV233" s="375">
        <f t="shared" si="24"/>
        <v>5.2500000000000005E-2</v>
      </c>
      <c r="BW233" s="377">
        <f t="shared" si="25"/>
        <v>4.9375000000000002E-2</v>
      </c>
    </row>
    <row r="234" spans="1:75" x14ac:dyDescent="0.15">
      <c r="A234" s="356"/>
      <c r="B234" s="355"/>
      <c r="C234" s="355"/>
      <c r="D234" s="355"/>
      <c r="E234" s="355"/>
      <c r="F234" s="355"/>
      <c r="G234" s="355"/>
      <c r="O234" s="356"/>
      <c r="P234" s="355"/>
      <c r="Q234" s="355"/>
      <c r="R234" s="355"/>
      <c r="S234" s="355"/>
      <c r="T234" s="355"/>
      <c r="U234" s="355"/>
      <c r="V234" s="355"/>
      <c r="W234" s="355"/>
      <c r="AG234" s="355"/>
      <c r="AH234" s="355"/>
      <c r="AI234" s="355"/>
      <c r="AJ234" s="355"/>
      <c r="AK234" s="355"/>
      <c r="AL234" s="355"/>
      <c r="AM234" s="355"/>
      <c r="AU234" s="379">
        <v>50875</v>
      </c>
      <c r="AV234" s="375"/>
      <c r="AW234" s="375"/>
      <c r="AX234" s="375"/>
      <c r="AY234" s="375"/>
      <c r="AZ234" s="375"/>
      <c r="BA234" s="375"/>
      <c r="BB234" s="375"/>
      <c r="BC234" s="375"/>
      <c r="BD234" s="375">
        <v>7.6249999999999998E-2</v>
      </c>
      <c r="BE234" s="375">
        <v>6.8750000000000006E-2</v>
      </c>
      <c r="BF234" s="375">
        <v>7.1249999999999994E-2</v>
      </c>
      <c r="BG234" s="375"/>
      <c r="BH234" s="375"/>
      <c r="BI234" s="373">
        <f t="shared" si="21"/>
        <v>7.2083333333333333E-2</v>
      </c>
      <c r="BJ234" s="378"/>
      <c r="BK234" s="375"/>
      <c r="BL234" s="375"/>
      <c r="BM234" s="375"/>
      <c r="BN234" s="375"/>
      <c r="BO234" s="375">
        <v>6.25E-2</v>
      </c>
      <c r="BP234" s="375"/>
      <c r="BQ234" s="377"/>
      <c r="BR234" s="380">
        <f t="shared" si="22"/>
        <v>6.25E-2</v>
      </c>
      <c r="BT234" s="367">
        <v>50875</v>
      </c>
      <c r="BU234" s="375">
        <f t="shared" si="23"/>
        <v>4.9583333333333333E-2</v>
      </c>
      <c r="BV234" s="375">
        <f t="shared" si="24"/>
        <v>5.2500000000000005E-2</v>
      </c>
      <c r="BW234" s="377">
        <f t="shared" si="25"/>
        <v>4.9375000000000002E-2</v>
      </c>
    </row>
    <row r="235" spans="1:75" x14ac:dyDescent="0.15">
      <c r="A235" s="356"/>
      <c r="B235" s="355"/>
      <c r="C235" s="355"/>
      <c r="D235" s="355"/>
      <c r="E235" s="355"/>
      <c r="F235" s="355"/>
      <c r="G235" s="355"/>
      <c r="O235" s="356"/>
      <c r="P235" s="355"/>
      <c r="Q235" s="355"/>
      <c r="R235" s="355"/>
      <c r="S235" s="355"/>
      <c r="T235" s="355"/>
      <c r="U235" s="355"/>
      <c r="V235" s="355"/>
      <c r="W235" s="355"/>
      <c r="AG235" s="355"/>
      <c r="AH235" s="355"/>
      <c r="AI235" s="355"/>
      <c r="AJ235" s="355"/>
      <c r="AK235" s="355"/>
      <c r="AL235" s="355"/>
      <c r="AM235" s="355"/>
      <c r="AU235" s="379">
        <v>50905</v>
      </c>
      <c r="AV235" s="375"/>
      <c r="AW235" s="375"/>
      <c r="AX235" s="375"/>
      <c r="AY235" s="375"/>
      <c r="AZ235" s="375"/>
      <c r="BA235" s="375"/>
      <c r="BB235" s="375"/>
      <c r="BC235" s="375"/>
      <c r="BD235" s="375">
        <v>7.6249999999999998E-2</v>
      </c>
      <c r="BE235" s="375">
        <v>6.8750000000000006E-2</v>
      </c>
      <c r="BF235" s="375">
        <v>7.1249999999999994E-2</v>
      </c>
      <c r="BG235" s="375"/>
      <c r="BH235" s="375"/>
      <c r="BI235" s="373">
        <f t="shared" si="21"/>
        <v>7.2083333333333333E-2</v>
      </c>
      <c r="BJ235" s="378"/>
      <c r="BK235" s="375"/>
      <c r="BL235" s="375"/>
      <c r="BM235" s="375"/>
      <c r="BN235" s="375"/>
      <c r="BO235" s="375">
        <v>6.25E-2</v>
      </c>
      <c r="BP235" s="375"/>
      <c r="BQ235" s="377"/>
      <c r="BR235" s="380">
        <f t="shared" si="22"/>
        <v>6.25E-2</v>
      </c>
      <c r="BT235" s="367">
        <v>50905</v>
      </c>
      <c r="BU235" s="375">
        <f t="shared" si="23"/>
        <v>4.9375000000000002E-2</v>
      </c>
      <c r="BV235" s="375">
        <f t="shared" si="24"/>
        <v>5.2500000000000005E-2</v>
      </c>
      <c r="BW235" s="377">
        <f t="shared" si="25"/>
        <v>4.9375000000000002E-2</v>
      </c>
    </row>
    <row r="236" spans="1:75" x14ac:dyDescent="0.15">
      <c r="A236" s="356"/>
      <c r="B236" s="355"/>
      <c r="C236" s="355"/>
      <c r="D236" s="355"/>
      <c r="E236" s="355"/>
      <c r="F236" s="355"/>
      <c r="G236" s="355"/>
      <c r="O236" s="356"/>
      <c r="P236" s="355"/>
      <c r="Q236" s="355"/>
      <c r="R236" s="355"/>
      <c r="S236" s="355"/>
      <c r="T236" s="355"/>
      <c r="U236" s="355"/>
      <c r="V236" s="355"/>
      <c r="W236" s="355"/>
      <c r="AG236" s="355"/>
      <c r="AH236" s="355"/>
      <c r="AI236" s="355"/>
      <c r="AJ236" s="355"/>
      <c r="AK236" s="355"/>
      <c r="AL236" s="355"/>
      <c r="AM236" s="355"/>
      <c r="AU236" s="379">
        <v>50936</v>
      </c>
      <c r="AV236" s="375"/>
      <c r="AW236" s="375"/>
      <c r="AX236" s="375"/>
      <c r="AY236" s="375"/>
      <c r="AZ236" s="375"/>
      <c r="BA236" s="375"/>
      <c r="BB236" s="375"/>
      <c r="BC236" s="375"/>
      <c r="BD236" s="375">
        <v>7.6249999999999998E-2</v>
      </c>
      <c r="BE236" s="375">
        <v>6.8750000000000006E-2</v>
      </c>
      <c r="BF236" s="375">
        <v>7.1249999999999994E-2</v>
      </c>
      <c r="BG236" s="375"/>
      <c r="BH236" s="375"/>
      <c r="BI236" s="373">
        <f t="shared" si="21"/>
        <v>7.2083333333333333E-2</v>
      </c>
      <c r="BJ236" s="378"/>
      <c r="BK236" s="375"/>
      <c r="BL236" s="375"/>
      <c r="BM236" s="375"/>
      <c r="BN236" s="375"/>
      <c r="BO236" s="375">
        <v>6.25E-2</v>
      </c>
      <c r="BP236" s="375"/>
      <c r="BQ236" s="377"/>
      <c r="BR236" s="380">
        <f t="shared" si="22"/>
        <v>6.25E-2</v>
      </c>
      <c r="BT236" s="367">
        <v>50936</v>
      </c>
      <c r="BU236" s="375">
        <f t="shared" si="23"/>
        <v>4.9375000000000002E-2</v>
      </c>
      <c r="BV236" s="375">
        <f t="shared" si="24"/>
        <v>5.2500000000000005E-2</v>
      </c>
      <c r="BW236" s="377">
        <f t="shared" si="25"/>
        <v>4.9375000000000002E-2</v>
      </c>
    </row>
    <row r="237" spans="1:75" x14ac:dyDescent="0.15">
      <c r="A237" s="356"/>
      <c r="B237" s="355"/>
      <c r="C237" s="355"/>
      <c r="D237" s="355"/>
      <c r="E237" s="355"/>
      <c r="F237" s="355"/>
      <c r="G237" s="355"/>
      <c r="O237" s="356"/>
      <c r="P237" s="355"/>
      <c r="Q237" s="355"/>
      <c r="R237" s="355"/>
      <c r="S237" s="355"/>
      <c r="T237" s="355"/>
      <c r="U237" s="355"/>
      <c r="V237" s="355"/>
      <c r="W237" s="355"/>
      <c r="AG237" s="355"/>
      <c r="AH237" s="355"/>
      <c r="AI237" s="355"/>
      <c r="AJ237" s="355"/>
      <c r="AK237" s="355"/>
      <c r="AL237" s="355"/>
      <c r="AM237" s="355"/>
      <c r="AU237" s="379">
        <v>50966</v>
      </c>
      <c r="AV237" s="375"/>
      <c r="AW237" s="375"/>
      <c r="AX237" s="375"/>
      <c r="AY237" s="375"/>
      <c r="AZ237" s="375"/>
      <c r="BA237" s="375"/>
      <c r="BB237" s="375"/>
      <c r="BC237" s="375"/>
      <c r="BD237" s="375">
        <v>7.6249999999999998E-2</v>
      </c>
      <c r="BE237" s="375">
        <v>6.8750000000000006E-2</v>
      </c>
      <c r="BF237" s="375">
        <v>7.1249999999999994E-2</v>
      </c>
      <c r="BG237" s="375"/>
      <c r="BH237" s="375"/>
      <c r="BI237" s="373">
        <f t="shared" si="21"/>
        <v>7.2083333333333333E-2</v>
      </c>
      <c r="BJ237" s="378"/>
      <c r="BK237" s="375"/>
      <c r="BL237" s="375"/>
      <c r="BM237" s="375"/>
      <c r="BN237" s="375"/>
      <c r="BO237" s="375">
        <v>6.25E-2</v>
      </c>
      <c r="BP237" s="375"/>
      <c r="BQ237" s="377"/>
      <c r="BR237" s="380">
        <f t="shared" si="22"/>
        <v>6.25E-2</v>
      </c>
      <c r="BT237" s="367">
        <v>50966</v>
      </c>
      <c r="BU237" s="375">
        <f t="shared" si="23"/>
        <v>4.9375000000000002E-2</v>
      </c>
      <c r="BV237" s="375">
        <f t="shared" si="24"/>
        <v>5.2500000000000005E-2</v>
      </c>
      <c r="BW237" s="377">
        <f t="shared" si="25"/>
        <v>4.9375000000000002E-2</v>
      </c>
    </row>
    <row r="238" spans="1:75" x14ac:dyDescent="0.15">
      <c r="A238" s="356"/>
      <c r="B238" s="355"/>
      <c r="C238" s="355"/>
      <c r="D238" s="355"/>
      <c r="E238" s="355"/>
      <c r="F238" s="355"/>
      <c r="G238" s="355"/>
      <c r="O238" s="356"/>
      <c r="P238" s="355"/>
      <c r="Q238" s="355"/>
      <c r="R238" s="355"/>
      <c r="S238" s="355"/>
      <c r="T238" s="355"/>
      <c r="U238" s="355"/>
      <c r="V238" s="355"/>
      <c r="W238" s="355"/>
      <c r="AG238" s="355"/>
      <c r="AH238" s="355"/>
      <c r="AI238" s="355"/>
      <c r="AJ238" s="355"/>
      <c r="AK238" s="355"/>
      <c r="AL238" s="355"/>
      <c r="AM238" s="355"/>
      <c r="AU238" s="379">
        <v>50997</v>
      </c>
      <c r="AV238" s="375"/>
      <c r="AW238" s="375"/>
      <c r="AX238" s="375"/>
      <c r="AY238" s="375"/>
      <c r="AZ238" s="375"/>
      <c r="BA238" s="375"/>
      <c r="BB238" s="375"/>
      <c r="BC238" s="375"/>
      <c r="BD238" s="375">
        <v>7.6249999999999998E-2</v>
      </c>
      <c r="BE238" s="375">
        <v>6.8750000000000006E-2</v>
      </c>
      <c r="BF238" s="375">
        <v>7.1249999999999994E-2</v>
      </c>
      <c r="BG238" s="375"/>
      <c r="BH238" s="375"/>
      <c r="BI238" s="373">
        <f t="shared" si="21"/>
        <v>7.2083333333333333E-2</v>
      </c>
      <c r="BJ238" s="378"/>
      <c r="BK238" s="375"/>
      <c r="BL238" s="375"/>
      <c r="BM238" s="375"/>
      <c r="BN238" s="375"/>
      <c r="BO238" s="375">
        <v>6.25E-2</v>
      </c>
      <c r="BP238" s="375"/>
      <c r="BQ238" s="377"/>
      <c r="BR238" s="380">
        <f t="shared" si="22"/>
        <v>6.25E-2</v>
      </c>
      <c r="BT238" s="367">
        <v>50997</v>
      </c>
      <c r="BU238" s="375">
        <f t="shared" si="23"/>
        <v>4.9375000000000002E-2</v>
      </c>
      <c r="BV238" s="375">
        <f t="shared" si="24"/>
        <v>5.2500000000000005E-2</v>
      </c>
      <c r="BW238" s="377">
        <f t="shared" si="25"/>
        <v>4.9375000000000002E-2</v>
      </c>
    </row>
    <row r="239" spans="1:75" x14ac:dyDescent="0.15">
      <c r="A239" s="356"/>
      <c r="B239" s="355"/>
      <c r="C239" s="355"/>
      <c r="D239" s="355"/>
      <c r="E239" s="355"/>
      <c r="F239" s="355"/>
      <c r="G239" s="355"/>
      <c r="O239" s="356"/>
      <c r="P239" s="355"/>
      <c r="Q239" s="355"/>
      <c r="R239" s="355"/>
      <c r="S239" s="355"/>
      <c r="T239" s="355"/>
      <c r="U239" s="355"/>
      <c r="V239" s="355"/>
      <c r="W239" s="355"/>
      <c r="AG239" s="355"/>
      <c r="AH239" s="355"/>
      <c r="AI239" s="355"/>
      <c r="AJ239" s="355"/>
      <c r="AK239" s="355"/>
      <c r="AL239" s="355"/>
      <c r="AM239" s="355"/>
      <c r="AU239" s="379">
        <v>51028</v>
      </c>
      <c r="AV239" s="375"/>
      <c r="AW239" s="375"/>
      <c r="AX239" s="375"/>
      <c r="AY239" s="375"/>
      <c r="AZ239" s="375"/>
      <c r="BA239" s="375"/>
      <c r="BB239" s="375"/>
      <c r="BC239" s="375"/>
      <c r="BD239" s="375">
        <v>7.6249999999999998E-2</v>
      </c>
      <c r="BE239" s="375">
        <v>6.8750000000000006E-2</v>
      </c>
      <c r="BF239" s="375">
        <v>7.1249999999999994E-2</v>
      </c>
      <c r="BG239" s="375"/>
      <c r="BH239" s="375"/>
      <c r="BI239" s="373">
        <f t="shared" si="21"/>
        <v>7.2083333333333333E-2</v>
      </c>
      <c r="BJ239" s="378"/>
      <c r="BK239" s="375"/>
      <c r="BL239" s="375"/>
      <c r="BM239" s="375"/>
      <c r="BN239" s="375"/>
      <c r="BO239" s="375">
        <v>6.25E-2</v>
      </c>
      <c r="BP239" s="375"/>
      <c r="BQ239" s="377"/>
      <c r="BR239" s="380">
        <f t="shared" si="22"/>
        <v>6.25E-2</v>
      </c>
      <c r="BT239" s="367">
        <v>51028</v>
      </c>
      <c r="BU239" s="375">
        <f t="shared" si="23"/>
        <v>4.9375000000000002E-2</v>
      </c>
      <c r="BV239" s="375">
        <f t="shared" si="24"/>
        <v>5.2500000000000005E-2</v>
      </c>
      <c r="BW239" s="377">
        <f t="shared" si="25"/>
        <v>4.9375000000000002E-2</v>
      </c>
    </row>
    <row r="240" spans="1:75" x14ac:dyDescent="0.15">
      <c r="A240" s="356"/>
      <c r="B240" s="355"/>
      <c r="C240" s="355"/>
      <c r="D240" s="355"/>
      <c r="E240" s="355"/>
      <c r="F240" s="355"/>
      <c r="G240" s="355"/>
      <c r="O240" s="356"/>
      <c r="P240" s="355"/>
      <c r="Q240" s="355"/>
      <c r="R240" s="355"/>
      <c r="S240" s="355"/>
      <c r="T240" s="355"/>
      <c r="U240" s="355"/>
      <c r="V240" s="355"/>
      <c r="W240" s="355"/>
      <c r="AG240" s="355"/>
      <c r="AH240" s="355"/>
      <c r="AI240" s="355"/>
      <c r="AJ240" s="355"/>
      <c r="AK240" s="355"/>
      <c r="AL240" s="355"/>
      <c r="AM240" s="355"/>
      <c r="AU240" s="379">
        <v>51058</v>
      </c>
      <c r="AV240" s="375"/>
      <c r="AW240" s="375"/>
      <c r="AX240" s="375"/>
      <c r="AY240" s="375"/>
      <c r="AZ240" s="375"/>
      <c r="BA240" s="375"/>
      <c r="BB240" s="375"/>
      <c r="BC240" s="375"/>
      <c r="BD240" s="375">
        <v>7.6249999999999998E-2</v>
      </c>
      <c r="BE240" s="375">
        <v>6.8750000000000006E-2</v>
      </c>
      <c r="BF240" s="375">
        <v>7.1249999999999994E-2</v>
      </c>
      <c r="BG240" s="375"/>
      <c r="BH240" s="375"/>
      <c r="BI240" s="373">
        <f t="shared" si="21"/>
        <v>7.2083333333333333E-2</v>
      </c>
      <c r="BJ240" s="378"/>
      <c r="BK240" s="375"/>
      <c r="BL240" s="375"/>
      <c r="BM240" s="375"/>
      <c r="BN240" s="375"/>
      <c r="BO240" s="375">
        <v>6.25E-2</v>
      </c>
      <c r="BP240" s="375"/>
      <c r="BQ240" s="377"/>
      <c r="BR240" s="380">
        <f t="shared" si="22"/>
        <v>6.25E-2</v>
      </c>
      <c r="BT240" s="367">
        <v>51058</v>
      </c>
      <c r="BU240" s="375">
        <f t="shared" si="23"/>
        <v>4.9375000000000002E-2</v>
      </c>
      <c r="BV240" s="375">
        <f t="shared" si="24"/>
        <v>5.2500000000000005E-2</v>
      </c>
      <c r="BW240" s="377">
        <f t="shared" si="25"/>
        <v>4.9375000000000002E-2</v>
      </c>
    </row>
    <row r="241" spans="1:75" x14ac:dyDescent="0.15">
      <c r="A241" s="356"/>
      <c r="B241" s="355"/>
      <c r="C241" s="355"/>
      <c r="D241" s="355"/>
      <c r="E241" s="355"/>
      <c r="F241" s="355"/>
      <c r="G241" s="355"/>
      <c r="O241" s="356"/>
      <c r="P241" s="355"/>
      <c r="Q241" s="355"/>
      <c r="R241" s="355"/>
      <c r="S241" s="355"/>
      <c r="T241" s="355"/>
      <c r="U241" s="355"/>
      <c r="V241" s="355"/>
      <c r="W241" s="355"/>
      <c r="AG241" s="355"/>
      <c r="AH241" s="355"/>
      <c r="AI241" s="355"/>
      <c r="AJ241" s="355"/>
      <c r="AK241" s="355"/>
      <c r="AL241" s="355"/>
      <c r="AM241" s="355"/>
      <c r="AU241" s="379">
        <v>51089</v>
      </c>
      <c r="AV241" s="375"/>
      <c r="AW241" s="375"/>
      <c r="AX241" s="375"/>
      <c r="AY241" s="375"/>
      <c r="AZ241" s="375"/>
      <c r="BA241" s="375"/>
      <c r="BB241" s="375"/>
      <c r="BC241" s="375"/>
      <c r="BD241" s="375">
        <v>7.6249999999999998E-2</v>
      </c>
      <c r="BE241" s="375">
        <v>6.8750000000000006E-2</v>
      </c>
      <c r="BF241" s="375">
        <v>7.1249999999999994E-2</v>
      </c>
      <c r="BG241" s="375"/>
      <c r="BH241" s="375"/>
      <c r="BI241" s="373">
        <f t="shared" si="21"/>
        <v>7.2083333333333333E-2</v>
      </c>
      <c r="BJ241" s="378"/>
      <c r="BK241" s="375"/>
      <c r="BL241" s="375"/>
      <c r="BM241" s="375"/>
      <c r="BN241" s="375"/>
      <c r="BO241" s="375">
        <v>6.25E-2</v>
      </c>
      <c r="BP241" s="375"/>
      <c r="BQ241" s="377"/>
      <c r="BR241" s="380">
        <f t="shared" si="22"/>
        <v>6.25E-2</v>
      </c>
      <c r="BT241" s="367">
        <v>51089</v>
      </c>
      <c r="BU241" s="375">
        <f t="shared" si="23"/>
        <v>4.9375000000000002E-2</v>
      </c>
      <c r="BV241" s="375">
        <f t="shared" si="24"/>
        <v>5.2500000000000005E-2</v>
      </c>
      <c r="BW241" s="377">
        <f t="shared" si="25"/>
        <v>4.9375000000000002E-2</v>
      </c>
    </row>
    <row r="242" spans="1:75" x14ac:dyDescent="0.15">
      <c r="A242" s="356"/>
      <c r="B242" s="355"/>
      <c r="C242" s="355"/>
      <c r="D242" s="355"/>
      <c r="E242" s="355"/>
      <c r="F242" s="355"/>
      <c r="G242" s="355"/>
      <c r="O242" s="356"/>
      <c r="P242" s="355"/>
      <c r="Q242" s="355"/>
      <c r="R242" s="355"/>
      <c r="S242" s="355"/>
      <c r="T242" s="355"/>
      <c r="U242" s="355"/>
      <c r="V242" s="355"/>
      <c r="W242" s="355"/>
      <c r="AG242" s="355"/>
      <c r="AH242" s="355"/>
      <c r="AI242" s="355"/>
      <c r="AJ242" s="355"/>
      <c r="AK242" s="355"/>
      <c r="AL242" s="355"/>
      <c r="AM242" s="355"/>
      <c r="AU242" s="379">
        <v>51119</v>
      </c>
      <c r="AV242" s="375"/>
      <c r="AW242" s="375"/>
      <c r="AX242" s="375"/>
      <c r="AY242" s="375"/>
      <c r="AZ242" s="375"/>
      <c r="BA242" s="375"/>
      <c r="BB242" s="375"/>
      <c r="BC242" s="375"/>
      <c r="BD242" s="375">
        <v>7.6249999999999998E-2</v>
      </c>
      <c r="BE242" s="375">
        <v>6.8750000000000006E-2</v>
      </c>
      <c r="BF242" s="375">
        <v>7.1249999999999994E-2</v>
      </c>
      <c r="BG242" s="375"/>
      <c r="BH242" s="375"/>
      <c r="BI242" s="373">
        <f t="shared" si="21"/>
        <v>7.2083333333333333E-2</v>
      </c>
      <c r="BJ242" s="378"/>
      <c r="BK242" s="375"/>
      <c r="BL242" s="375"/>
      <c r="BM242" s="375"/>
      <c r="BN242" s="375"/>
      <c r="BO242" s="375">
        <v>6.25E-2</v>
      </c>
      <c r="BP242" s="375"/>
      <c r="BQ242" s="377"/>
      <c r="BR242" s="380">
        <f t="shared" si="22"/>
        <v>6.25E-2</v>
      </c>
      <c r="BT242" s="367">
        <v>51119</v>
      </c>
      <c r="BU242" s="375">
        <f t="shared" si="23"/>
        <v>4.9375000000000002E-2</v>
      </c>
      <c r="BV242" s="375">
        <f t="shared" si="24"/>
        <v>5.2500000000000005E-2</v>
      </c>
      <c r="BW242" s="377">
        <f t="shared" si="25"/>
        <v>4.9375000000000002E-2</v>
      </c>
    </row>
    <row r="243" spans="1:75" x14ac:dyDescent="0.15">
      <c r="A243" s="356"/>
      <c r="B243" s="355"/>
      <c r="C243" s="355"/>
      <c r="D243" s="355"/>
      <c r="E243" s="355"/>
      <c r="F243" s="355"/>
      <c r="G243" s="355"/>
      <c r="O243" s="356"/>
      <c r="P243" s="355"/>
      <c r="Q243" s="355"/>
      <c r="R243" s="355"/>
      <c r="S243" s="355"/>
      <c r="T243" s="355"/>
      <c r="U243" s="355"/>
      <c r="V243" s="355"/>
      <c r="W243" s="355"/>
      <c r="AG243" s="355"/>
      <c r="AH243" s="355"/>
      <c r="AI243" s="355"/>
      <c r="AJ243" s="355"/>
      <c r="AK243" s="355"/>
      <c r="AL243" s="355"/>
      <c r="AM243" s="355"/>
      <c r="AU243" s="379">
        <v>51150</v>
      </c>
      <c r="AV243" s="375"/>
      <c r="AW243" s="375"/>
      <c r="AX243" s="375"/>
      <c r="AY243" s="375"/>
      <c r="AZ243" s="375"/>
      <c r="BA243" s="375"/>
      <c r="BB243" s="375"/>
      <c r="BC243" s="375"/>
      <c r="BD243" s="375">
        <v>7.6249999999999998E-2</v>
      </c>
      <c r="BE243" s="375">
        <v>6.8750000000000006E-2</v>
      </c>
      <c r="BF243" s="375">
        <v>7.1249999999999994E-2</v>
      </c>
      <c r="BG243" s="375"/>
      <c r="BH243" s="375"/>
      <c r="BI243" s="373">
        <f t="shared" si="21"/>
        <v>7.2083333333333333E-2</v>
      </c>
      <c r="BJ243" s="378"/>
      <c r="BK243" s="375"/>
      <c r="BL243" s="375"/>
      <c r="BM243" s="375"/>
      <c r="BN243" s="375"/>
      <c r="BO243" s="375">
        <v>6.25E-2</v>
      </c>
      <c r="BP243" s="375"/>
      <c r="BQ243" s="377"/>
      <c r="BR243" s="380">
        <f t="shared" si="22"/>
        <v>6.25E-2</v>
      </c>
      <c r="BT243" s="367">
        <v>51150</v>
      </c>
      <c r="BU243" s="375">
        <f t="shared" si="23"/>
        <v>4.9375000000000002E-2</v>
      </c>
      <c r="BV243" s="375">
        <f t="shared" si="24"/>
        <v>5.2500000000000005E-2</v>
      </c>
      <c r="BW243" s="377">
        <f t="shared" si="25"/>
        <v>4.9375000000000002E-2</v>
      </c>
    </row>
    <row r="244" spans="1:75" x14ac:dyDescent="0.15">
      <c r="A244" s="356"/>
      <c r="B244" s="355"/>
      <c r="C244" s="355"/>
      <c r="D244" s="355"/>
      <c r="E244" s="355"/>
      <c r="F244" s="355"/>
      <c r="G244" s="355"/>
      <c r="O244" s="356"/>
      <c r="P244" s="355"/>
      <c r="Q244" s="355"/>
      <c r="R244" s="355"/>
      <c r="S244" s="355"/>
      <c r="T244" s="355"/>
      <c r="U244" s="355"/>
      <c r="V244" s="355"/>
      <c r="W244" s="355"/>
      <c r="AG244" s="355"/>
      <c r="AH244" s="355"/>
      <c r="AI244" s="355"/>
      <c r="AJ244" s="355"/>
      <c r="AK244" s="355"/>
      <c r="AL244" s="355"/>
      <c r="AM244" s="355"/>
      <c r="AU244" s="379">
        <v>51181</v>
      </c>
      <c r="AV244" s="375"/>
      <c r="AW244" s="375"/>
      <c r="AX244" s="375"/>
      <c r="AY244" s="375"/>
      <c r="AZ244" s="375"/>
      <c r="BA244" s="375"/>
      <c r="BB244" s="375"/>
      <c r="BC244" s="375"/>
      <c r="BD244" s="375">
        <v>7.6249999999999998E-2</v>
      </c>
      <c r="BE244" s="375">
        <v>6.8750000000000006E-2</v>
      </c>
      <c r="BF244" s="375">
        <v>7.1249999999999994E-2</v>
      </c>
      <c r="BG244" s="375"/>
      <c r="BH244" s="375"/>
      <c r="BI244" s="373">
        <f t="shared" si="21"/>
        <v>7.2083333333333333E-2</v>
      </c>
      <c r="BJ244" s="378"/>
      <c r="BK244" s="375"/>
      <c r="BL244" s="375"/>
      <c r="BM244" s="375"/>
      <c r="BN244" s="375"/>
      <c r="BO244" s="375">
        <v>6.25E-2</v>
      </c>
      <c r="BP244" s="375"/>
      <c r="BQ244" s="377"/>
      <c r="BR244" s="380">
        <f t="shared" si="22"/>
        <v>6.25E-2</v>
      </c>
      <c r="BT244" s="367">
        <v>51181</v>
      </c>
      <c r="BU244" s="375">
        <f t="shared" si="23"/>
        <v>4.9375000000000002E-2</v>
      </c>
      <c r="BV244" s="375">
        <f t="shared" si="24"/>
        <v>5.2500000000000005E-2</v>
      </c>
      <c r="BW244" s="377">
        <f t="shared" si="25"/>
        <v>4.9375000000000002E-2</v>
      </c>
    </row>
    <row r="245" spans="1:75" x14ac:dyDescent="0.15">
      <c r="A245" s="356"/>
      <c r="B245" s="355"/>
      <c r="C245" s="355"/>
      <c r="D245" s="355"/>
      <c r="E245" s="355"/>
      <c r="F245" s="355"/>
      <c r="G245" s="355"/>
      <c r="O245" s="356"/>
      <c r="P245" s="355"/>
      <c r="Q245" s="355"/>
      <c r="R245" s="355"/>
      <c r="S245" s="355"/>
      <c r="T245" s="355"/>
      <c r="U245" s="355"/>
      <c r="V245" s="355"/>
      <c r="W245" s="355"/>
      <c r="AG245" s="355"/>
      <c r="AH245" s="355"/>
      <c r="AI245" s="355"/>
      <c r="AJ245" s="355"/>
      <c r="AK245" s="355"/>
      <c r="AL245" s="355"/>
      <c r="AM245" s="355"/>
      <c r="AU245" s="379">
        <v>51210</v>
      </c>
      <c r="AV245" s="375"/>
      <c r="AW245" s="375"/>
      <c r="AX245" s="375"/>
      <c r="AY245" s="375"/>
      <c r="AZ245" s="375"/>
      <c r="BA245" s="375"/>
      <c r="BB245" s="375"/>
      <c r="BC245" s="375"/>
      <c r="BD245" s="375">
        <v>7.6249999999999998E-2</v>
      </c>
      <c r="BE245" s="375">
        <v>6.8750000000000006E-2</v>
      </c>
      <c r="BF245" s="375">
        <v>7.1249999999999994E-2</v>
      </c>
      <c r="BG245" s="375"/>
      <c r="BH245" s="375"/>
      <c r="BI245" s="373">
        <f t="shared" si="21"/>
        <v>7.2083333333333333E-2</v>
      </c>
      <c r="BJ245" s="378"/>
      <c r="BK245" s="375"/>
      <c r="BL245" s="375"/>
      <c r="BM245" s="375"/>
      <c r="BN245" s="375"/>
      <c r="BO245" s="375">
        <v>6.25E-2</v>
      </c>
      <c r="BP245" s="375"/>
      <c r="BQ245" s="377"/>
      <c r="BR245" s="380">
        <f t="shared" si="22"/>
        <v>6.25E-2</v>
      </c>
      <c r="BT245" s="367">
        <v>51210</v>
      </c>
      <c r="BU245" s="375">
        <f t="shared" si="23"/>
        <v>4.9375000000000002E-2</v>
      </c>
      <c r="BV245" s="375">
        <f t="shared" si="24"/>
        <v>5.2500000000000005E-2</v>
      </c>
      <c r="BW245" s="377">
        <f t="shared" si="25"/>
        <v>4.9375000000000002E-2</v>
      </c>
    </row>
    <row r="246" spans="1:75" x14ac:dyDescent="0.15">
      <c r="A246" s="356"/>
      <c r="B246" s="355"/>
      <c r="C246" s="355"/>
      <c r="D246" s="355"/>
      <c r="E246" s="355"/>
      <c r="F246" s="355"/>
      <c r="G246" s="355"/>
      <c r="O246" s="356"/>
      <c r="P246" s="355"/>
      <c r="Q246" s="355"/>
      <c r="R246" s="355"/>
      <c r="S246" s="355"/>
      <c r="T246" s="355"/>
      <c r="U246" s="355"/>
      <c r="V246" s="355"/>
      <c r="W246" s="355"/>
      <c r="AG246" s="355"/>
      <c r="AH246" s="355"/>
      <c r="AI246" s="355"/>
      <c r="AJ246" s="355"/>
      <c r="AK246" s="355"/>
      <c r="AL246" s="355"/>
      <c r="AM246" s="355"/>
      <c r="AU246" s="379">
        <v>51241</v>
      </c>
      <c r="AV246" s="375"/>
      <c r="AW246" s="375"/>
      <c r="AX246" s="375"/>
      <c r="AY246" s="375"/>
      <c r="AZ246" s="375"/>
      <c r="BA246" s="375"/>
      <c r="BB246" s="375"/>
      <c r="BC246" s="375"/>
      <c r="BD246" s="375">
        <v>7.6249999999999998E-2</v>
      </c>
      <c r="BE246" s="375">
        <v>6.8750000000000006E-2</v>
      </c>
      <c r="BF246" s="375">
        <v>7.1249999999999994E-2</v>
      </c>
      <c r="BG246" s="375"/>
      <c r="BH246" s="375"/>
      <c r="BI246" s="373">
        <f t="shared" si="21"/>
        <v>7.2083333333333333E-2</v>
      </c>
      <c r="BJ246" s="378"/>
      <c r="BK246" s="375"/>
      <c r="BL246" s="375"/>
      <c r="BM246" s="375"/>
      <c r="BN246" s="375"/>
      <c r="BO246" s="375">
        <v>6.25E-2</v>
      </c>
      <c r="BP246" s="375"/>
      <c r="BQ246" s="377"/>
      <c r="BR246" s="380">
        <f t="shared" si="22"/>
        <v>6.25E-2</v>
      </c>
      <c r="BT246" s="367">
        <v>51241</v>
      </c>
      <c r="BU246" s="375">
        <f t="shared" si="23"/>
        <v>4.9375000000000002E-2</v>
      </c>
      <c r="BV246" s="375">
        <f t="shared" si="24"/>
        <v>5.2500000000000005E-2</v>
      </c>
      <c r="BW246" s="377">
        <f t="shared" si="25"/>
        <v>4.9375000000000002E-2</v>
      </c>
    </row>
    <row r="247" spans="1:75" x14ac:dyDescent="0.15">
      <c r="A247" s="356"/>
      <c r="B247" s="355"/>
      <c r="C247" s="355"/>
      <c r="D247" s="355"/>
      <c r="E247" s="355"/>
      <c r="F247" s="355"/>
      <c r="G247" s="355"/>
      <c r="O247" s="356"/>
      <c r="P247" s="355"/>
      <c r="Q247" s="355"/>
      <c r="R247" s="355"/>
      <c r="S247" s="355"/>
      <c r="T247" s="355"/>
      <c r="U247" s="355"/>
      <c r="V247" s="355"/>
      <c r="W247" s="355"/>
      <c r="AG247" s="355"/>
      <c r="AH247" s="355"/>
      <c r="AI247" s="355"/>
      <c r="AJ247" s="355"/>
      <c r="AK247" s="355"/>
      <c r="AL247" s="355"/>
      <c r="AM247" s="355"/>
      <c r="AU247" s="379">
        <v>51271</v>
      </c>
      <c r="AV247" s="375"/>
      <c r="AW247" s="375"/>
      <c r="AX247" s="375"/>
      <c r="AY247" s="375"/>
      <c r="AZ247" s="375"/>
      <c r="BA247" s="375"/>
      <c r="BB247" s="375"/>
      <c r="BC247" s="375"/>
      <c r="BD247" s="375">
        <v>7.6249999999999998E-2</v>
      </c>
      <c r="BE247" s="375">
        <v>6.8750000000000006E-2</v>
      </c>
      <c r="BF247" s="375">
        <v>7.1249999999999994E-2</v>
      </c>
      <c r="BG247" s="375"/>
      <c r="BH247" s="375"/>
      <c r="BI247" s="373">
        <f t="shared" si="21"/>
        <v>7.2083333333333333E-2</v>
      </c>
      <c r="BJ247" s="378"/>
      <c r="BK247" s="375"/>
      <c r="BL247" s="375"/>
      <c r="BM247" s="375"/>
      <c r="BN247" s="375"/>
      <c r="BO247" s="375">
        <v>6.25E-2</v>
      </c>
      <c r="BP247" s="375"/>
      <c r="BQ247" s="377"/>
      <c r="BR247" s="380">
        <f t="shared" si="22"/>
        <v>6.25E-2</v>
      </c>
      <c r="BT247" s="367">
        <v>51271</v>
      </c>
      <c r="BU247" s="375">
        <f t="shared" si="23"/>
        <v>4.9375000000000002E-2</v>
      </c>
      <c r="BV247" s="375">
        <f t="shared" si="24"/>
        <v>5.2500000000000005E-2</v>
      </c>
      <c r="BW247" s="377">
        <f t="shared" si="25"/>
        <v>4.9375000000000002E-2</v>
      </c>
    </row>
    <row r="248" spans="1:75" x14ac:dyDescent="0.15">
      <c r="A248" s="356"/>
      <c r="B248" s="355"/>
      <c r="C248" s="355"/>
      <c r="D248" s="355"/>
      <c r="E248" s="355"/>
      <c r="F248" s="355"/>
      <c r="G248" s="355"/>
      <c r="O248" s="356"/>
      <c r="P248" s="355"/>
      <c r="Q248" s="355"/>
      <c r="R248" s="355"/>
      <c r="S248" s="355"/>
      <c r="T248" s="355"/>
      <c r="U248" s="355"/>
      <c r="V248" s="355"/>
      <c r="W248" s="355"/>
      <c r="AG248" s="355"/>
      <c r="AH248" s="355"/>
      <c r="AI248" s="355"/>
      <c r="AJ248" s="355"/>
      <c r="AK248" s="355"/>
      <c r="AL248" s="355"/>
      <c r="AM248" s="355"/>
      <c r="AU248" s="379">
        <v>51302</v>
      </c>
      <c r="AV248" s="375"/>
      <c r="AW248" s="375"/>
      <c r="AX248" s="375"/>
      <c r="AY248" s="375"/>
      <c r="AZ248" s="375"/>
      <c r="BA248" s="375"/>
      <c r="BB248" s="375"/>
      <c r="BC248" s="375"/>
      <c r="BD248" s="375">
        <v>7.6249999999999998E-2</v>
      </c>
      <c r="BE248" s="375">
        <v>6.8750000000000006E-2</v>
      </c>
      <c r="BF248" s="375">
        <v>7.1249999999999994E-2</v>
      </c>
      <c r="BG248" s="375"/>
      <c r="BH248" s="375"/>
      <c r="BI248" s="373">
        <f t="shared" si="21"/>
        <v>7.2083333333333333E-2</v>
      </c>
      <c r="BJ248" s="378"/>
      <c r="BK248" s="375"/>
      <c r="BL248" s="375"/>
      <c r="BM248" s="375"/>
      <c r="BN248" s="375"/>
      <c r="BO248" s="375">
        <v>6.25E-2</v>
      </c>
      <c r="BP248" s="375"/>
      <c r="BQ248" s="377"/>
      <c r="BR248" s="380">
        <f t="shared" si="22"/>
        <v>6.25E-2</v>
      </c>
      <c r="BT248" s="367">
        <v>51302</v>
      </c>
      <c r="BU248" s="375">
        <f t="shared" si="23"/>
        <v>4.9375000000000002E-2</v>
      </c>
      <c r="BV248" s="375">
        <f t="shared" si="24"/>
        <v>5.2500000000000005E-2</v>
      </c>
      <c r="BW248" s="377">
        <f t="shared" si="25"/>
        <v>4.9375000000000002E-2</v>
      </c>
    </row>
    <row r="249" spans="1:75" x14ac:dyDescent="0.15">
      <c r="A249" s="356"/>
      <c r="B249" s="355"/>
      <c r="C249" s="355"/>
      <c r="D249" s="355"/>
      <c r="E249" s="355"/>
      <c r="F249" s="355"/>
      <c r="G249" s="355"/>
      <c r="O249" s="356"/>
      <c r="P249" s="355"/>
      <c r="Q249" s="355"/>
      <c r="R249" s="355"/>
      <c r="S249" s="355"/>
      <c r="T249" s="355"/>
      <c r="U249" s="355"/>
      <c r="V249" s="355"/>
      <c r="W249" s="355"/>
      <c r="AG249" s="355"/>
      <c r="AH249" s="355"/>
      <c r="AI249" s="355"/>
      <c r="AJ249" s="355"/>
      <c r="AK249" s="355"/>
      <c r="AL249" s="355"/>
      <c r="AM249" s="355"/>
      <c r="AU249" s="379">
        <v>51332</v>
      </c>
      <c r="AV249" s="375"/>
      <c r="AW249" s="375"/>
      <c r="AX249" s="375"/>
      <c r="AY249" s="375"/>
      <c r="AZ249" s="375"/>
      <c r="BA249" s="375"/>
      <c r="BB249" s="375"/>
      <c r="BC249" s="375"/>
      <c r="BD249" s="375">
        <v>7.6249999999999998E-2</v>
      </c>
      <c r="BE249" s="375">
        <v>6.8750000000000006E-2</v>
      </c>
      <c r="BF249" s="375">
        <v>7.1249999999999994E-2</v>
      </c>
      <c r="BG249" s="375"/>
      <c r="BH249" s="375"/>
      <c r="BI249" s="373">
        <f t="shared" si="21"/>
        <v>7.2083333333333333E-2</v>
      </c>
      <c r="BJ249" s="378"/>
      <c r="BK249" s="375"/>
      <c r="BL249" s="375"/>
      <c r="BM249" s="375"/>
      <c r="BN249" s="375"/>
      <c r="BO249" s="375">
        <v>6.25E-2</v>
      </c>
      <c r="BP249" s="375"/>
      <c r="BQ249" s="377"/>
      <c r="BR249" s="380">
        <f t="shared" si="22"/>
        <v>6.25E-2</v>
      </c>
      <c r="BT249" s="367">
        <v>51332</v>
      </c>
      <c r="BU249" s="375">
        <f t="shared" si="23"/>
        <v>4.9375000000000002E-2</v>
      </c>
      <c r="BV249" s="375">
        <f t="shared" si="24"/>
        <v>5.2500000000000005E-2</v>
      </c>
      <c r="BW249" s="377">
        <f t="shared" si="25"/>
        <v>4.9375000000000002E-2</v>
      </c>
    </row>
    <row r="250" spans="1:75" x14ac:dyDescent="0.15">
      <c r="A250" s="356"/>
      <c r="B250" s="355"/>
      <c r="C250" s="355"/>
      <c r="D250" s="355"/>
      <c r="E250" s="355"/>
      <c r="F250" s="355"/>
      <c r="G250" s="355"/>
      <c r="O250" s="356"/>
      <c r="P250" s="355"/>
      <c r="Q250" s="355"/>
      <c r="R250" s="355"/>
      <c r="S250" s="355"/>
      <c r="T250" s="355"/>
      <c r="U250" s="355"/>
      <c r="V250" s="355"/>
      <c r="W250" s="355"/>
      <c r="AG250" s="355"/>
      <c r="AH250" s="355"/>
      <c r="AI250" s="355"/>
      <c r="AJ250" s="355"/>
      <c r="AK250" s="355"/>
      <c r="AL250" s="355"/>
      <c r="AM250" s="355"/>
      <c r="AU250" s="379">
        <v>51363</v>
      </c>
      <c r="AV250" s="375"/>
      <c r="AW250" s="375"/>
      <c r="AX250" s="375"/>
      <c r="AY250" s="375"/>
      <c r="AZ250" s="375"/>
      <c r="BA250" s="375"/>
      <c r="BB250" s="375"/>
      <c r="BC250" s="375"/>
      <c r="BD250" s="375">
        <v>7.6249999999999998E-2</v>
      </c>
      <c r="BE250" s="375">
        <v>6.8750000000000006E-2</v>
      </c>
      <c r="BF250" s="375">
        <v>7.1249999999999994E-2</v>
      </c>
      <c r="BG250" s="375"/>
      <c r="BH250" s="375"/>
      <c r="BI250" s="373">
        <f t="shared" si="21"/>
        <v>7.2083333333333333E-2</v>
      </c>
      <c r="BJ250" s="378"/>
      <c r="BK250" s="375"/>
      <c r="BL250" s="375"/>
      <c r="BM250" s="375"/>
      <c r="BN250" s="375"/>
      <c r="BO250" s="375">
        <v>6.25E-2</v>
      </c>
      <c r="BP250" s="375"/>
      <c r="BQ250" s="377"/>
      <c r="BR250" s="380">
        <f t="shared" si="22"/>
        <v>6.25E-2</v>
      </c>
      <c r="BT250" s="367">
        <v>51363</v>
      </c>
      <c r="BU250" s="375">
        <f t="shared" si="23"/>
        <v>4.9375000000000002E-2</v>
      </c>
      <c r="BV250" s="375">
        <f t="shared" si="24"/>
        <v>5.2500000000000005E-2</v>
      </c>
      <c r="BW250" s="377">
        <f t="shared" si="25"/>
        <v>4.9375000000000002E-2</v>
      </c>
    </row>
    <row r="251" spans="1:75" x14ac:dyDescent="0.15">
      <c r="A251" s="356"/>
      <c r="B251" s="355"/>
      <c r="C251" s="355"/>
      <c r="D251" s="355"/>
      <c r="E251" s="355"/>
      <c r="F251" s="355"/>
      <c r="G251" s="355"/>
      <c r="O251" s="356"/>
      <c r="P251" s="355"/>
      <c r="Q251" s="355"/>
      <c r="R251" s="355"/>
      <c r="S251" s="355"/>
      <c r="T251" s="355"/>
      <c r="U251" s="355"/>
      <c r="V251" s="355"/>
      <c r="W251" s="355"/>
      <c r="AG251" s="355"/>
      <c r="AH251" s="355"/>
      <c r="AI251" s="355"/>
      <c r="AJ251" s="355"/>
      <c r="AK251" s="355"/>
      <c r="AL251" s="355"/>
      <c r="AM251" s="355"/>
      <c r="AU251" s="379">
        <v>51394</v>
      </c>
      <c r="AV251" s="375"/>
      <c r="AW251" s="375"/>
      <c r="AX251" s="375"/>
      <c r="AY251" s="375"/>
      <c r="AZ251" s="375"/>
      <c r="BA251" s="375"/>
      <c r="BB251" s="375"/>
      <c r="BC251" s="375"/>
      <c r="BD251" s="375">
        <v>7.6249999999999998E-2</v>
      </c>
      <c r="BE251" s="375">
        <v>6.8750000000000006E-2</v>
      </c>
      <c r="BF251" s="375">
        <v>7.1249999999999994E-2</v>
      </c>
      <c r="BG251" s="375"/>
      <c r="BH251" s="375"/>
      <c r="BI251" s="373">
        <f t="shared" si="21"/>
        <v>7.2083333333333333E-2</v>
      </c>
      <c r="BJ251" s="378"/>
      <c r="BK251" s="375"/>
      <c r="BL251" s="375"/>
      <c r="BM251" s="375"/>
      <c r="BN251" s="375"/>
      <c r="BO251" s="375">
        <v>6.25E-2</v>
      </c>
      <c r="BP251" s="375"/>
      <c r="BQ251" s="377"/>
      <c r="BR251" s="380">
        <f t="shared" si="22"/>
        <v>6.25E-2</v>
      </c>
      <c r="BT251" s="367">
        <v>51394</v>
      </c>
      <c r="BU251" s="375">
        <f t="shared" si="23"/>
        <v>4.9375000000000002E-2</v>
      </c>
      <c r="BV251" s="375">
        <f t="shared" si="24"/>
        <v>5.2500000000000005E-2</v>
      </c>
      <c r="BW251" s="377">
        <f t="shared" si="25"/>
        <v>4.9375000000000002E-2</v>
      </c>
    </row>
    <row r="252" spans="1:75" x14ac:dyDescent="0.15">
      <c r="A252" s="356"/>
      <c r="B252" s="355"/>
      <c r="C252" s="355"/>
      <c r="D252" s="355"/>
      <c r="E252" s="355"/>
      <c r="F252" s="355"/>
      <c r="G252" s="355"/>
      <c r="O252" s="356"/>
      <c r="P252" s="355"/>
      <c r="Q252" s="355"/>
      <c r="R252" s="355"/>
      <c r="S252" s="355"/>
      <c r="T252" s="355"/>
      <c r="U252" s="355"/>
      <c r="V252" s="355"/>
      <c r="W252" s="355"/>
      <c r="AG252" s="355"/>
      <c r="AH252" s="355"/>
      <c r="AI252" s="355"/>
      <c r="AJ252" s="355"/>
      <c r="AK252" s="355"/>
      <c r="AL252" s="355"/>
      <c r="AM252" s="355"/>
      <c r="AU252" s="379">
        <v>51424</v>
      </c>
      <c r="AV252" s="375"/>
      <c r="AW252" s="375"/>
      <c r="AX252" s="375"/>
      <c r="AY252" s="375"/>
      <c r="AZ252" s="375"/>
      <c r="BA252" s="375"/>
      <c r="BB252" s="375"/>
      <c r="BC252" s="375"/>
      <c r="BD252" s="375">
        <v>7.6249999999999998E-2</v>
      </c>
      <c r="BE252" s="375">
        <v>6.8750000000000006E-2</v>
      </c>
      <c r="BF252" s="375">
        <v>7.1249999999999994E-2</v>
      </c>
      <c r="BG252" s="375"/>
      <c r="BH252" s="375"/>
      <c r="BI252" s="373">
        <f t="shared" si="21"/>
        <v>7.2083333333333333E-2</v>
      </c>
      <c r="BJ252" s="378"/>
      <c r="BK252" s="375"/>
      <c r="BL252" s="375"/>
      <c r="BM252" s="375"/>
      <c r="BN252" s="375"/>
      <c r="BO252" s="375">
        <v>6.25E-2</v>
      </c>
      <c r="BP252" s="375"/>
      <c r="BQ252" s="377"/>
      <c r="BR252" s="380">
        <f t="shared" si="22"/>
        <v>6.25E-2</v>
      </c>
      <c r="BT252" s="367">
        <v>51424</v>
      </c>
      <c r="BU252" s="375">
        <f t="shared" si="23"/>
        <v>4.9375000000000002E-2</v>
      </c>
      <c r="BV252" s="375">
        <f t="shared" si="24"/>
        <v>5.2500000000000005E-2</v>
      </c>
      <c r="BW252" s="377">
        <f t="shared" si="25"/>
        <v>4.9375000000000002E-2</v>
      </c>
    </row>
    <row r="253" spans="1:75" x14ac:dyDescent="0.15">
      <c r="A253" s="356"/>
      <c r="B253" s="355"/>
      <c r="C253" s="355"/>
      <c r="D253" s="355"/>
      <c r="E253" s="355"/>
      <c r="F253" s="355"/>
      <c r="G253" s="355"/>
      <c r="O253" s="356"/>
      <c r="P253" s="355"/>
      <c r="Q253" s="355"/>
      <c r="R253" s="355"/>
      <c r="S253" s="355"/>
      <c r="T253" s="355"/>
      <c r="U253" s="355"/>
      <c r="V253" s="355"/>
      <c r="W253" s="355"/>
      <c r="AG253" s="355"/>
      <c r="AH253" s="355"/>
      <c r="AI253" s="355"/>
      <c r="AJ253" s="355"/>
      <c r="AK253" s="355"/>
      <c r="AL253" s="355"/>
      <c r="AM253" s="355"/>
      <c r="AU253" s="379">
        <v>51455</v>
      </c>
      <c r="AV253" s="375"/>
      <c r="AW253" s="375"/>
      <c r="AX253" s="375"/>
      <c r="AY253" s="375"/>
      <c r="AZ253" s="375"/>
      <c r="BA253" s="375"/>
      <c r="BB253" s="375"/>
      <c r="BC253" s="375"/>
      <c r="BD253" s="375">
        <v>7.6249999999999998E-2</v>
      </c>
      <c r="BE253" s="375">
        <v>6.8750000000000006E-2</v>
      </c>
      <c r="BF253" s="375">
        <v>7.1249999999999994E-2</v>
      </c>
      <c r="BG253" s="375"/>
      <c r="BH253" s="375"/>
      <c r="BI253" s="373">
        <f t="shared" si="21"/>
        <v>7.2083333333333333E-2</v>
      </c>
      <c r="BJ253" s="378"/>
      <c r="BK253" s="375"/>
      <c r="BL253" s="375"/>
      <c r="BM253" s="375"/>
      <c r="BN253" s="375"/>
      <c r="BO253" s="375">
        <v>6.25E-2</v>
      </c>
      <c r="BP253" s="375"/>
      <c r="BQ253" s="377"/>
      <c r="BR253" s="380">
        <f t="shared" si="22"/>
        <v>6.25E-2</v>
      </c>
      <c r="BT253" s="367">
        <v>51455</v>
      </c>
      <c r="BU253" s="375">
        <f t="shared" si="23"/>
        <v>4.9375000000000002E-2</v>
      </c>
      <c r="BV253" s="375">
        <f t="shared" si="24"/>
        <v>5.2500000000000005E-2</v>
      </c>
      <c r="BW253" s="377">
        <f t="shared" si="25"/>
        <v>4.9375000000000002E-2</v>
      </c>
    </row>
    <row r="254" spans="1:75" x14ac:dyDescent="0.15">
      <c r="A254" s="356"/>
      <c r="B254" s="355"/>
      <c r="C254" s="355"/>
      <c r="D254" s="355"/>
      <c r="E254" s="355"/>
      <c r="F254" s="355"/>
      <c r="G254" s="355"/>
      <c r="O254" s="356"/>
      <c r="P254" s="355"/>
      <c r="Q254" s="355"/>
      <c r="R254" s="355"/>
      <c r="S254" s="355"/>
      <c r="T254" s="355"/>
      <c r="U254" s="355"/>
      <c r="V254" s="355"/>
      <c r="W254" s="355"/>
      <c r="AG254" s="355"/>
      <c r="AH254" s="355"/>
      <c r="AI254" s="355"/>
      <c r="AJ254" s="355"/>
      <c r="AK254" s="355"/>
      <c r="AL254" s="355"/>
      <c r="AM254" s="355"/>
      <c r="AU254" s="379">
        <v>51485</v>
      </c>
      <c r="AV254" s="375"/>
      <c r="AW254" s="375"/>
      <c r="AX254" s="375"/>
      <c r="AY254" s="375"/>
      <c r="AZ254" s="375"/>
      <c r="BA254" s="375"/>
      <c r="BB254" s="375"/>
      <c r="BC254" s="375"/>
      <c r="BD254" s="375">
        <v>7.6249999999999998E-2</v>
      </c>
      <c r="BE254" s="375">
        <v>6.8750000000000006E-2</v>
      </c>
      <c r="BF254" s="375">
        <v>7.1249999999999994E-2</v>
      </c>
      <c r="BG254" s="375"/>
      <c r="BH254" s="375"/>
      <c r="BI254" s="373">
        <f t="shared" si="21"/>
        <v>7.2083333333333333E-2</v>
      </c>
      <c r="BJ254" s="378"/>
      <c r="BK254" s="375"/>
      <c r="BL254" s="375"/>
      <c r="BM254" s="375"/>
      <c r="BN254" s="375"/>
      <c r="BO254" s="375">
        <v>6.25E-2</v>
      </c>
      <c r="BP254" s="375"/>
      <c r="BQ254" s="377"/>
      <c r="BR254" s="380">
        <f t="shared" si="22"/>
        <v>6.25E-2</v>
      </c>
      <c r="BT254" s="367">
        <v>51485</v>
      </c>
      <c r="BU254" s="375">
        <f t="shared" si="23"/>
        <v>4.9375000000000002E-2</v>
      </c>
      <c r="BV254" s="375">
        <f t="shared" si="24"/>
        <v>5.2500000000000005E-2</v>
      </c>
      <c r="BW254" s="377">
        <f t="shared" si="25"/>
        <v>4.9375000000000002E-2</v>
      </c>
    </row>
    <row r="255" spans="1:75" x14ac:dyDescent="0.15">
      <c r="A255" s="356"/>
      <c r="B255" s="355"/>
      <c r="C255" s="355"/>
      <c r="D255" s="355"/>
      <c r="E255" s="355"/>
      <c r="F255" s="355"/>
      <c r="G255" s="355"/>
      <c r="O255" s="356"/>
      <c r="P255" s="355"/>
      <c r="Q255" s="355"/>
      <c r="R255" s="355"/>
      <c r="S255" s="355"/>
      <c r="T255" s="355"/>
      <c r="U255" s="355"/>
      <c r="V255" s="355"/>
      <c r="W255" s="355"/>
      <c r="AG255" s="355"/>
      <c r="AH255" s="355"/>
      <c r="AI255" s="355"/>
      <c r="AJ255" s="355"/>
      <c r="AK255" s="355"/>
      <c r="AL255" s="355"/>
      <c r="AM255" s="355"/>
      <c r="AU255" s="379">
        <v>51516</v>
      </c>
      <c r="AV255" s="375"/>
      <c r="AW255" s="375"/>
      <c r="AX255" s="375"/>
      <c r="AY255" s="375"/>
      <c r="AZ255" s="375"/>
      <c r="BA255" s="375"/>
      <c r="BB255" s="375"/>
      <c r="BC255" s="375"/>
      <c r="BD255" s="375">
        <v>7.6249999999999998E-2</v>
      </c>
      <c r="BE255" s="375">
        <v>6.8750000000000006E-2</v>
      </c>
      <c r="BF255" s="375">
        <v>7.1249999999999994E-2</v>
      </c>
      <c r="BG255" s="375"/>
      <c r="BH255" s="375"/>
      <c r="BI255" s="373">
        <f t="shared" si="21"/>
        <v>7.2083333333333333E-2</v>
      </c>
      <c r="BJ255" s="378"/>
      <c r="BK255" s="375"/>
      <c r="BL255" s="375"/>
      <c r="BM255" s="375"/>
      <c r="BN255" s="375"/>
      <c r="BO255" s="375">
        <v>6.25E-2</v>
      </c>
      <c r="BP255" s="375"/>
      <c r="BQ255" s="377"/>
      <c r="BR255" s="380">
        <f t="shared" si="22"/>
        <v>6.25E-2</v>
      </c>
      <c r="BT255" s="367">
        <v>51516</v>
      </c>
      <c r="BU255" s="375">
        <f t="shared" si="23"/>
        <v>4.9375000000000002E-2</v>
      </c>
      <c r="BV255" s="375">
        <f t="shared" si="24"/>
        <v>5.2500000000000005E-2</v>
      </c>
      <c r="BW255" s="377">
        <f t="shared" si="25"/>
        <v>4.9375000000000002E-2</v>
      </c>
    </row>
    <row r="256" spans="1:75" x14ac:dyDescent="0.15">
      <c r="A256" s="356"/>
      <c r="B256" s="355"/>
      <c r="C256" s="355"/>
      <c r="D256" s="355"/>
      <c r="E256" s="355"/>
      <c r="F256" s="355"/>
      <c r="G256" s="355"/>
      <c r="O256" s="356"/>
      <c r="P256" s="355"/>
      <c r="Q256" s="355"/>
      <c r="R256" s="355"/>
      <c r="S256" s="355"/>
      <c r="T256" s="355"/>
      <c r="U256" s="355"/>
      <c r="V256" s="355"/>
      <c r="W256" s="355"/>
      <c r="AG256" s="355"/>
      <c r="AH256" s="355"/>
      <c r="AI256" s="355"/>
      <c r="AJ256" s="355"/>
      <c r="AK256" s="355"/>
      <c r="AL256" s="355"/>
      <c r="AM256" s="355"/>
      <c r="AU256" s="379">
        <v>51547</v>
      </c>
      <c r="AV256" s="375"/>
      <c r="AW256" s="375"/>
      <c r="AX256" s="375"/>
      <c r="AY256" s="375"/>
      <c r="AZ256" s="375"/>
      <c r="BA256" s="375"/>
      <c r="BB256" s="375"/>
      <c r="BC256" s="375"/>
      <c r="BD256" s="375">
        <v>7.6249999999999998E-2</v>
      </c>
      <c r="BE256" s="375">
        <v>6.8750000000000006E-2</v>
      </c>
      <c r="BF256" s="375">
        <v>7.1249999999999994E-2</v>
      </c>
      <c r="BG256" s="375"/>
      <c r="BH256" s="375"/>
      <c r="BI256" s="373">
        <f t="shared" si="21"/>
        <v>7.2083333333333333E-2</v>
      </c>
      <c r="BJ256" s="378"/>
      <c r="BK256" s="375"/>
      <c r="BL256" s="375"/>
      <c r="BM256" s="375"/>
      <c r="BN256" s="375"/>
      <c r="BO256" s="375">
        <v>6.25E-2</v>
      </c>
      <c r="BP256" s="375"/>
      <c r="BQ256" s="377"/>
      <c r="BR256" s="380">
        <f t="shared" si="22"/>
        <v>6.25E-2</v>
      </c>
      <c r="BT256" s="367">
        <v>51547</v>
      </c>
      <c r="BU256" s="375">
        <f t="shared" si="23"/>
        <v>4.9375000000000002E-2</v>
      </c>
      <c r="BV256" s="375">
        <f t="shared" si="24"/>
        <v>5.2500000000000005E-2</v>
      </c>
      <c r="BW256" s="377">
        <f t="shared" si="25"/>
        <v>4.9375000000000002E-2</v>
      </c>
    </row>
    <row r="257" spans="1:75" x14ac:dyDescent="0.15">
      <c r="A257" s="356"/>
      <c r="B257" s="355"/>
      <c r="C257" s="355"/>
      <c r="D257" s="355"/>
      <c r="E257" s="355"/>
      <c r="F257" s="355"/>
      <c r="G257" s="355"/>
      <c r="O257" s="356"/>
      <c r="P257" s="355"/>
      <c r="Q257" s="355"/>
      <c r="R257" s="355"/>
      <c r="S257" s="355"/>
      <c r="T257" s="355"/>
      <c r="U257" s="355"/>
      <c r="V257" s="355"/>
      <c r="W257" s="355"/>
      <c r="AG257" s="355"/>
      <c r="AH257" s="355"/>
      <c r="AI257" s="355"/>
      <c r="AJ257" s="355"/>
      <c r="AK257" s="355"/>
      <c r="AL257" s="355"/>
      <c r="AM257" s="355"/>
      <c r="AU257" s="379">
        <v>51575</v>
      </c>
      <c r="AV257" s="375"/>
      <c r="AW257" s="375"/>
      <c r="AX257" s="375"/>
      <c r="AY257" s="375"/>
      <c r="AZ257" s="375"/>
      <c r="BA257" s="375"/>
      <c r="BB257" s="375"/>
      <c r="BC257" s="375"/>
      <c r="BD257" s="375">
        <v>7.6249999999999998E-2</v>
      </c>
      <c r="BE257" s="375">
        <v>6.8750000000000006E-2</v>
      </c>
      <c r="BF257" s="375">
        <v>7.1249999999999994E-2</v>
      </c>
      <c r="BG257" s="375"/>
      <c r="BH257" s="375"/>
      <c r="BI257" s="373">
        <f t="shared" si="21"/>
        <v>7.2083333333333333E-2</v>
      </c>
      <c r="BJ257" s="378"/>
      <c r="BK257" s="375"/>
      <c r="BL257" s="375"/>
      <c r="BM257" s="375"/>
      <c r="BN257" s="375"/>
      <c r="BO257" s="375">
        <v>6.25E-2</v>
      </c>
      <c r="BP257" s="375"/>
      <c r="BQ257" s="377"/>
      <c r="BR257" s="380">
        <f t="shared" si="22"/>
        <v>6.25E-2</v>
      </c>
      <c r="BT257" s="367">
        <v>51575</v>
      </c>
      <c r="BU257" s="375">
        <f t="shared" si="23"/>
        <v>4.9375000000000002E-2</v>
      </c>
      <c r="BV257" s="375">
        <f t="shared" si="24"/>
        <v>5.2500000000000005E-2</v>
      </c>
      <c r="BW257" s="377">
        <f t="shared" si="25"/>
        <v>4.9375000000000002E-2</v>
      </c>
    </row>
    <row r="258" spans="1:75" x14ac:dyDescent="0.15">
      <c r="A258" s="356"/>
      <c r="B258" s="355"/>
      <c r="C258" s="355"/>
      <c r="D258" s="355"/>
      <c r="E258" s="355"/>
      <c r="F258" s="355"/>
      <c r="G258" s="355"/>
      <c r="O258" s="356"/>
      <c r="P258" s="355"/>
      <c r="Q258" s="355"/>
      <c r="R258" s="355"/>
      <c r="S258" s="355"/>
      <c r="T258" s="355"/>
      <c r="U258" s="355"/>
      <c r="V258" s="355"/>
      <c r="W258" s="355"/>
      <c r="AG258" s="355"/>
      <c r="AH258" s="355"/>
      <c r="AI258" s="355"/>
      <c r="AJ258" s="355"/>
      <c r="AK258" s="355"/>
      <c r="AL258" s="355"/>
      <c r="AM258" s="355"/>
      <c r="AU258" s="379">
        <v>51606</v>
      </c>
      <c r="AV258" s="375"/>
      <c r="AW258" s="375"/>
      <c r="AX258" s="375"/>
      <c r="AY258" s="375"/>
      <c r="AZ258" s="375"/>
      <c r="BA258" s="375"/>
      <c r="BB258" s="375"/>
      <c r="BC258" s="375"/>
      <c r="BD258" s="375">
        <v>7.6249999999999998E-2</v>
      </c>
      <c r="BE258" s="375">
        <v>6.8750000000000006E-2</v>
      </c>
      <c r="BF258" s="375">
        <v>7.1249999999999994E-2</v>
      </c>
      <c r="BG258" s="375"/>
      <c r="BH258" s="375"/>
      <c r="BI258" s="373">
        <f t="shared" si="21"/>
        <v>7.2083333333333333E-2</v>
      </c>
      <c r="BJ258" s="378"/>
      <c r="BK258" s="375"/>
      <c r="BL258" s="375"/>
      <c r="BM258" s="375"/>
      <c r="BN258" s="375"/>
      <c r="BO258" s="375">
        <v>6.25E-2</v>
      </c>
      <c r="BP258" s="375"/>
      <c r="BQ258" s="377"/>
      <c r="BR258" s="380">
        <f t="shared" si="22"/>
        <v>6.25E-2</v>
      </c>
      <c r="BT258" s="367">
        <v>51606</v>
      </c>
      <c r="BU258" s="375">
        <f t="shared" si="23"/>
        <v>4.9375000000000002E-2</v>
      </c>
      <c r="BV258" s="375">
        <f t="shared" si="24"/>
        <v>5.2500000000000005E-2</v>
      </c>
      <c r="BW258" s="377">
        <f t="shared" si="25"/>
        <v>4.9375000000000002E-2</v>
      </c>
    </row>
    <row r="259" spans="1:75" x14ac:dyDescent="0.15">
      <c r="A259" s="356"/>
      <c r="B259" s="355"/>
      <c r="C259" s="355"/>
      <c r="D259" s="355"/>
      <c r="E259" s="355"/>
      <c r="F259" s="355"/>
      <c r="G259" s="355"/>
      <c r="O259" s="356"/>
      <c r="P259" s="355"/>
      <c r="Q259" s="355"/>
      <c r="R259" s="355"/>
      <c r="S259" s="355"/>
      <c r="T259" s="355"/>
      <c r="U259" s="355"/>
      <c r="V259" s="355"/>
      <c r="W259" s="355"/>
      <c r="AG259" s="355"/>
      <c r="AH259" s="355"/>
      <c r="AI259" s="355"/>
      <c r="AJ259" s="355"/>
      <c r="AK259" s="355"/>
      <c r="AL259" s="355"/>
      <c r="AM259" s="355"/>
      <c r="AU259" s="379">
        <v>51636</v>
      </c>
      <c r="AV259" s="375"/>
      <c r="AW259" s="375"/>
      <c r="AX259" s="375"/>
      <c r="AY259" s="375"/>
      <c r="AZ259" s="375"/>
      <c r="BA259" s="375"/>
      <c r="BB259" s="375"/>
      <c r="BC259" s="375"/>
      <c r="BD259" s="375">
        <v>7.6249999999999998E-2</v>
      </c>
      <c r="BE259" s="375">
        <v>6.8750000000000006E-2</v>
      </c>
      <c r="BF259" s="375">
        <v>7.1249999999999994E-2</v>
      </c>
      <c r="BG259" s="375"/>
      <c r="BH259" s="375"/>
      <c r="BI259" s="373">
        <f t="shared" si="21"/>
        <v>7.2083333333333333E-2</v>
      </c>
      <c r="BJ259" s="378"/>
      <c r="BK259" s="375"/>
      <c r="BL259" s="375"/>
      <c r="BM259" s="375"/>
      <c r="BN259" s="375"/>
      <c r="BO259" s="375">
        <v>6.25E-2</v>
      </c>
      <c r="BP259" s="375"/>
      <c r="BQ259" s="377"/>
      <c r="BR259" s="380">
        <f t="shared" si="22"/>
        <v>6.25E-2</v>
      </c>
      <c r="BT259" s="367">
        <v>51636</v>
      </c>
      <c r="BU259" s="375">
        <f t="shared" si="23"/>
        <v>4.9375000000000002E-2</v>
      </c>
      <c r="BV259" s="375">
        <f t="shared" si="24"/>
        <v>5.2500000000000005E-2</v>
      </c>
      <c r="BW259" s="377">
        <f t="shared" si="25"/>
        <v>4.9375000000000002E-2</v>
      </c>
    </row>
    <row r="260" spans="1:75" x14ac:dyDescent="0.15">
      <c r="A260" s="356"/>
      <c r="B260" s="355"/>
      <c r="C260" s="355"/>
      <c r="D260" s="355"/>
      <c r="E260" s="355"/>
      <c r="F260" s="355"/>
      <c r="G260" s="355"/>
      <c r="O260" s="356"/>
      <c r="P260" s="355"/>
      <c r="Q260" s="355"/>
      <c r="R260" s="355"/>
      <c r="S260" s="355"/>
      <c r="T260" s="355"/>
      <c r="U260" s="355"/>
      <c r="V260" s="355"/>
      <c r="W260" s="355"/>
      <c r="AG260" s="355"/>
      <c r="AH260" s="355"/>
      <c r="AI260" s="355"/>
      <c r="AJ260" s="355"/>
      <c r="AK260" s="355"/>
      <c r="AL260" s="355"/>
      <c r="AM260" s="355"/>
      <c r="AU260" s="379">
        <v>51667</v>
      </c>
      <c r="AV260" s="375"/>
      <c r="AW260" s="375"/>
      <c r="AX260" s="375"/>
      <c r="AY260" s="375"/>
      <c r="AZ260" s="375"/>
      <c r="BA260" s="375"/>
      <c r="BB260" s="375"/>
      <c r="BC260" s="375"/>
      <c r="BD260" s="375">
        <v>7.6249999999999998E-2</v>
      </c>
      <c r="BE260" s="375">
        <v>6.8750000000000006E-2</v>
      </c>
      <c r="BF260" s="375">
        <v>7.1249999999999994E-2</v>
      </c>
      <c r="BG260" s="375"/>
      <c r="BH260" s="375"/>
      <c r="BI260" s="373">
        <f t="shared" si="21"/>
        <v>7.2083333333333333E-2</v>
      </c>
      <c r="BJ260" s="378"/>
      <c r="BK260" s="375"/>
      <c r="BL260" s="375"/>
      <c r="BM260" s="375"/>
      <c r="BN260" s="375"/>
      <c r="BO260" s="375">
        <v>6.25E-2</v>
      </c>
      <c r="BP260" s="375"/>
      <c r="BQ260" s="377"/>
      <c r="BR260" s="380">
        <f t="shared" si="22"/>
        <v>6.25E-2</v>
      </c>
      <c r="BT260" s="367">
        <v>51667</v>
      </c>
      <c r="BU260" s="375">
        <f t="shared" si="23"/>
        <v>4.9375000000000002E-2</v>
      </c>
      <c r="BV260" s="375">
        <f t="shared" si="24"/>
        <v>5.2500000000000005E-2</v>
      </c>
      <c r="BW260" s="377">
        <f t="shared" si="25"/>
        <v>4.9375000000000002E-2</v>
      </c>
    </row>
    <row r="261" spans="1:75" x14ac:dyDescent="0.15">
      <c r="A261" s="356"/>
      <c r="B261" s="355"/>
      <c r="C261" s="355"/>
      <c r="D261" s="355"/>
      <c r="E261" s="355"/>
      <c r="F261" s="355"/>
      <c r="G261" s="355"/>
      <c r="O261" s="356"/>
      <c r="P261" s="355"/>
      <c r="Q261" s="355"/>
      <c r="R261" s="355"/>
      <c r="S261" s="355"/>
      <c r="T261" s="355"/>
      <c r="U261" s="355"/>
      <c r="V261" s="355"/>
      <c r="W261" s="355"/>
      <c r="AG261" s="355"/>
      <c r="AH261" s="355"/>
      <c r="AI261" s="355"/>
      <c r="AJ261" s="355"/>
      <c r="AK261" s="355"/>
      <c r="AL261" s="355"/>
      <c r="AM261" s="355"/>
      <c r="AU261" s="379">
        <v>51697</v>
      </c>
      <c r="AV261" s="375"/>
      <c r="AW261" s="375"/>
      <c r="AX261" s="375"/>
      <c r="AY261" s="375"/>
      <c r="AZ261" s="375"/>
      <c r="BA261" s="375"/>
      <c r="BB261" s="375"/>
      <c r="BC261" s="375"/>
      <c r="BD261" s="375">
        <v>7.6249999999999998E-2</v>
      </c>
      <c r="BE261" s="375">
        <v>6.8750000000000006E-2</v>
      </c>
      <c r="BF261" s="375">
        <v>7.1249999999999994E-2</v>
      </c>
      <c r="BG261" s="375"/>
      <c r="BH261" s="375"/>
      <c r="BI261" s="373">
        <f t="shared" si="21"/>
        <v>7.2083333333333333E-2</v>
      </c>
      <c r="BJ261" s="378"/>
      <c r="BK261" s="375"/>
      <c r="BL261" s="375"/>
      <c r="BM261" s="375"/>
      <c r="BN261" s="375"/>
      <c r="BO261" s="375">
        <v>6.25E-2</v>
      </c>
      <c r="BP261" s="375"/>
      <c r="BQ261" s="377"/>
      <c r="BR261" s="380">
        <f t="shared" si="22"/>
        <v>6.25E-2</v>
      </c>
      <c r="BT261" s="367">
        <v>51697</v>
      </c>
      <c r="BU261" s="375">
        <f t="shared" si="23"/>
        <v>4.9375000000000002E-2</v>
      </c>
      <c r="BV261" s="375">
        <f t="shared" si="24"/>
        <v>5.2500000000000005E-2</v>
      </c>
      <c r="BW261" s="377">
        <f t="shared" si="25"/>
        <v>4.9375000000000002E-2</v>
      </c>
    </row>
    <row r="262" spans="1:75" x14ac:dyDescent="0.15">
      <c r="A262" s="356"/>
      <c r="B262" s="355"/>
      <c r="C262" s="355"/>
      <c r="D262" s="355"/>
      <c r="E262" s="355"/>
      <c r="F262" s="355"/>
      <c r="G262" s="355"/>
      <c r="O262" s="356"/>
      <c r="P262" s="355"/>
      <c r="Q262" s="355"/>
      <c r="R262" s="355"/>
      <c r="S262" s="355"/>
      <c r="T262" s="355"/>
      <c r="U262" s="355"/>
      <c r="V262" s="355"/>
      <c r="W262" s="355"/>
      <c r="AG262" s="355"/>
      <c r="AH262" s="355"/>
      <c r="AI262" s="355"/>
      <c r="AJ262" s="355"/>
      <c r="AK262" s="355"/>
      <c r="AL262" s="355"/>
      <c r="AM262" s="355"/>
      <c r="AU262" s="379">
        <v>51728</v>
      </c>
      <c r="AV262" s="375"/>
      <c r="AW262" s="375"/>
      <c r="AX262" s="375"/>
      <c r="AY262" s="375"/>
      <c r="AZ262" s="375"/>
      <c r="BA262" s="375"/>
      <c r="BB262" s="375"/>
      <c r="BC262" s="375"/>
      <c r="BD262" s="375">
        <v>7.6249999999999998E-2</v>
      </c>
      <c r="BE262" s="375">
        <v>6.8750000000000006E-2</v>
      </c>
      <c r="BF262" s="375">
        <v>7.1249999999999994E-2</v>
      </c>
      <c r="BG262" s="375"/>
      <c r="BH262" s="375"/>
      <c r="BI262" s="373">
        <f t="shared" si="21"/>
        <v>7.2083333333333333E-2</v>
      </c>
      <c r="BJ262" s="378"/>
      <c r="BK262" s="375"/>
      <c r="BL262" s="375"/>
      <c r="BM262" s="375"/>
      <c r="BN262" s="375"/>
      <c r="BO262" s="375">
        <v>6.25E-2</v>
      </c>
      <c r="BP262" s="375"/>
      <c r="BQ262" s="377"/>
      <c r="BR262" s="380">
        <f t="shared" si="22"/>
        <v>6.25E-2</v>
      </c>
      <c r="BT262" s="367">
        <v>51728</v>
      </c>
      <c r="BU262" s="375">
        <f t="shared" si="23"/>
        <v>4.9375000000000002E-2</v>
      </c>
      <c r="BV262" s="375">
        <f t="shared" si="24"/>
        <v>5.2500000000000005E-2</v>
      </c>
      <c r="BW262" s="377">
        <f t="shared" si="25"/>
        <v>4.9375000000000002E-2</v>
      </c>
    </row>
    <row r="263" spans="1:75" x14ac:dyDescent="0.15">
      <c r="A263" s="356"/>
      <c r="B263" s="355"/>
      <c r="C263" s="355"/>
      <c r="D263" s="355"/>
      <c r="E263" s="355"/>
      <c r="F263" s="355"/>
      <c r="G263" s="355"/>
      <c r="O263" s="356"/>
      <c r="P263" s="355"/>
      <c r="Q263" s="355"/>
      <c r="R263" s="355"/>
      <c r="S263" s="355"/>
      <c r="T263" s="355"/>
      <c r="U263" s="355"/>
      <c r="V263" s="355"/>
      <c r="W263" s="355"/>
      <c r="AG263" s="355"/>
      <c r="AH263" s="355"/>
      <c r="AI263" s="355"/>
      <c r="AJ263" s="355"/>
      <c r="AK263" s="355"/>
      <c r="AL263" s="355"/>
      <c r="AM263" s="355"/>
      <c r="AU263" s="379">
        <v>51759</v>
      </c>
      <c r="AV263" s="375"/>
      <c r="AW263" s="375"/>
      <c r="AX263" s="375"/>
      <c r="AY263" s="375"/>
      <c r="AZ263" s="375"/>
      <c r="BA263" s="375"/>
      <c r="BB263" s="375"/>
      <c r="BC263" s="375"/>
      <c r="BD263" s="375">
        <v>7.6249999999999998E-2</v>
      </c>
      <c r="BE263" s="375">
        <v>6.8750000000000006E-2</v>
      </c>
      <c r="BF263" s="375">
        <v>7.1249999999999994E-2</v>
      </c>
      <c r="BG263" s="375"/>
      <c r="BH263" s="375"/>
      <c r="BI263" s="373">
        <f t="shared" ref="BI263:BI326" si="26">+AVERAGE(AV263:BH263)</f>
        <v>7.2083333333333333E-2</v>
      </c>
      <c r="BJ263" s="378"/>
      <c r="BK263" s="375"/>
      <c r="BL263" s="375"/>
      <c r="BM263" s="375"/>
      <c r="BN263" s="375"/>
      <c r="BO263" s="375">
        <v>6.25E-2</v>
      </c>
      <c r="BP263" s="375"/>
      <c r="BQ263" s="377"/>
      <c r="BR263" s="380">
        <f t="shared" ref="BR263:BR326" si="27">+AVERAGE(BJ263:BQ263)</f>
        <v>6.25E-2</v>
      </c>
      <c r="BT263" s="367">
        <v>51759</v>
      </c>
      <c r="BU263" s="375">
        <f t="shared" si="23"/>
        <v>4.9375000000000002E-2</v>
      </c>
      <c r="BV263" s="375">
        <f t="shared" si="24"/>
        <v>5.2500000000000005E-2</v>
      </c>
      <c r="BW263" s="377">
        <f t="shared" si="25"/>
        <v>4.9375000000000002E-2</v>
      </c>
    </row>
    <row r="264" spans="1:75" x14ac:dyDescent="0.15">
      <c r="A264" s="356"/>
      <c r="B264" s="355"/>
      <c r="C264" s="355"/>
      <c r="D264" s="355"/>
      <c r="E264" s="355"/>
      <c r="F264" s="355"/>
      <c r="G264" s="355"/>
      <c r="O264" s="356"/>
      <c r="P264" s="355"/>
      <c r="Q264" s="355"/>
      <c r="R264" s="355"/>
      <c r="S264" s="355"/>
      <c r="T264" s="355"/>
      <c r="U264" s="355"/>
      <c r="V264" s="355"/>
      <c r="W264" s="355"/>
      <c r="AG264" s="355"/>
      <c r="AH264" s="355"/>
      <c r="AI264" s="355"/>
      <c r="AJ264" s="355"/>
      <c r="AK264" s="355"/>
      <c r="AL264" s="355"/>
      <c r="AM264" s="355"/>
      <c r="AU264" s="379">
        <v>51789</v>
      </c>
      <c r="AV264" s="375"/>
      <c r="AW264" s="375"/>
      <c r="AX264" s="375"/>
      <c r="AY264" s="375"/>
      <c r="AZ264" s="375"/>
      <c r="BA264" s="375"/>
      <c r="BB264" s="375"/>
      <c r="BC264" s="375"/>
      <c r="BD264" s="375">
        <v>7.6249999999999998E-2</v>
      </c>
      <c r="BE264" s="375">
        <v>6.8750000000000006E-2</v>
      </c>
      <c r="BF264" s="375">
        <v>7.1249999999999994E-2</v>
      </c>
      <c r="BG264" s="375"/>
      <c r="BH264" s="375"/>
      <c r="BI264" s="373">
        <f t="shared" si="26"/>
        <v>7.2083333333333333E-2</v>
      </c>
      <c r="BJ264" s="378"/>
      <c r="BK264" s="375"/>
      <c r="BL264" s="375"/>
      <c r="BM264" s="375"/>
      <c r="BN264" s="375"/>
      <c r="BO264" s="375">
        <v>6.25E-2</v>
      </c>
      <c r="BP264" s="375"/>
      <c r="BQ264" s="377"/>
      <c r="BR264" s="380">
        <f t="shared" si="27"/>
        <v>6.25E-2</v>
      </c>
      <c r="BT264" s="367">
        <v>51789</v>
      </c>
      <c r="BU264" s="375">
        <f t="shared" ref="BU264:BU325" si="28">+IFERROR(VLOOKUP($BT264,$A$8:$G$62,7,FALSE),BU263)</f>
        <v>4.9375000000000002E-2</v>
      </c>
      <c r="BV264" s="375">
        <f t="shared" ref="BV264:BV309" si="29">+IFERROR(VLOOKUP($BT264,$O$7:$W$62,9,FALSE),BV263)</f>
        <v>5.2500000000000005E-2</v>
      </c>
      <c r="BW264" s="377">
        <f t="shared" ref="BW264:BW321" si="30">+IFERROR(VLOOKUP($BT264,$AG$7:$AM$62,7,FALSE),BW263)</f>
        <v>4.9375000000000002E-2</v>
      </c>
    </row>
    <row r="265" spans="1:75" x14ac:dyDescent="0.15">
      <c r="A265" s="356"/>
      <c r="B265" s="355"/>
      <c r="C265" s="355"/>
      <c r="D265" s="355"/>
      <c r="E265" s="355"/>
      <c r="F265" s="355"/>
      <c r="G265" s="355"/>
      <c r="O265" s="356"/>
      <c r="P265" s="355"/>
      <c r="Q265" s="355"/>
      <c r="R265" s="355"/>
      <c r="S265" s="355"/>
      <c r="T265" s="355"/>
      <c r="U265" s="355"/>
      <c r="V265" s="355"/>
      <c r="W265" s="355"/>
      <c r="AG265" s="355"/>
      <c r="AH265" s="355"/>
      <c r="AI265" s="355"/>
      <c r="AJ265" s="355"/>
      <c r="AK265" s="355"/>
      <c r="AL265" s="355"/>
      <c r="AM265" s="355"/>
      <c r="AU265" s="379">
        <v>51820</v>
      </c>
      <c r="AV265" s="375"/>
      <c r="AW265" s="375"/>
      <c r="AX265" s="375"/>
      <c r="AY265" s="375"/>
      <c r="AZ265" s="375"/>
      <c r="BA265" s="375"/>
      <c r="BB265" s="375"/>
      <c r="BC265" s="375"/>
      <c r="BD265" s="375">
        <v>7.6249999999999998E-2</v>
      </c>
      <c r="BE265" s="375">
        <v>6.8750000000000006E-2</v>
      </c>
      <c r="BF265" s="375">
        <v>7.1249999999999994E-2</v>
      </c>
      <c r="BG265" s="375"/>
      <c r="BH265" s="375"/>
      <c r="BI265" s="373">
        <f t="shared" si="26"/>
        <v>7.2083333333333333E-2</v>
      </c>
      <c r="BJ265" s="378"/>
      <c r="BK265" s="375"/>
      <c r="BL265" s="375"/>
      <c r="BM265" s="375"/>
      <c r="BN265" s="375"/>
      <c r="BO265" s="375">
        <v>6.25E-2</v>
      </c>
      <c r="BP265" s="375"/>
      <c r="BQ265" s="377"/>
      <c r="BR265" s="380">
        <f t="shared" si="27"/>
        <v>6.25E-2</v>
      </c>
      <c r="BT265" s="367">
        <v>51820</v>
      </c>
      <c r="BU265" s="375">
        <f t="shared" si="28"/>
        <v>4.9375000000000002E-2</v>
      </c>
      <c r="BV265" s="375">
        <f t="shared" si="29"/>
        <v>5.2500000000000005E-2</v>
      </c>
      <c r="BW265" s="377">
        <f t="shared" si="30"/>
        <v>4.9375000000000002E-2</v>
      </c>
    </row>
    <row r="266" spans="1:75" x14ac:dyDescent="0.15">
      <c r="A266" s="356"/>
      <c r="B266" s="355"/>
      <c r="C266" s="355"/>
      <c r="D266" s="355"/>
      <c r="E266" s="355"/>
      <c r="F266" s="355"/>
      <c r="G266" s="355"/>
      <c r="O266" s="356"/>
      <c r="P266" s="355"/>
      <c r="Q266" s="355"/>
      <c r="R266" s="355"/>
      <c r="S266" s="355"/>
      <c r="T266" s="355"/>
      <c r="U266" s="355"/>
      <c r="V266" s="355"/>
      <c r="W266" s="355"/>
      <c r="AG266" s="355"/>
      <c r="AH266" s="355"/>
      <c r="AI266" s="355"/>
      <c r="AJ266" s="355"/>
      <c r="AK266" s="355"/>
      <c r="AL266" s="355"/>
      <c r="AM266" s="355"/>
      <c r="AU266" s="379">
        <v>51850</v>
      </c>
      <c r="AV266" s="375"/>
      <c r="AW266" s="375"/>
      <c r="AX266" s="375"/>
      <c r="AY266" s="375"/>
      <c r="AZ266" s="375"/>
      <c r="BA266" s="375"/>
      <c r="BB266" s="375"/>
      <c r="BC266" s="375"/>
      <c r="BD266" s="375">
        <v>7.6249999999999998E-2</v>
      </c>
      <c r="BE266" s="375">
        <v>6.8750000000000006E-2</v>
      </c>
      <c r="BF266" s="375">
        <v>7.1249999999999994E-2</v>
      </c>
      <c r="BG266" s="375"/>
      <c r="BH266" s="375"/>
      <c r="BI266" s="373">
        <f t="shared" si="26"/>
        <v>7.2083333333333333E-2</v>
      </c>
      <c r="BJ266" s="378"/>
      <c r="BK266" s="375"/>
      <c r="BL266" s="375"/>
      <c r="BM266" s="375"/>
      <c r="BN266" s="375"/>
      <c r="BO266" s="375">
        <v>6.25E-2</v>
      </c>
      <c r="BP266" s="375"/>
      <c r="BQ266" s="377"/>
      <c r="BR266" s="380">
        <f t="shared" si="27"/>
        <v>6.25E-2</v>
      </c>
      <c r="BT266" s="367">
        <v>51850</v>
      </c>
      <c r="BU266" s="375">
        <f t="shared" si="28"/>
        <v>4.9375000000000002E-2</v>
      </c>
      <c r="BV266" s="375">
        <f t="shared" si="29"/>
        <v>5.2500000000000005E-2</v>
      </c>
      <c r="BW266" s="377">
        <f t="shared" si="30"/>
        <v>4.9375000000000002E-2</v>
      </c>
    </row>
    <row r="267" spans="1:75" x14ac:dyDescent="0.15">
      <c r="A267" s="356"/>
      <c r="B267" s="355"/>
      <c r="C267" s="355"/>
      <c r="D267" s="355"/>
      <c r="E267" s="355"/>
      <c r="F267" s="355"/>
      <c r="G267" s="355"/>
      <c r="O267" s="356"/>
      <c r="P267" s="355"/>
      <c r="Q267" s="355"/>
      <c r="R267" s="355"/>
      <c r="S267" s="355"/>
      <c r="T267" s="355"/>
      <c r="U267" s="355"/>
      <c r="V267" s="355"/>
      <c r="W267" s="355"/>
      <c r="AG267" s="355"/>
      <c r="AH267" s="355"/>
      <c r="AI267" s="355"/>
      <c r="AJ267" s="355"/>
      <c r="AK267" s="355"/>
      <c r="AL267" s="355"/>
      <c r="AM267" s="355"/>
      <c r="AU267" s="379">
        <v>51881</v>
      </c>
      <c r="AV267" s="375"/>
      <c r="AW267" s="375"/>
      <c r="AX267" s="375"/>
      <c r="AY267" s="375"/>
      <c r="AZ267" s="375"/>
      <c r="BA267" s="375"/>
      <c r="BB267" s="375"/>
      <c r="BC267" s="375"/>
      <c r="BD267" s="375">
        <v>7.6249999999999998E-2</v>
      </c>
      <c r="BE267" s="375">
        <v>6.8750000000000006E-2</v>
      </c>
      <c r="BF267" s="375">
        <v>7.1249999999999994E-2</v>
      </c>
      <c r="BG267" s="375"/>
      <c r="BH267" s="375"/>
      <c r="BI267" s="373">
        <f t="shared" si="26"/>
        <v>7.2083333333333333E-2</v>
      </c>
      <c r="BJ267" s="378"/>
      <c r="BK267" s="375"/>
      <c r="BL267" s="375"/>
      <c r="BM267" s="375"/>
      <c r="BN267" s="375"/>
      <c r="BO267" s="375">
        <v>6.25E-2</v>
      </c>
      <c r="BP267" s="375"/>
      <c r="BQ267" s="377"/>
      <c r="BR267" s="380">
        <f t="shared" si="27"/>
        <v>6.25E-2</v>
      </c>
      <c r="BT267" s="367">
        <v>51881</v>
      </c>
      <c r="BU267" s="375">
        <f t="shared" si="28"/>
        <v>4.9375000000000002E-2</v>
      </c>
      <c r="BV267" s="375">
        <f t="shared" si="29"/>
        <v>5.7500000000000002E-2</v>
      </c>
      <c r="BW267" s="377">
        <f t="shared" si="30"/>
        <v>0.05</v>
      </c>
    </row>
    <row r="268" spans="1:75" x14ac:dyDescent="0.15">
      <c r="A268" s="356"/>
      <c r="B268" s="355"/>
      <c r="C268" s="355"/>
      <c r="D268" s="355"/>
      <c r="E268" s="355"/>
      <c r="F268" s="355"/>
      <c r="G268" s="355"/>
      <c r="O268" s="356"/>
      <c r="P268" s="355"/>
      <c r="Q268" s="355"/>
      <c r="R268" s="355"/>
      <c r="S268" s="355"/>
      <c r="T268" s="355"/>
      <c r="U268" s="355"/>
      <c r="V268" s="355"/>
      <c r="W268" s="355"/>
      <c r="AG268" s="355"/>
      <c r="AH268" s="355"/>
      <c r="AI268" s="355"/>
      <c r="AJ268" s="355"/>
      <c r="AK268" s="355"/>
      <c r="AL268" s="355"/>
      <c r="AM268" s="355"/>
      <c r="AU268" s="379">
        <v>51912</v>
      </c>
      <c r="AV268" s="375"/>
      <c r="AW268" s="375"/>
      <c r="AX268" s="375"/>
      <c r="AY268" s="375"/>
      <c r="AZ268" s="375"/>
      <c r="BA268" s="375"/>
      <c r="BB268" s="375"/>
      <c r="BC268" s="375"/>
      <c r="BD268" s="375">
        <v>7.6249999999999998E-2</v>
      </c>
      <c r="BE268" s="375">
        <v>6.8750000000000006E-2</v>
      </c>
      <c r="BF268" s="375">
        <v>7.1249999999999994E-2</v>
      </c>
      <c r="BG268" s="375"/>
      <c r="BH268" s="375"/>
      <c r="BI268" s="373">
        <f t="shared" si="26"/>
        <v>7.2083333333333333E-2</v>
      </c>
      <c r="BJ268" s="378"/>
      <c r="BK268" s="375"/>
      <c r="BL268" s="375"/>
      <c r="BM268" s="375"/>
      <c r="BN268" s="375"/>
      <c r="BO268" s="375">
        <v>6.25E-2</v>
      </c>
      <c r="BP268" s="375"/>
      <c r="BQ268" s="377"/>
      <c r="BR268" s="380">
        <f t="shared" si="27"/>
        <v>6.25E-2</v>
      </c>
      <c r="BT268" s="367">
        <v>51912</v>
      </c>
      <c r="BU268" s="375">
        <f t="shared" si="28"/>
        <v>4.9375000000000002E-2</v>
      </c>
      <c r="BV268" s="375">
        <f t="shared" si="29"/>
        <v>5.7500000000000002E-2</v>
      </c>
      <c r="BW268" s="377">
        <f t="shared" si="30"/>
        <v>0.05</v>
      </c>
    </row>
    <row r="269" spans="1:75" x14ac:dyDescent="0.15">
      <c r="A269" s="356"/>
      <c r="B269" s="355"/>
      <c r="C269" s="355"/>
      <c r="D269" s="355"/>
      <c r="E269" s="355"/>
      <c r="F269" s="355"/>
      <c r="G269" s="355"/>
      <c r="O269" s="356"/>
      <c r="P269" s="355"/>
      <c r="Q269" s="355"/>
      <c r="R269" s="355"/>
      <c r="S269" s="355"/>
      <c r="T269" s="355"/>
      <c r="U269" s="355"/>
      <c r="V269" s="355"/>
      <c r="W269" s="355"/>
      <c r="AG269" s="355"/>
      <c r="AH269" s="355"/>
      <c r="AI269" s="355"/>
      <c r="AJ269" s="355"/>
      <c r="AK269" s="355"/>
      <c r="AL269" s="355"/>
      <c r="AM269" s="355"/>
      <c r="AU269" s="379">
        <v>51940</v>
      </c>
      <c r="AV269" s="375"/>
      <c r="AW269" s="375"/>
      <c r="AX269" s="375"/>
      <c r="AY269" s="375"/>
      <c r="AZ269" s="375"/>
      <c r="BA269" s="375"/>
      <c r="BB269" s="375"/>
      <c r="BC269" s="375"/>
      <c r="BD269" s="375">
        <v>7.6249999999999998E-2</v>
      </c>
      <c r="BE269" s="375">
        <v>6.8750000000000006E-2</v>
      </c>
      <c r="BF269" s="375">
        <v>7.1249999999999994E-2</v>
      </c>
      <c r="BG269" s="375"/>
      <c r="BH269" s="375"/>
      <c r="BI269" s="373">
        <f t="shared" si="26"/>
        <v>7.2083333333333333E-2</v>
      </c>
      <c r="BJ269" s="378"/>
      <c r="BK269" s="375"/>
      <c r="BL269" s="375"/>
      <c r="BM269" s="375"/>
      <c r="BN269" s="375"/>
      <c r="BO269" s="375">
        <v>6.25E-2</v>
      </c>
      <c r="BP269" s="375"/>
      <c r="BQ269" s="377"/>
      <c r="BR269" s="380">
        <f t="shared" si="27"/>
        <v>6.25E-2</v>
      </c>
      <c r="BT269" s="367">
        <v>51940</v>
      </c>
      <c r="BU269" s="375">
        <f t="shared" si="28"/>
        <v>4.9375000000000002E-2</v>
      </c>
      <c r="BV269" s="375">
        <f t="shared" si="29"/>
        <v>5.7500000000000002E-2</v>
      </c>
      <c r="BW269" s="377">
        <f t="shared" si="30"/>
        <v>0.05</v>
      </c>
    </row>
    <row r="270" spans="1:75" x14ac:dyDescent="0.15">
      <c r="A270" s="356"/>
      <c r="B270" s="355"/>
      <c r="C270" s="355"/>
      <c r="D270" s="355"/>
      <c r="E270" s="355"/>
      <c r="F270" s="355"/>
      <c r="G270" s="355"/>
      <c r="O270" s="356"/>
      <c r="P270" s="355"/>
      <c r="Q270" s="355"/>
      <c r="R270" s="355"/>
      <c r="S270" s="355"/>
      <c r="T270" s="355"/>
      <c r="U270" s="355"/>
      <c r="V270" s="355"/>
      <c r="W270" s="355"/>
      <c r="AG270" s="355"/>
      <c r="AH270" s="355"/>
      <c r="AI270" s="355"/>
      <c r="AJ270" s="355"/>
      <c r="AK270" s="355"/>
      <c r="AL270" s="355"/>
      <c r="AM270" s="355"/>
      <c r="AU270" s="379">
        <v>51971</v>
      </c>
      <c r="AV270" s="375"/>
      <c r="AW270" s="375"/>
      <c r="AX270" s="375"/>
      <c r="AY270" s="375"/>
      <c r="AZ270" s="375"/>
      <c r="BA270" s="375"/>
      <c r="BB270" s="375"/>
      <c r="BC270" s="375"/>
      <c r="BD270" s="375">
        <v>7.6249999999999998E-2</v>
      </c>
      <c r="BE270" s="375">
        <v>6.8750000000000006E-2</v>
      </c>
      <c r="BF270" s="375">
        <v>7.1249999999999994E-2</v>
      </c>
      <c r="BG270" s="375"/>
      <c r="BH270" s="375"/>
      <c r="BI270" s="373">
        <f t="shared" si="26"/>
        <v>7.2083333333333333E-2</v>
      </c>
      <c r="BJ270" s="378"/>
      <c r="BK270" s="375"/>
      <c r="BL270" s="375"/>
      <c r="BM270" s="375"/>
      <c r="BN270" s="375"/>
      <c r="BO270" s="375">
        <v>6.25E-2</v>
      </c>
      <c r="BP270" s="375"/>
      <c r="BQ270" s="377"/>
      <c r="BR270" s="380">
        <f t="shared" si="27"/>
        <v>6.25E-2</v>
      </c>
      <c r="BT270" s="367">
        <v>51971</v>
      </c>
      <c r="BU270" s="375">
        <f t="shared" si="28"/>
        <v>4.9375000000000002E-2</v>
      </c>
      <c r="BV270" s="375">
        <f t="shared" si="29"/>
        <v>5.7500000000000002E-2</v>
      </c>
      <c r="BW270" s="377">
        <f t="shared" si="30"/>
        <v>0.05</v>
      </c>
    </row>
    <row r="271" spans="1:75" x14ac:dyDescent="0.15">
      <c r="A271" s="356"/>
      <c r="B271" s="355"/>
      <c r="C271" s="355"/>
      <c r="D271" s="355"/>
      <c r="E271" s="355"/>
      <c r="F271" s="355"/>
      <c r="G271" s="355"/>
      <c r="O271" s="356"/>
      <c r="P271" s="355"/>
      <c r="Q271" s="355"/>
      <c r="R271" s="355"/>
      <c r="S271" s="355"/>
      <c r="T271" s="355"/>
      <c r="U271" s="355"/>
      <c r="V271" s="355"/>
      <c r="W271" s="355"/>
      <c r="AG271" s="355"/>
      <c r="AH271" s="355"/>
      <c r="AI271" s="355"/>
      <c r="AJ271" s="355"/>
      <c r="AK271" s="355"/>
      <c r="AL271" s="355"/>
      <c r="AM271" s="355"/>
      <c r="AU271" s="379">
        <v>52001</v>
      </c>
      <c r="AV271" s="375"/>
      <c r="AW271" s="375"/>
      <c r="AX271" s="375"/>
      <c r="AY271" s="375"/>
      <c r="AZ271" s="375"/>
      <c r="BA271" s="375"/>
      <c r="BB271" s="375"/>
      <c r="BC271" s="375"/>
      <c r="BD271" s="375">
        <v>7.6249999999999998E-2</v>
      </c>
      <c r="BE271" s="375">
        <v>6.8750000000000006E-2</v>
      </c>
      <c r="BF271" s="375">
        <v>7.1249999999999994E-2</v>
      </c>
      <c r="BG271" s="375"/>
      <c r="BH271" s="375"/>
      <c r="BI271" s="373">
        <f t="shared" si="26"/>
        <v>7.2083333333333333E-2</v>
      </c>
      <c r="BJ271" s="378"/>
      <c r="BK271" s="375"/>
      <c r="BL271" s="375"/>
      <c r="BM271" s="375"/>
      <c r="BN271" s="375"/>
      <c r="BO271" s="375">
        <v>6.25E-2</v>
      </c>
      <c r="BP271" s="375"/>
      <c r="BQ271" s="377"/>
      <c r="BR271" s="380">
        <f t="shared" si="27"/>
        <v>6.25E-2</v>
      </c>
      <c r="BT271" s="367">
        <v>52001</v>
      </c>
      <c r="BU271" s="375">
        <f t="shared" si="28"/>
        <v>0.05</v>
      </c>
      <c r="BV271" s="375">
        <f t="shared" si="29"/>
        <v>5.7500000000000002E-2</v>
      </c>
      <c r="BW271" s="377">
        <f t="shared" si="30"/>
        <v>0.05</v>
      </c>
    </row>
    <row r="272" spans="1:75" x14ac:dyDescent="0.15">
      <c r="A272" s="356"/>
      <c r="B272" s="355"/>
      <c r="C272" s="355"/>
      <c r="D272" s="355"/>
      <c r="E272" s="355"/>
      <c r="F272" s="355"/>
      <c r="G272" s="355"/>
      <c r="O272" s="356"/>
      <c r="P272" s="355"/>
      <c r="Q272" s="355"/>
      <c r="R272" s="355"/>
      <c r="S272" s="355"/>
      <c r="T272" s="355"/>
      <c r="U272" s="355"/>
      <c r="V272" s="355"/>
      <c r="W272" s="355"/>
      <c r="AG272" s="355"/>
      <c r="AH272" s="355"/>
      <c r="AI272" s="355"/>
      <c r="AJ272" s="355"/>
      <c r="AK272" s="355"/>
      <c r="AL272" s="355"/>
      <c r="AM272" s="355"/>
      <c r="AU272" s="379">
        <v>52032</v>
      </c>
      <c r="AV272" s="375"/>
      <c r="AW272" s="375"/>
      <c r="AX272" s="375"/>
      <c r="AY272" s="375"/>
      <c r="AZ272" s="375"/>
      <c r="BA272" s="375"/>
      <c r="BB272" s="375"/>
      <c r="BC272" s="375"/>
      <c r="BD272" s="375">
        <v>7.6249999999999998E-2</v>
      </c>
      <c r="BE272" s="375">
        <v>6.8750000000000006E-2</v>
      </c>
      <c r="BF272" s="375">
        <v>7.1249999999999994E-2</v>
      </c>
      <c r="BG272" s="375"/>
      <c r="BH272" s="375"/>
      <c r="BI272" s="373">
        <f t="shared" si="26"/>
        <v>7.2083333333333333E-2</v>
      </c>
      <c r="BJ272" s="378"/>
      <c r="BK272" s="375"/>
      <c r="BL272" s="375"/>
      <c r="BM272" s="375"/>
      <c r="BN272" s="375"/>
      <c r="BO272" s="375">
        <v>6.25E-2</v>
      </c>
      <c r="BP272" s="375"/>
      <c r="BQ272" s="377"/>
      <c r="BR272" s="380">
        <f t="shared" si="27"/>
        <v>6.25E-2</v>
      </c>
      <c r="BT272" s="367">
        <v>52032</v>
      </c>
      <c r="BU272" s="375">
        <f t="shared" si="28"/>
        <v>0.05</v>
      </c>
      <c r="BV272" s="375">
        <f t="shared" si="29"/>
        <v>5.7500000000000002E-2</v>
      </c>
      <c r="BW272" s="377">
        <f t="shared" si="30"/>
        <v>0.05</v>
      </c>
    </row>
    <row r="273" spans="1:75" x14ac:dyDescent="0.15">
      <c r="A273" s="356"/>
      <c r="B273" s="355"/>
      <c r="C273" s="355"/>
      <c r="D273" s="355"/>
      <c r="E273" s="355"/>
      <c r="F273" s="355"/>
      <c r="G273" s="355"/>
      <c r="O273" s="356"/>
      <c r="P273" s="355"/>
      <c r="Q273" s="355"/>
      <c r="R273" s="355"/>
      <c r="S273" s="355"/>
      <c r="T273" s="355"/>
      <c r="U273" s="355"/>
      <c r="V273" s="355"/>
      <c r="W273" s="355"/>
      <c r="AG273" s="355"/>
      <c r="AH273" s="355"/>
      <c r="AI273" s="355"/>
      <c r="AJ273" s="355"/>
      <c r="AK273" s="355"/>
      <c r="AL273" s="355"/>
      <c r="AM273" s="355"/>
      <c r="AU273" s="379">
        <v>52062</v>
      </c>
      <c r="AV273" s="375"/>
      <c r="AW273" s="375"/>
      <c r="AX273" s="375"/>
      <c r="AY273" s="375"/>
      <c r="AZ273" s="375"/>
      <c r="BA273" s="375"/>
      <c r="BB273" s="375"/>
      <c r="BC273" s="375"/>
      <c r="BD273" s="375">
        <v>7.6249999999999998E-2</v>
      </c>
      <c r="BE273" s="375">
        <v>6.8750000000000006E-2</v>
      </c>
      <c r="BF273" s="375">
        <v>7.1249999999999994E-2</v>
      </c>
      <c r="BG273" s="375"/>
      <c r="BH273" s="375"/>
      <c r="BI273" s="373">
        <f t="shared" si="26"/>
        <v>7.2083333333333333E-2</v>
      </c>
      <c r="BJ273" s="378"/>
      <c r="BK273" s="375"/>
      <c r="BL273" s="375"/>
      <c r="BM273" s="375"/>
      <c r="BN273" s="375"/>
      <c r="BO273" s="375">
        <v>6.25E-2</v>
      </c>
      <c r="BP273" s="375"/>
      <c r="BQ273" s="377"/>
      <c r="BR273" s="380">
        <f t="shared" si="27"/>
        <v>6.25E-2</v>
      </c>
      <c r="BT273" s="367">
        <v>52062</v>
      </c>
      <c r="BU273" s="375">
        <f t="shared" si="28"/>
        <v>0.05</v>
      </c>
      <c r="BV273" s="375">
        <f t="shared" si="29"/>
        <v>5.7500000000000002E-2</v>
      </c>
      <c r="BW273" s="377">
        <f t="shared" si="30"/>
        <v>0.05</v>
      </c>
    </row>
    <row r="274" spans="1:75" x14ac:dyDescent="0.15">
      <c r="A274" s="356"/>
      <c r="B274" s="355"/>
      <c r="C274" s="355"/>
      <c r="D274" s="355"/>
      <c r="E274" s="355"/>
      <c r="F274" s="355"/>
      <c r="G274" s="355"/>
      <c r="O274" s="356"/>
      <c r="P274" s="355"/>
      <c r="Q274" s="355"/>
      <c r="R274" s="355"/>
      <c r="S274" s="355"/>
      <c r="T274" s="355"/>
      <c r="U274" s="355"/>
      <c r="V274" s="355"/>
      <c r="W274" s="355"/>
      <c r="AG274" s="355"/>
      <c r="AH274" s="355"/>
      <c r="AI274" s="355"/>
      <c r="AJ274" s="355"/>
      <c r="AK274" s="355"/>
      <c r="AL274" s="355"/>
      <c r="AM274" s="355"/>
      <c r="AU274" s="379">
        <v>52093</v>
      </c>
      <c r="AV274" s="375"/>
      <c r="AW274" s="375"/>
      <c r="AX274" s="375"/>
      <c r="AY274" s="375"/>
      <c r="AZ274" s="375"/>
      <c r="BA274" s="375"/>
      <c r="BB274" s="375"/>
      <c r="BC274" s="375"/>
      <c r="BD274" s="375">
        <v>7.6249999999999998E-2</v>
      </c>
      <c r="BE274" s="375">
        <v>6.8750000000000006E-2</v>
      </c>
      <c r="BF274" s="375">
        <v>7.1249999999999994E-2</v>
      </c>
      <c r="BG274" s="375"/>
      <c r="BH274" s="375"/>
      <c r="BI274" s="373">
        <f t="shared" si="26"/>
        <v>7.2083333333333333E-2</v>
      </c>
      <c r="BJ274" s="378"/>
      <c r="BK274" s="375"/>
      <c r="BL274" s="375"/>
      <c r="BM274" s="375"/>
      <c r="BN274" s="375"/>
      <c r="BO274" s="375">
        <v>6.25E-2</v>
      </c>
      <c r="BP274" s="375"/>
      <c r="BQ274" s="377"/>
      <c r="BR274" s="380">
        <f t="shared" si="27"/>
        <v>6.25E-2</v>
      </c>
      <c r="BT274" s="367">
        <v>52093</v>
      </c>
      <c r="BU274" s="375">
        <f t="shared" si="28"/>
        <v>0.05</v>
      </c>
      <c r="BV274" s="375">
        <f t="shared" si="29"/>
        <v>5.7500000000000002E-2</v>
      </c>
      <c r="BW274" s="377">
        <f t="shared" si="30"/>
        <v>0.05</v>
      </c>
    </row>
    <row r="275" spans="1:75" x14ac:dyDescent="0.15">
      <c r="A275" s="356"/>
      <c r="B275" s="355"/>
      <c r="C275" s="355"/>
      <c r="D275" s="355"/>
      <c r="E275" s="355"/>
      <c r="F275" s="355"/>
      <c r="G275" s="355"/>
      <c r="O275" s="356"/>
      <c r="P275" s="355"/>
      <c r="Q275" s="355"/>
      <c r="R275" s="355"/>
      <c r="S275" s="355"/>
      <c r="T275" s="355"/>
      <c r="U275" s="355"/>
      <c r="V275" s="355"/>
      <c r="W275" s="355"/>
      <c r="AG275" s="355"/>
      <c r="AH275" s="355"/>
      <c r="AI275" s="355"/>
      <c r="AJ275" s="355"/>
      <c r="AK275" s="355"/>
      <c r="AL275" s="355"/>
      <c r="AM275" s="355"/>
      <c r="AU275" s="379">
        <v>52124</v>
      </c>
      <c r="AV275" s="375"/>
      <c r="AW275" s="375"/>
      <c r="AX275" s="375"/>
      <c r="AY275" s="375"/>
      <c r="AZ275" s="375"/>
      <c r="BA275" s="375"/>
      <c r="BB275" s="375"/>
      <c r="BC275" s="375"/>
      <c r="BD275" s="375">
        <v>7.6249999999999998E-2</v>
      </c>
      <c r="BE275" s="375">
        <v>6.8750000000000006E-2</v>
      </c>
      <c r="BF275" s="375">
        <v>7.1249999999999994E-2</v>
      </c>
      <c r="BG275" s="375"/>
      <c r="BH275" s="375"/>
      <c r="BI275" s="373">
        <f t="shared" si="26"/>
        <v>7.2083333333333333E-2</v>
      </c>
      <c r="BJ275" s="378"/>
      <c r="BK275" s="375"/>
      <c r="BL275" s="375"/>
      <c r="BM275" s="375"/>
      <c r="BN275" s="375"/>
      <c r="BO275" s="375">
        <v>6.25E-2</v>
      </c>
      <c r="BP275" s="375"/>
      <c r="BQ275" s="377"/>
      <c r="BR275" s="380">
        <f t="shared" si="27"/>
        <v>6.25E-2</v>
      </c>
      <c r="BT275" s="367">
        <v>52124</v>
      </c>
      <c r="BU275" s="375">
        <f t="shared" si="28"/>
        <v>0.05</v>
      </c>
      <c r="BV275" s="375">
        <f t="shared" si="29"/>
        <v>5.7500000000000002E-2</v>
      </c>
      <c r="BW275" s="377">
        <f t="shared" si="30"/>
        <v>0.05</v>
      </c>
    </row>
    <row r="276" spans="1:75" x14ac:dyDescent="0.15">
      <c r="A276" s="356"/>
      <c r="B276" s="355"/>
      <c r="C276" s="355"/>
      <c r="D276" s="355"/>
      <c r="E276" s="355"/>
      <c r="F276" s="355"/>
      <c r="G276" s="355"/>
      <c r="O276" s="356"/>
      <c r="P276" s="355"/>
      <c r="Q276" s="355"/>
      <c r="R276" s="355"/>
      <c r="S276" s="355"/>
      <c r="T276" s="355"/>
      <c r="U276" s="355"/>
      <c r="V276" s="355"/>
      <c r="W276" s="355"/>
      <c r="AG276" s="355"/>
      <c r="AH276" s="355"/>
      <c r="AI276" s="355"/>
      <c r="AJ276" s="355"/>
      <c r="AK276" s="355"/>
      <c r="AL276" s="355"/>
      <c r="AM276" s="355"/>
      <c r="AU276" s="379">
        <v>52154</v>
      </c>
      <c r="AV276" s="375"/>
      <c r="AW276" s="375"/>
      <c r="AX276" s="375"/>
      <c r="AY276" s="375"/>
      <c r="AZ276" s="375"/>
      <c r="BA276" s="375"/>
      <c r="BB276" s="375"/>
      <c r="BC276" s="375"/>
      <c r="BD276" s="375">
        <v>7.6249999999999998E-2</v>
      </c>
      <c r="BE276" s="375">
        <v>6.8750000000000006E-2</v>
      </c>
      <c r="BF276" s="375">
        <v>7.1249999999999994E-2</v>
      </c>
      <c r="BG276" s="375"/>
      <c r="BH276" s="375"/>
      <c r="BI276" s="373">
        <f t="shared" si="26"/>
        <v>7.2083333333333333E-2</v>
      </c>
      <c r="BJ276" s="378"/>
      <c r="BK276" s="375"/>
      <c r="BL276" s="375"/>
      <c r="BM276" s="375"/>
      <c r="BN276" s="375"/>
      <c r="BO276" s="375">
        <v>6.25E-2</v>
      </c>
      <c r="BP276" s="375"/>
      <c r="BQ276" s="377"/>
      <c r="BR276" s="380">
        <f t="shared" si="27"/>
        <v>6.25E-2</v>
      </c>
      <c r="BT276" s="367">
        <v>52154</v>
      </c>
      <c r="BU276" s="375">
        <f t="shared" si="28"/>
        <v>0.05</v>
      </c>
      <c r="BV276" s="375">
        <f t="shared" si="29"/>
        <v>5.7500000000000002E-2</v>
      </c>
      <c r="BW276" s="377">
        <f t="shared" si="30"/>
        <v>0.05</v>
      </c>
    </row>
    <row r="277" spans="1:75" x14ac:dyDescent="0.15">
      <c r="A277" s="356"/>
      <c r="B277" s="355"/>
      <c r="C277" s="355"/>
      <c r="D277" s="355"/>
      <c r="E277" s="355"/>
      <c r="F277" s="355"/>
      <c r="G277" s="355"/>
      <c r="O277" s="356"/>
      <c r="P277" s="355"/>
      <c r="Q277" s="355"/>
      <c r="R277" s="355"/>
      <c r="S277" s="355"/>
      <c r="T277" s="355"/>
      <c r="U277" s="355"/>
      <c r="V277" s="355"/>
      <c r="W277" s="355"/>
      <c r="AG277" s="355"/>
      <c r="AH277" s="355"/>
      <c r="AI277" s="355"/>
      <c r="AJ277" s="355"/>
      <c r="AK277" s="355"/>
      <c r="AL277" s="355"/>
      <c r="AM277" s="355"/>
      <c r="AU277" s="379">
        <v>52185</v>
      </c>
      <c r="AV277" s="375"/>
      <c r="AW277" s="375"/>
      <c r="AX277" s="375"/>
      <c r="AY277" s="375"/>
      <c r="AZ277" s="375"/>
      <c r="BA277" s="375"/>
      <c r="BB277" s="375"/>
      <c r="BC277" s="375"/>
      <c r="BD277" s="375">
        <v>7.6249999999999998E-2</v>
      </c>
      <c r="BE277" s="375">
        <v>6.8750000000000006E-2</v>
      </c>
      <c r="BF277" s="375">
        <v>7.1249999999999994E-2</v>
      </c>
      <c r="BG277" s="375"/>
      <c r="BH277" s="375"/>
      <c r="BI277" s="373">
        <f t="shared" si="26"/>
        <v>7.2083333333333333E-2</v>
      </c>
      <c r="BJ277" s="378"/>
      <c r="BK277" s="375"/>
      <c r="BL277" s="375"/>
      <c r="BM277" s="375"/>
      <c r="BN277" s="375"/>
      <c r="BO277" s="375">
        <v>6.25E-2</v>
      </c>
      <c r="BP277" s="375"/>
      <c r="BQ277" s="377"/>
      <c r="BR277" s="380">
        <f t="shared" si="27"/>
        <v>6.25E-2</v>
      </c>
      <c r="BT277" s="367">
        <v>52185</v>
      </c>
      <c r="BU277" s="375">
        <f t="shared" si="28"/>
        <v>0.05</v>
      </c>
      <c r="BV277" s="375">
        <f t="shared" si="29"/>
        <v>5.7500000000000002E-2</v>
      </c>
      <c r="BW277" s="377">
        <f t="shared" si="30"/>
        <v>0.05</v>
      </c>
    </row>
    <row r="278" spans="1:75" x14ac:dyDescent="0.15">
      <c r="A278" s="356"/>
      <c r="B278" s="355"/>
      <c r="C278" s="355"/>
      <c r="D278" s="355"/>
      <c r="E278" s="355"/>
      <c r="F278" s="355"/>
      <c r="G278" s="355"/>
      <c r="O278" s="356"/>
      <c r="P278" s="355"/>
      <c r="Q278" s="355"/>
      <c r="R278" s="355"/>
      <c r="S278" s="355"/>
      <c r="T278" s="355"/>
      <c r="U278" s="355"/>
      <c r="V278" s="355"/>
      <c r="W278" s="355"/>
      <c r="AG278" s="355"/>
      <c r="AH278" s="355"/>
      <c r="AI278" s="355"/>
      <c r="AJ278" s="355"/>
      <c r="AK278" s="355"/>
      <c r="AL278" s="355"/>
      <c r="AM278" s="355"/>
      <c r="AU278" s="379">
        <v>52215</v>
      </c>
      <c r="AV278" s="375"/>
      <c r="AW278" s="375"/>
      <c r="AX278" s="375"/>
      <c r="AY278" s="375"/>
      <c r="AZ278" s="375"/>
      <c r="BA278" s="375"/>
      <c r="BB278" s="375"/>
      <c r="BC278" s="375"/>
      <c r="BD278" s="375">
        <v>7.6249999999999998E-2</v>
      </c>
      <c r="BE278" s="375">
        <v>6.8750000000000006E-2</v>
      </c>
      <c r="BF278" s="375">
        <v>7.1249999999999994E-2</v>
      </c>
      <c r="BG278" s="375"/>
      <c r="BH278" s="375"/>
      <c r="BI278" s="373">
        <f t="shared" si="26"/>
        <v>7.2083333333333333E-2</v>
      </c>
      <c r="BJ278" s="378"/>
      <c r="BK278" s="375"/>
      <c r="BL278" s="375"/>
      <c r="BM278" s="375"/>
      <c r="BN278" s="375"/>
      <c r="BO278" s="375">
        <v>6.25E-2</v>
      </c>
      <c r="BP278" s="375"/>
      <c r="BQ278" s="377"/>
      <c r="BR278" s="380">
        <f t="shared" si="27"/>
        <v>6.25E-2</v>
      </c>
      <c r="BT278" s="367">
        <v>52215</v>
      </c>
      <c r="BU278" s="375">
        <f t="shared" si="28"/>
        <v>0.05</v>
      </c>
      <c r="BV278" s="375">
        <f t="shared" si="29"/>
        <v>5.7500000000000002E-2</v>
      </c>
      <c r="BW278" s="377">
        <f t="shared" si="30"/>
        <v>0.05</v>
      </c>
    </row>
    <row r="279" spans="1:75" x14ac:dyDescent="0.15">
      <c r="A279" s="356"/>
      <c r="B279" s="355"/>
      <c r="C279" s="355"/>
      <c r="D279" s="355"/>
      <c r="E279" s="355"/>
      <c r="F279" s="355"/>
      <c r="G279" s="355"/>
      <c r="O279" s="356"/>
      <c r="P279" s="355"/>
      <c r="Q279" s="355"/>
      <c r="R279" s="355"/>
      <c r="S279" s="355"/>
      <c r="T279" s="355"/>
      <c r="U279" s="355"/>
      <c r="V279" s="355"/>
      <c r="W279" s="355"/>
      <c r="AG279" s="355"/>
      <c r="AH279" s="355"/>
      <c r="AI279" s="355"/>
      <c r="AJ279" s="355"/>
      <c r="AK279" s="355"/>
      <c r="AL279" s="355"/>
      <c r="AM279" s="355"/>
      <c r="AU279" s="379">
        <v>52246</v>
      </c>
      <c r="AV279" s="375"/>
      <c r="AW279" s="375"/>
      <c r="AX279" s="375"/>
      <c r="AY279" s="375"/>
      <c r="AZ279" s="375"/>
      <c r="BA279" s="375"/>
      <c r="BB279" s="375"/>
      <c r="BC279" s="375"/>
      <c r="BD279" s="375">
        <v>7.6249999999999998E-2</v>
      </c>
      <c r="BE279" s="375">
        <v>6.8750000000000006E-2</v>
      </c>
      <c r="BF279" s="375">
        <v>7.1249999999999994E-2</v>
      </c>
      <c r="BG279" s="375"/>
      <c r="BH279" s="375"/>
      <c r="BI279" s="373">
        <f t="shared" si="26"/>
        <v>7.2083333333333333E-2</v>
      </c>
      <c r="BJ279" s="378"/>
      <c r="BK279" s="375"/>
      <c r="BL279" s="375"/>
      <c r="BM279" s="375"/>
      <c r="BN279" s="375"/>
      <c r="BO279" s="375">
        <v>6.25E-2</v>
      </c>
      <c r="BP279" s="375"/>
      <c r="BQ279" s="377"/>
      <c r="BR279" s="380">
        <f t="shared" si="27"/>
        <v>6.25E-2</v>
      </c>
      <c r="BT279" s="367">
        <v>52246</v>
      </c>
      <c r="BU279" s="375">
        <f t="shared" si="28"/>
        <v>0.05</v>
      </c>
      <c r="BV279" s="375">
        <f t="shared" si="29"/>
        <v>5.7500000000000002E-2</v>
      </c>
      <c r="BW279" s="377">
        <f t="shared" si="30"/>
        <v>0.05</v>
      </c>
    </row>
    <row r="280" spans="1:75" x14ac:dyDescent="0.15">
      <c r="A280" s="356"/>
      <c r="B280" s="355"/>
      <c r="C280" s="355"/>
      <c r="D280" s="355"/>
      <c r="E280" s="355"/>
      <c r="F280" s="355"/>
      <c r="G280" s="355"/>
      <c r="O280" s="356"/>
      <c r="P280" s="355"/>
      <c r="Q280" s="355"/>
      <c r="R280" s="355"/>
      <c r="S280" s="355"/>
      <c r="T280" s="355"/>
      <c r="U280" s="355"/>
      <c r="V280" s="355"/>
      <c r="W280" s="355"/>
      <c r="AG280" s="355"/>
      <c r="AH280" s="355"/>
      <c r="AI280" s="355"/>
      <c r="AJ280" s="355"/>
      <c r="AK280" s="355"/>
      <c r="AL280" s="355"/>
      <c r="AM280" s="355"/>
      <c r="AU280" s="379">
        <v>52277</v>
      </c>
      <c r="AV280" s="375"/>
      <c r="AW280" s="375"/>
      <c r="AX280" s="375"/>
      <c r="AY280" s="375"/>
      <c r="AZ280" s="375"/>
      <c r="BA280" s="375"/>
      <c r="BB280" s="375"/>
      <c r="BC280" s="375"/>
      <c r="BD280" s="375">
        <v>7.6249999999999998E-2</v>
      </c>
      <c r="BE280" s="375">
        <v>6.8750000000000006E-2</v>
      </c>
      <c r="BF280" s="375">
        <v>7.1249999999999994E-2</v>
      </c>
      <c r="BG280" s="375"/>
      <c r="BH280" s="375"/>
      <c r="BI280" s="373">
        <f t="shared" si="26"/>
        <v>7.2083333333333333E-2</v>
      </c>
      <c r="BJ280" s="378"/>
      <c r="BK280" s="375"/>
      <c r="BL280" s="375"/>
      <c r="BM280" s="375"/>
      <c r="BN280" s="375"/>
      <c r="BO280" s="375">
        <v>6.25E-2</v>
      </c>
      <c r="BP280" s="375"/>
      <c r="BQ280" s="377"/>
      <c r="BR280" s="380">
        <f t="shared" si="27"/>
        <v>6.25E-2</v>
      </c>
      <c r="BT280" s="367">
        <v>52277</v>
      </c>
      <c r="BU280" s="375">
        <f t="shared" si="28"/>
        <v>0.05</v>
      </c>
      <c r="BV280" s="375">
        <f t="shared" si="29"/>
        <v>5.7500000000000002E-2</v>
      </c>
      <c r="BW280" s="377">
        <f t="shared" si="30"/>
        <v>0.05</v>
      </c>
    </row>
    <row r="281" spans="1:75" x14ac:dyDescent="0.15">
      <c r="A281" s="356"/>
      <c r="B281" s="355"/>
      <c r="C281" s="355"/>
      <c r="D281" s="355"/>
      <c r="E281" s="355"/>
      <c r="F281" s="355"/>
      <c r="G281" s="355"/>
      <c r="O281" s="356"/>
      <c r="P281" s="355"/>
      <c r="Q281" s="355"/>
      <c r="R281" s="355"/>
      <c r="S281" s="355"/>
      <c r="T281" s="355"/>
      <c r="U281" s="355"/>
      <c r="V281" s="355"/>
      <c r="W281" s="355"/>
      <c r="AG281" s="355"/>
      <c r="AH281" s="355"/>
      <c r="AI281" s="355"/>
      <c r="AJ281" s="355"/>
      <c r="AK281" s="355"/>
      <c r="AL281" s="355"/>
      <c r="AM281" s="355"/>
      <c r="AU281" s="379">
        <v>52305</v>
      </c>
      <c r="AV281" s="375"/>
      <c r="AW281" s="375"/>
      <c r="AX281" s="375"/>
      <c r="AY281" s="375"/>
      <c r="AZ281" s="375"/>
      <c r="BA281" s="375"/>
      <c r="BB281" s="375"/>
      <c r="BC281" s="375"/>
      <c r="BD281" s="375">
        <v>7.6249999999999998E-2</v>
      </c>
      <c r="BE281" s="375">
        <v>6.8750000000000006E-2</v>
      </c>
      <c r="BF281" s="375">
        <v>7.1249999999999994E-2</v>
      </c>
      <c r="BG281" s="375"/>
      <c r="BH281" s="375"/>
      <c r="BI281" s="373">
        <f t="shared" si="26"/>
        <v>7.2083333333333333E-2</v>
      </c>
      <c r="BJ281" s="378"/>
      <c r="BK281" s="375"/>
      <c r="BL281" s="375"/>
      <c r="BM281" s="375"/>
      <c r="BN281" s="375"/>
      <c r="BO281" s="375">
        <v>6.25E-2</v>
      </c>
      <c r="BP281" s="375"/>
      <c r="BQ281" s="377"/>
      <c r="BR281" s="380">
        <f t="shared" si="27"/>
        <v>6.25E-2</v>
      </c>
      <c r="BT281" s="367">
        <v>52305</v>
      </c>
      <c r="BU281" s="375">
        <f t="shared" si="28"/>
        <v>0.05</v>
      </c>
      <c r="BV281" s="375">
        <f t="shared" si="29"/>
        <v>5.7500000000000002E-2</v>
      </c>
      <c r="BW281" s="377">
        <f t="shared" si="30"/>
        <v>0.05</v>
      </c>
    </row>
    <row r="282" spans="1:75" x14ac:dyDescent="0.15">
      <c r="A282" s="356"/>
      <c r="B282" s="355"/>
      <c r="C282" s="355"/>
      <c r="D282" s="355"/>
      <c r="E282" s="355"/>
      <c r="F282" s="355"/>
      <c r="G282" s="355"/>
      <c r="O282" s="356"/>
      <c r="P282" s="355"/>
      <c r="Q282" s="355"/>
      <c r="R282" s="355"/>
      <c r="S282" s="355"/>
      <c r="T282" s="355"/>
      <c r="U282" s="355"/>
      <c r="V282" s="355"/>
      <c r="W282" s="355"/>
      <c r="AG282" s="355"/>
      <c r="AH282" s="355"/>
      <c r="AI282" s="355"/>
      <c r="AJ282" s="355"/>
      <c r="AK282" s="355"/>
      <c r="AL282" s="355"/>
      <c r="AM282" s="355"/>
      <c r="AU282" s="379">
        <v>52336</v>
      </c>
      <c r="AV282" s="375"/>
      <c r="AW282" s="375"/>
      <c r="AX282" s="375"/>
      <c r="AY282" s="375"/>
      <c r="AZ282" s="375"/>
      <c r="BA282" s="375"/>
      <c r="BB282" s="375"/>
      <c r="BC282" s="375"/>
      <c r="BD282" s="375">
        <v>7.6249999999999998E-2</v>
      </c>
      <c r="BE282" s="375">
        <v>6.8750000000000006E-2</v>
      </c>
      <c r="BF282" s="375">
        <v>7.1249999999999994E-2</v>
      </c>
      <c r="BG282" s="375"/>
      <c r="BH282" s="375"/>
      <c r="BI282" s="373">
        <f t="shared" si="26"/>
        <v>7.2083333333333333E-2</v>
      </c>
      <c r="BJ282" s="378"/>
      <c r="BK282" s="375"/>
      <c r="BL282" s="375"/>
      <c r="BM282" s="375"/>
      <c r="BN282" s="375"/>
      <c r="BO282" s="375">
        <v>6.25E-2</v>
      </c>
      <c r="BP282" s="375"/>
      <c r="BQ282" s="377"/>
      <c r="BR282" s="380">
        <f t="shared" si="27"/>
        <v>6.25E-2</v>
      </c>
      <c r="BT282" s="367">
        <v>52336</v>
      </c>
      <c r="BU282" s="375">
        <f t="shared" si="28"/>
        <v>0.05</v>
      </c>
      <c r="BV282" s="375">
        <f t="shared" si="29"/>
        <v>5.7500000000000002E-2</v>
      </c>
      <c r="BW282" s="377">
        <f t="shared" si="30"/>
        <v>0.05</v>
      </c>
    </row>
    <row r="283" spans="1:75" x14ac:dyDescent="0.15">
      <c r="A283" s="356"/>
      <c r="B283" s="355"/>
      <c r="C283" s="355"/>
      <c r="D283" s="355"/>
      <c r="E283" s="355"/>
      <c r="F283" s="355"/>
      <c r="G283" s="355"/>
      <c r="O283" s="356"/>
      <c r="P283" s="355"/>
      <c r="Q283" s="355"/>
      <c r="R283" s="355"/>
      <c r="S283" s="355"/>
      <c r="T283" s="355"/>
      <c r="U283" s="355"/>
      <c r="V283" s="355"/>
      <c r="W283" s="355"/>
      <c r="AG283" s="355"/>
      <c r="AH283" s="355"/>
      <c r="AI283" s="355"/>
      <c r="AJ283" s="355"/>
      <c r="AK283" s="355"/>
      <c r="AL283" s="355"/>
      <c r="AM283" s="355"/>
      <c r="AU283" s="379">
        <v>52366</v>
      </c>
      <c r="AV283" s="375"/>
      <c r="AW283" s="375"/>
      <c r="AX283" s="375"/>
      <c r="AY283" s="375"/>
      <c r="AZ283" s="375"/>
      <c r="BA283" s="375"/>
      <c r="BB283" s="375"/>
      <c r="BC283" s="375"/>
      <c r="BD283" s="375">
        <v>7.6249999999999998E-2</v>
      </c>
      <c r="BE283" s="375">
        <v>6.8750000000000006E-2</v>
      </c>
      <c r="BF283" s="375">
        <v>7.1249999999999994E-2</v>
      </c>
      <c r="BG283" s="375"/>
      <c r="BH283" s="375"/>
      <c r="BI283" s="373">
        <f t="shared" si="26"/>
        <v>7.2083333333333333E-2</v>
      </c>
      <c r="BJ283" s="378"/>
      <c r="BK283" s="375"/>
      <c r="BL283" s="375"/>
      <c r="BM283" s="375"/>
      <c r="BN283" s="375"/>
      <c r="BO283" s="375">
        <v>6.25E-2</v>
      </c>
      <c r="BP283" s="375"/>
      <c r="BQ283" s="377"/>
      <c r="BR283" s="380">
        <f t="shared" si="27"/>
        <v>6.25E-2</v>
      </c>
      <c r="BT283" s="367">
        <v>52366</v>
      </c>
      <c r="BU283" s="375">
        <f t="shared" si="28"/>
        <v>0.05</v>
      </c>
      <c r="BV283" s="375">
        <f t="shared" si="29"/>
        <v>5.7500000000000002E-2</v>
      </c>
      <c r="BW283" s="377">
        <f t="shared" si="30"/>
        <v>0.05</v>
      </c>
    </row>
    <row r="284" spans="1:75" x14ac:dyDescent="0.15">
      <c r="A284" s="356"/>
      <c r="B284" s="355"/>
      <c r="C284" s="355"/>
      <c r="D284" s="355"/>
      <c r="E284" s="355"/>
      <c r="F284" s="355"/>
      <c r="G284" s="355"/>
      <c r="O284" s="356"/>
      <c r="P284" s="355"/>
      <c r="Q284" s="355"/>
      <c r="R284" s="355"/>
      <c r="S284" s="355"/>
      <c r="T284" s="355"/>
      <c r="U284" s="355"/>
      <c r="V284" s="355"/>
      <c r="W284" s="355"/>
      <c r="AG284" s="355"/>
      <c r="AH284" s="355"/>
      <c r="AI284" s="355"/>
      <c r="AJ284" s="355"/>
      <c r="AK284" s="355"/>
      <c r="AL284" s="355"/>
      <c r="AM284" s="355"/>
      <c r="AU284" s="379">
        <v>52397</v>
      </c>
      <c r="AV284" s="375"/>
      <c r="AW284" s="375"/>
      <c r="AX284" s="375"/>
      <c r="AY284" s="375"/>
      <c r="AZ284" s="375"/>
      <c r="BA284" s="375"/>
      <c r="BB284" s="375"/>
      <c r="BC284" s="375"/>
      <c r="BD284" s="375">
        <v>7.6249999999999998E-2</v>
      </c>
      <c r="BE284" s="375">
        <v>6.8750000000000006E-2</v>
      </c>
      <c r="BF284" s="375">
        <v>7.1249999999999994E-2</v>
      </c>
      <c r="BG284" s="375"/>
      <c r="BH284" s="375"/>
      <c r="BI284" s="373">
        <f t="shared" si="26"/>
        <v>7.2083333333333333E-2</v>
      </c>
      <c r="BJ284" s="378"/>
      <c r="BK284" s="375"/>
      <c r="BL284" s="375"/>
      <c r="BM284" s="375"/>
      <c r="BN284" s="375"/>
      <c r="BO284" s="375">
        <v>6.25E-2</v>
      </c>
      <c r="BP284" s="375"/>
      <c r="BQ284" s="377"/>
      <c r="BR284" s="380">
        <f t="shared" si="27"/>
        <v>6.25E-2</v>
      </c>
      <c r="BT284" s="367">
        <v>52397</v>
      </c>
      <c r="BU284" s="375">
        <f t="shared" si="28"/>
        <v>0.05</v>
      </c>
      <c r="BV284" s="375">
        <f t="shared" si="29"/>
        <v>5.7500000000000002E-2</v>
      </c>
      <c r="BW284" s="377">
        <f t="shared" si="30"/>
        <v>0.05</v>
      </c>
    </row>
    <row r="285" spans="1:75" x14ac:dyDescent="0.15">
      <c r="A285" s="356"/>
      <c r="B285" s="355"/>
      <c r="C285" s="355"/>
      <c r="D285" s="355"/>
      <c r="E285" s="355"/>
      <c r="F285" s="355"/>
      <c r="G285" s="355"/>
      <c r="O285" s="356"/>
      <c r="P285" s="355"/>
      <c r="Q285" s="355"/>
      <c r="R285" s="355"/>
      <c r="S285" s="355"/>
      <c r="T285" s="355"/>
      <c r="U285" s="355"/>
      <c r="V285" s="355"/>
      <c r="W285" s="355"/>
      <c r="AG285" s="355"/>
      <c r="AH285" s="355"/>
      <c r="AI285" s="355"/>
      <c r="AJ285" s="355"/>
      <c r="AK285" s="355"/>
      <c r="AL285" s="355"/>
      <c r="AM285" s="355"/>
      <c r="AU285" s="379">
        <v>52427</v>
      </c>
      <c r="AV285" s="375"/>
      <c r="AW285" s="375"/>
      <c r="AX285" s="375"/>
      <c r="AY285" s="375"/>
      <c r="AZ285" s="375"/>
      <c r="BA285" s="375"/>
      <c r="BB285" s="375"/>
      <c r="BC285" s="375"/>
      <c r="BD285" s="375">
        <v>7.6249999999999998E-2</v>
      </c>
      <c r="BE285" s="375">
        <v>6.8750000000000006E-2</v>
      </c>
      <c r="BF285" s="375">
        <v>7.1249999999999994E-2</v>
      </c>
      <c r="BG285" s="375"/>
      <c r="BH285" s="375"/>
      <c r="BI285" s="373">
        <f t="shared" si="26"/>
        <v>7.2083333333333333E-2</v>
      </c>
      <c r="BJ285" s="378"/>
      <c r="BK285" s="375"/>
      <c r="BL285" s="375"/>
      <c r="BM285" s="375"/>
      <c r="BN285" s="375"/>
      <c r="BO285" s="375">
        <v>6.25E-2</v>
      </c>
      <c r="BP285" s="375"/>
      <c r="BQ285" s="377"/>
      <c r="BR285" s="380">
        <f t="shared" si="27"/>
        <v>6.25E-2</v>
      </c>
      <c r="BT285" s="367">
        <v>52427</v>
      </c>
      <c r="BU285" s="375">
        <f t="shared" si="28"/>
        <v>0.05</v>
      </c>
      <c r="BV285" s="375">
        <f t="shared" si="29"/>
        <v>5.7500000000000002E-2</v>
      </c>
      <c r="BW285" s="377">
        <f t="shared" si="30"/>
        <v>0.05</v>
      </c>
    </row>
    <row r="286" spans="1:75" x14ac:dyDescent="0.15">
      <c r="A286" s="356"/>
      <c r="B286" s="355"/>
      <c r="C286" s="355"/>
      <c r="D286" s="355"/>
      <c r="E286" s="355"/>
      <c r="F286" s="355"/>
      <c r="G286" s="355"/>
      <c r="O286" s="356"/>
      <c r="P286" s="355"/>
      <c r="Q286" s="355"/>
      <c r="R286" s="355"/>
      <c r="S286" s="355"/>
      <c r="T286" s="355"/>
      <c r="U286" s="355"/>
      <c r="V286" s="355"/>
      <c r="W286" s="355"/>
      <c r="AG286" s="355"/>
      <c r="AH286" s="355"/>
      <c r="AI286" s="355"/>
      <c r="AJ286" s="355"/>
      <c r="AK286" s="355"/>
      <c r="AL286" s="355"/>
      <c r="AM286" s="355"/>
      <c r="AU286" s="379">
        <v>52458</v>
      </c>
      <c r="AV286" s="375"/>
      <c r="AW286" s="375"/>
      <c r="AX286" s="375"/>
      <c r="AY286" s="375"/>
      <c r="AZ286" s="375"/>
      <c r="BA286" s="375"/>
      <c r="BB286" s="375"/>
      <c r="BC286" s="375"/>
      <c r="BD286" s="375">
        <v>7.6249999999999998E-2</v>
      </c>
      <c r="BE286" s="375">
        <v>6.8750000000000006E-2</v>
      </c>
      <c r="BF286" s="375">
        <v>7.1249999999999994E-2</v>
      </c>
      <c r="BG286" s="375"/>
      <c r="BH286" s="375"/>
      <c r="BI286" s="373">
        <f t="shared" si="26"/>
        <v>7.2083333333333333E-2</v>
      </c>
      <c r="BJ286" s="378"/>
      <c r="BK286" s="375"/>
      <c r="BL286" s="375"/>
      <c r="BM286" s="375"/>
      <c r="BN286" s="375"/>
      <c r="BO286" s="375">
        <v>6.25E-2</v>
      </c>
      <c r="BP286" s="375"/>
      <c r="BQ286" s="377"/>
      <c r="BR286" s="380">
        <f t="shared" si="27"/>
        <v>6.25E-2</v>
      </c>
      <c r="BT286" s="367">
        <v>52458</v>
      </c>
      <c r="BU286" s="375">
        <f t="shared" si="28"/>
        <v>0.05</v>
      </c>
      <c r="BV286" s="375">
        <f t="shared" si="29"/>
        <v>5.7500000000000002E-2</v>
      </c>
      <c r="BW286" s="377">
        <f t="shared" si="30"/>
        <v>0.05</v>
      </c>
    </row>
    <row r="287" spans="1:75" x14ac:dyDescent="0.15">
      <c r="A287" s="356"/>
      <c r="B287" s="355"/>
      <c r="C287" s="355"/>
      <c r="D287" s="355"/>
      <c r="E287" s="355"/>
      <c r="F287" s="355"/>
      <c r="G287" s="355"/>
      <c r="O287" s="356"/>
      <c r="P287" s="355"/>
      <c r="Q287" s="355"/>
      <c r="R287" s="355"/>
      <c r="S287" s="355"/>
      <c r="T287" s="355"/>
      <c r="U287" s="355"/>
      <c r="V287" s="355"/>
      <c r="W287" s="355"/>
      <c r="AG287" s="355"/>
      <c r="AH287" s="355"/>
      <c r="AI287" s="355"/>
      <c r="AJ287" s="355"/>
      <c r="AK287" s="355"/>
      <c r="AL287" s="355"/>
      <c r="AM287" s="355"/>
      <c r="AU287" s="379">
        <v>52489</v>
      </c>
      <c r="AV287" s="375"/>
      <c r="AW287" s="375"/>
      <c r="AX287" s="375"/>
      <c r="AY287" s="375"/>
      <c r="AZ287" s="375"/>
      <c r="BA287" s="375"/>
      <c r="BB287" s="375"/>
      <c r="BC287" s="375"/>
      <c r="BD287" s="375">
        <v>7.6249999999999998E-2</v>
      </c>
      <c r="BE287" s="375">
        <v>6.8750000000000006E-2</v>
      </c>
      <c r="BF287" s="375">
        <v>7.1249999999999994E-2</v>
      </c>
      <c r="BG287" s="375"/>
      <c r="BH287" s="375"/>
      <c r="BI287" s="373">
        <f t="shared" si="26"/>
        <v>7.2083333333333333E-2</v>
      </c>
      <c r="BJ287" s="378"/>
      <c r="BK287" s="375"/>
      <c r="BL287" s="375"/>
      <c r="BM287" s="375"/>
      <c r="BN287" s="375"/>
      <c r="BO287" s="375">
        <v>6.25E-2</v>
      </c>
      <c r="BP287" s="375"/>
      <c r="BQ287" s="377"/>
      <c r="BR287" s="380">
        <f t="shared" si="27"/>
        <v>6.25E-2</v>
      </c>
      <c r="BT287" s="367">
        <v>52489</v>
      </c>
      <c r="BU287" s="375">
        <f t="shared" si="28"/>
        <v>0.05</v>
      </c>
      <c r="BV287" s="375">
        <f t="shared" si="29"/>
        <v>5.7500000000000002E-2</v>
      </c>
      <c r="BW287" s="377">
        <f t="shared" si="30"/>
        <v>0.05</v>
      </c>
    </row>
    <row r="288" spans="1:75" x14ac:dyDescent="0.15">
      <c r="A288" s="356"/>
      <c r="B288" s="355"/>
      <c r="C288" s="355"/>
      <c r="D288" s="355"/>
      <c r="E288" s="355"/>
      <c r="F288" s="355"/>
      <c r="G288" s="355"/>
      <c r="O288" s="356"/>
      <c r="P288" s="355"/>
      <c r="Q288" s="355"/>
      <c r="R288" s="355"/>
      <c r="S288" s="355"/>
      <c r="T288" s="355"/>
      <c r="U288" s="355"/>
      <c r="V288" s="355"/>
      <c r="W288" s="355"/>
      <c r="AG288" s="355"/>
      <c r="AH288" s="355"/>
      <c r="AI288" s="355"/>
      <c r="AJ288" s="355"/>
      <c r="AK288" s="355"/>
      <c r="AL288" s="355"/>
      <c r="AM288" s="355"/>
      <c r="AU288" s="379">
        <v>52519</v>
      </c>
      <c r="AV288" s="375"/>
      <c r="AW288" s="375"/>
      <c r="AX288" s="375"/>
      <c r="AY288" s="375"/>
      <c r="AZ288" s="375"/>
      <c r="BA288" s="375"/>
      <c r="BB288" s="375"/>
      <c r="BC288" s="375"/>
      <c r="BD288" s="375">
        <v>7.6249999999999998E-2</v>
      </c>
      <c r="BE288" s="375">
        <v>6.8750000000000006E-2</v>
      </c>
      <c r="BF288" s="375">
        <v>7.1249999999999994E-2</v>
      </c>
      <c r="BG288" s="375"/>
      <c r="BH288" s="375"/>
      <c r="BI288" s="373">
        <f t="shared" si="26"/>
        <v>7.2083333333333333E-2</v>
      </c>
      <c r="BJ288" s="378"/>
      <c r="BK288" s="375"/>
      <c r="BL288" s="375"/>
      <c r="BM288" s="375"/>
      <c r="BN288" s="375"/>
      <c r="BO288" s="375">
        <v>6.25E-2</v>
      </c>
      <c r="BP288" s="375"/>
      <c r="BQ288" s="377"/>
      <c r="BR288" s="380">
        <f t="shared" si="27"/>
        <v>6.25E-2</v>
      </c>
      <c r="BT288" s="367">
        <v>52519</v>
      </c>
      <c r="BU288" s="375">
        <f t="shared" si="28"/>
        <v>0.05</v>
      </c>
      <c r="BV288" s="375">
        <f t="shared" si="29"/>
        <v>5.7500000000000002E-2</v>
      </c>
      <c r="BW288" s="377">
        <f t="shared" si="30"/>
        <v>0.05</v>
      </c>
    </row>
    <row r="289" spans="1:75" x14ac:dyDescent="0.15">
      <c r="A289" s="356"/>
      <c r="B289" s="355"/>
      <c r="C289" s="355"/>
      <c r="D289" s="355"/>
      <c r="E289" s="355"/>
      <c r="F289" s="355"/>
      <c r="G289" s="355"/>
      <c r="O289" s="356"/>
      <c r="P289" s="355"/>
      <c r="Q289" s="355"/>
      <c r="R289" s="355"/>
      <c r="S289" s="355"/>
      <c r="T289" s="355"/>
      <c r="U289" s="355"/>
      <c r="V289" s="355"/>
      <c r="W289" s="355"/>
      <c r="AG289" s="355"/>
      <c r="AH289" s="355"/>
      <c r="AI289" s="355"/>
      <c r="AJ289" s="355"/>
      <c r="AK289" s="355"/>
      <c r="AL289" s="355"/>
      <c r="AM289" s="355"/>
      <c r="AU289" s="379">
        <v>52550</v>
      </c>
      <c r="AV289" s="375"/>
      <c r="AW289" s="375"/>
      <c r="AX289" s="375"/>
      <c r="AY289" s="375"/>
      <c r="AZ289" s="375"/>
      <c r="BA289" s="375"/>
      <c r="BB289" s="375"/>
      <c r="BC289" s="375"/>
      <c r="BD289" s="375">
        <v>7.6249999999999998E-2</v>
      </c>
      <c r="BE289" s="375">
        <v>6.8750000000000006E-2</v>
      </c>
      <c r="BF289" s="375">
        <v>7.1249999999999994E-2</v>
      </c>
      <c r="BG289" s="375"/>
      <c r="BH289" s="375"/>
      <c r="BI289" s="373">
        <f t="shared" si="26"/>
        <v>7.2083333333333333E-2</v>
      </c>
      <c r="BJ289" s="378"/>
      <c r="BK289" s="375"/>
      <c r="BL289" s="375"/>
      <c r="BM289" s="375"/>
      <c r="BN289" s="375"/>
      <c r="BO289" s="375">
        <v>6.25E-2</v>
      </c>
      <c r="BP289" s="375"/>
      <c r="BQ289" s="377"/>
      <c r="BR289" s="380">
        <f t="shared" si="27"/>
        <v>6.25E-2</v>
      </c>
      <c r="BT289" s="367">
        <v>52550</v>
      </c>
      <c r="BU289" s="375">
        <f t="shared" si="28"/>
        <v>0.05</v>
      </c>
      <c r="BV289" s="375">
        <f t="shared" si="29"/>
        <v>5.7500000000000002E-2</v>
      </c>
      <c r="BW289" s="377">
        <f t="shared" si="30"/>
        <v>0.05</v>
      </c>
    </row>
    <row r="290" spans="1:75" x14ac:dyDescent="0.15">
      <c r="A290" s="356"/>
      <c r="B290" s="355"/>
      <c r="C290" s="355"/>
      <c r="D290" s="355"/>
      <c r="E290" s="355"/>
      <c r="F290" s="355"/>
      <c r="G290" s="355"/>
      <c r="O290" s="356"/>
      <c r="P290" s="355"/>
      <c r="Q290" s="355"/>
      <c r="R290" s="355"/>
      <c r="S290" s="355"/>
      <c r="T290" s="355"/>
      <c r="U290" s="355"/>
      <c r="V290" s="355"/>
      <c r="W290" s="355"/>
      <c r="AG290" s="355"/>
      <c r="AH290" s="355"/>
      <c r="AI290" s="355"/>
      <c r="AJ290" s="355"/>
      <c r="AK290" s="355"/>
      <c r="AL290" s="355"/>
      <c r="AM290" s="355"/>
      <c r="AU290" s="379">
        <v>52580</v>
      </c>
      <c r="AV290" s="375"/>
      <c r="AW290" s="375"/>
      <c r="AX290" s="375"/>
      <c r="AY290" s="375"/>
      <c r="AZ290" s="375"/>
      <c r="BA290" s="375"/>
      <c r="BB290" s="375"/>
      <c r="BC290" s="375"/>
      <c r="BD290" s="375">
        <v>7.6249999999999998E-2</v>
      </c>
      <c r="BE290" s="375">
        <v>6.8750000000000006E-2</v>
      </c>
      <c r="BF290" s="375">
        <v>7.1249999999999994E-2</v>
      </c>
      <c r="BG290" s="375"/>
      <c r="BH290" s="375"/>
      <c r="BI290" s="373">
        <f t="shared" si="26"/>
        <v>7.2083333333333333E-2</v>
      </c>
      <c r="BJ290" s="378"/>
      <c r="BK290" s="375"/>
      <c r="BL290" s="375"/>
      <c r="BM290" s="375"/>
      <c r="BN290" s="375"/>
      <c r="BO290" s="375">
        <v>6.25E-2</v>
      </c>
      <c r="BP290" s="375"/>
      <c r="BQ290" s="377"/>
      <c r="BR290" s="380">
        <f t="shared" si="27"/>
        <v>6.25E-2</v>
      </c>
      <c r="BT290" s="367">
        <v>52580</v>
      </c>
      <c r="BU290" s="375">
        <f t="shared" si="28"/>
        <v>0.05</v>
      </c>
      <c r="BV290" s="375">
        <f t="shared" si="29"/>
        <v>5.7500000000000002E-2</v>
      </c>
      <c r="BW290" s="377">
        <f t="shared" si="30"/>
        <v>0.05</v>
      </c>
    </row>
    <row r="291" spans="1:75" x14ac:dyDescent="0.15">
      <c r="A291" s="356"/>
      <c r="B291" s="355"/>
      <c r="C291" s="355"/>
      <c r="D291" s="355"/>
      <c r="E291" s="355"/>
      <c r="F291" s="355"/>
      <c r="G291" s="355"/>
      <c r="O291" s="356"/>
      <c r="P291" s="355"/>
      <c r="Q291" s="355"/>
      <c r="R291" s="355"/>
      <c r="S291" s="355"/>
      <c r="T291" s="355"/>
      <c r="U291" s="355"/>
      <c r="V291" s="355"/>
      <c r="W291" s="355"/>
      <c r="AG291" s="355"/>
      <c r="AH291" s="355"/>
      <c r="AI291" s="355"/>
      <c r="AJ291" s="355"/>
      <c r="AK291" s="355"/>
      <c r="AL291" s="355"/>
      <c r="AM291" s="355"/>
      <c r="AU291" s="379">
        <v>52611</v>
      </c>
      <c r="AV291" s="375"/>
      <c r="AW291" s="375"/>
      <c r="AX291" s="375"/>
      <c r="AY291" s="375"/>
      <c r="AZ291" s="375"/>
      <c r="BA291" s="375"/>
      <c r="BB291" s="375"/>
      <c r="BC291" s="375"/>
      <c r="BD291" s="375">
        <v>7.6249999999999998E-2</v>
      </c>
      <c r="BE291" s="375">
        <v>6.8750000000000006E-2</v>
      </c>
      <c r="BF291" s="375">
        <v>7.1249999999999994E-2</v>
      </c>
      <c r="BG291" s="375"/>
      <c r="BH291" s="375"/>
      <c r="BI291" s="373">
        <f t="shared" si="26"/>
        <v>7.2083333333333333E-2</v>
      </c>
      <c r="BJ291" s="378"/>
      <c r="BK291" s="375"/>
      <c r="BL291" s="375"/>
      <c r="BM291" s="375"/>
      <c r="BN291" s="375"/>
      <c r="BO291" s="375">
        <v>6.25E-2</v>
      </c>
      <c r="BP291" s="375"/>
      <c r="BQ291" s="377"/>
      <c r="BR291" s="380">
        <f t="shared" si="27"/>
        <v>6.25E-2</v>
      </c>
      <c r="BT291" s="367">
        <v>52611</v>
      </c>
      <c r="BU291" s="375">
        <f t="shared" si="28"/>
        <v>0.05</v>
      </c>
      <c r="BV291" s="375">
        <f t="shared" si="29"/>
        <v>5.7500000000000002E-2</v>
      </c>
      <c r="BW291" s="377">
        <f t="shared" si="30"/>
        <v>0.05</v>
      </c>
    </row>
    <row r="292" spans="1:75" x14ac:dyDescent="0.15">
      <c r="A292" s="356"/>
      <c r="B292" s="355"/>
      <c r="C292" s="355"/>
      <c r="D292" s="355"/>
      <c r="E292" s="355"/>
      <c r="F292" s="355"/>
      <c r="G292" s="355"/>
      <c r="O292" s="356"/>
      <c r="P292" s="355"/>
      <c r="Q292" s="355"/>
      <c r="R292" s="355"/>
      <c r="S292" s="355"/>
      <c r="T292" s="355"/>
      <c r="U292" s="355"/>
      <c r="V292" s="355"/>
      <c r="W292" s="355"/>
      <c r="AG292" s="355"/>
      <c r="AH292" s="355"/>
      <c r="AI292" s="355"/>
      <c r="AJ292" s="355"/>
      <c r="AK292" s="355"/>
      <c r="AL292" s="355"/>
      <c r="AM292" s="355"/>
      <c r="AU292" s="379">
        <v>52642</v>
      </c>
      <c r="AV292" s="375"/>
      <c r="AW292" s="375"/>
      <c r="AX292" s="375"/>
      <c r="AY292" s="375"/>
      <c r="AZ292" s="375"/>
      <c r="BA292" s="375"/>
      <c r="BB292" s="375"/>
      <c r="BC292" s="375"/>
      <c r="BD292" s="375">
        <v>7.6249999999999998E-2</v>
      </c>
      <c r="BE292" s="375">
        <v>6.8750000000000006E-2</v>
      </c>
      <c r="BF292" s="375">
        <v>7.1249999999999994E-2</v>
      </c>
      <c r="BG292" s="375"/>
      <c r="BH292" s="375"/>
      <c r="BI292" s="373">
        <f t="shared" si="26"/>
        <v>7.2083333333333333E-2</v>
      </c>
      <c r="BJ292" s="378"/>
      <c r="BK292" s="375"/>
      <c r="BL292" s="375"/>
      <c r="BM292" s="375"/>
      <c r="BN292" s="375"/>
      <c r="BO292" s="375">
        <v>6.25E-2</v>
      </c>
      <c r="BP292" s="375"/>
      <c r="BQ292" s="377"/>
      <c r="BR292" s="380">
        <f t="shared" si="27"/>
        <v>6.25E-2</v>
      </c>
      <c r="BT292" s="367">
        <v>52642</v>
      </c>
      <c r="BU292" s="375">
        <f t="shared" si="28"/>
        <v>0.05</v>
      </c>
      <c r="BV292" s="375">
        <f t="shared" si="29"/>
        <v>5.7500000000000002E-2</v>
      </c>
      <c r="BW292" s="377">
        <f t="shared" si="30"/>
        <v>0.05</v>
      </c>
    </row>
    <row r="293" spans="1:75" x14ac:dyDescent="0.15">
      <c r="A293" s="356"/>
      <c r="B293" s="355"/>
      <c r="C293" s="355"/>
      <c r="D293" s="355"/>
      <c r="E293" s="355"/>
      <c r="F293" s="355"/>
      <c r="G293" s="355"/>
      <c r="O293" s="356"/>
      <c r="P293" s="355"/>
      <c r="Q293" s="355"/>
      <c r="R293" s="355"/>
      <c r="S293" s="355"/>
      <c r="T293" s="355"/>
      <c r="U293" s="355"/>
      <c r="V293" s="355"/>
      <c r="W293" s="355"/>
      <c r="AG293" s="355"/>
      <c r="AH293" s="355"/>
      <c r="AI293" s="355"/>
      <c r="AJ293" s="355"/>
      <c r="AK293" s="355"/>
      <c r="AL293" s="355"/>
      <c r="AM293" s="355"/>
      <c r="AU293" s="379">
        <v>52671</v>
      </c>
      <c r="AV293" s="375"/>
      <c r="AW293" s="375"/>
      <c r="AX293" s="375"/>
      <c r="AY293" s="375"/>
      <c r="AZ293" s="375"/>
      <c r="BA293" s="375"/>
      <c r="BB293" s="375"/>
      <c r="BC293" s="375"/>
      <c r="BD293" s="375">
        <v>7.6249999999999998E-2</v>
      </c>
      <c r="BE293" s="375">
        <v>6.8750000000000006E-2</v>
      </c>
      <c r="BF293" s="375">
        <v>7.1249999999999994E-2</v>
      </c>
      <c r="BG293" s="375"/>
      <c r="BH293" s="375"/>
      <c r="BI293" s="373">
        <f t="shared" si="26"/>
        <v>7.2083333333333333E-2</v>
      </c>
      <c r="BJ293" s="378"/>
      <c r="BK293" s="375"/>
      <c r="BL293" s="375"/>
      <c r="BM293" s="375"/>
      <c r="BN293" s="375"/>
      <c r="BO293" s="375">
        <v>6.25E-2</v>
      </c>
      <c r="BP293" s="375"/>
      <c r="BQ293" s="377"/>
      <c r="BR293" s="380">
        <f t="shared" si="27"/>
        <v>6.25E-2</v>
      </c>
      <c r="BT293" s="367">
        <v>52671</v>
      </c>
      <c r="BU293" s="375">
        <f t="shared" si="28"/>
        <v>0.05</v>
      </c>
      <c r="BV293" s="375">
        <f t="shared" si="29"/>
        <v>5.7500000000000002E-2</v>
      </c>
      <c r="BW293" s="377">
        <f t="shared" si="30"/>
        <v>0.05</v>
      </c>
    </row>
    <row r="294" spans="1:75" x14ac:dyDescent="0.15">
      <c r="A294" s="356"/>
      <c r="B294" s="355"/>
      <c r="C294" s="355"/>
      <c r="D294" s="355"/>
      <c r="E294" s="355"/>
      <c r="F294" s="355"/>
      <c r="G294" s="355"/>
      <c r="O294" s="356"/>
      <c r="P294" s="355"/>
      <c r="Q294" s="355"/>
      <c r="R294" s="355"/>
      <c r="S294" s="355"/>
      <c r="T294" s="355"/>
      <c r="U294" s="355"/>
      <c r="V294" s="355"/>
      <c r="W294" s="355"/>
      <c r="AG294" s="355"/>
      <c r="AH294" s="355"/>
      <c r="AI294" s="355"/>
      <c r="AJ294" s="355"/>
      <c r="AK294" s="355"/>
      <c r="AL294" s="355"/>
      <c r="AM294" s="355"/>
      <c r="AU294" s="379">
        <v>52702</v>
      </c>
      <c r="AV294" s="375"/>
      <c r="AW294" s="375"/>
      <c r="AX294" s="375"/>
      <c r="AY294" s="375"/>
      <c r="AZ294" s="375"/>
      <c r="BA294" s="375"/>
      <c r="BB294" s="375"/>
      <c r="BC294" s="375"/>
      <c r="BD294" s="375">
        <v>7.6249999999999998E-2</v>
      </c>
      <c r="BE294" s="375">
        <v>6.8750000000000006E-2</v>
      </c>
      <c r="BF294" s="375">
        <v>7.1249999999999994E-2</v>
      </c>
      <c r="BG294" s="375"/>
      <c r="BH294" s="375"/>
      <c r="BI294" s="373">
        <f t="shared" si="26"/>
        <v>7.2083333333333333E-2</v>
      </c>
      <c r="BJ294" s="378"/>
      <c r="BK294" s="375"/>
      <c r="BL294" s="375"/>
      <c r="BM294" s="375"/>
      <c r="BN294" s="375"/>
      <c r="BO294" s="375">
        <v>6.25E-2</v>
      </c>
      <c r="BP294" s="375"/>
      <c r="BQ294" s="377"/>
      <c r="BR294" s="380">
        <f t="shared" si="27"/>
        <v>6.25E-2</v>
      </c>
      <c r="BT294" s="367">
        <v>52702</v>
      </c>
      <c r="BU294" s="375">
        <f t="shared" si="28"/>
        <v>0.05</v>
      </c>
      <c r="BV294" s="375">
        <f t="shared" si="29"/>
        <v>5.7500000000000002E-2</v>
      </c>
      <c r="BW294" s="377">
        <f t="shared" si="30"/>
        <v>0.05</v>
      </c>
    </row>
    <row r="295" spans="1:75" x14ac:dyDescent="0.15">
      <c r="A295" s="356"/>
      <c r="B295" s="355"/>
      <c r="C295" s="355"/>
      <c r="D295" s="355"/>
      <c r="E295" s="355"/>
      <c r="F295" s="355"/>
      <c r="G295" s="355"/>
      <c r="O295" s="356"/>
      <c r="P295" s="355"/>
      <c r="Q295" s="355"/>
      <c r="R295" s="355"/>
      <c r="S295" s="355"/>
      <c r="T295" s="355"/>
      <c r="U295" s="355"/>
      <c r="V295" s="355"/>
      <c r="W295" s="355"/>
      <c r="AG295" s="355"/>
      <c r="AH295" s="355"/>
      <c r="AI295" s="355"/>
      <c r="AJ295" s="355"/>
      <c r="AK295" s="355"/>
      <c r="AL295" s="355"/>
      <c r="AM295" s="355"/>
      <c r="AU295" s="379">
        <v>52732</v>
      </c>
      <c r="AV295" s="375"/>
      <c r="AW295" s="375"/>
      <c r="AX295" s="375"/>
      <c r="AY295" s="375"/>
      <c r="AZ295" s="375"/>
      <c r="BA295" s="375"/>
      <c r="BB295" s="375"/>
      <c r="BC295" s="375"/>
      <c r="BD295" s="375">
        <v>7.6249999999999998E-2</v>
      </c>
      <c r="BE295" s="375">
        <v>6.8750000000000006E-2</v>
      </c>
      <c r="BF295" s="375">
        <v>7.1249999999999994E-2</v>
      </c>
      <c r="BG295" s="375"/>
      <c r="BH295" s="375"/>
      <c r="BI295" s="373">
        <f t="shared" si="26"/>
        <v>7.2083333333333333E-2</v>
      </c>
      <c r="BJ295" s="378"/>
      <c r="BK295" s="375"/>
      <c r="BL295" s="375"/>
      <c r="BM295" s="375"/>
      <c r="BN295" s="375"/>
      <c r="BO295" s="375">
        <v>6.25E-2</v>
      </c>
      <c r="BP295" s="375"/>
      <c r="BQ295" s="377"/>
      <c r="BR295" s="380">
        <f t="shared" si="27"/>
        <v>6.25E-2</v>
      </c>
      <c r="BT295" s="367">
        <v>52732</v>
      </c>
      <c r="BU295" s="375">
        <f t="shared" si="28"/>
        <v>0.05</v>
      </c>
      <c r="BV295" s="375">
        <f t="shared" si="29"/>
        <v>5.7500000000000002E-2</v>
      </c>
      <c r="BW295" s="377">
        <f t="shared" si="30"/>
        <v>0.05</v>
      </c>
    </row>
    <row r="296" spans="1:75" x14ac:dyDescent="0.15">
      <c r="A296" s="356"/>
      <c r="B296" s="355"/>
      <c r="C296" s="355"/>
      <c r="D296" s="355"/>
      <c r="E296" s="355"/>
      <c r="F296" s="355"/>
      <c r="G296" s="355"/>
      <c r="O296" s="356"/>
      <c r="P296" s="355"/>
      <c r="Q296" s="355"/>
      <c r="R296" s="355"/>
      <c r="S296" s="355"/>
      <c r="T296" s="355"/>
      <c r="U296" s="355"/>
      <c r="V296" s="355"/>
      <c r="W296" s="355"/>
      <c r="AG296" s="355"/>
      <c r="AH296" s="355"/>
      <c r="AI296" s="355"/>
      <c r="AJ296" s="355"/>
      <c r="AK296" s="355"/>
      <c r="AL296" s="355"/>
      <c r="AM296" s="355"/>
      <c r="AU296" s="379">
        <v>52763</v>
      </c>
      <c r="AV296" s="375"/>
      <c r="AW296" s="375"/>
      <c r="AX296" s="375"/>
      <c r="AY296" s="375"/>
      <c r="AZ296" s="375"/>
      <c r="BA296" s="375"/>
      <c r="BB296" s="375"/>
      <c r="BC296" s="375"/>
      <c r="BD296" s="375">
        <v>7.6249999999999998E-2</v>
      </c>
      <c r="BE296" s="375">
        <v>6.8750000000000006E-2</v>
      </c>
      <c r="BF296" s="375">
        <v>7.1249999999999994E-2</v>
      </c>
      <c r="BG296" s="375"/>
      <c r="BH296" s="375"/>
      <c r="BI296" s="373">
        <f t="shared" si="26"/>
        <v>7.2083333333333333E-2</v>
      </c>
      <c r="BJ296" s="378"/>
      <c r="BK296" s="375"/>
      <c r="BL296" s="375"/>
      <c r="BM296" s="375"/>
      <c r="BN296" s="375"/>
      <c r="BO296" s="375">
        <v>6.25E-2</v>
      </c>
      <c r="BP296" s="375"/>
      <c r="BQ296" s="377"/>
      <c r="BR296" s="380">
        <f t="shared" si="27"/>
        <v>6.25E-2</v>
      </c>
      <c r="BT296" s="367">
        <v>52763</v>
      </c>
      <c r="BU296" s="375">
        <f t="shared" si="28"/>
        <v>0.05</v>
      </c>
      <c r="BV296" s="375">
        <f t="shared" si="29"/>
        <v>5.7500000000000002E-2</v>
      </c>
      <c r="BW296" s="377">
        <f t="shared" si="30"/>
        <v>0.05</v>
      </c>
    </row>
    <row r="297" spans="1:75" x14ac:dyDescent="0.15">
      <c r="A297" s="356"/>
      <c r="B297" s="355"/>
      <c r="C297" s="355"/>
      <c r="D297" s="355"/>
      <c r="E297" s="355"/>
      <c r="F297" s="355"/>
      <c r="G297" s="355"/>
      <c r="O297" s="356"/>
      <c r="P297" s="355"/>
      <c r="Q297" s="355"/>
      <c r="R297" s="355"/>
      <c r="S297" s="355"/>
      <c r="T297" s="355"/>
      <c r="U297" s="355"/>
      <c r="V297" s="355"/>
      <c r="W297" s="355"/>
      <c r="AG297" s="355"/>
      <c r="AH297" s="355"/>
      <c r="AI297" s="355"/>
      <c r="AJ297" s="355"/>
      <c r="AK297" s="355"/>
      <c r="AL297" s="355"/>
      <c r="AM297" s="355"/>
      <c r="AU297" s="379">
        <v>52793</v>
      </c>
      <c r="AV297" s="375"/>
      <c r="AW297" s="375"/>
      <c r="AX297" s="375"/>
      <c r="AY297" s="375"/>
      <c r="AZ297" s="375"/>
      <c r="BA297" s="375"/>
      <c r="BB297" s="375"/>
      <c r="BC297" s="375"/>
      <c r="BD297" s="375">
        <v>7.6249999999999998E-2</v>
      </c>
      <c r="BE297" s="375">
        <v>6.8750000000000006E-2</v>
      </c>
      <c r="BF297" s="375">
        <v>7.1249999999999994E-2</v>
      </c>
      <c r="BG297" s="375"/>
      <c r="BH297" s="375"/>
      <c r="BI297" s="373">
        <f t="shared" si="26"/>
        <v>7.2083333333333333E-2</v>
      </c>
      <c r="BJ297" s="378"/>
      <c r="BK297" s="375"/>
      <c r="BL297" s="375"/>
      <c r="BM297" s="375"/>
      <c r="BN297" s="375"/>
      <c r="BO297" s="375">
        <v>6.25E-2</v>
      </c>
      <c r="BP297" s="375"/>
      <c r="BQ297" s="377"/>
      <c r="BR297" s="380">
        <f t="shared" si="27"/>
        <v>6.25E-2</v>
      </c>
      <c r="BT297" s="367">
        <v>52793</v>
      </c>
      <c r="BU297" s="375">
        <f t="shared" si="28"/>
        <v>0.05</v>
      </c>
      <c r="BV297" s="375">
        <f t="shared" si="29"/>
        <v>5.7500000000000002E-2</v>
      </c>
      <c r="BW297" s="377">
        <f t="shared" si="30"/>
        <v>0.05</v>
      </c>
    </row>
    <row r="298" spans="1:75" x14ac:dyDescent="0.15">
      <c r="A298" s="356"/>
      <c r="B298" s="355"/>
      <c r="C298" s="355"/>
      <c r="D298" s="355"/>
      <c r="E298" s="355"/>
      <c r="F298" s="355"/>
      <c r="G298" s="355"/>
      <c r="O298" s="356"/>
      <c r="P298" s="355"/>
      <c r="Q298" s="355"/>
      <c r="R298" s="355"/>
      <c r="S298" s="355"/>
      <c r="T298" s="355"/>
      <c r="U298" s="355"/>
      <c r="V298" s="355"/>
      <c r="W298" s="355"/>
      <c r="AG298" s="355"/>
      <c r="AH298" s="355"/>
      <c r="AI298" s="355"/>
      <c r="AJ298" s="355"/>
      <c r="AK298" s="355"/>
      <c r="AL298" s="355"/>
      <c r="AM298" s="355"/>
      <c r="AU298" s="379">
        <v>52824</v>
      </c>
      <c r="AV298" s="375"/>
      <c r="AW298" s="375"/>
      <c r="AX298" s="375"/>
      <c r="AY298" s="375"/>
      <c r="AZ298" s="375"/>
      <c r="BA298" s="375"/>
      <c r="BB298" s="375"/>
      <c r="BC298" s="375"/>
      <c r="BD298" s="375">
        <v>7.6249999999999998E-2</v>
      </c>
      <c r="BE298" s="375">
        <v>6.8750000000000006E-2</v>
      </c>
      <c r="BF298" s="375">
        <v>7.1249999999999994E-2</v>
      </c>
      <c r="BG298" s="375"/>
      <c r="BH298" s="375"/>
      <c r="BI298" s="373">
        <f t="shared" si="26"/>
        <v>7.2083333333333333E-2</v>
      </c>
      <c r="BJ298" s="378"/>
      <c r="BK298" s="375"/>
      <c r="BL298" s="375"/>
      <c r="BM298" s="375"/>
      <c r="BN298" s="375"/>
      <c r="BO298" s="375">
        <v>6.25E-2</v>
      </c>
      <c r="BP298" s="375"/>
      <c r="BQ298" s="377"/>
      <c r="BR298" s="380">
        <f t="shared" si="27"/>
        <v>6.25E-2</v>
      </c>
      <c r="BT298" s="367">
        <v>52824</v>
      </c>
      <c r="BU298" s="375">
        <f t="shared" si="28"/>
        <v>0.05</v>
      </c>
      <c r="BV298" s="375">
        <f t="shared" si="29"/>
        <v>5.7500000000000002E-2</v>
      </c>
      <c r="BW298" s="377">
        <f t="shared" si="30"/>
        <v>0.05</v>
      </c>
    </row>
    <row r="299" spans="1:75" x14ac:dyDescent="0.15">
      <c r="A299" s="356"/>
      <c r="B299" s="355"/>
      <c r="C299" s="355"/>
      <c r="D299" s="355"/>
      <c r="E299" s="355"/>
      <c r="F299" s="355"/>
      <c r="G299" s="355"/>
      <c r="O299" s="356"/>
      <c r="P299" s="355"/>
      <c r="Q299" s="355"/>
      <c r="R299" s="355"/>
      <c r="S299" s="355"/>
      <c r="T299" s="355"/>
      <c r="U299" s="355"/>
      <c r="V299" s="355"/>
      <c r="W299" s="355"/>
      <c r="AG299" s="355"/>
      <c r="AH299" s="355"/>
      <c r="AI299" s="355"/>
      <c r="AJ299" s="355"/>
      <c r="AK299" s="355"/>
      <c r="AL299" s="355"/>
      <c r="AM299" s="355"/>
      <c r="AU299" s="379">
        <v>52855</v>
      </c>
      <c r="AV299" s="375"/>
      <c r="AW299" s="375"/>
      <c r="AX299" s="375"/>
      <c r="AY299" s="375"/>
      <c r="AZ299" s="375"/>
      <c r="BA299" s="375"/>
      <c r="BB299" s="375"/>
      <c r="BC299" s="375"/>
      <c r="BD299" s="375">
        <v>7.6249999999999998E-2</v>
      </c>
      <c r="BE299" s="375">
        <v>6.8750000000000006E-2</v>
      </c>
      <c r="BF299" s="375">
        <v>7.1249999999999994E-2</v>
      </c>
      <c r="BG299" s="375"/>
      <c r="BH299" s="375"/>
      <c r="BI299" s="373">
        <f t="shared" si="26"/>
        <v>7.2083333333333333E-2</v>
      </c>
      <c r="BJ299" s="378"/>
      <c r="BK299" s="375"/>
      <c r="BL299" s="375"/>
      <c r="BM299" s="375"/>
      <c r="BN299" s="375"/>
      <c r="BO299" s="375">
        <v>6.25E-2</v>
      </c>
      <c r="BP299" s="375"/>
      <c r="BQ299" s="377"/>
      <c r="BR299" s="380">
        <f t="shared" si="27"/>
        <v>6.25E-2</v>
      </c>
      <c r="BT299" s="367">
        <v>52855</v>
      </c>
      <c r="BU299" s="375">
        <f t="shared" si="28"/>
        <v>0.05</v>
      </c>
      <c r="BV299" s="375">
        <f t="shared" si="29"/>
        <v>5.7500000000000002E-2</v>
      </c>
      <c r="BW299" s="377">
        <f t="shared" si="30"/>
        <v>0.05</v>
      </c>
    </row>
    <row r="300" spans="1:75" x14ac:dyDescent="0.15">
      <c r="A300" s="356"/>
      <c r="B300" s="355"/>
      <c r="C300" s="355"/>
      <c r="D300" s="355"/>
      <c r="E300" s="355"/>
      <c r="F300" s="355"/>
      <c r="G300" s="355"/>
      <c r="O300" s="356"/>
      <c r="P300" s="355"/>
      <c r="Q300" s="355"/>
      <c r="R300" s="355"/>
      <c r="S300" s="355"/>
      <c r="T300" s="355"/>
      <c r="U300" s="355"/>
      <c r="V300" s="355"/>
      <c r="W300" s="355"/>
      <c r="AG300" s="355"/>
      <c r="AH300" s="355"/>
      <c r="AI300" s="355"/>
      <c r="AJ300" s="355"/>
      <c r="AK300" s="355"/>
      <c r="AL300" s="355"/>
      <c r="AM300" s="355"/>
      <c r="AU300" s="379">
        <v>52885</v>
      </c>
      <c r="AV300" s="375"/>
      <c r="AW300" s="375"/>
      <c r="AX300" s="375"/>
      <c r="AY300" s="375"/>
      <c r="AZ300" s="375"/>
      <c r="BA300" s="375"/>
      <c r="BB300" s="375"/>
      <c r="BC300" s="375"/>
      <c r="BD300" s="375">
        <v>7.6249999999999998E-2</v>
      </c>
      <c r="BE300" s="375">
        <v>6.8750000000000006E-2</v>
      </c>
      <c r="BF300" s="375">
        <v>7.1249999999999994E-2</v>
      </c>
      <c r="BG300" s="375"/>
      <c r="BH300" s="375"/>
      <c r="BI300" s="373">
        <f t="shared" si="26"/>
        <v>7.2083333333333333E-2</v>
      </c>
      <c r="BJ300" s="378"/>
      <c r="BK300" s="375"/>
      <c r="BL300" s="375"/>
      <c r="BM300" s="375"/>
      <c r="BN300" s="375"/>
      <c r="BO300" s="375">
        <v>6.25E-2</v>
      </c>
      <c r="BP300" s="375"/>
      <c r="BQ300" s="377"/>
      <c r="BR300" s="380">
        <f t="shared" si="27"/>
        <v>6.25E-2</v>
      </c>
      <c r="BT300" s="367">
        <v>52885</v>
      </c>
      <c r="BU300" s="375">
        <f t="shared" si="28"/>
        <v>0.05</v>
      </c>
      <c r="BV300" s="375">
        <f t="shared" si="29"/>
        <v>5.7500000000000002E-2</v>
      </c>
      <c r="BW300" s="377">
        <f t="shared" si="30"/>
        <v>0.05</v>
      </c>
    </row>
    <row r="301" spans="1:75" x14ac:dyDescent="0.15">
      <c r="A301" s="356"/>
      <c r="B301" s="355"/>
      <c r="C301" s="355"/>
      <c r="D301" s="355"/>
      <c r="E301" s="355"/>
      <c r="F301" s="355"/>
      <c r="G301" s="355"/>
      <c r="O301" s="356"/>
      <c r="P301" s="355"/>
      <c r="Q301" s="355"/>
      <c r="R301" s="355"/>
      <c r="S301" s="355"/>
      <c r="T301" s="355"/>
      <c r="U301" s="355"/>
      <c r="V301" s="355"/>
      <c r="W301" s="355"/>
      <c r="AG301" s="355"/>
      <c r="AH301" s="355"/>
      <c r="AI301" s="355"/>
      <c r="AJ301" s="355"/>
      <c r="AK301" s="355"/>
      <c r="AL301" s="355"/>
      <c r="AM301" s="355"/>
      <c r="AU301" s="379">
        <v>52916</v>
      </c>
      <c r="AV301" s="375"/>
      <c r="AW301" s="375"/>
      <c r="AX301" s="375"/>
      <c r="AY301" s="375"/>
      <c r="AZ301" s="375"/>
      <c r="BA301" s="375"/>
      <c r="BB301" s="375"/>
      <c r="BC301" s="375"/>
      <c r="BD301" s="375">
        <v>7.6249999999999998E-2</v>
      </c>
      <c r="BE301" s="375">
        <v>6.8750000000000006E-2</v>
      </c>
      <c r="BF301" s="375">
        <v>7.1249999999999994E-2</v>
      </c>
      <c r="BG301" s="375"/>
      <c r="BH301" s="375"/>
      <c r="BI301" s="373">
        <f t="shared" si="26"/>
        <v>7.2083333333333333E-2</v>
      </c>
      <c r="BJ301" s="378"/>
      <c r="BK301" s="375"/>
      <c r="BL301" s="375"/>
      <c r="BM301" s="375"/>
      <c r="BN301" s="375"/>
      <c r="BO301" s="375">
        <v>6.25E-2</v>
      </c>
      <c r="BP301" s="375"/>
      <c r="BQ301" s="377"/>
      <c r="BR301" s="380">
        <f t="shared" si="27"/>
        <v>6.25E-2</v>
      </c>
      <c r="BT301" s="367">
        <v>52916</v>
      </c>
      <c r="BU301" s="375">
        <f t="shared" si="28"/>
        <v>0.05</v>
      </c>
      <c r="BV301" s="375">
        <f t="shared" si="29"/>
        <v>5.7500000000000002E-2</v>
      </c>
      <c r="BW301" s="377">
        <f t="shared" si="30"/>
        <v>0.05</v>
      </c>
    </row>
    <row r="302" spans="1:75" x14ac:dyDescent="0.15">
      <c r="A302" s="356"/>
      <c r="B302" s="355"/>
      <c r="C302" s="355"/>
      <c r="D302" s="355"/>
      <c r="E302" s="355"/>
      <c r="F302" s="355"/>
      <c r="G302" s="355"/>
      <c r="O302" s="356"/>
      <c r="P302" s="355"/>
      <c r="Q302" s="355"/>
      <c r="R302" s="355"/>
      <c r="S302" s="355"/>
      <c r="T302" s="355"/>
      <c r="U302" s="355"/>
      <c r="V302" s="355"/>
      <c r="W302" s="355"/>
      <c r="AG302" s="355"/>
      <c r="AH302" s="355"/>
      <c r="AI302" s="355"/>
      <c r="AJ302" s="355"/>
      <c r="AK302" s="355"/>
      <c r="AL302" s="355"/>
      <c r="AM302" s="355"/>
      <c r="AU302" s="379">
        <v>52946</v>
      </c>
      <c r="AV302" s="375"/>
      <c r="AW302" s="375"/>
      <c r="AX302" s="375"/>
      <c r="AY302" s="375"/>
      <c r="AZ302" s="375"/>
      <c r="BA302" s="375"/>
      <c r="BB302" s="375"/>
      <c r="BC302" s="375"/>
      <c r="BD302" s="375">
        <v>7.6249999999999998E-2</v>
      </c>
      <c r="BE302" s="375">
        <v>6.8750000000000006E-2</v>
      </c>
      <c r="BF302" s="375">
        <v>7.1249999999999994E-2</v>
      </c>
      <c r="BG302" s="375"/>
      <c r="BH302" s="375"/>
      <c r="BI302" s="373">
        <f t="shared" si="26"/>
        <v>7.2083333333333333E-2</v>
      </c>
      <c r="BJ302" s="378"/>
      <c r="BK302" s="375"/>
      <c r="BL302" s="375"/>
      <c r="BM302" s="375"/>
      <c r="BN302" s="375"/>
      <c r="BO302" s="375">
        <v>6.25E-2</v>
      </c>
      <c r="BP302" s="375"/>
      <c r="BQ302" s="377"/>
      <c r="BR302" s="380">
        <f t="shared" si="27"/>
        <v>6.25E-2</v>
      </c>
      <c r="BT302" s="367">
        <v>52946</v>
      </c>
      <c r="BU302" s="375">
        <f t="shared" si="28"/>
        <v>0.05</v>
      </c>
      <c r="BV302" s="375">
        <f t="shared" si="29"/>
        <v>5.7500000000000002E-2</v>
      </c>
      <c r="BW302" s="377">
        <f t="shared" si="30"/>
        <v>0.05</v>
      </c>
    </row>
    <row r="303" spans="1:75" x14ac:dyDescent="0.15">
      <c r="A303" s="356"/>
      <c r="B303" s="355"/>
      <c r="C303" s="355"/>
      <c r="D303" s="355"/>
      <c r="E303" s="355"/>
      <c r="F303" s="355"/>
      <c r="G303" s="355"/>
      <c r="O303" s="356"/>
      <c r="P303" s="355"/>
      <c r="Q303" s="355"/>
      <c r="R303" s="355"/>
      <c r="S303" s="355"/>
      <c r="T303" s="355"/>
      <c r="U303" s="355"/>
      <c r="V303" s="355"/>
      <c r="W303" s="355"/>
      <c r="AG303" s="355"/>
      <c r="AH303" s="355"/>
      <c r="AI303" s="355"/>
      <c r="AJ303" s="355"/>
      <c r="AK303" s="355"/>
      <c r="AL303" s="355"/>
      <c r="AM303" s="355"/>
      <c r="AU303" s="379">
        <v>52977</v>
      </c>
      <c r="AV303" s="375"/>
      <c r="AW303" s="375"/>
      <c r="AX303" s="375"/>
      <c r="AY303" s="375"/>
      <c r="AZ303" s="375"/>
      <c r="BA303" s="375"/>
      <c r="BB303" s="375"/>
      <c r="BC303" s="375"/>
      <c r="BD303" s="375">
        <v>7.6249999999999998E-2</v>
      </c>
      <c r="BE303" s="375">
        <v>6.8750000000000006E-2</v>
      </c>
      <c r="BF303" s="375">
        <v>7.1249999999999994E-2</v>
      </c>
      <c r="BG303" s="375"/>
      <c r="BH303" s="375"/>
      <c r="BI303" s="373">
        <f t="shared" si="26"/>
        <v>7.2083333333333333E-2</v>
      </c>
      <c r="BJ303" s="378"/>
      <c r="BK303" s="375"/>
      <c r="BL303" s="375"/>
      <c r="BM303" s="375"/>
      <c r="BN303" s="375"/>
      <c r="BO303" s="375">
        <v>6.25E-2</v>
      </c>
      <c r="BP303" s="375"/>
      <c r="BQ303" s="377"/>
      <c r="BR303" s="380">
        <f t="shared" si="27"/>
        <v>6.25E-2</v>
      </c>
      <c r="BT303" s="367">
        <v>52977</v>
      </c>
      <c r="BU303" s="375">
        <f t="shared" si="28"/>
        <v>0.05</v>
      </c>
      <c r="BV303" s="375">
        <f t="shared" si="29"/>
        <v>5.7500000000000002E-2</v>
      </c>
      <c r="BW303" s="377">
        <f t="shared" si="30"/>
        <v>0.05</v>
      </c>
    </row>
    <row r="304" spans="1:75" x14ac:dyDescent="0.15">
      <c r="A304" s="356"/>
      <c r="B304" s="355"/>
      <c r="C304" s="355"/>
      <c r="D304" s="355"/>
      <c r="E304" s="355"/>
      <c r="F304" s="355"/>
      <c r="G304" s="355"/>
      <c r="O304" s="356"/>
      <c r="P304" s="355"/>
      <c r="Q304" s="355"/>
      <c r="R304" s="355"/>
      <c r="S304" s="355"/>
      <c r="T304" s="355"/>
      <c r="U304" s="355"/>
      <c r="V304" s="355"/>
      <c r="W304" s="355"/>
      <c r="AG304" s="355"/>
      <c r="AH304" s="355"/>
      <c r="AI304" s="355"/>
      <c r="AJ304" s="355"/>
      <c r="AK304" s="355"/>
      <c r="AL304" s="355"/>
      <c r="AM304" s="355"/>
      <c r="AU304" s="379">
        <v>53008</v>
      </c>
      <c r="AV304" s="375"/>
      <c r="AW304" s="375"/>
      <c r="AX304" s="375"/>
      <c r="AY304" s="375"/>
      <c r="AZ304" s="375"/>
      <c r="BA304" s="375"/>
      <c r="BB304" s="375"/>
      <c r="BC304" s="375"/>
      <c r="BD304" s="375">
        <v>7.6249999999999998E-2</v>
      </c>
      <c r="BE304" s="375">
        <v>6.8750000000000006E-2</v>
      </c>
      <c r="BF304" s="375">
        <v>7.1249999999999994E-2</v>
      </c>
      <c r="BG304" s="375"/>
      <c r="BH304" s="375"/>
      <c r="BI304" s="373">
        <f t="shared" si="26"/>
        <v>7.2083333333333333E-2</v>
      </c>
      <c r="BJ304" s="378"/>
      <c r="BK304" s="375"/>
      <c r="BL304" s="375"/>
      <c r="BM304" s="375"/>
      <c r="BN304" s="375"/>
      <c r="BO304" s="375">
        <v>6.25E-2</v>
      </c>
      <c r="BP304" s="375"/>
      <c r="BQ304" s="377"/>
      <c r="BR304" s="380">
        <f t="shared" si="27"/>
        <v>6.25E-2</v>
      </c>
      <c r="BT304" s="367">
        <v>53008</v>
      </c>
      <c r="BU304" s="375">
        <f t="shared" si="28"/>
        <v>0.05</v>
      </c>
      <c r="BV304" s="375">
        <f t="shared" si="29"/>
        <v>5.7500000000000002E-2</v>
      </c>
      <c r="BW304" s="377">
        <f t="shared" si="30"/>
        <v>0.05</v>
      </c>
    </row>
    <row r="305" spans="1:75" x14ac:dyDescent="0.15">
      <c r="A305" s="356"/>
      <c r="B305" s="355"/>
      <c r="C305" s="355"/>
      <c r="D305" s="355"/>
      <c r="E305" s="355"/>
      <c r="F305" s="355"/>
      <c r="G305" s="355"/>
      <c r="O305" s="356"/>
      <c r="P305" s="355"/>
      <c r="Q305" s="355"/>
      <c r="R305" s="355"/>
      <c r="S305" s="355"/>
      <c r="T305" s="355"/>
      <c r="U305" s="355"/>
      <c r="V305" s="355"/>
      <c r="W305" s="355"/>
      <c r="AG305" s="355"/>
      <c r="AH305" s="355"/>
      <c r="AI305" s="355"/>
      <c r="AJ305" s="355"/>
      <c r="AK305" s="355"/>
      <c r="AL305" s="355"/>
      <c r="AM305" s="355"/>
      <c r="AU305" s="379">
        <v>53036</v>
      </c>
      <c r="AV305" s="375"/>
      <c r="AW305" s="375"/>
      <c r="AX305" s="375"/>
      <c r="AY305" s="375"/>
      <c r="AZ305" s="375"/>
      <c r="BA305" s="375"/>
      <c r="BB305" s="375"/>
      <c r="BC305" s="375"/>
      <c r="BD305" s="375">
        <v>7.6249999999999998E-2</v>
      </c>
      <c r="BE305" s="375">
        <v>6.8750000000000006E-2</v>
      </c>
      <c r="BF305" s="375">
        <v>7.1249999999999994E-2</v>
      </c>
      <c r="BG305" s="375"/>
      <c r="BH305" s="375"/>
      <c r="BI305" s="373">
        <f t="shared" si="26"/>
        <v>7.2083333333333333E-2</v>
      </c>
      <c r="BJ305" s="378"/>
      <c r="BK305" s="375"/>
      <c r="BL305" s="375"/>
      <c r="BM305" s="375"/>
      <c r="BN305" s="375"/>
      <c r="BO305" s="375">
        <v>6.25E-2</v>
      </c>
      <c r="BP305" s="375"/>
      <c r="BQ305" s="377"/>
      <c r="BR305" s="380">
        <f t="shared" si="27"/>
        <v>6.25E-2</v>
      </c>
      <c r="BT305" s="367">
        <v>53036</v>
      </c>
      <c r="BU305" s="375">
        <f t="shared" si="28"/>
        <v>0.05</v>
      </c>
      <c r="BV305" s="375">
        <f t="shared" si="29"/>
        <v>5.7500000000000002E-2</v>
      </c>
      <c r="BW305" s="377">
        <f t="shared" si="30"/>
        <v>0.05</v>
      </c>
    </row>
    <row r="306" spans="1:75" x14ac:dyDescent="0.15">
      <c r="A306" s="356"/>
      <c r="B306" s="355"/>
      <c r="C306" s="355"/>
      <c r="D306" s="355"/>
      <c r="E306" s="355"/>
      <c r="F306" s="355"/>
      <c r="G306" s="355"/>
      <c r="O306" s="356"/>
      <c r="P306" s="355"/>
      <c r="Q306" s="355"/>
      <c r="R306" s="355"/>
      <c r="S306" s="355"/>
      <c r="T306" s="355"/>
      <c r="U306" s="355"/>
      <c r="V306" s="355"/>
      <c r="W306" s="355"/>
      <c r="AG306" s="355"/>
      <c r="AH306" s="355"/>
      <c r="AI306" s="355"/>
      <c r="AJ306" s="355"/>
      <c r="AK306" s="355"/>
      <c r="AL306" s="355"/>
      <c r="AM306" s="355"/>
      <c r="AU306" s="379">
        <v>53067</v>
      </c>
      <c r="AV306" s="375"/>
      <c r="AW306" s="375"/>
      <c r="AX306" s="375"/>
      <c r="AY306" s="375"/>
      <c r="AZ306" s="375"/>
      <c r="BA306" s="375"/>
      <c r="BB306" s="375"/>
      <c r="BC306" s="375"/>
      <c r="BD306" s="375">
        <v>7.6249999999999998E-2</v>
      </c>
      <c r="BE306" s="375">
        <v>6.8750000000000006E-2</v>
      </c>
      <c r="BF306" s="375">
        <v>7.1249999999999994E-2</v>
      </c>
      <c r="BG306" s="375"/>
      <c r="BH306" s="375"/>
      <c r="BI306" s="373">
        <f t="shared" si="26"/>
        <v>7.2083333333333333E-2</v>
      </c>
      <c r="BJ306" s="378"/>
      <c r="BK306" s="375"/>
      <c r="BL306" s="375"/>
      <c r="BM306" s="375"/>
      <c r="BN306" s="375"/>
      <c r="BO306" s="375">
        <v>6.25E-2</v>
      </c>
      <c r="BP306" s="375"/>
      <c r="BQ306" s="377"/>
      <c r="BR306" s="380">
        <f t="shared" si="27"/>
        <v>6.25E-2</v>
      </c>
      <c r="BT306" s="367">
        <v>53067</v>
      </c>
      <c r="BU306" s="375">
        <f t="shared" si="28"/>
        <v>0.05</v>
      </c>
      <c r="BV306" s="375">
        <f t="shared" si="29"/>
        <v>5.7500000000000002E-2</v>
      </c>
      <c r="BW306" s="377">
        <f t="shared" si="30"/>
        <v>0.05</v>
      </c>
    </row>
    <row r="307" spans="1:75" x14ac:dyDescent="0.15">
      <c r="A307" s="356"/>
      <c r="B307" s="355"/>
      <c r="C307" s="355"/>
      <c r="D307" s="355"/>
      <c r="E307" s="355"/>
      <c r="F307" s="355"/>
      <c r="G307" s="355"/>
      <c r="O307" s="356"/>
      <c r="P307" s="355"/>
      <c r="Q307" s="355"/>
      <c r="R307" s="355"/>
      <c r="S307" s="355"/>
      <c r="T307" s="355"/>
      <c r="U307" s="355"/>
      <c r="V307" s="355"/>
      <c r="W307" s="355"/>
      <c r="AG307" s="355"/>
      <c r="AH307" s="355"/>
      <c r="AI307" s="355"/>
      <c r="AJ307" s="355"/>
      <c r="AK307" s="355"/>
      <c r="AL307" s="355"/>
      <c r="AM307" s="355"/>
      <c r="AU307" s="379">
        <v>53097</v>
      </c>
      <c r="AV307" s="375"/>
      <c r="AW307" s="375"/>
      <c r="AX307" s="375"/>
      <c r="AY307" s="375"/>
      <c r="AZ307" s="375"/>
      <c r="BA307" s="375"/>
      <c r="BB307" s="375"/>
      <c r="BC307" s="375"/>
      <c r="BD307" s="375">
        <v>7.6249999999999998E-2</v>
      </c>
      <c r="BE307" s="375">
        <v>6.8750000000000006E-2</v>
      </c>
      <c r="BF307" s="375">
        <v>7.1249999999999994E-2</v>
      </c>
      <c r="BG307" s="375"/>
      <c r="BH307" s="375"/>
      <c r="BI307" s="373">
        <f t="shared" si="26"/>
        <v>7.2083333333333333E-2</v>
      </c>
      <c r="BJ307" s="378"/>
      <c r="BK307" s="375"/>
      <c r="BL307" s="375"/>
      <c r="BM307" s="375"/>
      <c r="BN307" s="375"/>
      <c r="BO307" s="375">
        <v>6.25E-2</v>
      </c>
      <c r="BP307" s="375"/>
      <c r="BQ307" s="377"/>
      <c r="BR307" s="380">
        <f t="shared" si="27"/>
        <v>6.25E-2</v>
      </c>
      <c r="BT307" s="367">
        <v>53097</v>
      </c>
      <c r="BU307" s="375">
        <f t="shared" si="28"/>
        <v>0.05</v>
      </c>
      <c r="BV307" s="375">
        <f t="shared" si="29"/>
        <v>5.7500000000000002E-2</v>
      </c>
      <c r="BW307" s="377">
        <f t="shared" si="30"/>
        <v>0.05</v>
      </c>
    </row>
    <row r="308" spans="1:75" x14ac:dyDescent="0.15">
      <c r="A308" s="356"/>
      <c r="B308" s="355"/>
      <c r="C308" s="355"/>
      <c r="D308" s="355"/>
      <c r="E308" s="355"/>
      <c r="F308" s="355"/>
      <c r="G308" s="355"/>
      <c r="O308" s="356"/>
      <c r="P308" s="355"/>
      <c r="Q308" s="355"/>
      <c r="R308" s="355"/>
      <c r="S308" s="355"/>
      <c r="T308" s="355"/>
      <c r="U308" s="355"/>
      <c r="V308" s="355"/>
      <c r="W308" s="355"/>
      <c r="AG308" s="355"/>
      <c r="AH308" s="355"/>
      <c r="AI308" s="355"/>
      <c r="AJ308" s="355"/>
      <c r="AK308" s="355"/>
      <c r="AL308" s="355"/>
      <c r="AM308" s="355"/>
      <c r="AU308" s="379">
        <v>53128</v>
      </c>
      <c r="AV308" s="375"/>
      <c r="AW308" s="375"/>
      <c r="AX308" s="375"/>
      <c r="AY308" s="375"/>
      <c r="AZ308" s="375"/>
      <c r="BA308" s="375"/>
      <c r="BB308" s="375"/>
      <c r="BC308" s="375"/>
      <c r="BD308" s="375">
        <v>7.6249999999999998E-2</v>
      </c>
      <c r="BE308" s="375">
        <v>6.8750000000000006E-2</v>
      </c>
      <c r="BF308" s="375">
        <v>7.1249999999999994E-2</v>
      </c>
      <c r="BG308" s="375"/>
      <c r="BH308" s="375"/>
      <c r="BI308" s="373">
        <f t="shared" si="26"/>
        <v>7.2083333333333333E-2</v>
      </c>
      <c r="BJ308" s="378"/>
      <c r="BK308" s="375"/>
      <c r="BL308" s="375"/>
      <c r="BM308" s="375"/>
      <c r="BN308" s="375"/>
      <c r="BO308" s="375">
        <v>6.25E-2</v>
      </c>
      <c r="BP308" s="375"/>
      <c r="BQ308" s="377"/>
      <c r="BR308" s="380">
        <f t="shared" si="27"/>
        <v>6.25E-2</v>
      </c>
      <c r="BT308" s="367">
        <v>53128</v>
      </c>
      <c r="BU308" s="375">
        <f t="shared" si="28"/>
        <v>0.05</v>
      </c>
      <c r="BV308" s="375">
        <f t="shared" si="29"/>
        <v>5.7500000000000002E-2</v>
      </c>
      <c r="BW308" s="377">
        <f t="shared" si="30"/>
        <v>0.05</v>
      </c>
    </row>
    <row r="309" spans="1:75" x14ac:dyDescent="0.15">
      <c r="A309" s="356"/>
      <c r="B309" s="355"/>
      <c r="C309" s="355"/>
      <c r="D309" s="355"/>
      <c r="E309" s="355"/>
      <c r="F309" s="355"/>
      <c r="G309" s="355"/>
      <c r="O309" s="356"/>
      <c r="P309" s="355"/>
      <c r="Q309" s="355"/>
      <c r="R309" s="355"/>
      <c r="S309" s="355"/>
      <c r="T309" s="355"/>
      <c r="U309" s="355"/>
      <c r="V309" s="355"/>
      <c r="W309" s="355"/>
      <c r="AG309" s="355"/>
      <c r="AH309" s="355"/>
      <c r="AI309" s="355"/>
      <c r="AJ309" s="355"/>
      <c r="AK309" s="355"/>
      <c r="AL309" s="355"/>
      <c r="AM309" s="355"/>
      <c r="AU309" s="379">
        <v>53158</v>
      </c>
      <c r="AV309" s="375"/>
      <c r="AW309" s="375"/>
      <c r="AX309" s="375"/>
      <c r="AY309" s="375"/>
      <c r="AZ309" s="375"/>
      <c r="BA309" s="375"/>
      <c r="BB309" s="375"/>
      <c r="BC309" s="375"/>
      <c r="BD309" s="375">
        <v>7.6249999999999998E-2</v>
      </c>
      <c r="BE309" s="375">
        <v>6.8750000000000006E-2</v>
      </c>
      <c r="BF309" s="375">
        <v>7.1249999999999994E-2</v>
      </c>
      <c r="BG309" s="375"/>
      <c r="BH309" s="375"/>
      <c r="BI309" s="373">
        <f t="shared" si="26"/>
        <v>7.2083333333333333E-2</v>
      </c>
      <c r="BJ309" s="378"/>
      <c r="BK309" s="375"/>
      <c r="BL309" s="375"/>
      <c r="BM309" s="375"/>
      <c r="BN309" s="375"/>
      <c r="BO309" s="375">
        <v>6.25E-2</v>
      </c>
      <c r="BP309" s="375"/>
      <c r="BQ309" s="377"/>
      <c r="BR309" s="380">
        <f t="shared" si="27"/>
        <v>6.25E-2</v>
      </c>
      <c r="BT309" s="367">
        <v>53158</v>
      </c>
      <c r="BU309" s="375">
        <f t="shared" si="28"/>
        <v>0.05</v>
      </c>
      <c r="BV309" s="375">
        <f t="shared" si="29"/>
        <v>5.7500000000000002E-2</v>
      </c>
      <c r="BW309" s="377">
        <f t="shared" si="30"/>
        <v>0.05</v>
      </c>
    </row>
    <row r="310" spans="1:75" x14ac:dyDescent="0.15">
      <c r="A310" s="356"/>
      <c r="B310" s="355"/>
      <c r="C310" s="355"/>
      <c r="D310" s="355"/>
      <c r="E310" s="355"/>
      <c r="F310" s="355"/>
      <c r="G310" s="355"/>
      <c r="O310" s="356"/>
      <c r="P310" s="355"/>
      <c r="Q310" s="355"/>
      <c r="R310" s="355"/>
      <c r="S310" s="355"/>
      <c r="T310" s="355"/>
      <c r="U310" s="355"/>
      <c r="V310" s="355"/>
      <c r="W310" s="355"/>
      <c r="AG310" s="355"/>
      <c r="AH310" s="355"/>
      <c r="AI310" s="355"/>
      <c r="AJ310" s="355"/>
      <c r="AK310" s="355"/>
      <c r="AL310" s="355"/>
      <c r="AM310" s="355"/>
      <c r="AU310" s="379">
        <v>53189</v>
      </c>
      <c r="AV310" s="375"/>
      <c r="AW310" s="375"/>
      <c r="AX310" s="375"/>
      <c r="AY310" s="375"/>
      <c r="AZ310" s="375"/>
      <c r="BA310" s="375"/>
      <c r="BB310" s="375"/>
      <c r="BC310" s="375"/>
      <c r="BD310" s="375">
        <v>7.6249999999999998E-2</v>
      </c>
      <c r="BE310" s="375">
        <v>6.8750000000000006E-2</v>
      </c>
      <c r="BF310" s="375">
        <v>7.1249999999999994E-2</v>
      </c>
      <c r="BG310" s="375"/>
      <c r="BH310" s="375"/>
      <c r="BI310" s="373">
        <f t="shared" si="26"/>
        <v>7.2083333333333333E-2</v>
      </c>
      <c r="BJ310" s="378"/>
      <c r="BK310" s="375"/>
      <c r="BL310" s="375"/>
      <c r="BM310" s="375"/>
      <c r="BN310" s="375"/>
      <c r="BO310" s="375">
        <v>6.25E-2</v>
      </c>
      <c r="BP310" s="375"/>
      <c r="BQ310" s="377"/>
      <c r="BR310" s="380">
        <f t="shared" si="27"/>
        <v>6.25E-2</v>
      </c>
      <c r="BT310" s="367">
        <v>53189</v>
      </c>
      <c r="BU310" s="375">
        <f t="shared" si="28"/>
        <v>0.05</v>
      </c>
      <c r="BV310" s="375"/>
      <c r="BW310" s="377">
        <f t="shared" si="30"/>
        <v>0.05</v>
      </c>
    </row>
    <row r="311" spans="1:75" x14ac:dyDescent="0.15">
      <c r="A311" s="356"/>
      <c r="B311" s="355"/>
      <c r="C311" s="355"/>
      <c r="D311" s="355"/>
      <c r="E311" s="355"/>
      <c r="F311" s="355"/>
      <c r="G311" s="355"/>
      <c r="O311" s="356"/>
      <c r="P311" s="355"/>
      <c r="Q311" s="355"/>
      <c r="R311" s="355"/>
      <c r="S311" s="355"/>
      <c r="T311" s="355"/>
      <c r="U311" s="355"/>
      <c r="V311" s="355"/>
      <c r="W311" s="355"/>
      <c r="AG311" s="355"/>
      <c r="AH311" s="355"/>
      <c r="AI311" s="355"/>
      <c r="AJ311" s="355"/>
      <c r="AK311" s="355"/>
      <c r="AL311" s="355"/>
      <c r="AM311" s="355"/>
      <c r="AU311" s="379">
        <v>53220</v>
      </c>
      <c r="AV311" s="375"/>
      <c r="AW311" s="375"/>
      <c r="AX311" s="375"/>
      <c r="AY311" s="375"/>
      <c r="AZ311" s="375"/>
      <c r="BA311" s="375"/>
      <c r="BB311" s="375"/>
      <c r="BC311" s="375"/>
      <c r="BD311" s="375">
        <v>7.6249999999999998E-2</v>
      </c>
      <c r="BE311" s="375">
        <v>6.8750000000000006E-2</v>
      </c>
      <c r="BF311" s="375">
        <v>7.1249999999999994E-2</v>
      </c>
      <c r="BG311" s="375"/>
      <c r="BH311" s="375"/>
      <c r="BI311" s="373">
        <f t="shared" si="26"/>
        <v>7.2083333333333333E-2</v>
      </c>
      <c r="BJ311" s="378"/>
      <c r="BK311" s="375"/>
      <c r="BL311" s="375"/>
      <c r="BM311" s="375"/>
      <c r="BN311" s="375"/>
      <c r="BO311" s="375">
        <v>6.25E-2</v>
      </c>
      <c r="BP311" s="375"/>
      <c r="BQ311" s="377"/>
      <c r="BR311" s="380">
        <f t="shared" si="27"/>
        <v>6.25E-2</v>
      </c>
      <c r="BT311" s="367">
        <v>53220</v>
      </c>
      <c r="BU311" s="375">
        <f t="shared" si="28"/>
        <v>0.05</v>
      </c>
      <c r="BV311" s="375"/>
      <c r="BW311" s="377">
        <f t="shared" si="30"/>
        <v>0.05</v>
      </c>
    </row>
    <row r="312" spans="1:75" x14ac:dyDescent="0.15">
      <c r="A312" s="356"/>
      <c r="B312" s="355"/>
      <c r="C312" s="355"/>
      <c r="D312" s="355"/>
      <c r="E312" s="355"/>
      <c r="F312" s="355"/>
      <c r="G312" s="355"/>
      <c r="O312" s="356"/>
      <c r="P312" s="355"/>
      <c r="Q312" s="355"/>
      <c r="R312" s="355"/>
      <c r="S312" s="355"/>
      <c r="T312" s="355"/>
      <c r="U312" s="355"/>
      <c r="V312" s="355"/>
      <c r="W312" s="355"/>
      <c r="AG312" s="355"/>
      <c r="AH312" s="355"/>
      <c r="AI312" s="355"/>
      <c r="AJ312" s="355"/>
      <c r="AK312" s="355"/>
      <c r="AL312" s="355"/>
      <c r="AM312" s="355"/>
      <c r="AU312" s="379">
        <v>53250</v>
      </c>
      <c r="AV312" s="375"/>
      <c r="AW312" s="375"/>
      <c r="AX312" s="375"/>
      <c r="AY312" s="375"/>
      <c r="AZ312" s="375"/>
      <c r="BA312" s="375"/>
      <c r="BB312" s="375"/>
      <c r="BC312" s="375"/>
      <c r="BD312" s="375">
        <v>7.6249999999999998E-2</v>
      </c>
      <c r="BE312" s="375">
        <v>6.8750000000000006E-2</v>
      </c>
      <c r="BF312" s="375">
        <v>7.1249999999999994E-2</v>
      </c>
      <c r="BG312" s="375"/>
      <c r="BH312" s="375"/>
      <c r="BI312" s="373">
        <f t="shared" si="26"/>
        <v>7.2083333333333333E-2</v>
      </c>
      <c r="BJ312" s="378"/>
      <c r="BK312" s="375"/>
      <c r="BL312" s="375"/>
      <c r="BM312" s="375"/>
      <c r="BN312" s="375"/>
      <c r="BO312" s="375">
        <v>6.25E-2</v>
      </c>
      <c r="BP312" s="375"/>
      <c r="BQ312" s="377"/>
      <c r="BR312" s="380">
        <f t="shared" si="27"/>
        <v>6.25E-2</v>
      </c>
      <c r="BT312" s="367">
        <v>53250</v>
      </c>
      <c r="BU312" s="375">
        <f t="shared" si="28"/>
        <v>0.05</v>
      </c>
      <c r="BV312" s="375"/>
      <c r="BW312" s="377">
        <f t="shared" si="30"/>
        <v>0.05</v>
      </c>
    </row>
    <row r="313" spans="1:75" x14ac:dyDescent="0.15">
      <c r="A313" s="356"/>
      <c r="B313" s="355"/>
      <c r="C313" s="355"/>
      <c r="D313" s="355"/>
      <c r="E313" s="355"/>
      <c r="F313" s="355"/>
      <c r="G313" s="355"/>
      <c r="O313" s="356"/>
      <c r="P313" s="355"/>
      <c r="Q313" s="355"/>
      <c r="R313" s="355"/>
      <c r="S313" s="355"/>
      <c r="T313" s="355"/>
      <c r="U313" s="355"/>
      <c r="V313" s="355"/>
      <c r="W313" s="355"/>
      <c r="AG313" s="355"/>
      <c r="AH313" s="355"/>
      <c r="AI313" s="355"/>
      <c r="AJ313" s="355"/>
      <c r="AK313" s="355"/>
      <c r="AL313" s="355"/>
      <c r="AM313" s="355"/>
      <c r="AU313" s="379">
        <v>53281</v>
      </c>
      <c r="AV313" s="375"/>
      <c r="AW313" s="375"/>
      <c r="AX313" s="375"/>
      <c r="AY313" s="375"/>
      <c r="AZ313" s="375"/>
      <c r="BA313" s="375"/>
      <c r="BB313" s="375"/>
      <c r="BC313" s="375"/>
      <c r="BD313" s="375">
        <v>7.6249999999999998E-2</v>
      </c>
      <c r="BE313" s="375">
        <v>6.8750000000000006E-2</v>
      </c>
      <c r="BF313" s="375">
        <v>7.1249999999999994E-2</v>
      </c>
      <c r="BG313" s="375"/>
      <c r="BH313" s="375"/>
      <c r="BI313" s="373">
        <f t="shared" si="26"/>
        <v>7.2083333333333333E-2</v>
      </c>
      <c r="BJ313" s="378"/>
      <c r="BK313" s="375"/>
      <c r="BL313" s="375"/>
      <c r="BM313" s="375"/>
      <c r="BN313" s="375"/>
      <c r="BO313" s="375">
        <v>6.25E-2</v>
      </c>
      <c r="BP313" s="375"/>
      <c r="BQ313" s="377"/>
      <c r="BR313" s="380">
        <f t="shared" si="27"/>
        <v>6.25E-2</v>
      </c>
      <c r="BT313" s="367">
        <v>53281</v>
      </c>
      <c r="BU313" s="375">
        <f t="shared" si="28"/>
        <v>0.05</v>
      </c>
      <c r="BV313" s="375"/>
      <c r="BW313" s="377">
        <f t="shared" si="30"/>
        <v>0.05</v>
      </c>
    </row>
    <row r="314" spans="1:75" x14ac:dyDescent="0.15">
      <c r="A314" s="356"/>
      <c r="B314" s="355"/>
      <c r="C314" s="355"/>
      <c r="D314" s="355"/>
      <c r="E314" s="355"/>
      <c r="F314" s="355"/>
      <c r="G314" s="355"/>
      <c r="O314" s="356"/>
      <c r="P314" s="355"/>
      <c r="Q314" s="355"/>
      <c r="R314" s="355"/>
      <c r="S314" s="355"/>
      <c r="T314" s="355"/>
      <c r="U314" s="355"/>
      <c r="V314" s="355"/>
      <c r="W314" s="355"/>
      <c r="AG314" s="355"/>
      <c r="AH314" s="355"/>
      <c r="AI314" s="355"/>
      <c r="AJ314" s="355"/>
      <c r="AK314" s="355"/>
      <c r="AL314" s="355"/>
      <c r="AM314" s="355"/>
      <c r="AU314" s="379">
        <v>53311</v>
      </c>
      <c r="AV314" s="375"/>
      <c r="AW314" s="375"/>
      <c r="AX314" s="375"/>
      <c r="AY314" s="375"/>
      <c r="AZ314" s="375"/>
      <c r="BA314" s="375"/>
      <c r="BB314" s="375"/>
      <c r="BC314" s="375"/>
      <c r="BD314" s="375">
        <v>7.6249999999999998E-2</v>
      </c>
      <c r="BE314" s="375">
        <v>6.8750000000000006E-2</v>
      </c>
      <c r="BF314" s="375">
        <v>7.1249999999999994E-2</v>
      </c>
      <c r="BG314" s="375"/>
      <c r="BH314" s="375"/>
      <c r="BI314" s="373">
        <f t="shared" si="26"/>
        <v>7.2083333333333333E-2</v>
      </c>
      <c r="BJ314" s="378"/>
      <c r="BK314" s="375"/>
      <c r="BL314" s="375"/>
      <c r="BM314" s="375"/>
      <c r="BN314" s="375"/>
      <c r="BO314" s="375">
        <v>6.25E-2</v>
      </c>
      <c r="BP314" s="375"/>
      <c r="BQ314" s="377"/>
      <c r="BR314" s="380">
        <f t="shared" si="27"/>
        <v>6.25E-2</v>
      </c>
      <c r="BT314" s="367">
        <v>53311</v>
      </c>
      <c r="BU314" s="375">
        <f t="shared" si="28"/>
        <v>0.05</v>
      </c>
      <c r="BV314" s="375"/>
      <c r="BW314" s="377">
        <f t="shared" si="30"/>
        <v>0.05</v>
      </c>
    </row>
    <row r="315" spans="1:75" x14ac:dyDescent="0.15">
      <c r="A315" s="356"/>
      <c r="B315" s="355"/>
      <c r="C315" s="355"/>
      <c r="D315" s="355"/>
      <c r="E315" s="355"/>
      <c r="F315" s="355"/>
      <c r="G315" s="355"/>
      <c r="O315" s="356"/>
      <c r="P315" s="355"/>
      <c r="Q315" s="355"/>
      <c r="R315" s="355"/>
      <c r="S315" s="355"/>
      <c r="T315" s="355"/>
      <c r="U315" s="355"/>
      <c r="V315" s="355"/>
      <c r="W315" s="355"/>
      <c r="AG315" s="355"/>
      <c r="AH315" s="355"/>
      <c r="AI315" s="355"/>
      <c r="AJ315" s="355"/>
      <c r="AK315" s="355"/>
      <c r="AL315" s="355"/>
      <c r="AM315" s="355"/>
      <c r="AU315" s="379">
        <v>53342</v>
      </c>
      <c r="AV315" s="375"/>
      <c r="AW315" s="375"/>
      <c r="AX315" s="375"/>
      <c r="AY315" s="375"/>
      <c r="AZ315" s="375"/>
      <c r="BA315" s="375"/>
      <c r="BB315" s="375"/>
      <c r="BC315" s="375"/>
      <c r="BD315" s="375">
        <v>7.6249999999999998E-2</v>
      </c>
      <c r="BE315" s="375">
        <v>6.8750000000000006E-2</v>
      </c>
      <c r="BF315" s="375">
        <v>7.1249999999999994E-2</v>
      </c>
      <c r="BG315" s="375"/>
      <c r="BH315" s="375"/>
      <c r="BI315" s="373">
        <f t="shared" si="26"/>
        <v>7.2083333333333333E-2</v>
      </c>
      <c r="BJ315" s="378"/>
      <c r="BK315" s="375"/>
      <c r="BL315" s="375"/>
      <c r="BM315" s="375"/>
      <c r="BN315" s="375"/>
      <c r="BO315" s="375">
        <v>6.25E-2</v>
      </c>
      <c r="BP315" s="375"/>
      <c r="BQ315" s="377"/>
      <c r="BR315" s="380">
        <f t="shared" si="27"/>
        <v>6.25E-2</v>
      </c>
      <c r="BT315" s="367">
        <v>53342</v>
      </c>
      <c r="BU315" s="375">
        <f t="shared" si="28"/>
        <v>0.05</v>
      </c>
      <c r="BV315" s="375"/>
      <c r="BW315" s="377">
        <f t="shared" si="30"/>
        <v>0.05</v>
      </c>
    </row>
    <row r="316" spans="1:75" x14ac:dyDescent="0.15">
      <c r="A316" s="356"/>
      <c r="B316" s="355"/>
      <c r="C316" s="355"/>
      <c r="D316" s="355"/>
      <c r="E316" s="355"/>
      <c r="F316" s="355"/>
      <c r="G316" s="355"/>
      <c r="O316" s="356"/>
      <c r="P316" s="355"/>
      <c r="Q316" s="355"/>
      <c r="R316" s="355"/>
      <c r="S316" s="355"/>
      <c r="T316" s="355"/>
      <c r="U316" s="355"/>
      <c r="V316" s="355"/>
      <c r="W316" s="355"/>
      <c r="AG316" s="355"/>
      <c r="AH316" s="355"/>
      <c r="AI316" s="355"/>
      <c r="AJ316" s="355"/>
      <c r="AK316" s="355"/>
      <c r="AL316" s="355"/>
      <c r="AM316" s="355"/>
      <c r="AU316" s="379">
        <v>53373</v>
      </c>
      <c r="AV316" s="375"/>
      <c r="AW316" s="375"/>
      <c r="AX316" s="375"/>
      <c r="AY316" s="375"/>
      <c r="AZ316" s="375"/>
      <c r="BA316" s="375"/>
      <c r="BB316" s="375"/>
      <c r="BC316" s="375"/>
      <c r="BD316" s="375">
        <v>7.6249999999999998E-2</v>
      </c>
      <c r="BE316" s="375">
        <v>6.8750000000000006E-2</v>
      </c>
      <c r="BF316" s="375">
        <v>7.1249999999999994E-2</v>
      </c>
      <c r="BG316" s="375"/>
      <c r="BH316" s="375"/>
      <c r="BI316" s="373">
        <f t="shared" si="26"/>
        <v>7.2083333333333333E-2</v>
      </c>
      <c r="BJ316" s="378"/>
      <c r="BK316" s="375"/>
      <c r="BL316" s="375"/>
      <c r="BM316" s="375"/>
      <c r="BN316" s="375"/>
      <c r="BO316" s="375">
        <v>6.25E-2</v>
      </c>
      <c r="BP316" s="375"/>
      <c r="BQ316" s="377"/>
      <c r="BR316" s="380">
        <f t="shared" si="27"/>
        <v>6.25E-2</v>
      </c>
      <c r="BT316" s="367">
        <v>53373</v>
      </c>
      <c r="BU316" s="375">
        <f t="shared" si="28"/>
        <v>0.05</v>
      </c>
      <c r="BV316" s="375"/>
      <c r="BW316" s="377">
        <f t="shared" si="30"/>
        <v>0.05</v>
      </c>
    </row>
    <row r="317" spans="1:75" x14ac:dyDescent="0.15">
      <c r="A317" s="356"/>
      <c r="B317" s="355"/>
      <c r="C317" s="355"/>
      <c r="D317" s="355"/>
      <c r="E317" s="355"/>
      <c r="F317" s="355"/>
      <c r="G317" s="355"/>
      <c r="O317" s="356"/>
      <c r="P317" s="355"/>
      <c r="Q317" s="355"/>
      <c r="R317" s="355"/>
      <c r="S317" s="355"/>
      <c r="T317" s="355"/>
      <c r="U317" s="355"/>
      <c r="V317" s="355"/>
      <c r="W317" s="355"/>
      <c r="AG317" s="355"/>
      <c r="AH317" s="355"/>
      <c r="AI317" s="355"/>
      <c r="AJ317" s="355"/>
      <c r="AK317" s="355"/>
      <c r="AL317" s="355"/>
      <c r="AM317" s="355"/>
      <c r="AU317" s="379">
        <v>53401</v>
      </c>
      <c r="AV317" s="375"/>
      <c r="AW317" s="375"/>
      <c r="AX317" s="375"/>
      <c r="AY317" s="375"/>
      <c r="AZ317" s="375"/>
      <c r="BA317" s="375"/>
      <c r="BB317" s="375"/>
      <c r="BC317" s="375"/>
      <c r="BD317" s="375">
        <v>7.6249999999999998E-2</v>
      </c>
      <c r="BE317" s="375">
        <v>6.8750000000000006E-2</v>
      </c>
      <c r="BF317" s="375">
        <v>7.1249999999999994E-2</v>
      </c>
      <c r="BG317" s="375"/>
      <c r="BH317" s="375"/>
      <c r="BI317" s="373">
        <f t="shared" si="26"/>
        <v>7.2083333333333333E-2</v>
      </c>
      <c r="BJ317" s="378"/>
      <c r="BK317" s="375"/>
      <c r="BL317" s="375"/>
      <c r="BM317" s="375"/>
      <c r="BN317" s="375"/>
      <c r="BO317" s="375">
        <v>6.25E-2</v>
      </c>
      <c r="BP317" s="375"/>
      <c r="BQ317" s="377"/>
      <c r="BR317" s="380">
        <f t="shared" si="27"/>
        <v>6.25E-2</v>
      </c>
      <c r="BT317" s="367">
        <v>53401</v>
      </c>
      <c r="BU317" s="375">
        <f t="shared" si="28"/>
        <v>0.05</v>
      </c>
      <c r="BV317" s="375"/>
      <c r="BW317" s="377">
        <f t="shared" si="30"/>
        <v>0.05</v>
      </c>
    </row>
    <row r="318" spans="1:75" x14ac:dyDescent="0.15">
      <c r="A318" s="356"/>
      <c r="B318" s="355"/>
      <c r="C318" s="355"/>
      <c r="D318" s="355"/>
      <c r="E318" s="355"/>
      <c r="F318" s="355"/>
      <c r="G318" s="355"/>
      <c r="O318" s="356"/>
      <c r="P318" s="355"/>
      <c r="Q318" s="355"/>
      <c r="R318" s="355"/>
      <c r="S318" s="355"/>
      <c r="T318" s="355"/>
      <c r="U318" s="355"/>
      <c r="V318" s="355"/>
      <c r="W318" s="355"/>
      <c r="AG318" s="355"/>
      <c r="AH318" s="355"/>
      <c r="AI318" s="355"/>
      <c r="AJ318" s="355"/>
      <c r="AK318" s="355"/>
      <c r="AL318" s="355"/>
      <c r="AM318" s="355"/>
      <c r="AU318" s="379">
        <v>53432</v>
      </c>
      <c r="AV318" s="375"/>
      <c r="AW318" s="375"/>
      <c r="AX318" s="375"/>
      <c r="AY318" s="375"/>
      <c r="AZ318" s="375"/>
      <c r="BA318" s="375"/>
      <c r="BB318" s="375"/>
      <c r="BC318" s="375"/>
      <c r="BD318" s="375">
        <v>7.6249999999999998E-2</v>
      </c>
      <c r="BE318" s="375">
        <v>6.8750000000000006E-2</v>
      </c>
      <c r="BF318" s="375">
        <v>7.1249999999999994E-2</v>
      </c>
      <c r="BG318" s="375"/>
      <c r="BH318" s="375"/>
      <c r="BI318" s="373">
        <f t="shared" si="26"/>
        <v>7.2083333333333333E-2</v>
      </c>
      <c r="BJ318" s="378"/>
      <c r="BK318" s="375"/>
      <c r="BL318" s="375"/>
      <c r="BM318" s="375"/>
      <c r="BN318" s="375"/>
      <c r="BO318" s="375">
        <v>6.25E-2</v>
      </c>
      <c r="BP318" s="375"/>
      <c r="BQ318" s="377"/>
      <c r="BR318" s="380">
        <f t="shared" si="27"/>
        <v>6.25E-2</v>
      </c>
      <c r="BT318" s="367">
        <v>53432</v>
      </c>
      <c r="BU318" s="375">
        <f t="shared" si="28"/>
        <v>0.05</v>
      </c>
      <c r="BV318" s="375"/>
      <c r="BW318" s="377">
        <f t="shared" si="30"/>
        <v>0.05</v>
      </c>
    </row>
    <row r="319" spans="1:75" x14ac:dyDescent="0.15">
      <c r="A319" s="356"/>
      <c r="B319" s="355"/>
      <c r="C319" s="355"/>
      <c r="D319" s="355"/>
      <c r="E319" s="355"/>
      <c r="F319" s="355"/>
      <c r="G319" s="355"/>
      <c r="O319" s="356"/>
      <c r="P319" s="355"/>
      <c r="Q319" s="355"/>
      <c r="R319" s="355"/>
      <c r="S319" s="355"/>
      <c r="T319" s="355"/>
      <c r="U319" s="355"/>
      <c r="V319" s="355"/>
      <c r="W319" s="355"/>
      <c r="AG319" s="355"/>
      <c r="AH319" s="355"/>
      <c r="AI319" s="355"/>
      <c r="AJ319" s="355"/>
      <c r="AK319" s="355"/>
      <c r="AL319" s="355"/>
      <c r="AM319" s="355"/>
      <c r="AU319" s="379">
        <v>53462</v>
      </c>
      <c r="AV319" s="375"/>
      <c r="AW319" s="375"/>
      <c r="AX319" s="375"/>
      <c r="AY319" s="375"/>
      <c r="AZ319" s="375"/>
      <c r="BA319" s="375"/>
      <c r="BB319" s="375"/>
      <c r="BC319" s="375"/>
      <c r="BD319" s="375"/>
      <c r="BE319" s="375">
        <v>6.8750000000000006E-2</v>
      </c>
      <c r="BF319" s="375">
        <v>7.1249999999999994E-2</v>
      </c>
      <c r="BG319" s="375"/>
      <c r="BH319" s="375"/>
      <c r="BI319" s="373">
        <f t="shared" si="26"/>
        <v>7.0000000000000007E-2</v>
      </c>
      <c r="BJ319" s="378"/>
      <c r="BK319" s="375"/>
      <c r="BL319" s="375"/>
      <c r="BM319" s="375"/>
      <c r="BN319" s="375"/>
      <c r="BO319" s="375">
        <v>6.25E-2</v>
      </c>
      <c r="BP319" s="375"/>
      <c r="BQ319" s="377"/>
      <c r="BR319" s="380">
        <f t="shared" si="27"/>
        <v>6.25E-2</v>
      </c>
      <c r="BT319" s="367">
        <v>53462</v>
      </c>
      <c r="BU319" s="375">
        <f t="shared" si="28"/>
        <v>0.05</v>
      </c>
      <c r="BV319" s="375"/>
      <c r="BW319" s="377">
        <f t="shared" si="30"/>
        <v>0.05</v>
      </c>
    </row>
    <row r="320" spans="1:75" x14ac:dyDescent="0.15">
      <c r="A320" s="356"/>
      <c r="B320" s="355"/>
      <c r="C320" s="355"/>
      <c r="D320" s="355"/>
      <c r="E320" s="355"/>
      <c r="F320" s="355"/>
      <c r="G320" s="355"/>
      <c r="O320" s="356"/>
      <c r="P320" s="355"/>
      <c r="Q320" s="355"/>
      <c r="R320" s="355"/>
      <c r="S320" s="355"/>
      <c r="T320" s="355"/>
      <c r="U320" s="355"/>
      <c r="V320" s="355"/>
      <c r="W320" s="355"/>
      <c r="AG320" s="355"/>
      <c r="AH320" s="355"/>
      <c r="AI320" s="355"/>
      <c r="AJ320" s="355"/>
      <c r="AK320" s="355"/>
      <c r="AL320" s="355"/>
      <c r="AM320" s="355"/>
      <c r="AU320" s="379">
        <v>53493</v>
      </c>
      <c r="AV320" s="375"/>
      <c r="AW320" s="375"/>
      <c r="AX320" s="375"/>
      <c r="AY320" s="375"/>
      <c r="AZ320" s="375"/>
      <c r="BA320" s="375"/>
      <c r="BB320" s="375"/>
      <c r="BC320" s="375"/>
      <c r="BD320" s="375"/>
      <c r="BE320" s="375">
        <v>6.8750000000000006E-2</v>
      </c>
      <c r="BF320" s="375">
        <v>7.1249999999999994E-2</v>
      </c>
      <c r="BG320" s="375"/>
      <c r="BH320" s="375"/>
      <c r="BI320" s="373">
        <f t="shared" si="26"/>
        <v>7.0000000000000007E-2</v>
      </c>
      <c r="BJ320" s="378"/>
      <c r="BK320" s="375"/>
      <c r="BL320" s="375"/>
      <c r="BM320" s="375"/>
      <c r="BN320" s="375"/>
      <c r="BO320" s="375">
        <v>6.25E-2</v>
      </c>
      <c r="BP320" s="375"/>
      <c r="BQ320" s="377"/>
      <c r="BR320" s="380">
        <f t="shared" si="27"/>
        <v>6.25E-2</v>
      </c>
      <c r="BT320" s="367">
        <v>53493</v>
      </c>
      <c r="BU320" s="375">
        <f t="shared" si="28"/>
        <v>0.05</v>
      </c>
      <c r="BV320" s="375"/>
      <c r="BW320" s="377">
        <f t="shared" si="30"/>
        <v>0.05</v>
      </c>
    </row>
    <row r="321" spans="1:75" x14ac:dyDescent="0.15">
      <c r="A321" s="356"/>
      <c r="B321" s="355"/>
      <c r="C321" s="355"/>
      <c r="D321" s="355"/>
      <c r="E321" s="355"/>
      <c r="F321" s="355"/>
      <c r="G321" s="355"/>
      <c r="O321" s="356"/>
      <c r="P321" s="355"/>
      <c r="Q321" s="355"/>
      <c r="R321" s="355"/>
      <c r="S321" s="355"/>
      <c r="T321" s="355"/>
      <c r="U321" s="355"/>
      <c r="V321" s="355"/>
      <c r="W321" s="355"/>
      <c r="AG321" s="355"/>
      <c r="AH321" s="355"/>
      <c r="AI321" s="355"/>
      <c r="AJ321" s="355"/>
      <c r="AK321" s="355"/>
      <c r="AL321" s="355"/>
      <c r="AM321" s="355"/>
      <c r="AU321" s="379">
        <v>53523</v>
      </c>
      <c r="AV321" s="375"/>
      <c r="AW321" s="375"/>
      <c r="AX321" s="375"/>
      <c r="AY321" s="375"/>
      <c r="AZ321" s="375"/>
      <c r="BA321" s="375"/>
      <c r="BB321" s="375"/>
      <c r="BC321" s="375"/>
      <c r="BD321" s="375"/>
      <c r="BE321" s="375">
        <v>6.8750000000000006E-2</v>
      </c>
      <c r="BF321" s="375">
        <v>7.1249999999999994E-2</v>
      </c>
      <c r="BG321" s="375"/>
      <c r="BH321" s="375"/>
      <c r="BI321" s="373">
        <f t="shared" si="26"/>
        <v>7.0000000000000007E-2</v>
      </c>
      <c r="BJ321" s="378"/>
      <c r="BK321" s="375"/>
      <c r="BL321" s="375"/>
      <c r="BM321" s="375"/>
      <c r="BN321" s="375"/>
      <c r="BO321" s="375">
        <v>6.25E-2</v>
      </c>
      <c r="BP321" s="375"/>
      <c r="BQ321" s="377"/>
      <c r="BR321" s="380">
        <f t="shared" si="27"/>
        <v>6.25E-2</v>
      </c>
      <c r="BT321" s="367">
        <v>53523</v>
      </c>
      <c r="BU321" s="375">
        <f t="shared" si="28"/>
        <v>0.05</v>
      </c>
      <c r="BV321" s="375"/>
      <c r="BW321" s="377">
        <f t="shared" si="30"/>
        <v>0.05</v>
      </c>
    </row>
    <row r="322" spans="1:75" x14ac:dyDescent="0.15">
      <c r="A322" s="356"/>
      <c r="B322" s="355"/>
      <c r="C322" s="355"/>
      <c r="D322" s="355"/>
      <c r="E322" s="355"/>
      <c r="F322" s="355"/>
      <c r="G322" s="355"/>
      <c r="O322" s="356"/>
      <c r="P322" s="355"/>
      <c r="Q322" s="355"/>
      <c r="R322" s="355"/>
      <c r="S322" s="355"/>
      <c r="T322" s="355"/>
      <c r="U322" s="355"/>
      <c r="V322" s="355"/>
      <c r="W322" s="355"/>
      <c r="AG322" s="355"/>
      <c r="AH322" s="355"/>
      <c r="AI322" s="355"/>
      <c r="AJ322" s="355"/>
      <c r="AK322" s="355"/>
      <c r="AL322" s="355"/>
      <c r="AM322" s="355"/>
      <c r="AU322" s="379">
        <v>53554</v>
      </c>
      <c r="AV322" s="375"/>
      <c r="AW322" s="375"/>
      <c r="AX322" s="375"/>
      <c r="AY322" s="375"/>
      <c r="AZ322" s="375"/>
      <c r="BA322" s="375"/>
      <c r="BB322" s="375"/>
      <c r="BC322" s="375"/>
      <c r="BD322" s="375"/>
      <c r="BE322" s="375">
        <v>6.8750000000000006E-2</v>
      </c>
      <c r="BF322" s="375">
        <v>7.1249999999999994E-2</v>
      </c>
      <c r="BG322" s="375"/>
      <c r="BH322" s="375"/>
      <c r="BI322" s="373">
        <f t="shared" si="26"/>
        <v>7.0000000000000007E-2</v>
      </c>
      <c r="BJ322" s="378"/>
      <c r="BK322" s="375"/>
      <c r="BL322" s="375"/>
      <c r="BM322" s="375"/>
      <c r="BN322" s="375"/>
      <c r="BO322" s="375">
        <v>6.25E-2</v>
      </c>
      <c r="BP322" s="375"/>
      <c r="BQ322" s="377"/>
      <c r="BR322" s="380">
        <f t="shared" si="27"/>
        <v>6.25E-2</v>
      </c>
      <c r="BT322" s="367">
        <v>53554</v>
      </c>
      <c r="BU322" s="375">
        <f t="shared" si="28"/>
        <v>0.05</v>
      </c>
      <c r="BV322" s="375"/>
      <c r="BW322" s="377"/>
    </row>
    <row r="323" spans="1:75" x14ac:dyDescent="0.15">
      <c r="A323" s="356"/>
      <c r="B323" s="355"/>
      <c r="C323" s="355"/>
      <c r="D323" s="355"/>
      <c r="E323" s="355"/>
      <c r="F323" s="355"/>
      <c r="G323" s="355"/>
      <c r="O323" s="356"/>
      <c r="P323" s="355"/>
      <c r="Q323" s="355"/>
      <c r="R323" s="355"/>
      <c r="S323" s="355"/>
      <c r="T323" s="355"/>
      <c r="U323" s="355"/>
      <c r="V323" s="355"/>
      <c r="W323" s="355"/>
      <c r="AG323" s="355"/>
      <c r="AH323" s="355"/>
      <c r="AI323" s="355"/>
      <c r="AJ323" s="355"/>
      <c r="AK323" s="355"/>
      <c r="AL323" s="355"/>
      <c r="AM323" s="355"/>
      <c r="AU323" s="379">
        <v>53585</v>
      </c>
      <c r="AV323" s="375"/>
      <c r="AW323" s="375"/>
      <c r="AX323" s="375"/>
      <c r="AY323" s="375"/>
      <c r="AZ323" s="375"/>
      <c r="BA323" s="375"/>
      <c r="BB323" s="375"/>
      <c r="BC323" s="375"/>
      <c r="BD323" s="375"/>
      <c r="BE323" s="375">
        <v>6.8750000000000006E-2</v>
      </c>
      <c r="BF323" s="375">
        <v>7.1249999999999994E-2</v>
      </c>
      <c r="BG323" s="375"/>
      <c r="BH323" s="375"/>
      <c r="BI323" s="373">
        <f t="shared" si="26"/>
        <v>7.0000000000000007E-2</v>
      </c>
      <c r="BJ323" s="378"/>
      <c r="BK323" s="375"/>
      <c r="BL323" s="375"/>
      <c r="BM323" s="375"/>
      <c r="BN323" s="375"/>
      <c r="BO323" s="375">
        <v>6.25E-2</v>
      </c>
      <c r="BP323" s="375"/>
      <c r="BQ323" s="377"/>
      <c r="BR323" s="380">
        <f t="shared" si="27"/>
        <v>6.25E-2</v>
      </c>
      <c r="BT323" s="367">
        <v>53585</v>
      </c>
      <c r="BU323" s="375">
        <f t="shared" si="28"/>
        <v>0.05</v>
      </c>
      <c r="BV323" s="375"/>
      <c r="BW323" s="377"/>
    </row>
    <row r="324" spans="1:75" x14ac:dyDescent="0.15">
      <c r="A324" s="356"/>
      <c r="B324" s="355"/>
      <c r="C324" s="355"/>
      <c r="D324" s="355"/>
      <c r="E324" s="355"/>
      <c r="F324" s="355"/>
      <c r="G324" s="355"/>
      <c r="O324" s="356"/>
      <c r="P324" s="355"/>
      <c r="Q324" s="355"/>
      <c r="R324" s="355"/>
      <c r="S324" s="355"/>
      <c r="T324" s="355"/>
      <c r="U324" s="355"/>
      <c r="V324" s="355"/>
      <c r="W324" s="355"/>
      <c r="AG324" s="355"/>
      <c r="AH324" s="355"/>
      <c r="AI324" s="355"/>
      <c r="AJ324" s="355"/>
      <c r="AK324" s="355"/>
      <c r="AL324" s="355"/>
      <c r="AM324" s="355"/>
      <c r="AU324" s="379">
        <v>53615</v>
      </c>
      <c r="AV324" s="375"/>
      <c r="AW324" s="375"/>
      <c r="AX324" s="375"/>
      <c r="AY324" s="375"/>
      <c r="AZ324" s="375"/>
      <c r="BA324" s="375"/>
      <c r="BB324" s="375"/>
      <c r="BC324" s="375"/>
      <c r="BD324" s="375"/>
      <c r="BE324" s="375">
        <v>6.8750000000000006E-2</v>
      </c>
      <c r="BF324" s="375">
        <v>7.1249999999999994E-2</v>
      </c>
      <c r="BG324" s="375"/>
      <c r="BH324" s="375"/>
      <c r="BI324" s="373">
        <f t="shared" si="26"/>
        <v>7.0000000000000007E-2</v>
      </c>
      <c r="BJ324" s="378"/>
      <c r="BK324" s="375"/>
      <c r="BL324" s="375"/>
      <c r="BM324" s="375"/>
      <c r="BN324" s="375"/>
      <c r="BO324" s="375">
        <v>6.25E-2</v>
      </c>
      <c r="BP324" s="375"/>
      <c r="BQ324" s="377"/>
      <c r="BR324" s="380">
        <f t="shared" si="27"/>
        <v>6.25E-2</v>
      </c>
      <c r="BT324" s="367">
        <v>53615</v>
      </c>
      <c r="BU324" s="375">
        <f t="shared" si="28"/>
        <v>0.05</v>
      </c>
      <c r="BV324" s="375"/>
      <c r="BW324" s="377"/>
    </row>
    <row r="325" spans="1:75" x14ac:dyDescent="0.15">
      <c r="A325" s="356"/>
      <c r="B325" s="355"/>
      <c r="C325" s="355"/>
      <c r="D325" s="355"/>
      <c r="E325" s="355"/>
      <c r="F325" s="355"/>
      <c r="G325" s="355"/>
      <c r="O325" s="356"/>
      <c r="P325" s="355"/>
      <c r="Q325" s="355"/>
      <c r="R325" s="355"/>
      <c r="S325" s="355"/>
      <c r="T325" s="355"/>
      <c r="U325" s="355"/>
      <c r="V325" s="355"/>
      <c r="W325" s="355"/>
      <c r="AG325" s="355"/>
      <c r="AH325" s="355"/>
      <c r="AI325" s="355"/>
      <c r="AJ325" s="355"/>
      <c r="AK325" s="355"/>
      <c r="AL325" s="355"/>
      <c r="AM325" s="355"/>
      <c r="AU325" s="379">
        <v>53646</v>
      </c>
      <c r="AV325" s="375"/>
      <c r="AW325" s="375"/>
      <c r="AX325" s="375"/>
      <c r="AY325" s="375"/>
      <c r="AZ325" s="375"/>
      <c r="BA325" s="375"/>
      <c r="BB325" s="375"/>
      <c r="BC325" s="375"/>
      <c r="BD325" s="375"/>
      <c r="BE325" s="375">
        <v>6.8750000000000006E-2</v>
      </c>
      <c r="BF325" s="375">
        <v>7.1249999999999994E-2</v>
      </c>
      <c r="BG325" s="375"/>
      <c r="BH325" s="375"/>
      <c r="BI325" s="373">
        <f t="shared" si="26"/>
        <v>7.0000000000000007E-2</v>
      </c>
      <c r="BJ325" s="378"/>
      <c r="BK325" s="375"/>
      <c r="BL325" s="375"/>
      <c r="BM325" s="375"/>
      <c r="BN325" s="375"/>
      <c r="BO325" s="375">
        <v>6.25E-2</v>
      </c>
      <c r="BP325" s="375"/>
      <c r="BQ325" s="377"/>
      <c r="BR325" s="380">
        <f t="shared" si="27"/>
        <v>6.25E-2</v>
      </c>
      <c r="BT325" s="367">
        <v>53646</v>
      </c>
      <c r="BU325" s="375">
        <f t="shared" si="28"/>
        <v>0.05</v>
      </c>
      <c r="BV325" s="375"/>
      <c r="BW325" s="377"/>
    </row>
    <row r="326" spans="1:75" x14ac:dyDescent="0.15">
      <c r="A326" s="356"/>
      <c r="B326" s="355"/>
      <c r="C326" s="355"/>
      <c r="D326" s="355"/>
      <c r="E326" s="355"/>
      <c r="F326" s="355"/>
      <c r="G326" s="355"/>
      <c r="O326" s="356"/>
      <c r="P326" s="355"/>
      <c r="Q326" s="355"/>
      <c r="R326" s="355"/>
      <c r="S326" s="355"/>
      <c r="T326" s="355"/>
      <c r="U326" s="355"/>
      <c r="V326" s="355"/>
      <c r="W326" s="355"/>
      <c r="AG326" s="355"/>
      <c r="AH326" s="355"/>
      <c r="AI326" s="355"/>
      <c r="AJ326" s="355"/>
      <c r="AK326" s="355"/>
      <c r="AL326" s="355"/>
      <c r="AM326" s="355"/>
      <c r="AU326" s="379">
        <v>53676</v>
      </c>
      <c r="AV326" s="375"/>
      <c r="AW326" s="375"/>
      <c r="AX326" s="375"/>
      <c r="AY326" s="375"/>
      <c r="AZ326" s="375"/>
      <c r="BA326" s="375"/>
      <c r="BB326" s="375"/>
      <c r="BC326" s="375"/>
      <c r="BD326" s="375"/>
      <c r="BE326" s="375">
        <v>6.8750000000000006E-2</v>
      </c>
      <c r="BF326" s="375">
        <v>7.1249999999999994E-2</v>
      </c>
      <c r="BG326" s="375"/>
      <c r="BH326" s="375"/>
      <c r="BI326" s="373">
        <f t="shared" si="26"/>
        <v>7.0000000000000007E-2</v>
      </c>
      <c r="BJ326" s="378"/>
      <c r="BK326" s="375"/>
      <c r="BL326" s="375"/>
      <c r="BM326" s="375"/>
      <c r="BN326" s="375"/>
      <c r="BO326" s="375">
        <v>6.25E-2</v>
      </c>
      <c r="BP326" s="375"/>
      <c r="BQ326" s="377"/>
      <c r="BR326" s="380">
        <f t="shared" si="27"/>
        <v>6.25E-2</v>
      </c>
      <c r="BT326" s="367">
        <v>53676</v>
      </c>
      <c r="BU326" s="375"/>
      <c r="BV326" s="375"/>
      <c r="BW326" s="377"/>
    </row>
    <row r="327" spans="1:75" x14ac:dyDescent="0.15">
      <c r="A327" s="356"/>
      <c r="B327" s="355"/>
      <c r="C327" s="355"/>
      <c r="D327" s="355"/>
      <c r="E327" s="355"/>
      <c r="F327" s="355"/>
      <c r="G327" s="355"/>
      <c r="O327" s="356"/>
      <c r="P327" s="355"/>
      <c r="Q327" s="355"/>
      <c r="R327" s="355"/>
      <c r="S327" s="355"/>
      <c r="T327" s="355"/>
      <c r="U327" s="355"/>
      <c r="V327" s="355"/>
      <c r="W327" s="355"/>
      <c r="AG327" s="355"/>
      <c r="AH327" s="355"/>
      <c r="AI327" s="355"/>
      <c r="AJ327" s="355"/>
      <c r="AK327" s="355"/>
      <c r="AL327" s="355"/>
      <c r="AM327" s="355"/>
      <c r="AU327" s="379">
        <v>53707</v>
      </c>
      <c r="AV327" s="375"/>
      <c r="AW327" s="375"/>
      <c r="AX327" s="375"/>
      <c r="AY327" s="375"/>
      <c r="AZ327" s="375"/>
      <c r="BA327" s="375"/>
      <c r="BB327" s="375"/>
      <c r="BC327" s="375"/>
      <c r="BD327" s="375"/>
      <c r="BE327" s="375">
        <v>6.8750000000000006E-2</v>
      </c>
      <c r="BF327" s="375">
        <v>7.1249999999999994E-2</v>
      </c>
      <c r="BG327" s="375"/>
      <c r="BH327" s="375"/>
      <c r="BI327" s="373">
        <f t="shared" ref="BI327:BI390" si="31">+AVERAGE(AV327:BH327)</f>
        <v>7.0000000000000007E-2</v>
      </c>
      <c r="BJ327" s="378"/>
      <c r="BK327" s="375"/>
      <c r="BL327" s="375"/>
      <c r="BM327" s="375"/>
      <c r="BN327" s="375"/>
      <c r="BO327" s="375">
        <v>6.25E-2</v>
      </c>
      <c r="BP327" s="375"/>
      <c r="BQ327" s="377"/>
      <c r="BR327" s="380">
        <f t="shared" ref="BR327:BR336" si="32">+AVERAGE(BJ327:BQ327)</f>
        <v>6.25E-2</v>
      </c>
      <c r="BT327" s="367">
        <v>53707</v>
      </c>
      <c r="BU327" s="375"/>
      <c r="BV327" s="375"/>
      <c r="BW327" s="377"/>
    </row>
    <row r="328" spans="1:75" x14ac:dyDescent="0.15">
      <c r="A328" s="356"/>
      <c r="B328" s="355"/>
      <c r="C328" s="355"/>
      <c r="D328" s="355"/>
      <c r="E328" s="355"/>
      <c r="F328" s="355"/>
      <c r="G328" s="355"/>
      <c r="O328" s="356"/>
      <c r="P328" s="355"/>
      <c r="Q328" s="355"/>
      <c r="R328" s="355"/>
      <c r="S328" s="355"/>
      <c r="T328" s="355"/>
      <c r="U328" s="355"/>
      <c r="V328" s="355"/>
      <c r="W328" s="355"/>
      <c r="AG328" s="355"/>
      <c r="AH328" s="355"/>
      <c r="AI328" s="355"/>
      <c r="AJ328" s="355"/>
      <c r="AK328" s="355"/>
      <c r="AL328" s="355"/>
      <c r="AM328" s="355"/>
      <c r="AU328" s="379">
        <v>53738</v>
      </c>
      <c r="AV328" s="375"/>
      <c r="AW328" s="375"/>
      <c r="AX328" s="375"/>
      <c r="AY328" s="375"/>
      <c r="AZ328" s="375"/>
      <c r="BA328" s="375"/>
      <c r="BB328" s="375"/>
      <c r="BC328" s="375"/>
      <c r="BD328" s="375"/>
      <c r="BE328" s="375">
        <v>6.8750000000000006E-2</v>
      </c>
      <c r="BF328" s="375">
        <v>7.1249999999999994E-2</v>
      </c>
      <c r="BG328" s="375"/>
      <c r="BH328" s="375"/>
      <c r="BI328" s="373">
        <f t="shared" si="31"/>
        <v>7.0000000000000007E-2</v>
      </c>
      <c r="BJ328" s="378"/>
      <c r="BK328" s="375"/>
      <c r="BL328" s="375"/>
      <c r="BM328" s="375"/>
      <c r="BN328" s="375"/>
      <c r="BO328" s="375">
        <v>6.25E-2</v>
      </c>
      <c r="BP328" s="375"/>
      <c r="BQ328" s="377"/>
      <c r="BR328" s="380">
        <f t="shared" si="32"/>
        <v>6.25E-2</v>
      </c>
      <c r="BT328" s="367">
        <v>53738</v>
      </c>
      <c r="BU328" s="375"/>
      <c r="BV328" s="375"/>
      <c r="BW328" s="377"/>
    </row>
    <row r="329" spans="1:75" x14ac:dyDescent="0.15">
      <c r="A329" s="356"/>
      <c r="B329" s="355"/>
      <c r="C329" s="355"/>
      <c r="D329" s="355"/>
      <c r="E329" s="355"/>
      <c r="F329" s="355"/>
      <c r="G329" s="355"/>
      <c r="O329" s="356"/>
      <c r="P329" s="355"/>
      <c r="Q329" s="355"/>
      <c r="R329" s="355"/>
      <c r="S329" s="355"/>
      <c r="T329" s="355"/>
      <c r="U329" s="355"/>
      <c r="V329" s="355"/>
      <c r="W329" s="355"/>
      <c r="AG329" s="355"/>
      <c r="AH329" s="355"/>
      <c r="AI329" s="355"/>
      <c r="AJ329" s="355"/>
      <c r="AK329" s="355"/>
      <c r="AL329" s="355"/>
      <c r="AM329" s="355"/>
      <c r="AU329" s="379">
        <v>53766</v>
      </c>
      <c r="AV329" s="375"/>
      <c r="AW329" s="375"/>
      <c r="AX329" s="375"/>
      <c r="AY329" s="375"/>
      <c r="AZ329" s="375"/>
      <c r="BA329" s="375"/>
      <c r="BB329" s="375"/>
      <c r="BC329" s="375"/>
      <c r="BD329" s="375"/>
      <c r="BE329" s="375">
        <v>6.8750000000000006E-2</v>
      </c>
      <c r="BF329" s="375">
        <v>7.1249999999999994E-2</v>
      </c>
      <c r="BG329" s="375"/>
      <c r="BH329" s="375"/>
      <c r="BI329" s="373">
        <f t="shared" si="31"/>
        <v>7.0000000000000007E-2</v>
      </c>
      <c r="BJ329" s="378"/>
      <c r="BK329" s="375"/>
      <c r="BL329" s="375"/>
      <c r="BM329" s="375"/>
      <c r="BN329" s="375"/>
      <c r="BO329" s="375">
        <v>6.25E-2</v>
      </c>
      <c r="BP329" s="375"/>
      <c r="BQ329" s="377"/>
      <c r="BR329" s="380">
        <f t="shared" si="32"/>
        <v>6.25E-2</v>
      </c>
      <c r="BT329" s="367">
        <v>53766</v>
      </c>
      <c r="BU329" s="375"/>
      <c r="BV329" s="375"/>
      <c r="BW329" s="377"/>
    </row>
    <row r="330" spans="1:75" x14ac:dyDescent="0.15">
      <c r="A330" s="356"/>
      <c r="B330" s="355"/>
      <c r="C330" s="355"/>
      <c r="D330" s="355"/>
      <c r="E330" s="355"/>
      <c r="F330" s="355"/>
      <c r="G330" s="355"/>
      <c r="O330" s="356"/>
      <c r="P330" s="355"/>
      <c r="Q330" s="355"/>
      <c r="R330" s="355"/>
      <c r="S330" s="355"/>
      <c r="T330" s="355"/>
      <c r="U330" s="355"/>
      <c r="V330" s="355"/>
      <c r="W330" s="355"/>
      <c r="AG330" s="355"/>
      <c r="AH330" s="355"/>
      <c r="AI330" s="355"/>
      <c r="AJ330" s="355"/>
      <c r="AK330" s="355"/>
      <c r="AL330" s="355"/>
      <c r="AM330" s="355"/>
      <c r="AU330" s="379">
        <v>53797</v>
      </c>
      <c r="AV330" s="375"/>
      <c r="AW330" s="375"/>
      <c r="AX330" s="375"/>
      <c r="AY330" s="375"/>
      <c r="AZ330" s="375"/>
      <c r="BA330" s="375"/>
      <c r="BB330" s="375"/>
      <c r="BC330" s="375"/>
      <c r="BD330" s="375"/>
      <c r="BE330" s="375">
        <v>6.8750000000000006E-2</v>
      </c>
      <c r="BF330" s="375">
        <v>7.1249999999999994E-2</v>
      </c>
      <c r="BG330" s="375"/>
      <c r="BH330" s="375"/>
      <c r="BI330" s="373">
        <f t="shared" si="31"/>
        <v>7.0000000000000007E-2</v>
      </c>
      <c r="BJ330" s="378"/>
      <c r="BK330" s="375"/>
      <c r="BL330" s="375"/>
      <c r="BM330" s="375"/>
      <c r="BN330" s="375"/>
      <c r="BO330" s="375">
        <v>6.25E-2</v>
      </c>
      <c r="BP330" s="375"/>
      <c r="BQ330" s="377"/>
      <c r="BR330" s="380">
        <f t="shared" si="32"/>
        <v>6.25E-2</v>
      </c>
      <c r="BT330" s="367">
        <v>53797</v>
      </c>
      <c r="BU330" s="375"/>
      <c r="BV330" s="375"/>
      <c r="BW330" s="377"/>
    </row>
    <row r="331" spans="1:75" x14ac:dyDescent="0.15">
      <c r="A331" s="356"/>
      <c r="B331" s="355"/>
      <c r="C331" s="355"/>
      <c r="D331" s="355"/>
      <c r="E331" s="355"/>
      <c r="F331" s="355"/>
      <c r="G331" s="355"/>
      <c r="O331" s="356"/>
      <c r="P331" s="355"/>
      <c r="Q331" s="355"/>
      <c r="R331" s="355"/>
      <c r="S331" s="355"/>
      <c r="T331" s="355"/>
      <c r="U331" s="355"/>
      <c r="V331" s="355"/>
      <c r="W331" s="355"/>
      <c r="AG331" s="355"/>
      <c r="AH331" s="355"/>
      <c r="AI331" s="355"/>
      <c r="AJ331" s="355"/>
      <c r="AK331" s="355"/>
      <c r="AL331" s="355"/>
      <c r="AM331" s="355"/>
      <c r="AU331" s="379">
        <v>53827</v>
      </c>
      <c r="AV331" s="375"/>
      <c r="AW331" s="375"/>
      <c r="AX331" s="375"/>
      <c r="AY331" s="375"/>
      <c r="AZ331" s="375"/>
      <c r="BA331" s="375"/>
      <c r="BB331" s="375"/>
      <c r="BC331" s="375"/>
      <c r="BD331" s="375"/>
      <c r="BE331" s="375">
        <v>6.8750000000000006E-2</v>
      </c>
      <c r="BF331" s="375">
        <v>7.1249999999999994E-2</v>
      </c>
      <c r="BG331" s="375"/>
      <c r="BH331" s="375"/>
      <c r="BI331" s="373">
        <f t="shared" si="31"/>
        <v>7.0000000000000007E-2</v>
      </c>
      <c r="BJ331" s="378"/>
      <c r="BK331" s="375"/>
      <c r="BL331" s="375"/>
      <c r="BM331" s="375"/>
      <c r="BN331" s="375"/>
      <c r="BO331" s="375">
        <v>6.25E-2</v>
      </c>
      <c r="BP331" s="375"/>
      <c r="BQ331" s="377"/>
      <c r="BR331" s="380">
        <f t="shared" si="32"/>
        <v>6.25E-2</v>
      </c>
      <c r="BT331" s="367">
        <v>53827</v>
      </c>
      <c r="BU331" s="375"/>
      <c r="BV331" s="375"/>
      <c r="BW331" s="377"/>
    </row>
    <row r="332" spans="1:75" x14ac:dyDescent="0.15">
      <c r="A332" s="356"/>
      <c r="B332" s="355"/>
      <c r="C332" s="355"/>
      <c r="D332" s="355"/>
      <c r="E332" s="355"/>
      <c r="F332" s="355"/>
      <c r="G332" s="355"/>
      <c r="O332" s="356"/>
      <c r="P332" s="355"/>
      <c r="Q332" s="355"/>
      <c r="R332" s="355"/>
      <c r="S332" s="355"/>
      <c r="T332" s="355"/>
      <c r="U332" s="355"/>
      <c r="V332" s="355"/>
      <c r="W332" s="355"/>
      <c r="AG332" s="355"/>
      <c r="AH332" s="355"/>
      <c r="AI332" s="355"/>
      <c r="AJ332" s="355"/>
      <c r="AK332" s="355"/>
      <c r="AL332" s="355"/>
      <c r="AM332" s="355"/>
      <c r="AU332" s="379">
        <v>53858</v>
      </c>
      <c r="AV332" s="375"/>
      <c r="AW332" s="375"/>
      <c r="AX332" s="375"/>
      <c r="AY332" s="375"/>
      <c r="AZ332" s="375"/>
      <c r="BA332" s="375"/>
      <c r="BB332" s="375"/>
      <c r="BC332" s="375"/>
      <c r="BD332" s="375"/>
      <c r="BE332" s="375">
        <v>6.8750000000000006E-2</v>
      </c>
      <c r="BF332" s="375">
        <v>7.1249999999999994E-2</v>
      </c>
      <c r="BG332" s="375"/>
      <c r="BH332" s="375"/>
      <c r="BI332" s="373">
        <f t="shared" si="31"/>
        <v>7.0000000000000007E-2</v>
      </c>
      <c r="BJ332" s="378"/>
      <c r="BK332" s="375"/>
      <c r="BL332" s="375"/>
      <c r="BM332" s="375"/>
      <c r="BN332" s="375"/>
      <c r="BO332" s="375">
        <v>6.25E-2</v>
      </c>
      <c r="BP332" s="375"/>
      <c r="BQ332" s="377"/>
      <c r="BR332" s="380">
        <f t="shared" si="32"/>
        <v>6.25E-2</v>
      </c>
      <c r="BT332" s="367">
        <v>53858</v>
      </c>
      <c r="BU332" s="375"/>
      <c r="BV332" s="375"/>
      <c r="BW332" s="377"/>
    </row>
    <row r="333" spans="1:75" x14ac:dyDescent="0.15">
      <c r="A333" s="356"/>
      <c r="B333" s="355"/>
      <c r="C333" s="355"/>
      <c r="D333" s="355"/>
      <c r="E333" s="355"/>
      <c r="F333" s="355"/>
      <c r="G333" s="355"/>
      <c r="O333" s="356"/>
      <c r="P333" s="355"/>
      <c r="Q333" s="355"/>
      <c r="R333" s="355"/>
      <c r="S333" s="355"/>
      <c r="T333" s="355"/>
      <c r="U333" s="355"/>
      <c r="V333" s="355"/>
      <c r="W333" s="355"/>
      <c r="AG333" s="355"/>
      <c r="AH333" s="355"/>
      <c r="AI333" s="355"/>
      <c r="AJ333" s="355"/>
      <c r="AK333" s="355"/>
      <c r="AL333" s="355"/>
      <c r="AM333" s="355"/>
      <c r="AU333" s="379">
        <v>53888</v>
      </c>
      <c r="AV333" s="375"/>
      <c r="AW333" s="375"/>
      <c r="AX333" s="375"/>
      <c r="AY333" s="375"/>
      <c r="AZ333" s="375"/>
      <c r="BA333" s="375"/>
      <c r="BB333" s="375"/>
      <c r="BC333" s="375"/>
      <c r="BD333" s="375"/>
      <c r="BE333" s="375">
        <v>6.8750000000000006E-2</v>
      </c>
      <c r="BF333" s="375">
        <v>7.1249999999999994E-2</v>
      </c>
      <c r="BG333" s="375"/>
      <c r="BH333" s="375"/>
      <c r="BI333" s="373">
        <f t="shared" si="31"/>
        <v>7.0000000000000007E-2</v>
      </c>
      <c r="BJ333" s="378"/>
      <c r="BK333" s="375"/>
      <c r="BL333" s="375"/>
      <c r="BM333" s="375"/>
      <c r="BN333" s="375"/>
      <c r="BO333" s="375">
        <v>6.25E-2</v>
      </c>
      <c r="BP333" s="375"/>
      <c r="BQ333" s="377"/>
      <c r="BR333" s="380">
        <f t="shared" si="32"/>
        <v>6.25E-2</v>
      </c>
      <c r="BT333" s="367">
        <v>53888</v>
      </c>
      <c r="BU333" s="375"/>
      <c r="BV333" s="375"/>
      <c r="BW333" s="377"/>
    </row>
    <row r="334" spans="1:75" x14ac:dyDescent="0.15">
      <c r="A334" s="356"/>
      <c r="B334" s="355"/>
      <c r="C334" s="355"/>
      <c r="D334" s="355"/>
      <c r="E334" s="355"/>
      <c r="F334" s="355"/>
      <c r="G334" s="355"/>
      <c r="O334" s="356"/>
      <c r="P334" s="355"/>
      <c r="Q334" s="355"/>
      <c r="R334" s="355"/>
      <c r="S334" s="355"/>
      <c r="T334" s="355"/>
      <c r="U334" s="355"/>
      <c r="V334" s="355"/>
      <c r="W334" s="355"/>
      <c r="AG334" s="355"/>
      <c r="AH334" s="355"/>
      <c r="AI334" s="355"/>
      <c r="AJ334" s="355"/>
      <c r="AK334" s="355"/>
      <c r="AL334" s="355"/>
      <c r="AM334" s="355"/>
      <c r="AU334" s="379">
        <v>53919</v>
      </c>
      <c r="AV334" s="375"/>
      <c r="AW334" s="375"/>
      <c r="AX334" s="375"/>
      <c r="AY334" s="375"/>
      <c r="AZ334" s="375"/>
      <c r="BA334" s="375"/>
      <c r="BB334" s="375"/>
      <c r="BC334" s="375"/>
      <c r="BD334" s="375"/>
      <c r="BE334" s="375">
        <v>6.8750000000000006E-2</v>
      </c>
      <c r="BF334" s="375">
        <v>7.1249999999999994E-2</v>
      </c>
      <c r="BG334" s="375"/>
      <c r="BH334" s="375"/>
      <c r="BI334" s="373">
        <f t="shared" si="31"/>
        <v>7.0000000000000007E-2</v>
      </c>
      <c r="BJ334" s="378"/>
      <c r="BK334" s="375"/>
      <c r="BL334" s="375"/>
      <c r="BM334" s="375"/>
      <c r="BN334" s="375"/>
      <c r="BO334" s="375">
        <v>6.25E-2</v>
      </c>
      <c r="BP334" s="375"/>
      <c r="BQ334" s="377"/>
      <c r="BR334" s="380">
        <f t="shared" si="32"/>
        <v>6.25E-2</v>
      </c>
      <c r="BT334" s="367">
        <v>53919</v>
      </c>
      <c r="BU334" s="375"/>
      <c r="BV334" s="375"/>
      <c r="BW334" s="377"/>
    </row>
    <row r="335" spans="1:75" x14ac:dyDescent="0.15">
      <c r="A335" s="356"/>
      <c r="B335" s="355"/>
      <c r="C335" s="355"/>
      <c r="D335" s="355"/>
      <c r="E335" s="355"/>
      <c r="F335" s="355"/>
      <c r="G335" s="355"/>
      <c r="O335" s="356"/>
      <c r="P335" s="355"/>
      <c r="Q335" s="355"/>
      <c r="R335" s="355"/>
      <c r="S335" s="355"/>
      <c r="T335" s="355"/>
      <c r="U335" s="355"/>
      <c r="V335" s="355"/>
      <c r="W335" s="355"/>
      <c r="AG335" s="355"/>
      <c r="AH335" s="355"/>
      <c r="AI335" s="355"/>
      <c r="AJ335" s="355"/>
      <c r="AK335" s="355"/>
      <c r="AL335" s="355"/>
      <c r="AM335" s="355"/>
      <c r="AU335" s="379">
        <v>53950</v>
      </c>
      <c r="AV335" s="375"/>
      <c r="AW335" s="375"/>
      <c r="AX335" s="375"/>
      <c r="AY335" s="375"/>
      <c r="AZ335" s="375"/>
      <c r="BA335" s="375"/>
      <c r="BB335" s="375"/>
      <c r="BC335" s="375"/>
      <c r="BD335" s="375"/>
      <c r="BE335" s="375">
        <v>6.8750000000000006E-2</v>
      </c>
      <c r="BF335" s="375">
        <v>7.1249999999999994E-2</v>
      </c>
      <c r="BG335" s="375"/>
      <c r="BH335" s="375"/>
      <c r="BI335" s="373">
        <f t="shared" si="31"/>
        <v>7.0000000000000007E-2</v>
      </c>
      <c r="BJ335" s="378"/>
      <c r="BK335" s="375"/>
      <c r="BL335" s="375"/>
      <c r="BM335" s="375"/>
      <c r="BN335" s="375"/>
      <c r="BO335" s="375">
        <v>6.25E-2</v>
      </c>
      <c r="BP335" s="375"/>
      <c r="BQ335" s="377"/>
      <c r="BR335" s="380">
        <f t="shared" si="32"/>
        <v>6.25E-2</v>
      </c>
      <c r="BT335" s="367">
        <v>53950</v>
      </c>
      <c r="BU335" s="375"/>
      <c r="BV335" s="375"/>
      <c r="BW335" s="377"/>
    </row>
    <row r="336" spans="1:75" x14ac:dyDescent="0.15">
      <c r="A336" s="356"/>
      <c r="B336" s="355"/>
      <c r="C336" s="355"/>
      <c r="D336" s="355"/>
      <c r="E336" s="355"/>
      <c r="F336" s="355"/>
      <c r="G336" s="355"/>
      <c r="O336" s="356"/>
      <c r="P336" s="355"/>
      <c r="Q336" s="355"/>
      <c r="R336" s="355"/>
      <c r="S336" s="355"/>
      <c r="T336" s="355"/>
      <c r="U336" s="355"/>
      <c r="V336" s="355"/>
      <c r="W336" s="355"/>
      <c r="AG336" s="355"/>
      <c r="AH336" s="355"/>
      <c r="AI336" s="355"/>
      <c r="AJ336" s="355"/>
      <c r="AK336" s="355"/>
      <c r="AL336" s="355"/>
      <c r="AM336" s="355"/>
      <c r="AU336" s="379">
        <v>53980</v>
      </c>
      <c r="AV336" s="375"/>
      <c r="AW336" s="375"/>
      <c r="AX336" s="375"/>
      <c r="AY336" s="375"/>
      <c r="AZ336" s="375"/>
      <c r="BA336" s="375"/>
      <c r="BB336" s="375"/>
      <c r="BC336" s="375"/>
      <c r="BD336" s="375"/>
      <c r="BE336" s="375">
        <v>6.8750000000000006E-2</v>
      </c>
      <c r="BF336" s="375">
        <v>7.1249999999999994E-2</v>
      </c>
      <c r="BG336" s="375"/>
      <c r="BH336" s="375"/>
      <c r="BI336" s="373">
        <f t="shared" si="31"/>
        <v>7.0000000000000007E-2</v>
      </c>
      <c r="BJ336" s="378"/>
      <c r="BK336" s="375"/>
      <c r="BL336" s="375"/>
      <c r="BM336" s="375"/>
      <c r="BN336" s="375"/>
      <c r="BO336" s="375">
        <v>6.25E-2</v>
      </c>
      <c r="BP336" s="375"/>
      <c r="BQ336" s="377"/>
      <c r="BR336" s="380">
        <f t="shared" si="32"/>
        <v>6.25E-2</v>
      </c>
      <c r="BT336" s="367">
        <v>53980</v>
      </c>
      <c r="BU336" s="375"/>
      <c r="BV336" s="375"/>
      <c r="BW336" s="377"/>
    </row>
    <row r="337" spans="1:75" x14ac:dyDescent="0.15">
      <c r="A337" s="356"/>
      <c r="B337" s="355"/>
      <c r="C337" s="355"/>
      <c r="D337" s="355"/>
      <c r="E337" s="355"/>
      <c r="F337" s="355"/>
      <c r="G337" s="355"/>
      <c r="O337" s="356"/>
      <c r="P337" s="355"/>
      <c r="Q337" s="355"/>
      <c r="R337" s="355"/>
      <c r="S337" s="355"/>
      <c r="T337" s="355"/>
      <c r="U337" s="355"/>
      <c r="V337" s="355"/>
      <c r="W337" s="355"/>
      <c r="AG337" s="355"/>
      <c r="AH337" s="355"/>
      <c r="AI337" s="355"/>
      <c r="AJ337" s="355"/>
      <c r="AK337" s="355"/>
      <c r="AL337" s="355"/>
      <c r="AM337" s="355"/>
      <c r="AU337" s="379">
        <v>54011</v>
      </c>
      <c r="AV337" s="375"/>
      <c r="AW337" s="375"/>
      <c r="AX337" s="375"/>
      <c r="AY337" s="375"/>
      <c r="AZ337" s="375"/>
      <c r="BA337" s="375"/>
      <c r="BB337" s="375"/>
      <c r="BC337" s="375"/>
      <c r="BD337" s="375"/>
      <c r="BE337" s="375">
        <v>6.8750000000000006E-2</v>
      </c>
      <c r="BF337" s="375">
        <v>7.1249999999999994E-2</v>
      </c>
      <c r="BG337" s="375"/>
      <c r="BH337" s="375"/>
      <c r="BI337" s="373">
        <f t="shared" si="31"/>
        <v>7.0000000000000007E-2</v>
      </c>
      <c r="BJ337" s="386"/>
      <c r="BK337" s="382"/>
      <c r="BL337" s="382"/>
      <c r="BM337" s="382"/>
      <c r="BN337" s="382"/>
      <c r="BO337" s="382"/>
      <c r="BP337" s="382"/>
      <c r="BQ337" s="383"/>
      <c r="BR337" s="387"/>
      <c r="BT337" s="381">
        <v>54011</v>
      </c>
      <c r="BU337" s="382"/>
      <c r="BV337" s="382"/>
      <c r="BW337" s="383"/>
    </row>
    <row r="338" spans="1:75" x14ac:dyDescent="0.15">
      <c r="A338" s="356"/>
      <c r="B338" s="355"/>
      <c r="C338" s="355"/>
      <c r="D338" s="355"/>
      <c r="E338" s="355"/>
      <c r="F338" s="355"/>
      <c r="G338" s="355"/>
      <c r="O338" s="356"/>
      <c r="P338" s="355"/>
      <c r="Q338" s="355"/>
      <c r="R338" s="355"/>
      <c r="S338" s="355"/>
      <c r="T338" s="355"/>
      <c r="U338" s="355"/>
      <c r="V338" s="355"/>
      <c r="W338" s="355"/>
      <c r="AG338" s="355"/>
      <c r="AH338" s="355"/>
      <c r="AI338" s="355"/>
      <c r="AJ338" s="355"/>
      <c r="AK338" s="355"/>
      <c r="AL338" s="355"/>
      <c r="AM338" s="355"/>
      <c r="AU338" s="379">
        <v>54041</v>
      </c>
      <c r="AV338" s="375"/>
      <c r="AW338" s="375"/>
      <c r="AX338" s="375"/>
      <c r="AY338" s="375"/>
      <c r="AZ338" s="375"/>
      <c r="BA338" s="375"/>
      <c r="BB338" s="375"/>
      <c r="BC338" s="375"/>
      <c r="BD338" s="375"/>
      <c r="BE338" s="375">
        <v>6.8750000000000006E-2</v>
      </c>
      <c r="BF338" s="375">
        <v>7.1249999999999994E-2</v>
      </c>
      <c r="BG338" s="375"/>
      <c r="BH338" s="375"/>
      <c r="BI338" s="373">
        <f t="shared" si="31"/>
        <v>7.0000000000000007E-2</v>
      </c>
      <c r="BT338" s="355"/>
      <c r="BU338" s="355"/>
      <c r="BV338" s="355"/>
      <c r="BW338" s="355"/>
    </row>
    <row r="339" spans="1:75" x14ac:dyDescent="0.15">
      <c r="A339" s="356"/>
      <c r="B339" s="355"/>
      <c r="C339" s="355"/>
      <c r="D339" s="355"/>
      <c r="E339" s="355"/>
      <c r="F339" s="355"/>
      <c r="G339" s="355"/>
      <c r="O339" s="356"/>
      <c r="P339" s="355"/>
      <c r="Q339" s="355"/>
      <c r="R339" s="355"/>
      <c r="S339" s="355"/>
      <c r="T339" s="355"/>
      <c r="U339" s="355"/>
      <c r="V339" s="355"/>
      <c r="W339" s="355"/>
      <c r="AG339" s="355"/>
      <c r="AH339" s="355"/>
      <c r="AI339" s="355"/>
      <c r="AJ339" s="355"/>
      <c r="AK339" s="355"/>
      <c r="AL339" s="355"/>
      <c r="AM339" s="355"/>
      <c r="AU339" s="379">
        <v>54072</v>
      </c>
      <c r="AV339" s="375"/>
      <c r="AW339" s="375"/>
      <c r="AX339" s="375"/>
      <c r="AY339" s="375"/>
      <c r="AZ339" s="375"/>
      <c r="BA339" s="375"/>
      <c r="BB339" s="375"/>
      <c r="BC339" s="375"/>
      <c r="BD339" s="375"/>
      <c r="BE339" s="375">
        <v>6.8750000000000006E-2</v>
      </c>
      <c r="BF339" s="375">
        <v>7.1249999999999994E-2</v>
      </c>
      <c r="BG339" s="375"/>
      <c r="BH339" s="375"/>
      <c r="BI339" s="373">
        <f t="shared" si="31"/>
        <v>7.0000000000000007E-2</v>
      </c>
      <c r="BT339" s="355"/>
      <c r="BU339" s="355"/>
      <c r="BV339" s="355"/>
      <c r="BW339" s="355"/>
    </row>
    <row r="340" spans="1:75" x14ac:dyDescent="0.15">
      <c r="A340" s="356"/>
      <c r="B340" s="355"/>
      <c r="C340" s="355"/>
      <c r="D340" s="355"/>
      <c r="E340" s="355"/>
      <c r="F340" s="355"/>
      <c r="G340" s="355"/>
      <c r="O340" s="356"/>
      <c r="P340" s="355"/>
      <c r="Q340" s="355"/>
      <c r="R340" s="355"/>
      <c r="S340" s="355"/>
      <c r="T340" s="355"/>
      <c r="U340" s="355"/>
      <c r="V340" s="355"/>
      <c r="W340" s="355"/>
      <c r="AG340" s="355"/>
      <c r="AH340" s="355"/>
      <c r="AI340" s="355"/>
      <c r="AJ340" s="355"/>
      <c r="AK340" s="355"/>
      <c r="AL340" s="355"/>
      <c r="AM340" s="355"/>
      <c r="AU340" s="379">
        <v>54103</v>
      </c>
      <c r="AV340" s="375"/>
      <c r="AW340" s="375"/>
      <c r="AX340" s="375"/>
      <c r="AY340" s="375"/>
      <c r="AZ340" s="375"/>
      <c r="BA340" s="375"/>
      <c r="BB340" s="375"/>
      <c r="BC340" s="375"/>
      <c r="BD340" s="375"/>
      <c r="BE340" s="375"/>
      <c r="BF340" s="375">
        <v>7.1249999999999994E-2</v>
      </c>
      <c r="BG340" s="375"/>
      <c r="BH340" s="375"/>
      <c r="BI340" s="373">
        <f t="shared" si="31"/>
        <v>7.1249999999999994E-2</v>
      </c>
      <c r="BT340" s="355"/>
      <c r="BU340" s="355"/>
      <c r="BV340" s="355"/>
      <c r="BW340" s="355"/>
    </row>
    <row r="341" spans="1:75" x14ac:dyDescent="0.15">
      <c r="A341" s="356"/>
      <c r="B341" s="355"/>
      <c r="C341" s="355"/>
      <c r="D341" s="355"/>
      <c r="E341" s="355"/>
      <c r="F341" s="355"/>
      <c r="G341" s="355"/>
      <c r="O341" s="356"/>
      <c r="P341" s="355"/>
      <c r="Q341" s="355"/>
      <c r="R341" s="355"/>
      <c r="S341" s="355"/>
      <c r="T341" s="355"/>
      <c r="U341" s="355"/>
      <c r="V341" s="355"/>
      <c r="W341" s="355"/>
      <c r="AG341" s="355"/>
      <c r="AH341" s="355"/>
      <c r="AI341" s="355"/>
      <c r="AJ341" s="355"/>
      <c r="AK341" s="355"/>
      <c r="AL341" s="355"/>
      <c r="AM341" s="355"/>
      <c r="AU341" s="379">
        <v>54132</v>
      </c>
      <c r="AV341" s="375"/>
      <c r="AW341" s="375"/>
      <c r="AX341" s="375"/>
      <c r="AY341" s="375"/>
      <c r="AZ341" s="375"/>
      <c r="BA341" s="375"/>
      <c r="BB341" s="375"/>
      <c r="BC341" s="375"/>
      <c r="BD341" s="375"/>
      <c r="BE341" s="375"/>
      <c r="BF341" s="375">
        <v>7.1249999999999994E-2</v>
      </c>
      <c r="BG341" s="375"/>
      <c r="BH341" s="375"/>
      <c r="BI341" s="373">
        <f t="shared" si="31"/>
        <v>7.1249999999999994E-2</v>
      </c>
      <c r="BT341" s="355"/>
      <c r="BU341" s="355"/>
      <c r="BV341" s="355"/>
      <c r="BW341" s="355"/>
    </row>
    <row r="342" spans="1:75" x14ac:dyDescent="0.15">
      <c r="A342" s="356"/>
      <c r="B342" s="355"/>
      <c r="C342" s="355"/>
      <c r="D342" s="355"/>
      <c r="E342" s="355"/>
      <c r="F342" s="355"/>
      <c r="G342" s="355"/>
      <c r="O342" s="356"/>
      <c r="P342" s="355"/>
      <c r="Q342" s="355"/>
      <c r="R342" s="355"/>
      <c r="S342" s="355"/>
      <c r="T342" s="355"/>
      <c r="U342" s="355"/>
      <c r="V342" s="355"/>
      <c r="W342" s="355"/>
      <c r="AG342" s="355"/>
      <c r="AH342" s="355"/>
      <c r="AI342" s="355"/>
      <c r="AJ342" s="355"/>
      <c r="AK342" s="355"/>
      <c r="AL342" s="355"/>
      <c r="AM342" s="355"/>
      <c r="AU342" s="379">
        <v>54163</v>
      </c>
      <c r="AV342" s="375"/>
      <c r="AW342" s="375"/>
      <c r="AX342" s="375"/>
      <c r="AY342" s="375"/>
      <c r="AZ342" s="375"/>
      <c r="BA342" s="375"/>
      <c r="BB342" s="375"/>
      <c r="BC342" s="375"/>
      <c r="BD342" s="375"/>
      <c r="BE342" s="375"/>
      <c r="BF342" s="375">
        <v>7.1249999999999994E-2</v>
      </c>
      <c r="BG342" s="375"/>
      <c r="BH342" s="375"/>
      <c r="BI342" s="373">
        <f t="shared" si="31"/>
        <v>7.1249999999999994E-2</v>
      </c>
      <c r="BT342" s="355"/>
      <c r="BU342" s="355"/>
      <c r="BV342" s="355"/>
      <c r="BW342" s="355"/>
    </row>
    <row r="343" spans="1:75" x14ac:dyDescent="0.15">
      <c r="A343" s="356"/>
      <c r="B343" s="355"/>
      <c r="C343" s="355"/>
      <c r="D343" s="355"/>
      <c r="E343" s="355"/>
      <c r="F343" s="355"/>
      <c r="G343" s="355"/>
      <c r="O343" s="356"/>
      <c r="P343" s="355"/>
      <c r="Q343" s="355"/>
      <c r="R343" s="355"/>
      <c r="S343" s="355"/>
      <c r="T343" s="355"/>
      <c r="U343" s="355"/>
      <c r="V343" s="355"/>
      <c r="W343" s="355"/>
      <c r="AG343" s="355"/>
      <c r="AH343" s="355"/>
      <c r="AI343" s="355"/>
      <c r="AJ343" s="355"/>
      <c r="AK343" s="355"/>
      <c r="AL343" s="355"/>
      <c r="AM343" s="355"/>
      <c r="AU343" s="379">
        <v>54193</v>
      </c>
      <c r="AV343" s="375"/>
      <c r="AW343" s="375"/>
      <c r="AX343" s="375"/>
      <c r="AY343" s="375"/>
      <c r="AZ343" s="375"/>
      <c r="BA343" s="375"/>
      <c r="BB343" s="375"/>
      <c r="BC343" s="375"/>
      <c r="BD343" s="375"/>
      <c r="BE343" s="375"/>
      <c r="BF343" s="375">
        <v>7.1249999999999994E-2</v>
      </c>
      <c r="BG343" s="375"/>
      <c r="BH343" s="375"/>
      <c r="BI343" s="373">
        <f t="shared" si="31"/>
        <v>7.1249999999999994E-2</v>
      </c>
      <c r="BT343" s="355"/>
      <c r="BU343" s="355"/>
      <c r="BV343" s="355"/>
      <c r="BW343" s="355"/>
    </row>
    <row r="344" spans="1:75" x14ac:dyDescent="0.15">
      <c r="A344" s="356"/>
      <c r="B344" s="355"/>
      <c r="C344" s="355"/>
      <c r="D344" s="355"/>
      <c r="E344" s="355"/>
      <c r="F344" s="355"/>
      <c r="G344" s="355"/>
      <c r="O344" s="356"/>
      <c r="P344" s="355"/>
      <c r="Q344" s="355"/>
      <c r="R344" s="355"/>
      <c r="S344" s="355"/>
      <c r="T344" s="355"/>
      <c r="U344" s="355"/>
      <c r="V344" s="355"/>
      <c r="W344" s="355"/>
      <c r="AG344" s="355"/>
      <c r="AH344" s="355"/>
      <c r="AI344" s="355"/>
      <c r="AJ344" s="355"/>
      <c r="AK344" s="355"/>
      <c r="AL344" s="355"/>
      <c r="AM344" s="355"/>
      <c r="AU344" s="379">
        <v>54224</v>
      </c>
      <c r="AV344" s="375"/>
      <c r="AW344" s="375"/>
      <c r="AX344" s="375"/>
      <c r="AY344" s="375"/>
      <c r="AZ344" s="375"/>
      <c r="BA344" s="375"/>
      <c r="BB344" s="375"/>
      <c r="BC344" s="375"/>
      <c r="BD344" s="375"/>
      <c r="BE344" s="375"/>
      <c r="BF344" s="375">
        <v>7.1249999999999994E-2</v>
      </c>
      <c r="BG344" s="375"/>
      <c r="BH344" s="375"/>
      <c r="BI344" s="373">
        <f t="shared" si="31"/>
        <v>7.1249999999999994E-2</v>
      </c>
      <c r="BT344" s="355"/>
      <c r="BU344" s="355"/>
      <c r="BV344" s="355"/>
      <c r="BW344" s="355"/>
    </row>
    <row r="345" spans="1:75" x14ac:dyDescent="0.15">
      <c r="A345" s="356"/>
      <c r="B345" s="355"/>
      <c r="C345" s="355"/>
      <c r="D345" s="355"/>
      <c r="E345" s="355"/>
      <c r="F345" s="355"/>
      <c r="G345" s="355"/>
      <c r="O345" s="356"/>
      <c r="P345" s="355"/>
      <c r="Q345" s="355"/>
      <c r="R345" s="355"/>
      <c r="S345" s="355"/>
      <c r="T345" s="355"/>
      <c r="U345" s="355"/>
      <c r="V345" s="355"/>
      <c r="W345" s="355"/>
      <c r="AG345" s="355"/>
      <c r="AH345" s="355"/>
      <c r="AI345" s="355"/>
      <c r="AJ345" s="355"/>
      <c r="AK345" s="355"/>
      <c r="AL345" s="355"/>
      <c r="AM345" s="355"/>
      <c r="AU345" s="379">
        <v>54254</v>
      </c>
      <c r="AV345" s="375"/>
      <c r="AW345" s="375"/>
      <c r="AX345" s="375"/>
      <c r="AY345" s="375"/>
      <c r="AZ345" s="375"/>
      <c r="BA345" s="375"/>
      <c r="BB345" s="375"/>
      <c r="BC345" s="375"/>
      <c r="BD345" s="375"/>
      <c r="BE345" s="375"/>
      <c r="BF345" s="375">
        <v>7.1249999999999994E-2</v>
      </c>
      <c r="BG345" s="375"/>
      <c r="BH345" s="375"/>
      <c r="BI345" s="373">
        <f t="shared" si="31"/>
        <v>7.1249999999999994E-2</v>
      </c>
      <c r="BT345" s="355"/>
      <c r="BU345" s="355"/>
      <c r="BV345" s="355"/>
      <c r="BW345" s="355"/>
    </row>
    <row r="346" spans="1:75" x14ac:dyDescent="0.15">
      <c r="A346" s="356"/>
      <c r="B346" s="355"/>
      <c r="C346" s="355"/>
      <c r="D346" s="355"/>
      <c r="E346" s="355"/>
      <c r="F346" s="355"/>
      <c r="G346" s="355"/>
      <c r="O346" s="356"/>
      <c r="P346" s="355"/>
      <c r="Q346" s="355"/>
      <c r="R346" s="355"/>
      <c r="S346" s="355"/>
      <c r="T346" s="355"/>
      <c r="U346" s="355"/>
      <c r="V346" s="355"/>
      <c r="W346" s="355"/>
      <c r="AG346" s="355"/>
      <c r="AH346" s="355"/>
      <c r="AI346" s="355"/>
      <c r="AJ346" s="355"/>
      <c r="AK346" s="355"/>
      <c r="AL346" s="355"/>
      <c r="AM346" s="355"/>
      <c r="AU346" s="379">
        <v>54285</v>
      </c>
      <c r="AV346" s="375"/>
      <c r="AW346" s="375"/>
      <c r="AX346" s="375"/>
      <c r="AY346" s="375"/>
      <c r="AZ346" s="375"/>
      <c r="BA346" s="375"/>
      <c r="BB346" s="375"/>
      <c r="BC346" s="375"/>
      <c r="BD346" s="375"/>
      <c r="BE346" s="375"/>
      <c r="BF346" s="375">
        <v>7.1249999999999994E-2</v>
      </c>
      <c r="BG346" s="375"/>
      <c r="BH346" s="375"/>
      <c r="BI346" s="373">
        <f t="shared" si="31"/>
        <v>7.1249999999999994E-2</v>
      </c>
      <c r="BT346" s="355"/>
      <c r="BU346" s="355"/>
      <c r="BV346" s="355"/>
      <c r="BW346" s="355"/>
    </row>
    <row r="347" spans="1:75" x14ac:dyDescent="0.15">
      <c r="A347" s="356"/>
      <c r="B347" s="355"/>
      <c r="C347" s="355"/>
      <c r="D347" s="355"/>
      <c r="E347" s="355"/>
      <c r="F347" s="355"/>
      <c r="G347" s="355"/>
      <c r="O347" s="356"/>
      <c r="P347" s="355"/>
      <c r="Q347" s="355"/>
      <c r="R347" s="355"/>
      <c r="S347" s="355"/>
      <c r="T347" s="355"/>
      <c r="U347" s="355"/>
      <c r="V347" s="355"/>
      <c r="W347" s="355"/>
      <c r="AG347" s="355"/>
      <c r="AH347" s="355"/>
      <c r="AI347" s="355"/>
      <c r="AJ347" s="355"/>
      <c r="AK347" s="355"/>
      <c r="AL347" s="355"/>
      <c r="AM347" s="355"/>
      <c r="AU347" s="379">
        <v>54316</v>
      </c>
      <c r="AV347" s="375"/>
      <c r="AW347" s="375"/>
      <c r="AX347" s="375"/>
      <c r="AY347" s="375"/>
      <c r="AZ347" s="375"/>
      <c r="BA347" s="375"/>
      <c r="BB347" s="375"/>
      <c r="BC347" s="375"/>
      <c r="BD347" s="375"/>
      <c r="BE347" s="375"/>
      <c r="BF347" s="375">
        <v>7.1249999999999994E-2</v>
      </c>
      <c r="BG347" s="375"/>
      <c r="BH347" s="375"/>
      <c r="BI347" s="373">
        <f t="shared" si="31"/>
        <v>7.1249999999999994E-2</v>
      </c>
      <c r="BT347" s="355"/>
      <c r="BU347" s="355"/>
      <c r="BV347" s="355"/>
      <c r="BW347" s="355"/>
    </row>
    <row r="348" spans="1:75" x14ac:dyDescent="0.15">
      <c r="A348" s="356"/>
      <c r="B348" s="355"/>
      <c r="C348" s="355"/>
      <c r="D348" s="355"/>
      <c r="E348" s="355"/>
      <c r="F348" s="355"/>
      <c r="G348" s="355"/>
      <c r="O348" s="356"/>
      <c r="P348" s="355"/>
      <c r="Q348" s="355"/>
      <c r="R348" s="355"/>
      <c r="S348" s="355"/>
      <c r="T348" s="355"/>
      <c r="U348" s="355"/>
      <c r="V348" s="355"/>
      <c r="W348" s="355"/>
      <c r="AG348" s="355"/>
      <c r="AH348" s="355"/>
      <c r="AI348" s="355"/>
      <c r="AJ348" s="355"/>
      <c r="AK348" s="355"/>
      <c r="AL348" s="355"/>
      <c r="AM348" s="355"/>
      <c r="AU348" s="379">
        <v>54346</v>
      </c>
      <c r="AV348" s="375"/>
      <c r="AW348" s="375"/>
      <c r="AX348" s="375"/>
      <c r="AY348" s="375"/>
      <c r="AZ348" s="375"/>
      <c r="BA348" s="375"/>
      <c r="BB348" s="375"/>
      <c r="BC348" s="375"/>
      <c r="BD348" s="375"/>
      <c r="BE348" s="375"/>
      <c r="BF348" s="375">
        <v>7.1249999999999994E-2</v>
      </c>
      <c r="BG348" s="375"/>
      <c r="BH348" s="375"/>
      <c r="BI348" s="373">
        <f t="shared" si="31"/>
        <v>7.1249999999999994E-2</v>
      </c>
      <c r="BT348" s="355"/>
      <c r="BU348" s="355"/>
      <c r="BV348" s="355"/>
      <c r="BW348" s="355"/>
    </row>
    <row r="349" spans="1:75" x14ac:dyDescent="0.15">
      <c r="A349" s="356"/>
      <c r="B349" s="355"/>
      <c r="C349" s="355"/>
      <c r="D349" s="355"/>
      <c r="E349" s="355"/>
      <c r="F349" s="355"/>
      <c r="G349" s="355"/>
      <c r="O349" s="356"/>
      <c r="P349" s="355"/>
      <c r="Q349" s="355"/>
      <c r="R349" s="355"/>
      <c r="S349" s="355"/>
      <c r="T349" s="355"/>
      <c r="U349" s="355"/>
      <c r="V349" s="355"/>
      <c r="W349" s="355"/>
      <c r="AG349" s="355"/>
      <c r="AH349" s="355"/>
      <c r="AI349" s="355"/>
      <c r="AJ349" s="355"/>
      <c r="AK349" s="355"/>
      <c r="AL349" s="355"/>
      <c r="AM349" s="355"/>
      <c r="AU349" s="379">
        <v>54377</v>
      </c>
      <c r="AV349" s="375"/>
      <c r="AW349" s="375"/>
      <c r="AX349" s="375"/>
      <c r="AY349" s="375"/>
      <c r="AZ349" s="375"/>
      <c r="BA349" s="375"/>
      <c r="BB349" s="375"/>
      <c r="BC349" s="375"/>
      <c r="BD349" s="375"/>
      <c r="BE349" s="375"/>
      <c r="BF349" s="375">
        <v>7.1249999999999994E-2</v>
      </c>
      <c r="BG349" s="375"/>
      <c r="BH349" s="375"/>
      <c r="BI349" s="373">
        <f t="shared" si="31"/>
        <v>7.1249999999999994E-2</v>
      </c>
      <c r="BT349" s="355"/>
      <c r="BU349" s="355"/>
      <c r="BV349" s="355"/>
      <c r="BW349" s="355"/>
    </row>
    <row r="350" spans="1:75" x14ac:dyDescent="0.15">
      <c r="A350" s="356"/>
      <c r="B350" s="355"/>
      <c r="C350" s="355"/>
      <c r="D350" s="355"/>
      <c r="E350" s="355"/>
      <c r="F350" s="355"/>
      <c r="G350" s="355"/>
      <c r="O350" s="356"/>
      <c r="P350" s="355"/>
      <c r="Q350" s="355"/>
      <c r="R350" s="355"/>
      <c r="S350" s="355"/>
      <c r="T350" s="355"/>
      <c r="U350" s="355"/>
      <c r="V350" s="355"/>
      <c r="W350" s="355"/>
      <c r="AG350" s="355"/>
      <c r="AH350" s="355"/>
      <c r="AI350" s="355"/>
      <c r="AJ350" s="355"/>
      <c r="AK350" s="355"/>
      <c r="AL350" s="355"/>
      <c r="AM350" s="355"/>
      <c r="AU350" s="379">
        <v>54407</v>
      </c>
      <c r="AV350" s="375"/>
      <c r="AW350" s="375"/>
      <c r="AX350" s="375"/>
      <c r="AY350" s="375"/>
      <c r="AZ350" s="375"/>
      <c r="BA350" s="375"/>
      <c r="BB350" s="375"/>
      <c r="BC350" s="375"/>
      <c r="BD350" s="375"/>
      <c r="BE350" s="375"/>
      <c r="BF350" s="375">
        <v>7.1249999999999994E-2</v>
      </c>
      <c r="BG350" s="375"/>
      <c r="BH350" s="375"/>
      <c r="BI350" s="373">
        <f t="shared" si="31"/>
        <v>7.1249999999999994E-2</v>
      </c>
      <c r="BT350" s="355"/>
      <c r="BU350" s="355"/>
      <c r="BV350" s="355"/>
      <c r="BW350" s="355"/>
    </row>
    <row r="351" spans="1:75" x14ac:dyDescent="0.15">
      <c r="A351" s="356"/>
      <c r="B351" s="355"/>
      <c r="C351" s="355"/>
      <c r="D351" s="355"/>
      <c r="E351" s="355"/>
      <c r="F351" s="355"/>
      <c r="G351" s="355"/>
      <c r="O351" s="356"/>
      <c r="P351" s="355"/>
      <c r="Q351" s="355"/>
      <c r="R351" s="355"/>
      <c r="S351" s="355"/>
      <c r="T351" s="355"/>
      <c r="U351" s="355"/>
      <c r="V351" s="355"/>
      <c r="W351" s="355"/>
      <c r="AG351" s="355"/>
      <c r="AH351" s="355"/>
      <c r="AI351" s="355"/>
      <c r="AJ351" s="355"/>
      <c r="AK351" s="355"/>
      <c r="AL351" s="355"/>
      <c r="AM351" s="355"/>
      <c r="AU351" s="379">
        <v>54438</v>
      </c>
      <c r="AV351" s="375"/>
      <c r="AW351" s="375"/>
      <c r="AX351" s="375"/>
      <c r="AY351" s="375"/>
      <c r="AZ351" s="375"/>
      <c r="BA351" s="375"/>
      <c r="BB351" s="375"/>
      <c r="BC351" s="375"/>
      <c r="BD351" s="375"/>
      <c r="BE351" s="375"/>
      <c r="BF351" s="375">
        <v>7.1249999999999994E-2</v>
      </c>
      <c r="BG351" s="375"/>
      <c r="BH351" s="375"/>
      <c r="BI351" s="373">
        <f t="shared" si="31"/>
        <v>7.1249999999999994E-2</v>
      </c>
      <c r="BT351" s="355"/>
      <c r="BU351" s="355"/>
      <c r="BV351" s="355"/>
      <c r="BW351" s="355"/>
    </row>
    <row r="352" spans="1:75" x14ac:dyDescent="0.15">
      <c r="A352" s="356"/>
      <c r="B352" s="355"/>
      <c r="C352" s="355"/>
      <c r="D352" s="355"/>
      <c r="E352" s="355"/>
      <c r="F352" s="355"/>
      <c r="G352" s="355"/>
      <c r="O352" s="356"/>
      <c r="P352" s="355"/>
      <c r="Q352" s="355"/>
      <c r="R352" s="355"/>
      <c r="S352" s="355"/>
      <c r="T352" s="355"/>
      <c r="U352" s="355"/>
      <c r="V352" s="355"/>
      <c r="W352" s="355"/>
      <c r="AG352" s="355"/>
      <c r="AH352" s="355"/>
      <c r="AI352" s="355"/>
      <c r="AJ352" s="355"/>
      <c r="AK352" s="355"/>
      <c r="AL352" s="355"/>
      <c r="AM352" s="355"/>
      <c r="AU352" s="379">
        <v>54469</v>
      </c>
      <c r="AV352" s="375"/>
      <c r="AW352" s="375"/>
      <c r="AX352" s="375"/>
      <c r="AY352" s="375"/>
      <c r="AZ352" s="375"/>
      <c r="BA352" s="375"/>
      <c r="BB352" s="375"/>
      <c r="BC352" s="375"/>
      <c r="BD352" s="375"/>
      <c r="BE352" s="375"/>
      <c r="BF352" s="375">
        <v>7.1249999999999994E-2</v>
      </c>
      <c r="BG352" s="375"/>
      <c r="BH352" s="375"/>
      <c r="BI352" s="373">
        <f t="shared" si="31"/>
        <v>7.1249999999999994E-2</v>
      </c>
      <c r="BT352" s="355"/>
      <c r="BU352" s="355"/>
      <c r="BV352" s="355"/>
      <c r="BW352" s="355"/>
    </row>
    <row r="353" spans="1:75" x14ac:dyDescent="0.15">
      <c r="A353" s="356"/>
      <c r="B353" s="355"/>
      <c r="C353" s="355"/>
      <c r="D353" s="355"/>
      <c r="E353" s="355"/>
      <c r="F353" s="355"/>
      <c r="G353" s="355"/>
      <c r="O353" s="356"/>
      <c r="P353" s="355"/>
      <c r="Q353" s="355"/>
      <c r="R353" s="355"/>
      <c r="S353" s="355"/>
      <c r="T353" s="355"/>
      <c r="U353" s="355"/>
      <c r="V353" s="355"/>
      <c r="W353" s="355"/>
      <c r="AG353" s="355"/>
      <c r="AH353" s="355"/>
      <c r="AI353" s="355"/>
      <c r="AJ353" s="355"/>
      <c r="AK353" s="355"/>
      <c r="AL353" s="355"/>
      <c r="AM353" s="355"/>
      <c r="AU353" s="379">
        <v>54497</v>
      </c>
      <c r="AV353" s="375"/>
      <c r="AW353" s="375"/>
      <c r="AX353" s="375"/>
      <c r="AY353" s="375"/>
      <c r="AZ353" s="375"/>
      <c r="BA353" s="375"/>
      <c r="BB353" s="375"/>
      <c r="BC353" s="375"/>
      <c r="BD353" s="375"/>
      <c r="BE353" s="375"/>
      <c r="BF353" s="375">
        <v>7.1249999999999994E-2</v>
      </c>
      <c r="BG353" s="375"/>
      <c r="BH353" s="375"/>
      <c r="BI353" s="373">
        <f t="shared" si="31"/>
        <v>7.1249999999999994E-2</v>
      </c>
      <c r="BT353" s="355"/>
      <c r="BU353" s="355"/>
      <c r="BV353" s="355"/>
      <c r="BW353" s="355"/>
    </row>
    <row r="354" spans="1:75" x14ac:dyDescent="0.15">
      <c r="A354" s="356"/>
      <c r="B354" s="355"/>
      <c r="C354" s="355"/>
      <c r="D354" s="355"/>
      <c r="E354" s="355"/>
      <c r="F354" s="355"/>
      <c r="G354" s="355"/>
      <c r="O354" s="356"/>
      <c r="P354" s="355"/>
      <c r="Q354" s="355"/>
      <c r="R354" s="355"/>
      <c r="S354" s="355"/>
      <c r="T354" s="355"/>
      <c r="U354" s="355"/>
      <c r="V354" s="355"/>
      <c r="W354" s="355"/>
      <c r="AG354" s="355"/>
      <c r="AH354" s="355"/>
      <c r="AI354" s="355"/>
      <c r="AJ354" s="355"/>
      <c r="AK354" s="355"/>
      <c r="AL354" s="355"/>
      <c r="AM354" s="355"/>
      <c r="AU354" s="379">
        <v>54528</v>
      </c>
      <c r="AV354" s="375"/>
      <c r="AW354" s="375"/>
      <c r="AX354" s="375"/>
      <c r="AY354" s="375"/>
      <c r="AZ354" s="375"/>
      <c r="BA354" s="375"/>
      <c r="BB354" s="375"/>
      <c r="BC354" s="375"/>
      <c r="BD354" s="375"/>
      <c r="BE354" s="375"/>
      <c r="BF354" s="375">
        <v>7.1249999999999994E-2</v>
      </c>
      <c r="BG354" s="375"/>
      <c r="BH354" s="375"/>
      <c r="BI354" s="373">
        <f t="shared" si="31"/>
        <v>7.1249999999999994E-2</v>
      </c>
      <c r="BT354" s="355"/>
      <c r="BU354" s="355"/>
      <c r="BV354" s="355"/>
      <c r="BW354" s="355"/>
    </row>
    <row r="355" spans="1:75" x14ac:dyDescent="0.15">
      <c r="A355" s="356"/>
      <c r="B355" s="355"/>
      <c r="C355" s="355"/>
      <c r="D355" s="355"/>
      <c r="E355" s="355"/>
      <c r="F355" s="355"/>
      <c r="G355" s="355"/>
      <c r="O355" s="356"/>
      <c r="P355" s="355"/>
      <c r="Q355" s="355"/>
      <c r="R355" s="355"/>
      <c r="S355" s="355"/>
      <c r="T355" s="355"/>
      <c r="U355" s="355"/>
      <c r="V355" s="355"/>
      <c r="W355" s="355"/>
      <c r="AG355" s="355"/>
      <c r="AH355" s="355"/>
      <c r="AI355" s="355"/>
      <c r="AJ355" s="355"/>
      <c r="AK355" s="355"/>
      <c r="AL355" s="355"/>
      <c r="AM355" s="355"/>
      <c r="AU355" s="379">
        <v>54558</v>
      </c>
      <c r="AV355" s="375"/>
      <c r="AW355" s="375"/>
      <c r="AX355" s="375"/>
      <c r="AY355" s="375"/>
      <c r="AZ355" s="375"/>
      <c r="BA355" s="375"/>
      <c r="BB355" s="375"/>
      <c r="BC355" s="375"/>
      <c r="BD355" s="375"/>
      <c r="BE355" s="375"/>
      <c r="BF355" s="375">
        <v>7.1249999999999994E-2</v>
      </c>
      <c r="BG355" s="375"/>
      <c r="BH355" s="375"/>
      <c r="BI355" s="373">
        <f t="shared" si="31"/>
        <v>7.1249999999999994E-2</v>
      </c>
      <c r="BT355" s="355"/>
      <c r="BU355" s="355"/>
      <c r="BV355" s="355"/>
      <c r="BW355" s="355"/>
    </row>
    <row r="356" spans="1:75" x14ac:dyDescent="0.15">
      <c r="A356" s="356"/>
      <c r="B356" s="355"/>
      <c r="C356" s="355"/>
      <c r="D356" s="355"/>
      <c r="E356" s="355"/>
      <c r="F356" s="355"/>
      <c r="G356" s="355"/>
      <c r="O356" s="356"/>
      <c r="P356" s="355"/>
      <c r="Q356" s="355"/>
      <c r="R356" s="355"/>
      <c r="S356" s="355"/>
      <c r="T356" s="355"/>
      <c r="U356" s="355"/>
      <c r="V356" s="355"/>
      <c r="W356" s="355"/>
      <c r="AG356" s="355"/>
      <c r="AH356" s="355"/>
      <c r="AI356" s="355"/>
      <c r="AJ356" s="355"/>
      <c r="AK356" s="355"/>
      <c r="AL356" s="355"/>
      <c r="AM356" s="355"/>
      <c r="AU356" s="379">
        <v>54589</v>
      </c>
      <c r="AV356" s="375"/>
      <c r="AW356" s="375"/>
      <c r="AX356" s="375"/>
      <c r="AY356" s="375"/>
      <c r="AZ356" s="375"/>
      <c r="BA356" s="375"/>
      <c r="BB356" s="375"/>
      <c r="BC356" s="375"/>
      <c r="BD356" s="375"/>
      <c r="BE356" s="375"/>
      <c r="BF356" s="375">
        <v>7.1249999999999994E-2</v>
      </c>
      <c r="BG356" s="375"/>
      <c r="BH356" s="375"/>
      <c r="BI356" s="373">
        <f t="shared" si="31"/>
        <v>7.1249999999999994E-2</v>
      </c>
      <c r="BT356" s="355"/>
      <c r="BU356" s="355"/>
      <c r="BV356" s="355"/>
      <c r="BW356" s="355"/>
    </row>
    <row r="357" spans="1:75" x14ac:dyDescent="0.15">
      <c r="A357" s="356"/>
      <c r="B357" s="355"/>
      <c r="C357" s="355"/>
      <c r="D357" s="355"/>
      <c r="E357" s="355"/>
      <c r="F357" s="355"/>
      <c r="G357" s="355"/>
      <c r="O357" s="356"/>
      <c r="P357" s="355"/>
      <c r="Q357" s="355"/>
      <c r="R357" s="355"/>
      <c r="S357" s="355"/>
      <c r="T357" s="355"/>
      <c r="U357" s="355"/>
      <c r="V357" s="355"/>
      <c r="W357" s="355"/>
      <c r="AG357" s="355"/>
      <c r="AH357" s="355"/>
      <c r="AI357" s="355"/>
      <c r="AJ357" s="355"/>
      <c r="AK357" s="355"/>
      <c r="AL357" s="355"/>
      <c r="AM357" s="355"/>
      <c r="AU357" s="379">
        <v>54619</v>
      </c>
      <c r="AV357" s="375"/>
      <c r="AW357" s="375"/>
      <c r="AX357" s="375"/>
      <c r="AY357" s="375"/>
      <c r="AZ357" s="375"/>
      <c r="BA357" s="375"/>
      <c r="BB357" s="375"/>
      <c r="BC357" s="375"/>
      <c r="BD357" s="375"/>
      <c r="BE357" s="375"/>
      <c r="BF357" s="375">
        <v>7.1249999999999994E-2</v>
      </c>
      <c r="BG357" s="375"/>
      <c r="BH357" s="375"/>
      <c r="BI357" s="373">
        <f t="shared" si="31"/>
        <v>7.1249999999999994E-2</v>
      </c>
      <c r="BT357" s="355"/>
      <c r="BU357" s="355"/>
      <c r="BV357" s="355"/>
      <c r="BW357" s="355"/>
    </row>
    <row r="358" spans="1:75" x14ac:dyDescent="0.15">
      <c r="A358" s="356"/>
      <c r="B358" s="355"/>
      <c r="C358" s="355"/>
      <c r="D358" s="355"/>
      <c r="E358" s="355"/>
      <c r="F358" s="355"/>
      <c r="G358" s="355"/>
      <c r="O358" s="356"/>
      <c r="P358" s="355"/>
      <c r="Q358" s="355"/>
      <c r="R358" s="355"/>
      <c r="S358" s="355"/>
      <c r="T358" s="355"/>
      <c r="U358" s="355"/>
      <c r="V358" s="355"/>
      <c r="W358" s="355"/>
      <c r="AG358" s="355"/>
      <c r="AH358" s="355"/>
      <c r="AI358" s="355"/>
      <c r="AJ358" s="355"/>
      <c r="AK358" s="355"/>
      <c r="AL358" s="355"/>
      <c r="AM358" s="355"/>
      <c r="AU358" s="379">
        <v>54650</v>
      </c>
      <c r="AV358" s="375"/>
      <c r="AW358" s="375"/>
      <c r="AX358" s="375"/>
      <c r="AY358" s="375"/>
      <c r="AZ358" s="375"/>
      <c r="BA358" s="375"/>
      <c r="BB358" s="375"/>
      <c r="BC358" s="375"/>
      <c r="BD358" s="375"/>
      <c r="BE358" s="375"/>
      <c r="BF358" s="375">
        <v>7.1249999999999994E-2</v>
      </c>
      <c r="BG358" s="375"/>
      <c r="BH358" s="375"/>
      <c r="BI358" s="373">
        <f t="shared" si="31"/>
        <v>7.1249999999999994E-2</v>
      </c>
      <c r="BT358" s="355"/>
      <c r="BU358" s="355"/>
      <c r="BV358" s="355"/>
      <c r="BW358" s="355"/>
    </row>
    <row r="359" spans="1:75" x14ac:dyDescent="0.15">
      <c r="A359" s="356"/>
      <c r="B359" s="355"/>
      <c r="C359" s="355"/>
      <c r="D359" s="355"/>
      <c r="E359" s="355"/>
      <c r="F359" s="355"/>
      <c r="G359" s="355"/>
      <c r="O359" s="356"/>
      <c r="P359" s="355"/>
      <c r="Q359" s="355"/>
      <c r="R359" s="355"/>
      <c r="S359" s="355"/>
      <c r="T359" s="355"/>
      <c r="U359" s="355"/>
      <c r="V359" s="355"/>
      <c r="W359" s="355"/>
      <c r="AG359" s="355"/>
      <c r="AH359" s="355"/>
      <c r="AI359" s="355"/>
      <c r="AJ359" s="355"/>
      <c r="AK359" s="355"/>
      <c r="AL359" s="355"/>
      <c r="AM359" s="355"/>
      <c r="AU359" s="379">
        <v>54681</v>
      </c>
      <c r="AV359" s="375"/>
      <c r="AW359" s="375"/>
      <c r="AX359" s="375"/>
      <c r="AY359" s="375"/>
      <c r="AZ359" s="375"/>
      <c r="BA359" s="375"/>
      <c r="BB359" s="375"/>
      <c r="BC359" s="375"/>
      <c r="BD359" s="375"/>
      <c r="BE359" s="375"/>
      <c r="BF359" s="375">
        <v>7.1249999999999994E-2</v>
      </c>
      <c r="BG359" s="375"/>
      <c r="BH359" s="375"/>
      <c r="BI359" s="373">
        <f t="shared" si="31"/>
        <v>7.1249999999999994E-2</v>
      </c>
      <c r="BT359" s="355"/>
      <c r="BU359" s="355"/>
      <c r="BV359" s="355"/>
      <c r="BW359" s="355"/>
    </row>
    <row r="360" spans="1:75" x14ac:dyDescent="0.15">
      <c r="A360" s="356"/>
      <c r="B360" s="355"/>
      <c r="C360" s="355"/>
      <c r="D360" s="355"/>
      <c r="E360" s="355"/>
      <c r="F360" s="355"/>
      <c r="G360" s="355"/>
      <c r="O360" s="356"/>
      <c r="P360" s="355"/>
      <c r="Q360" s="355"/>
      <c r="R360" s="355"/>
      <c r="S360" s="355"/>
      <c r="T360" s="355"/>
      <c r="U360" s="355"/>
      <c r="V360" s="355"/>
      <c r="W360" s="355"/>
      <c r="AG360" s="355"/>
      <c r="AH360" s="355"/>
      <c r="AI360" s="355"/>
      <c r="AJ360" s="355"/>
      <c r="AK360" s="355"/>
      <c r="AL360" s="355"/>
      <c r="AM360" s="355"/>
      <c r="AU360" s="379">
        <v>54711</v>
      </c>
      <c r="AV360" s="375"/>
      <c r="AW360" s="375"/>
      <c r="AX360" s="375"/>
      <c r="AY360" s="375"/>
      <c r="AZ360" s="375"/>
      <c r="BA360" s="375"/>
      <c r="BB360" s="375"/>
      <c r="BC360" s="375"/>
      <c r="BD360" s="375"/>
      <c r="BE360" s="375"/>
      <c r="BF360" s="375">
        <v>7.1249999999999994E-2</v>
      </c>
      <c r="BG360" s="375"/>
      <c r="BH360" s="375"/>
      <c r="BI360" s="373">
        <f t="shared" si="31"/>
        <v>7.1249999999999994E-2</v>
      </c>
      <c r="BT360" s="355"/>
      <c r="BU360" s="355"/>
      <c r="BV360" s="355"/>
      <c r="BW360" s="355"/>
    </row>
    <row r="361" spans="1:75" x14ac:dyDescent="0.15">
      <c r="A361" s="356"/>
      <c r="B361" s="355"/>
      <c r="C361" s="355"/>
      <c r="D361" s="355"/>
      <c r="E361" s="355"/>
      <c r="F361" s="355"/>
      <c r="G361" s="355"/>
      <c r="O361" s="356"/>
      <c r="P361" s="355"/>
      <c r="Q361" s="355"/>
      <c r="R361" s="355"/>
      <c r="S361" s="355"/>
      <c r="T361" s="355"/>
      <c r="U361" s="355"/>
      <c r="V361" s="355"/>
      <c r="W361" s="355"/>
      <c r="AG361" s="355"/>
      <c r="AH361" s="355"/>
      <c r="AI361" s="355"/>
      <c r="AJ361" s="355"/>
      <c r="AK361" s="355"/>
      <c r="AL361" s="355"/>
      <c r="AM361" s="355"/>
      <c r="AU361" s="379">
        <v>54742</v>
      </c>
      <c r="AV361" s="375"/>
      <c r="AW361" s="375"/>
      <c r="AX361" s="375"/>
      <c r="AY361" s="375"/>
      <c r="AZ361" s="375"/>
      <c r="BA361" s="375"/>
      <c r="BB361" s="375"/>
      <c r="BC361" s="375"/>
      <c r="BD361" s="375"/>
      <c r="BE361" s="375"/>
      <c r="BF361" s="375">
        <v>7.1249999999999994E-2</v>
      </c>
      <c r="BG361" s="375"/>
      <c r="BH361" s="375"/>
      <c r="BI361" s="373">
        <f t="shared" si="31"/>
        <v>7.1249999999999994E-2</v>
      </c>
      <c r="BT361" s="355"/>
      <c r="BU361" s="355"/>
      <c r="BV361" s="355"/>
      <c r="BW361" s="355"/>
    </row>
    <row r="362" spans="1:75" x14ac:dyDescent="0.15">
      <c r="A362" s="356"/>
      <c r="B362" s="355"/>
      <c r="C362" s="355"/>
      <c r="D362" s="355"/>
      <c r="E362" s="355"/>
      <c r="F362" s="355"/>
      <c r="G362" s="355"/>
      <c r="O362" s="356"/>
      <c r="P362" s="355"/>
      <c r="Q362" s="355"/>
      <c r="R362" s="355"/>
      <c r="S362" s="355"/>
      <c r="T362" s="355"/>
      <c r="U362" s="355"/>
      <c r="V362" s="355"/>
      <c r="W362" s="355"/>
      <c r="AG362" s="355"/>
      <c r="AH362" s="355"/>
      <c r="AI362" s="355"/>
      <c r="AJ362" s="355"/>
      <c r="AK362" s="355"/>
      <c r="AL362" s="355"/>
      <c r="AM362" s="355"/>
      <c r="AU362" s="379">
        <v>54772</v>
      </c>
      <c r="AV362" s="375"/>
      <c r="AW362" s="375"/>
      <c r="AX362" s="375"/>
      <c r="AY362" s="375"/>
      <c r="AZ362" s="375"/>
      <c r="BA362" s="375"/>
      <c r="BB362" s="375"/>
      <c r="BC362" s="375"/>
      <c r="BD362" s="375"/>
      <c r="BE362" s="375"/>
      <c r="BF362" s="375">
        <v>7.1249999999999994E-2</v>
      </c>
      <c r="BG362" s="375"/>
      <c r="BH362" s="375"/>
      <c r="BI362" s="373">
        <f t="shared" si="31"/>
        <v>7.1249999999999994E-2</v>
      </c>
      <c r="BT362" s="355"/>
      <c r="BU362" s="355"/>
      <c r="BV362" s="355"/>
      <c r="BW362" s="355"/>
    </row>
    <row r="363" spans="1:75" x14ac:dyDescent="0.15">
      <c r="A363" s="356"/>
      <c r="B363" s="355"/>
      <c r="C363" s="355"/>
      <c r="D363" s="355"/>
      <c r="E363" s="355"/>
      <c r="F363" s="355"/>
      <c r="G363" s="355"/>
      <c r="O363" s="356"/>
      <c r="P363" s="355"/>
      <c r="Q363" s="355"/>
      <c r="R363" s="355"/>
      <c r="S363" s="355"/>
      <c r="T363" s="355"/>
      <c r="U363" s="355"/>
      <c r="V363" s="355"/>
      <c r="W363" s="355"/>
      <c r="AG363" s="355"/>
      <c r="AH363" s="355"/>
      <c r="AI363" s="355"/>
      <c r="AJ363" s="355"/>
      <c r="AK363" s="355"/>
      <c r="AL363" s="355"/>
      <c r="AM363" s="355"/>
      <c r="AU363" s="379">
        <v>54803</v>
      </c>
      <c r="AV363" s="375"/>
      <c r="AW363" s="375"/>
      <c r="AX363" s="375"/>
      <c r="AY363" s="375"/>
      <c r="AZ363" s="375"/>
      <c r="BA363" s="375"/>
      <c r="BB363" s="375"/>
      <c r="BC363" s="375"/>
      <c r="BD363" s="375"/>
      <c r="BE363" s="375"/>
      <c r="BF363" s="375">
        <v>7.1249999999999994E-2</v>
      </c>
      <c r="BG363" s="375"/>
      <c r="BH363" s="375"/>
      <c r="BI363" s="373">
        <f t="shared" si="31"/>
        <v>7.1249999999999994E-2</v>
      </c>
      <c r="BT363" s="355"/>
      <c r="BU363" s="355"/>
      <c r="BV363" s="355"/>
      <c r="BW363" s="355"/>
    </row>
    <row r="364" spans="1:75" x14ac:dyDescent="0.15">
      <c r="A364" s="356"/>
      <c r="B364" s="355"/>
      <c r="C364" s="355"/>
      <c r="D364" s="355"/>
      <c r="E364" s="355"/>
      <c r="F364" s="355"/>
      <c r="G364" s="355"/>
      <c r="O364" s="356"/>
      <c r="P364" s="355"/>
      <c r="Q364" s="355"/>
      <c r="R364" s="355"/>
      <c r="S364" s="355"/>
      <c r="T364" s="355"/>
      <c r="U364" s="355"/>
      <c r="V364" s="355"/>
      <c r="W364" s="355"/>
      <c r="AG364" s="355"/>
      <c r="AH364" s="355"/>
      <c r="AI364" s="355"/>
      <c r="AJ364" s="355"/>
      <c r="AK364" s="355"/>
      <c r="AL364" s="355"/>
      <c r="AM364" s="355"/>
      <c r="AU364" s="379">
        <v>54834</v>
      </c>
      <c r="AV364" s="375"/>
      <c r="AW364" s="375"/>
      <c r="AX364" s="375"/>
      <c r="AY364" s="375"/>
      <c r="AZ364" s="375"/>
      <c r="BA364" s="375"/>
      <c r="BB364" s="375"/>
      <c r="BC364" s="375"/>
      <c r="BD364" s="375"/>
      <c r="BE364" s="375"/>
      <c r="BF364" s="375">
        <v>7.1249999999999994E-2</v>
      </c>
      <c r="BG364" s="375"/>
      <c r="BH364" s="375"/>
      <c r="BI364" s="373">
        <f t="shared" si="31"/>
        <v>7.1249999999999994E-2</v>
      </c>
      <c r="BT364" s="355"/>
      <c r="BU364" s="355"/>
      <c r="BV364" s="355"/>
      <c r="BW364" s="355"/>
    </row>
    <row r="365" spans="1:75" x14ac:dyDescent="0.15">
      <c r="A365" s="356"/>
      <c r="B365" s="355"/>
      <c r="C365" s="355"/>
      <c r="D365" s="355"/>
      <c r="E365" s="355"/>
      <c r="F365" s="355"/>
      <c r="G365" s="355"/>
      <c r="O365" s="356"/>
      <c r="P365" s="355"/>
      <c r="Q365" s="355"/>
      <c r="R365" s="355"/>
      <c r="S365" s="355"/>
      <c r="T365" s="355"/>
      <c r="U365" s="355"/>
      <c r="V365" s="355"/>
      <c r="W365" s="355"/>
      <c r="AG365" s="355"/>
      <c r="AH365" s="355"/>
      <c r="AI365" s="355"/>
      <c r="AJ365" s="355"/>
      <c r="AK365" s="355"/>
      <c r="AL365" s="355"/>
      <c r="AM365" s="355"/>
      <c r="AU365" s="379">
        <v>54862</v>
      </c>
      <c r="AV365" s="375"/>
      <c r="AW365" s="375"/>
      <c r="AX365" s="375"/>
      <c r="AY365" s="375"/>
      <c r="AZ365" s="375"/>
      <c r="BA365" s="375"/>
      <c r="BB365" s="375"/>
      <c r="BC365" s="375"/>
      <c r="BD365" s="375"/>
      <c r="BE365" s="375"/>
      <c r="BF365" s="375">
        <v>7.1249999999999994E-2</v>
      </c>
      <c r="BG365" s="375"/>
      <c r="BH365" s="375"/>
      <c r="BI365" s="373">
        <f t="shared" si="31"/>
        <v>7.1249999999999994E-2</v>
      </c>
      <c r="BT365" s="355"/>
      <c r="BU365" s="355"/>
      <c r="BV365" s="355"/>
      <c r="BW365" s="355"/>
    </row>
    <row r="366" spans="1:75" x14ac:dyDescent="0.15">
      <c r="A366" s="356"/>
      <c r="B366" s="355"/>
      <c r="C366" s="355"/>
      <c r="D366" s="355"/>
      <c r="E366" s="355"/>
      <c r="F366" s="355"/>
      <c r="G366" s="355"/>
      <c r="O366" s="356"/>
      <c r="P366" s="355"/>
      <c r="Q366" s="355"/>
      <c r="R366" s="355"/>
      <c r="S366" s="355"/>
      <c r="T366" s="355"/>
      <c r="U366" s="355"/>
      <c r="V366" s="355"/>
      <c r="W366" s="355"/>
      <c r="AG366" s="355"/>
      <c r="AH366" s="355"/>
      <c r="AI366" s="355"/>
      <c r="AJ366" s="355"/>
      <c r="AK366" s="355"/>
      <c r="AL366" s="355"/>
      <c r="AM366" s="355"/>
      <c r="AU366" s="379">
        <v>54893</v>
      </c>
      <c r="AV366" s="375"/>
      <c r="AW366" s="375"/>
      <c r="AX366" s="375"/>
      <c r="AY366" s="375"/>
      <c r="AZ366" s="375"/>
      <c r="BA366" s="375"/>
      <c r="BB366" s="375"/>
      <c r="BC366" s="375"/>
      <c r="BD366" s="375"/>
      <c r="BE366" s="375"/>
      <c r="BF366" s="375">
        <v>7.1249999999999994E-2</v>
      </c>
      <c r="BG366" s="375"/>
      <c r="BH366" s="375"/>
      <c r="BI366" s="373">
        <f t="shared" si="31"/>
        <v>7.1249999999999994E-2</v>
      </c>
      <c r="BT366" s="355"/>
      <c r="BU366" s="355"/>
      <c r="BV366" s="355"/>
      <c r="BW366" s="355"/>
    </row>
    <row r="367" spans="1:75" x14ac:dyDescent="0.15">
      <c r="A367" s="356"/>
      <c r="B367" s="355"/>
      <c r="C367" s="355"/>
      <c r="D367" s="355"/>
      <c r="E367" s="355"/>
      <c r="F367" s="355"/>
      <c r="G367" s="355"/>
      <c r="O367" s="356"/>
      <c r="P367" s="355"/>
      <c r="Q367" s="355"/>
      <c r="R367" s="355"/>
      <c r="S367" s="355"/>
      <c r="T367" s="355"/>
      <c r="U367" s="355"/>
      <c r="V367" s="355"/>
      <c r="W367" s="355"/>
      <c r="AG367" s="355"/>
      <c r="AH367" s="355"/>
      <c r="AI367" s="355"/>
      <c r="AJ367" s="355"/>
      <c r="AK367" s="355"/>
      <c r="AL367" s="355"/>
      <c r="AM367" s="355"/>
      <c r="AU367" s="379">
        <v>54923</v>
      </c>
      <c r="AV367" s="375"/>
      <c r="AW367" s="375"/>
      <c r="AX367" s="375"/>
      <c r="AY367" s="375"/>
      <c r="AZ367" s="375"/>
      <c r="BA367" s="375"/>
      <c r="BB367" s="375"/>
      <c r="BC367" s="375"/>
      <c r="BD367" s="375"/>
      <c r="BE367" s="375"/>
      <c r="BF367" s="375">
        <v>7.1249999999999994E-2</v>
      </c>
      <c r="BG367" s="375"/>
      <c r="BH367" s="375"/>
      <c r="BI367" s="373">
        <f t="shared" si="31"/>
        <v>7.1249999999999994E-2</v>
      </c>
      <c r="BT367" s="355"/>
      <c r="BU367" s="355"/>
      <c r="BV367" s="355"/>
      <c r="BW367" s="355"/>
    </row>
    <row r="368" spans="1:75" x14ac:dyDescent="0.15">
      <c r="A368" s="356"/>
      <c r="B368" s="355"/>
      <c r="C368" s="355"/>
      <c r="D368" s="355"/>
      <c r="E368" s="355"/>
      <c r="F368" s="355"/>
      <c r="G368" s="355"/>
      <c r="O368" s="356"/>
      <c r="P368" s="355"/>
      <c r="Q368" s="355"/>
      <c r="R368" s="355"/>
      <c r="S368" s="355"/>
      <c r="T368" s="355"/>
      <c r="U368" s="355"/>
      <c r="V368" s="355"/>
      <c r="W368" s="355"/>
      <c r="AG368" s="355"/>
      <c r="AH368" s="355"/>
      <c r="AI368" s="355"/>
      <c r="AJ368" s="355"/>
      <c r="AK368" s="355"/>
      <c r="AL368" s="355"/>
      <c r="AM368" s="355"/>
      <c r="AU368" s="379">
        <v>54954</v>
      </c>
      <c r="AV368" s="375"/>
      <c r="AW368" s="375"/>
      <c r="AX368" s="375"/>
      <c r="AY368" s="375"/>
      <c r="AZ368" s="375"/>
      <c r="BA368" s="375"/>
      <c r="BB368" s="375"/>
      <c r="BC368" s="375"/>
      <c r="BD368" s="375"/>
      <c r="BE368" s="375"/>
      <c r="BF368" s="375">
        <v>7.1249999999999994E-2</v>
      </c>
      <c r="BG368" s="375"/>
      <c r="BH368" s="375"/>
      <c r="BI368" s="373">
        <f t="shared" si="31"/>
        <v>7.1249999999999994E-2</v>
      </c>
      <c r="BT368" s="355"/>
      <c r="BU368" s="355"/>
      <c r="BV368" s="355"/>
      <c r="BW368" s="355"/>
    </row>
    <row r="369" spans="1:75" x14ac:dyDescent="0.15">
      <c r="A369" s="356"/>
      <c r="B369" s="355"/>
      <c r="C369" s="355"/>
      <c r="D369" s="355"/>
      <c r="E369" s="355"/>
      <c r="F369" s="355"/>
      <c r="G369" s="355"/>
      <c r="O369" s="356"/>
      <c r="P369" s="355"/>
      <c r="Q369" s="355"/>
      <c r="R369" s="355"/>
      <c r="S369" s="355"/>
      <c r="T369" s="355"/>
      <c r="U369" s="355"/>
      <c r="V369" s="355"/>
      <c r="W369" s="355"/>
      <c r="AG369" s="355"/>
      <c r="AH369" s="355"/>
      <c r="AI369" s="355"/>
      <c r="AJ369" s="355"/>
      <c r="AK369" s="355"/>
      <c r="AL369" s="355"/>
      <c r="AM369" s="355"/>
      <c r="AU369" s="379">
        <v>54984</v>
      </c>
      <c r="AV369" s="375"/>
      <c r="AW369" s="375"/>
      <c r="AX369" s="375"/>
      <c r="AY369" s="375"/>
      <c r="AZ369" s="375"/>
      <c r="BA369" s="375"/>
      <c r="BB369" s="375"/>
      <c r="BC369" s="375"/>
      <c r="BD369" s="375"/>
      <c r="BE369" s="375"/>
      <c r="BF369" s="375">
        <v>7.1249999999999994E-2</v>
      </c>
      <c r="BG369" s="375"/>
      <c r="BH369" s="375"/>
      <c r="BI369" s="373">
        <f t="shared" si="31"/>
        <v>7.1249999999999994E-2</v>
      </c>
      <c r="BT369" s="355"/>
      <c r="BU369" s="355"/>
      <c r="BV369" s="355"/>
      <c r="BW369" s="355"/>
    </row>
    <row r="370" spans="1:75" x14ac:dyDescent="0.15">
      <c r="A370" s="356"/>
      <c r="B370" s="355"/>
      <c r="C370" s="355"/>
      <c r="D370" s="355"/>
      <c r="E370" s="355"/>
      <c r="F370" s="355"/>
      <c r="G370" s="355"/>
      <c r="O370" s="356"/>
      <c r="P370" s="355"/>
      <c r="Q370" s="355"/>
      <c r="R370" s="355"/>
      <c r="S370" s="355"/>
      <c r="T370" s="355"/>
      <c r="U370" s="355"/>
      <c r="V370" s="355"/>
      <c r="W370" s="355"/>
      <c r="AG370" s="355"/>
      <c r="AH370" s="355"/>
      <c r="AI370" s="355"/>
      <c r="AJ370" s="355"/>
      <c r="AK370" s="355"/>
      <c r="AL370" s="355"/>
      <c r="AM370" s="355"/>
      <c r="AU370" s="379">
        <v>55015</v>
      </c>
      <c r="AV370" s="375"/>
      <c r="AW370" s="375"/>
      <c r="AX370" s="375"/>
      <c r="AY370" s="375"/>
      <c r="AZ370" s="375"/>
      <c r="BA370" s="375"/>
      <c r="BB370" s="375"/>
      <c r="BC370" s="375"/>
      <c r="BD370" s="375"/>
      <c r="BE370" s="375"/>
      <c r="BF370" s="375">
        <v>7.1249999999999994E-2</v>
      </c>
      <c r="BG370" s="375"/>
      <c r="BH370" s="375"/>
      <c r="BI370" s="373">
        <f t="shared" si="31"/>
        <v>7.1249999999999994E-2</v>
      </c>
      <c r="BT370" s="355"/>
      <c r="BU370" s="355"/>
      <c r="BV370" s="355"/>
      <c r="BW370" s="355"/>
    </row>
    <row r="371" spans="1:75" x14ac:dyDescent="0.15">
      <c r="A371" s="356"/>
      <c r="B371" s="355"/>
      <c r="C371" s="355"/>
      <c r="D371" s="355"/>
      <c r="E371" s="355"/>
      <c r="F371" s="355"/>
      <c r="G371" s="355"/>
      <c r="O371" s="356"/>
      <c r="P371" s="355"/>
      <c r="Q371" s="355"/>
      <c r="R371" s="355"/>
      <c r="S371" s="355"/>
      <c r="T371" s="355"/>
      <c r="U371" s="355"/>
      <c r="V371" s="355"/>
      <c r="W371" s="355"/>
      <c r="AG371" s="355"/>
      <c r="AH371" s="355"/>
      <c r="AI371" s="355"/>
      <c r="AJ371" s="355"/>
      <c r="AK371" s="355"/>
      <c r="AL371" s="355"/>
      <c r="AM371" s="355"/>
      <c r="AU371" s="379">
        <v>55046</v>
      </c>
      <c r="AV371" s="375"/>
      <c r="AW371" s="375"/>
      <c r="AX371" s="375"/>
      <c r="AY371" s="375"/>
      <c r="AZ371" s="375"/>
      <c r="BA371" s="375"/>
      <c r="BB371" s="375"/>
      <c r="BC371" s="375"/>
      <c r="BD371" s="375"/>
      <c r="BE371" s="375"/>
      <c r="BF371" s="375">
        <v>7.1249999999999994E-2</v>
      </c>
      <c r="BG371" s="375"/>
      <c r="BH371" s="375"/>
      <c r="BI371" s="373">
        <f t="shared" si="31"/>
        <v>7.1249999999999994E-2</v>
      </c>
      <c r="BT371" s="355"/>
      <c r="BU371" s="355"/>
      <c r="BV371" s="355"/>
      <c r="BW371" s="355"/>
    </row>
    <row r="372" spans="1:75" x14ac:dyDescent="0.15">
      <c r="A372" s="356"/>
      <c r="B372" s="355"/>
      <c r="C372" s="355"/>
      <c r="D372" s="355"/>
      <c r="E372" s="355"/>
      <c r="F372" s="355"/>
      <c r="G372" s="355"/>
      <c r="O372" s="356"/>
      <c r="P372" s="355"/>
      <c r="Q372" s="355"/>
      <c r="R372" s="355"/>
      <c r="S372" s="355"/>
      <c r="T372" s="355"/>
      <c r="U372" s="355"/>
      <c r="V372" s="355"/>
      <c r="W372" s="355"/>
      <c r="AG372" s="355"/>
      <c r="AH372" s="355"/>
      <c r="AI372" s="355"/>
      <c r="AJ372" s="355"/>
      <c r="AK372" s="355"/>
      <c r="AL372" s="355"/>
      <c r="AM372" s="355"/>
      <c r="AU372" s="379">
        <v>55076</v>
      </c>
      <c r="AV372" s="375"/>
      <c r="AW372" s="375"/>
      <c r="AX372" s="375"/>
      <c r="AY372" s="375"/>
      <c r="AZ372" s="375"/>
      <c r="BA372" s="375"/>
      <c r="BB372" s="375"/>
      <c r="BC372" s="375"/>
      <c r="BD372" s="375"/>
      <c r="BE372" s="375"/>
      <c r="BF372" s="375">
        <v>7.1249999999999994E-2</v>
      </c>
      <c r="BG372" s="375"/>
      <c r="BH372" s="375"/>
      <c r="BI372" s="373">
        <f t="shared" si="31"/>
        <v>7.1249999999999994E-2</v>
      </c>
      <c r="BT372" s="355"/>
      <c r="BU372" s="355"/>
      <c r="BV372" s="355"/>
      <c r="BW372" s="355"/>
    </row>
    <row r="373" spans="1:75" x14ac:dyDescent="0.15">
      <c r="A373" s="356"/>
      <c r="B373" s="355"/>
      <c r="C373" s="355"/>
      <c r="D373" s="355"/>
      <c r="E373" s="355"/>
      <c r="F373" s="355"/>
      <c r="G373" s="355"/>
      <c r="O373" s="356"/>
      <c r="P373" s="355"/>
      <c r="Q373" s="355"/>
      <c r="R373" s="355"/>
      <c r="S373" s="355"/>
      <c r="T373" s="355"/>
      <c r="U373" s="355"/>
      <c r="V373" s="355"/>
      <c r="W373" s="355"/>
      <c r="AG373" s="355"/>
      <c r="AH373" s="355"/>
      <c r="AI373" s="355"/>
      <c r="AJ373" s="355"/>
      <c r="AK373" s="355"/>
      <c r="AL373" s="355"/>
      <c r="AM373" s="355"/>
      <c r="AU373" s="379">
        <v>55107</v>
      </c>
      <c r="AV373" s="375"/>
      <c r="AW373" s="375"/>
      <c r="AX373" s="375"/>
      <c r="AY373" s="375"/>
      <c r="AZ373" s="375"/>
      <c r="BA373" s="375"/>
      <c r="BB373" s="375"/>
      <c r="BC373" s="375"/>
      <c r="BD373" s="375"/>
      <c r="BE373" s="375"/>
      <c r="BF373" s="375">
        <v>7.1249999999999994E-2</v>
      </c>
      <c r="BG373" s="375"/>
      <c r="BH373" s="375"/>
      <c r="BI373" s="373">
        <f t="shared" si="31"/>
        <v>7.1249999999999994E-2</v>
      </c>
      <c r="BT373" s="355"/>
      <c r="BU373" s="355"/>
      <c r="BV373" s="355"/>
      <c r="BW373" s="355"/>
    </row>
    <row r="374" spans="1:75" x14ac:dyDescent="0.15">
      <c r="A374" s="356"/>
      <c r="B374" s="355"/>
      <c r="C374" s="355"/>
      <c r="D374" s="355"/>
      <c r="E374" s="355"/>
      <c r="F374" s="355"/>
      <c r="G374" s="355"/>
      <c r="O374" s="356"/>
      <c r="P374" s="355"/>
      <c r="Q374" s="355"/>
      <c r="R374" s="355"/>
      <c r="S374" s="355"/>
      <c r="T374" s="355"/>
      <c r="U374" s="355"/>
      <c r="V374" s="355"/>
      <c r="W374" s="355"/>
      <c r="AG374" s="355"/>
      <c r="AH374" s="355"/>
      <c r="AI374" s="355"/>
      <c r="AJ374" s="355"/>
      <c r="AK374" s="355"/>
      <c r="AL374" s="355"/>
      <c r="AM374" s="355"/>
      <c r="AU374" s="379">
        <v>55137</v>
      </c>
      <c r="AV374" s="375"/>
      <c r="AW374" s="375"/>
      <c r="AX374" s="375"/>
      <c r="AY374" s="375"/>
      <c r="AZ374" s="375"/>
      <c r="BA374" s="375"/>
      <c r="BB374" s="375"/>
      <c r="BC374" s="375"/>
      <c r="BD374" s="375"/>
      <c r="BE374" s="375"/>
      <c r="BF374" s="375">
        <v>7.1249999999999994E-2</v>
      </c>
      <c r="BG374" s="375"/>
      <c r="BH374" s="375"/>
      <c r="BI374" s="373">
        <f t="shared" si="31"/>
        <v>7.1249999999999994E-2</v>
      </c>
      <c r="BT374" s="355"/>
      <c r="BU374" s="355"/>
      <c r="BV374" s="355"/>
      <c r="BW374" s="355"/>
    </row>
    <row r="375" spans="1:75" x14ac:dyDescent="0.15">
      <c r="A375" s="356"/>
      <c r="B375" s="355"/>
      <c r="C375" s="355"/>
      <c r="D375" s="355"/>
      <c r="E375" s="355"/>
      <c r="F375" s="355"/>
      <c r="G375" s="355"/>
      <c r="O375" s="356"/>
      <c r="P375" s="355"/>
      <c r="Q375" s="355"/>
      <c r="R375" s="355"/>
      <c r="S375" s="355"/>
      <c r="T375" s="355"/>
      <c r="U375" s="355"/>
      <c r="V375" s="355"/>
      <c r="W375" s="355"/>
      <c r="AG375" s="355"/>
      <c r="AH375" s="355"/>
      <c r="AI375" s="355"/>
      <c r="AJ375" s="355"/>
      <c r="AK375" s="355"/>
      <c r="AL375" s="355"/>
      <c r="AM375" s="355"/>
      <c r="AU375" s="379">
        <v>55168</v>
      </c>
      <c r="AV375" s="375"/>
      <c r="AW375" s="375"/>
      <c r="AX375" s="375"/>
      <c r="AY375" s="375"/>
      <c r="AZ375" s="375"/>
      <c r="BA375" s="375"/>
      <c r="BB375" s="375"/>
      <c r="BC375" s="375"/>
      <c r="BD375" s="375"/>
      <c r="BE375" s="375"/>
      <c r="BF375" s="375">
        <v>7.1249999999999994E-2</v>
      </c>
      <c r="BG375" s="375"/>
      <c r="BH375" s="375"/>
      <c r="BI375" s="373">
        <f t="shared" si="31"/>
        <v>7.1249999999999994E-2</v>
      </c>
      <c r="BT375" s="355"/>
      <c r="BU375" s="355"/>
      <c r="BV375" s="355"/>
      <c r="BW375" s="355"/>
    </row>
    <row r="376" spans="1:75" x14ac:dyDescent="0.15">
      <c r="A376" s="356"/>
      <c r="B376" s="355"/>
      <c r="C376" s="355"/>
      <c r="D376" s="355"/>
      <c r="E376" s="355"/>
      <c r="F376" s="355"/>
      <c r="G376" s="355"/>
      <c r="O376" s="356"/>
      <c r="P376" s="355"/>
      <c r="Q376" s="355"/>
      <c r="R376" s="355"/>
      <c r="S376" s="355"/>
      <c r="T376" s="355"/>
      <c r="U376" s="355"/>
      <c r="V376" s="355"/>
      <c r="W376" s="355"/>
      <c r="AG376" s="355"/>
      <c r="AH376" s="355"/>
      <c r="AI376" s="355"/>
      <c r="AJ376" s="355"/>
      <c r="AK376" s="355"/>
      <c r="AL376" s="355"/>
      <c r="AM376" s="355"/>
      <c r="AU376" s="379">
        <v>55199</v>
      </c>
      <c r="AV376" s="375"/>
      <c r="AW376" s="375"/>
      <c r="AX376" s="375"/>
      <c r="AY376" s="375"/>
      <c r="AZ376" s="375"/>
      <c r="BA376" s="375"/>
      <c r="BB376" s="375"/>
      <c r="BC376" s="375"/>
      <c r="BD376" s="375"/>
      <c r="BE376" s="375"/>
      <c r="BF376" s="375">
        <v>7.1249999999999994E-2</v>
      </c>
      <c r="BG376" s="375"/>
      <c r="BH376" s="375"/>
      <c r="BI376" s="373">
        <f t="shared" si="31"/>
        <v>7.1249999999999994E-2</v>
      </c>
      <c r="BT376" s="355"/>
      <c r="BU376" s="355"/>
      <c r="BV376" s="355"/>
      <c r="BW376" s="355"/>
    </row>
    <row r="377" spans="1:75" x14ac:dyDescent="0.15">
      <c r="A377" s="356"/>
      <c r="B377" s="355"/>
      <c r="C377" s="355"/>
      <c r="D377" s="355"/>
      <c r="E377" s="355"/>
      <c r="F377" s="355"/>
      <c r="G377" s="355"/>
      <c r="O377" s="356"/>
      <c r="P377" s="355"/>
      <c r="Q377" s="355"/>
      <c r="R377" s="355"/>
      <c r="S377" s="355"/>
      <c r="T377" s="355"/>
      <c r="U377" s="355"/>
      <c r="V377" s="355"/>
      <c r="W377" s="355"/>
      <c r="AG377" s="355"/>
      <c r="AH377" s="355"/>
      <c r="AI377" s="355"/>
      <c r="AJ377" s="355"/>
      <c r="AK377" s="355"/>
      <c r="AL377" s="355"/>
      <c r="AM377" s="355"/>
      <c r="AU377" s="379">
        <v>55227</v>
      </c>
      <c r="AV377" s="375"/>
      <c r="AW377" s="375"/>
      <c r="AX377" s="375"/>
      <c r="AY377" s="375"/>
      <c r="AZ377" s="375"/>
      <c r="BA377" s="375"/>
      <c r="BB377" s="375"/>
      <c r="BC377" s="375"/>
      <c r="BD377" s="375"/>
      <c r="BE377" s="375"/>
      <c r="BF377" s="375">
        <v>7.1249999999999994E-2</v>
      </c>
      <c r="BG377" s="375"/>
      <c r="BH377" s="375"/>
      <c r="BI377" s="373">
        <f t="shared" si="31"/>
        <v>7.1249999999999994E-2</v>
      </c>
      <c r="BT377" s="355"/>
      <c r="BU377" s="355"/>
      <c r="BV377" s="355"/>
      <c r="BW377" s="355"/>
    </row>
    <row r="378" spans="1:75" x14ac:dyDescent="0.15">
      <c r="A378" s="356"/>
      <c r="B378" s="355"/>
      <c r="C378" s="355"/>
      <c r="D378" s="355"/>
      <c r="E378" s="355"/>
      <c r="F378" s="355"/>
      <c r="G378" s="355"/>
      <c r="O378" s="356"/>
      <c r="P378" s="355"/>
      <c r="Q378" s="355"/>
      <c r="R378" s="355"/>
      <c r="S378" s="355"/>
      <c r="T378" s="355"/>
      <c r="U378" s="355"/>
      <c r="V378" s="355"/>
      <c r="W378" s="355"/>
      <c r="AG378" s="355"/>
      <c r="AH378" s="355"/>
      <c r="AI378" s="355"/>
      <c r="AJ378" s="355"/>
      <c r="AK378" s="355"/>
      <c r="AL378" s="355"/>
      <c r="AM378" s="355"/>
      <c r="AU378" s="379">
        <v>55258</v>
      </c>
      <c r="AV378" s="375"/>
      <c r="AW378" s="375"/>
      <c r="AX378" s="375"/>
      <c r="AY378" s="375"/>
      <c r="AZ378" s="375"/>
      <c r="BA378" s="375"/>
      <c r="BB378" s="375"/>
      <c r="BC378" s="375"/>
      <c r="BD378" s="375"/>
      <c r="BE378" s="375"/>
      <c r="BF378" s="375">
        <v>7.1249999999999994E-2</v>
      </c>
      <c r="BG378" s="375"/>
      <c r="BH378" s="375"/>
      <c r="BI378" s="373">
        <f t="shared" si="31"/>
        <v>7.1249999999999994E-2</v>
      </c>
      <c r="BT378" s="355"/>
      <c r="BU378" s="355"/>
      <c r="BV378" s="355"/>
      <c r="BW378" s="355"/>
    </row>
    <row r="379" spans="1:75" x14ac:dyDescent="0.15">
      <c r="A379" s="356"/>
      <c r="B379" s="355"/>
      <c r="C379" s="355"/>
      <c r="D379" s="355"/>
      <c r="E379" s="355"/>
      <c r="F379" s="355"/>
      <c r="G379" s="355"/>
      <c r="O379" s="356"/>
      <c r="P379" s="355"/>
      <c r="Q379" s="355"/>
      <c r="R379" s="355"/>
      <c r="S379" s="355"/>
      <c r="T379" s="355"/>
      <c r="U379" s="355"/>
      <c r="V379" s="355"/>
      <c r="W379" s="355"/>
      <c r="AG379" s="355"/>
      <c r="AH379" s="355"/>
      <c r="AI379" s="355"/>
      <c r="AJ379" s="355"/>
      <c r="AK379" s="355"/>
      <c r="AL379" s="355"/>
      <c r="AM379" s="355"/>
      <c r="AU379" s="379">
        <v>55288</v>
      </c>
      <c r="AV379" s="375"/>
      <c r="AW379" s="375"/>
      <c r="AX379" s="375"/>
      <c r="AY379" s="375"/>
      <c r="AZ379" s="375"/>
      <c r="BA379" s="375"/>
      <c r="BB379" s="375"/>
      <c r="BC379" s="375"/>
      <c r="BD379" s="375"/>
      <c r="BE379" s="375"/>
      <c r="BF379" s="375">
        <v>7.1249999999999994E-2</v>
      </c>
      <c r="BG379" s="375"/>
      <c r="BH379" s="375"/>
      <c r="BI379" s="373">
        <f t="shared" si="31"/>
        <v>7.1249999999999994E-2</v>
      </c>
      <c r="BT379" s="355"/>
      <c r="BU379" s="355"/>
      <c r="BV379" s="355"/>
      <c r="BW379" s="355"/>
    </row>
    <row r="380" spans="1:75" x14ac:dyDescent="0.15">
      <c r="A380" s="356"/>
      <c r="B380" s="355"/>
      <c r="C380" s="355"/>
      <c r="D380" s="355"/>
      <c r="E380" s="355"/>
      <c r="F380" s="355"/>
      <c r="G380" s="355"/>
      <c r="O380" s="356"/>
      <c r="P380" s="355"/>
      <c r="Q380" s="355"/>
      <c r="R380" s="355"/>
      <c r="S380" s="355"/>
      <c r="T380" s="355"/>
      <c r="U380" s="355"/>
      <c r="V380" s="355"/>
      <c r="W380" s="355"/>
      <c r="AG380" s="355"/>
      <c r="AH380" s="355"/>
      <c r="AI380" s="355"/>
      <c r="AJ380" s="355"/>
      <c r="AK380" s="355"/>
      <c r="AL380" s="355"/>
      <c r="AM380" s="355"/>
      <c r="AU380" s="379">
        <v>55319</v>
      </c>
      <c r="AV380" s="375"/>
      <c r="AW380" s="375"/>
      <c r="AX380" s="375"/>
      <c r="AY380" s="375"/>
      <c r="AZ380" s="375"/>
      <c r="BA380" s="375"/>
      <c r="BB380" s="375"/>
      <c r="BC380" s="375"/>
      <c r="BD380" s="375"/>
      <c r="BE380" s="375"/>
      <c r="BF380" s="375">
        <v>7.1249999999999994E-2</v>
      </c>
      <c r="BG380" s="375"/>
      <c r="BH380" s="375"/>
      <c r="BI380" s="373">
        <f t="shared" si="31"/>
        <v>7.1249999999999994E-2</v>
      </c>
      <c r="BT380" s="355"/>
      <c r="BU380" s="355"/>
      <c r="BV380" s="355"/>
      <c r="BW380" s="355"/>
    </row>
    <row r="381" spans="1:75" x14ac:dyDescent="0.15">
      <c r="A381" s="356"/>
      <c r="B381" s="355"/>
      <c r="C381" s="355"/>
      <c r="D381" s="355"/>
      <c r="E381" s="355"/>
      <c r="F381" s="355"/>
      <c r="G381" s="355"/>
      <c r="O381" s="356"/>
      <c r="P381" s="355"/>
      <c r="Q381" s="355"/>
      <c r="R381" s="355"/>
      <c r="S381" s="355"/>
      <c r="T381" s="355"/>
      <c r="U381" s="355"/>
      <c r="V381" s="355"/>
      <c r="W381" s="355"/>
      <c r="AG381" s="355"/>
      <c r="AH381" s="355"/>
      <c r="AI381" s="355"/>
      <c r="AJ381" s="355"/>
      <c r="AK381" s="355"/>
      <c r="AL381" s="355"/>
      <c r="AM381" s="355"/>
      <c r="AU381" s="379">
        <v>55349</v>
      </c>
      <c r="AV381" s="375"/>
      <c r="AW381" s="375"/>
      <c r="AX381" s="375"/>
      <c r="AY381" s="375"/>
      <c r="AZ381" s="375"/>
      <c r="BA381" s="375"/>
      <c r="BB381" s="375"/>
      <c r="BC381" s="375"/>
      <c r="BD381" s="375"/>
      <c r="BE381" s="375"/>
      <c r="BF381" s="375">
        <v>7.1249999999999994E-2</v>
      </c>
      <c r="BG381" s="375"/>
      <c r="BH381" s="375"/>
      <c r="BI381" s="373">
        <f t="shared" si="31"/>
        <v>7.1249999999999994E-2</v>
      </c>
      <c r="BT381" s="355"/>
      <c r="BU381" s="355"/>
      <c r="BV381" s="355"/>
      <c r="BW381" s="355"/>
    </row>
    <row r="382" spans="1:75" x14ac:dyDescent="0.15">
      <c r="A382" s="356"/>
      <c r="B382" s="355"/>
      <c r="C382" s="355"/>
      <c r="D382" s="355"/>
      <c r="E382" s="355"/>
      <c r="F382" s="355"/>
      <c r="G382" s="355"/>
      <c r="O382" s="356"/>
      <c r="P382" s="355"/>
      <c r="Q382" s="355"/>
      <c r="R382" s="355"/>
      <c r="S382" s="355"/>
      <c r="T382" s="355"/>
      <c r="U382" s="355"/>
      <c r="V382" s="355"/>
      <c r="W382" s="355"/>
      <c r="AG382" s="355"/>
      <c r="AH382" s="355"/>
      <c r="AI382" s="355"/>
      <c r="AJ382" s="355"/>
      <c r="AK382" s="355"/>
      <c r="AL382" s="355"/>
      <c r="AM382" s="355"/>
      <c r="AU382" s="379">
        <v>55380</v>
      </c>
      <c r="AV382" s="375"/>
      <c r="AW382" s="375"/>
      <c r="AX382" s="375"/>
      <c r="AY382" s="375"/>
      <c r="AZ382" s="375"/>
      <c r="BA382" s="375"/>
      <c r="BB382" s="375"/>
      <c r="BC382" s="375"/>
      <c r="BD382" s="375"/>
      <c r="BE382" s="375"/>
      <c r="BF382" s="375">
        <v>7.1249999999999994E-2</v>
      </c>
      <c r="BG382" s="375"/>
      <c r="BH382" s="375"/>
      <c r="BI382" s="373">
        <f t="shared" si="31"/>
        <v>7.1249999999999994E-2</v>
      </c>
      <c r="BT382" s="355"/>
      <c r="BU382" s="355"/>
      <c r="BV382" s="355"/>
      <c r="BW382" s="355"/>
    </row>
    <row r="383" spans="1:75" x14ac:dyDescent="0.15">
      <c r="A383" s="356"/>
      <c r="B383" s="355"/>
      <c r="C383" s="355"/>
      <c r="D383" s="355"/>
      <c r="E383" s="355"/>
      <c r="F383" s="355"/>
      <c r="G383" s="355"/>
      <c r="O383" s="356"/>
      <c r="P383" s="355"/>
      <c r="Q383" s="355"/>
      <c r="R383" s="355"/>
      <c r="S383" s="355"/>
      <c r="T383" s="355"/>
      <c r="U383" s="355"/>
      <c r="V383" s="355"/>
      <c r="W383" s="355"/>
      <c r="AG383" s="355"/>
      <c r="AH383" s="355"/>
      <c r="AI383" s="355"/>
      <c r="AJ383" s="355"/>
      <c r="AK383" s="355"/>
      <c r="AL383" s="355"/>
      <c r="AM383" s="355"/>
      <c r="AU383" s="379">
        <v>55411</v>
      </c>
      <c r="AV383" s="375"/>
      <c r="AW383" s="375"/>
      <c r="AX383" s="375"/>
      <c r="AY383" s="375"/>
      <c r="AZ383" s="375"/>
      <c r="BA383" s="375"/>
      <c r="BB383" s="375"/>
      <c r="BC383" s="375"/>
      <c r="BD383" s="375"/>
      <c r="BE383" s="375"/>
      <c r="BF383" s="375">
        <v>7.1249999999999994E-2</v>
      </c>
      <c r="BG383" s="375"/>
      <c r="BH383" s="375"/>
      <c r="BI383" s="373">
        <f t="shared" si="31"/>
        <v>7.1249999999999994E-2</v>
      </c>
      <c r="BT383" s="355"/>
      <c r="BU383" s="355"/>
      <c r="BV383" s="355"/>
      <c r="BW383" s="355"/>
    </row>
    <row r="384" spans="1:75" x14ac:dyDescent="0.15">
      <c r="A384" s="356"/>
      <c r="B384" s="355"/>
      <c r="C384" s="355"/>
      <c r="D384" s="355"/>
      <c r="E384" s="355"/>
      <c r="F384" s="355"/>
      <c r="G384" s="355"/>
      <c r="O384" s="356"/>
      <c r="P384" s="355"/>
      <c r="Q384" s="355"/>
      <c r="R384" s="355"/>
      <c r="S384" s="355"/>
      <c r="T384" s="355"/>
      <c r="U384" s="355"/>
      <c r="V384" s="355"/>
      <c r="W384" s="355"/>
      <c r="AG384" s="355"/>
      <c r="AH384" s="355"/>
      <c r="AI384" s="355"/>
      <c r="AJ384" s="355"/>
      <c r="AK384" s="355"/>
      <c r="AL384" s="355"/>
      <c r="AM384" s="355"/>
      <c r="AU384" s="379">
        <v>55441</v>
      </c>
      <c r="AV384" s="375"/>
      <c r="AW384" s="375"/>
      <c r="AX384" s="375"/>
      <c r="AY384" s="375"/>
      <c r="AZ384" s="375"/>
      <c r="BA384" s="375"/>
      <c r="BB384" s="375"/>
      <c r="BC384" s="375"/>
      <c r="BD384" s="375"/>
      <c r="BE384" s="375"/>
      <c r="BF384" s="375">
        <v>7.1249999999999994E-2</v>
      </c>
      <c r="BG384" s="375"/>
      <c r="BH384" s="375"/>
      <c r="BI384" s="373">
        <f t="shared" si="31"/>
        <v>7.1249999999999994E-2</v>
      </c>
      <c r="BT384" s="355"/>
      <c r="BU384" s="355"/>
      <c r="BV384" s="355"/>
      <c r="BW384" s="355"/>
    </row>
    <row r="385" spans="1:75" x14ac:dyDescent="0.15">
      <c r="A385" s="356"/>
      <c r="B385" s="355"/>
      <c r="C385" s="355"/>
      <c r="D385" s="355"/>
      <c r="E385" s="355"/>
      <c r="F385" s="355"/>
      <c r="G385" s="355"/>
      <c r="O385" s="356"/>
      <c r="P385" s="355"/>
      <c r="Q385" s="355"/>
      <c r="R385" s="355"/>
      <c r="S385" s="355"/>
      <c r="T385" s="355"/>
      <c r="U385" s="355"/>
      <c r="V385" s="355"/>
      <c r="W385" s="355"/>
      <c r="AG385" s="355"/>
      <c r="AH385" s="355"/>
      <c r="AI385" s="355"/>
      <c r="AJ385" s="355"/>
      <c r="AK385" s="355"/>
      <c r="AL385" s="355"/>
      <c r="AM385" s="355"/>
      <c r="AU385" s="379">
        <v>55472</v>
      </c>
      <c r="AV385" s="375"/>
      <c r="AW385" s="375"/>
      <c r="AX385" s="375"/>
      <c r="AY385" s="375"/>
      <c r="AZ385" s="375"/>
      <c r="BA385" s="375"/>
      <c r="BB385" s="375"/>
      <c r="BC385" s="375"/>
      <c r="BD385" s="375"/>
      <c r="BE385" s="375"/>
      <c r="BF385" s="375">
        <v>7.1249999999999994E-2</v>
      </c>
      <c r="BG385" s="375"/>
      <c r="BH385" s="375"/>
      <c r="BI385" s="373">
        <f t="shared" si="31"/>
        <v>7.1249999999999994E-2</v>
      </c>
      <c r="BT385" s="355"/>
      <c r="BU385" s="355"/>
      <c r="BV385" s="355"/>
      <c r="BW385" s="355"/>
    </row>
    <row r="386" spans="1:75" x14ac:dyDescent="0.15">
      <c r="A386" s="356"/>
      <c r="B386" s="355"/>
      <c r="C386" s="355"/>
      <c r="D386" s="355"/>
      <c r="E386" s="355"/>
      <c r="F386" s="355"/>
      <c r="G386" s="355"/>
      <c r="O386" s="356"/>
      <c r="P386" s="355"/>
      <c r="Q386" s="355"/>
      <c r="R386" s="355"/>
      <c r="S386" s="355"/>
      <c r="T386" s="355"/>
      <c r="U386" s="355"/>
      <c r="V386" s="355"/>
      <c r="W386" s="355"/>
      <c r="AG386" s="355"/>
      <c r="AH386" s="355"/>
      <c r="AI386" s="355"/>
      <c r="AJ386" s="355"/>
      <c r="AK386" s="355"/>
      <c r="AL386" s="355"/>
      <c r="AM386" s="355"/>
      <c r="AU386" s="379">
        <v>55502</v>
      </c>
      <c r="AV386" s="375"/>
      <c r="AW386" s="375"/>
      <c r="AX386" s="375"/>
      <c r="AY386" s="375"/>
      <c r="AZ386" s="375"/>
      <c r="BA386" s="375"/>
      <c r="BB386" s="375"/>
      <c r="BC386" s="375"/>
      <c r="BD386" s="375"/>
      <c r="BE386" s="375"/>
      <c r="BF386" s="375">
        <v>7.1249999999999994E-2</v>
      </c>
      <c r="BG386" s="375"/>
      <c r="BH386" s="375"/>
      <c r="BI386" s="373">
        <f t="shared" si="31"/>
        <v>7.1249999999999994E-2</v>
      </c>
      <c r="BT386" s="355"/>
      <c r="BU386" s="355"/>
      <c r="BV386" s="355"/>
      <c r="BW386" s="355"/>
    </row>
    <row r="387" spans="1:75" x14ac:dyDescent="0.15">
      <c r="A387" s="356"/>
      <c r="B387" s="355"/>
      <c r="C387" s="355"/>
      <c r="D387" s="355"/>
      <c r="E387" s="355"/>
      <c r="F387" s="355"/>
      <c r="G387" s="355"/>
      <c r="O387" s="356"/>
      <c r="P387" s="355"/>
      <c r="Q387" s="355"/>
      <c r="R387" s="355"/>
      <c r="S387" s="355"/>
      <c r="T387" s="355"/>
      <c r="U387" s="355"/>
      <c r="V387" s="355"/>
      <c r="W387" s="355"/>
      <c r="AG387" s="355"/>
      <c r="AH387" s="355"/>
      <c r="AI387" s="355"/>
      <c r="AJ387" s="355"/>
      <c r="AK387" s="355"/>
      <c r="AL387" s="355"/>
      <c r="AM387" s="355"/>
      <c r="AU387" s="379">
        <v>55533</v>
      </c>
      <c r="AV387" s="375"/>
      <c r="AW387" s="375"/>
      <c r="AX387" s="375"/>
      <c r="AY387" s="375"/>
      <c r="AZ387" s="375"/>
      <c r="BA387" s="375"/>
      <c r="BB387" s="375"/>
      <c r="BC387" s="375"/>
      <c r="BD387" s="375"/>
      <c r="BE387" s="375"/>
      <c r="BF387" s="375">
        <v>7.1249999999999994E-2</v>
      </c>
      <c r="BG387" s="375"/>
      <c r="BH387" s="375"/>
      <c r="BI387" s="373">
        <f t="shared" si="31"/>
        <v>7.1249999999999994E-2</v>
      </c>
      <c r="BT387" s="355"/>
      <c r="BU387" s="355"/>
      <c r="BV387" s="355"/>
      <c r="BW387" s="355"/>
    </row>
    <row r="388" spans="1:75" x14ac:dyDescent="0.15">
      <c r="A388" s="356"/>
      <c r="B388" s="355"/>
      <c r="C388" s="355"/>
      <c r="D388" s="355"/>
      <c r="E388" s="355"/>
      <c r="F388" s="355"/>
      <c r="G388" s="355"/>
      <c r="O388" s="356"/>
      <c r="P388" s="355"/>
      <c r="Q388" s="355"/>
      <c r="R388" s="355"/>
      <c r="S388" s="355"/>
      <c r="T388" s="355"/>
      <c r="U388" s="355"/>
      <c r="V388" s="355"/>
      <c r="W388" s="355"/>
      <c r="AG388" s="355"/>
      <c r="AH388" s="355"/>
      <c r="AI388" s="355"/>
      <c r="AJ388" s="355"/>
      <c r="AK388" s="355"/>
      <c r="AL388" s="355"/>
      <c r="AM388" s="355"/>
      <c r="AU388" s="379">
        <v>55564</v>
      </c>
      <c r="AV388" s="375"/>
      <c r="AW388" s="375"/>
      <c r="AX388" s="375"/>
      <c r="AY388" s="375"/>
      <c r="AZ388" s="375"/>
      <c r="BA388" s="375"/>
      <c r="BB388" s="375"/>
      <c r="BC388" s="375"/>
      <c r="BD388" s="375"/>
      <c r="BE388" s="375"/>
      <c r="BF388" s="375">
        <v>7.1249999999999994E-2</v>
      </c>
      <c r="BG388" s="375"/>
      <c r="BH388" s="375"/>
      <c r="BI388" s="373">
        <f t="shared" si="31"/>
        <v>7.1249999999999994E-2</v>
      </c>
      <c r="BT388" s="355"/>
      <c r="BU388" s="355"/>
      <c r="BV388" s="355"/>
      <c r="BW388" s="355"/>
    </row>
    <row r="389" spans="1:75" x14ac:dyDescent="0.15">
      <c r="A389" s="356"/>
      <c r="B389" s="355"/>
      <c r="C389" s="355"/>
      <c r="D389" s="355"/>
      <c r="E389" s="355"/>
      <c r="F389" s="355"/>
      <c r="G389" s="355"/>
      <c r="O389" s="356"/>
      <c r="P389" s="355"/>
      <c r="Q389" s="355"/>
      <c r="R389" s="355"/>
      <c r="S389" s="355"/>
      <c r="T389" s="355"/>
      <c r="U389" s="355"/>
      <c r="V389" s="355"/>
      <c r="W389" s="355"/>
      <c r="AG389" s="355"/>
      <c r="AH389" s="355"/>
      <c r="AI389" s="355"/>
      <c r="AJ389" s="355"/>
      <c r="AK389" s="355"/>
      <c r="AL389" s="355"/>
      <c r="AM389" s="355"/>
      <c r="AU389" s="379">
        <v>55593</v>
      </c>
      <c r="AV389" s="375"/>
      <c r="AW389" s="375"/>
      <c r="AX389" s="375"/>
      <c r="AY389" s="375"/>
      <c r="AZ389" s="375"/>
      <c r="BA389" s="375"/>
      <c r="BB389" s="375"/>
      <c r="BC389" s="375"/>
      <c r="BD389" s="375"/>
      <c r="BE389" s="375"/>
      <c r="BF389" s="375">
        <v>7.1249999999999994E-2</v>
      </c>
      <c r="BG389" s="375"/>
      <c r="BH389" s="375"/>
      <c r="BI389" s="373">
        <f t="shared" si="31"/>
        <v>7.1249999999999994E-2</v>
      </c>
      <c r="BT389" s="355"/>
      <c r="BU389" s="355"/>
      <c r="BV389" s="355"/>
      <c r="BW389" s="355"/>
    </row>
    <row r="390" spans="1:75" x14ac:dyDescent="0.15">
      <c r="A390" s="356"/>
      <c r="B390" s="355"/>
      <c r="C390" s="355"/>
      <c r="D390" s="355"/>
      <c r="E390" s="355"/>
      <c r="F390" s="355"/>
      <c r="G390" s="355"/>
      <c r="O390" s="356"/>
      <c r="P390" s="355"/>
      <c r="Q390" s="355"/>
      <c r="R390" s="355"/>
      <c r="S390" s="355"/>
      <c r="T390" s="355"/>
      <c r="U390" s="355"/>
      <c r="V390" s="355"/>
      <c r="W390" s="355"/>
      <c r="AG390" s="355"/>
      <c r="AH390" s="355"/>
      <c r="AI390" s="355"/>
      <c r="AJ390" s="355"/>
      <c r="AK390" s="355"/>
      <c r="AL390" s="355"/>
      <c r="AM390" s="355"/>
      <c r="AU390" s="379">
        <v>55624</v>
      </c>
      <c r="AV390" s="375"/>
      <c r="AW390" s="375"/>
      <c r="AX390" s="375"/>
      <c r="AY390" s="375"/>
      <c r="AZ390" s="375"/>
      <c r="BA390" s="375"/>
      <c r="BB390" s="375"/>
      <c r="BC390" s="375"/>
      <c r="BD390" s="375"/>
      <c r="BE390" s="375"/>
      <c r="BF390" s="375">
        <v>7.1249999999999994E-2</v>
      </c>
      <c r="BG390" s="375"/>
      <c r="BH390" s="375"/>
      <c r="BI390" s="373">
        <f t="shared" si="31"/>
        <v>7.1249999999999994E-2</v>
      </c>
      <c r="BT390" s="355"/>
      <c r="BU390" s="355"/>
      <c r="BV390" s="355"/>
      <c r="BW390" s="355"/>
    </row>
    <row r="391" spans="1:75" x14ac:dyDescent="0.15">
      <c r="A391" s="356"/>
      <c r="B391" s="355"/>
      <c r="C391" s="355"/>
      <c r="D391" s="355"/>
      <c r="E391" s="355"/>
      <c r="F391" s="355"/>
      <c r="G391" s="355"/>
      <c r="O391" s="356"/>
      <c r="P391" s="355"/>
      <c r="Q391" s="355"/>
      <c r="R391" s="355"/>
      <c r="S391" s="355"/>
      <c r="T391" s="355"/>
      <c r="U391" s="355"/>
      <c r="V391" s="355"/>
      <c r="W391" s="355"/>
      <c r="AG391" s="355"/>
      <c r="AH391" s="355"/>
      <c r="AI391" s="355"/>
      <c r="AJ391" s="355"/>
      <c r="AK391" s="355"/>
      <c r="AL391" s="355"/>
      <c r="AM391" s="355"/>
      <c r="AU391" s="379">
        <v>55654</v>
      </c>
      <c r="AV391" s="375"/>
      <c r="AW391" s="375"/>
      <c r="AX391" s="375"/>
      <c r="AY391" s="375"/>
      <c r="AZ391" s="375"/>
      <c r="BA391" s="375"/>
      <c r="BB391" s="375"/>
      <c r="BC391" s="375"/>
      <c r="BD391" s="375"/>
      <c r="BE391" s="375"/>
      <c r="BF391" s="375">
        <v>7.1249999999999994E-2</v>
      </c>
      <c r="BG391" s="375"/>
      <c r="BH391" s="375"/>
      <c r="BI391" s="373">
        <f t="shared" ref="BI391:BI454" si="33">+AVERAGE(AV391:BH391)</f>
        <v>7.1249999999999994E-2</v>
      </c>
      <c r="BT391" s="355"/>
      <c r="BU391" s="355"/>
      <c r="BV391" s="355"/>
      <c r="BW391" s="355"/>
    </row>
    <row r="392" spans="1:75" x14ac:dyDescent="0.15">
      <c r="A392" s="356"/>
      <c r="B392" s="355"/>
      <c r="C392" s="355"/>
      <c r="D392" s="355"/>
      <c r="E392" s="355"/>
      <c r="F392" s="355"/>
      <c r="G392" s="355"/>
      <c r="O392" s="356"/>
      <c r="P392" s="355"/>
      <c r="Q392" s="355"/>
      <c r="R392" s="355"/>
      <c r="S392" s="355"/>
      <c r="T392" s="355"/>
      <c r="U392" s="355"/>
      <c r="V392" s="355"/>
      <c r="W392" s="355"/>
      <c r="AG392" s="355"/>
      <c r="AH392" s="355"/>
      <c r="AI392" s="355"/>
      <c r="AJ392" s="355"/>
      <c r="AK392" s="355"/>
      <c r="AL392" s="355"/>
      <c r="AM392" s="355"/>
      <c r="AU392" s="379">
        <v>55685</v>
      </c>
      <c r="AV392" s="375"/>
      <c r="AW392" s="375"/>
      <c r="AX392" s="375"/>
      <c r="AY392" s="375"/>
      <c r="AZ392" s="375"/>
      <c r="BA392" s="375"/>
      <c r="BB392" s="375"/>
      <c r="BC392" s="375"/>
      <c r="BD392" s="375"/>
      <c r="BE392" s="375"/>
      <c r="BF392" s="375">
        <v>7.1249999999999994E-2</v>
      </c>
      <c r="BG392" s="375"/>
      <c r="BH392" s="375"/>
      <c r="BI392" s="373">
        <f t="shared" si="33"/>
        <v>7.1249999999999994E-2</v>
      </c>
      <c r="BT392" s="355"/>
      <c r="BU392" s="355"/>
      <c r="BV392" s="355"/>
      <c r="BW392" s="355"/>
    </row>
    <row r="393" spans="1:75" x14ac:dyDescent="0.15">
      <c r="A393" s="356"/>
      <c r="B393" s="355"/>
      <c r="C393" s="355"/>
      <c r="D393" s="355"/>
      <c r="E393" s="355"/>
      <c r="F393" s="355"/>
      <c r="G393" s="355"/>
      <c r="O393" s="356"/>
      <c r="P393" s="355"/>
      <c r="Q393" s="355"/>
      <c r="R393" s="355"/>
      <c r="S393" s="355"/>
      <c r="T393" s="355"/>
      <c r="U393" s="355"/>
      <c r="V393" s="355"/>
      <c r="W393" s="355"/>
      <c r="AG393" s="355"/>
      <c r="AH393" s="355"/>
      <c r="AI393" s="355"/>
      <c r="AJ393" s="355"/>
      <c r="AK393" s="355"/>
      <c r="AL393" s="355"/>
      <c r="AM393" s="355"/>
      <c r="AU393" s="379">
        <v>55715</v>
      </c>
      <c r="AV393" s="375"/>
      <c r="AW393" s="375"/>
      <c r="AX393" s="375"/>
      <c r="AY393" s="375"/>
      <c r="AZ393" s="375"/>
      <c r="BA393" s="375"/>
      <c r="BB393" s="375"/>
      <c r="BC393" s="375"/>
      <c r="BD393" s="375"/>
      <c r="BE393" s="375"/>
      <c r="BF393" s="375">
        <v>7.1249999999999994E-2</v>
      </c>
      <c r="BG393" s="375"/>
      <c r="BH393" s="375"/>
      <c r="BI393" s="373">
        <f t="shared" si="33"/>
        <v>7.1249999999999994E-2</v>
      </c>
      <c r="BT393" s="355"/>
      <c r="BU393" s="355"/>
      <c r="BV393" s="355"/>
      <c r="BW393" s="355"/>
    </row>
    <row r="394" spans="1:75" x14ac:dyDescent="0.15">
      <c r="A394" s="356"/>
      <c r="B394" s="355"/>
      <c r="C394" s="355"/>
      <c r="D394" s="355"/>
      <c r="E394" s="355"/>
      <c r="F394" s="355"/>
      <c r="G394" s="355"/>
      <c r="O394" s="356"/>
      <c r="P394" s="355"/>
      <c r="Q394" s="355"/>
      <c r="R394" s="355"/>
      <c r="S394" s="355"/>
      <c r="T394" s="355"/>
      <c r="U394" s="355"/>
      <c r="V394" s="355"/>
      <c r="W394" s="355"/>
      <c r="AG394" s="355"/>
      <c r="AH394" s="355"/>
      <c r="AI394" s="355"/>
      <c r="AJ394" s="355"/>
      <c r="AK394" s="355"/>
      <c r="AL394" s="355"/>
      <c r="AM394" s="355"/>
      <c r="AU394" s="379">
        <v>55746</v>
      </c>
      <c r="AV394" s="375"/>
      <c r="AW394" s="375"/>
      <c r="AX394" s="375"/>
      <c r="AY394" s="375"/>
      <c r="AZ394" s="375"/>
      <c r="BA394" s="375"/>
      <c r="BB394" s="375"/>
      <c r="BC394" s="375"/>
      <c r="BD394" s="375"/>
      <c r="BE394" s="375"/>
      <c r="BF394" s="375">
        <v>7.1249999999999994E-2</v>
      </c>
      <c r="BG394" s="375"/>
      <c r="BH394" s="375"/>
      <c r="BI394" s="373">
        <f t="shared" si="33"/>
        <v>7.1249999999999994E-2</v>
      </c>
      <c r="BT394" s="355"/>
      <c r="BU394" s="355"/>
      <c r="BV394" s="355"/>
      <c r="BW394" s="355"/>
    </row>
    <row r="395" spans="1:75" x14ac:dyDescent="0.15">
      <c r="A395" s="356"/>
      <c r="B395" s="355"/>
      <c r="C395" s="355"/>
      <c r="D395" s="355"/>
      <c r="E395" s="355"/>
      <c r="F395" s="355"/>
      <c r="G395" s="355"/>
      <c r="O395" s="356"/>
      <c r="P395" s="355"/>
      <c r="Q395" s="355"/>
      <c r="R395" s="355"/>
      <c r="S395" s="355"/>
      <c r="T395" s="355"/>
      <c r="U395" s="355"/>
      <c r="V395" s="355"/>
      <c r="W395" s="355"/>
      <c r="AG395" s="355"/>
      <c r="AH395" s="355"/>
      <c r="AI395" s="355"/>
      <c r="AJ395" s="355"/>
      <c r="AK395" s="355"/>
      <c r="AL395" s="355"/>
      <c r="AM395" s="355"/>
      <c r="AU395" s="379">
        <v>55777</v>
      </c>
      <c r="AV395" s="375"/>
      <c r="AW395" s="375"/>
      <c r="AX395" s="375"/>
      <c r="AY395" s="375"/>
      <c r="AZ395" s="375"/>
      <c r="BA395" s="375"/>
      <c r="BB395" s="375"/>
      <c r="BC395" s="375"/>
      <c r="BD395" s="375"/>
      <c r="BE395" s="375"/>
      <c r="BF395" s="375">
        <v>7.1249999999999994E-2</v>
      </c>
      <c r="BG395" s="375"/>
      <c r="BH395" s="375"/>
      <c r="BI395" s="373">
        <f t="shared" si="33"/>
        <v>7.1249999999999994E-2</v>
      </c>
      <c r="BT395" s="355"/>
      <c r="BU395" s="355"/>
      <c r="BV395" s="355"/>
      <c r="BW395" s="355"/>
    </row>
    <row r="396" spans="1:75" x14ac:dyDescent="0.15">
      <c r="A396" s="356"/>
      <c r="B396" s="355"/>
      <c r="C396" s="355"/>
      <c r="D396" s="355"/>
      <c r="E396" s="355"/>
      <c r="F396" s="355"/>
      <c r="G396" s="355"/>
      <c r="O396" s="356"/>
      <c r="P396" s="355"/>
      <c r="Q396" s="355"/>
      <c r="R396" s="355"/>
      <c r="S396" s="355"/>
      <c r="T396" s="355"/>
      <c r="U396" s="355"/>
      <c r="V396" s="355"/>
      <c r="W396" s="355"/>
      <c r="AG396" s="355"/>
      <c r="AH396" s="355"/>
      <c r="AI396" s="355"/>
      <c r="AJ396" s="355"/>
      <c r="AK396" s="355"/>
      <c r="AL396" s="355"/>
      <c r="AM396" s="355"/>
      <c r="AU396" s="379">
        <v>55807</v>
      </c>
      <c r="AV396" s="375"/>
      <c r="AW396" s="375"/>
      <c r="AX396" s="375"/>
      <c r="AY396" s="375"/>
      <c r="AZ396" s="375"/>
      <c r="BA396" s="375"/>
      <c r="BB396" s="375"/>
      <c r="BC396" s="375"/>
      <c r="BD396" s="375"/>
      <c r="BE396" s="375"/>
      <c r="BF396" s="375">
        <v>7.1249999999999994E-2</v>
      </c>
      <c r="BG396" s="375"/>
      <c r="BH396" s="375"/>
      <c r="BI396" s="373">
        <f t="shared" si="33"/>
        <v>7.1249999999999994E-2</v>
      </c>
      <c r="BT396" s="355"/>
      <c r="BU396" s="355"/>
      <c r="BV396" s="355"/>
      <c r="BW396" s="355"/>
    </row>
    <row r="397" spans="1:75" x14ac:dyDescent="0.15">
      <c r="A397" s="356"/>
      <c r="B397" s="355"/>
      <c r="C397" s="355"/>
      <c r="D397" s="355"/>
      <c r="E397" s="355"/>
      <c r="F397" s="355"/>
      <c r="G397" s="355"/>
      <c r="O397" s="356"/>
      <c r="P397" s="355"/>
      <c r="Q397" s="355"/>
      <c r="R397" s="355"/>
      <c r="S397" s="355"/>
      <c r="T397" s="355"/>
      <c r="U397" s="355"/>
      <c r="V397" s="355"/>
      <c r="W397" s="355"/>
      <c r="AG397" s="355"/>
      <c r="AH397" s="355"/>
      <c r="AI397" s="355"/>
      <c r="AJ397" s="355"/>
      <c r="AK397" s="355"/>
      <c r="AL397" s="355"/>
      <c r="AM397" s="355"/>
      <c r="AU397" s="379">
        <v>55838</v>
      </c>
      <c r="AV397" s="375"/>
      <c r="AW397" s="375"/>
      <c r="AX397" s="375"/>
      <c r="AY397" s="375"/>
      <c r="AZ397" s="375"/>
      <c r="BA397" s="375"/>
      <c r="BB397" s="375"/>
      <c r="BC397" s="375"/>
      <c r="BD397" s="375"/>
      <c r="BE397" s="375"/>
      <c r="BF397" s="375">
        <v>7.1249999999999994E-2</v>
      </c>
      <c r="BG397" s="375"/>
      <c r="BH397" s="375"/>
      <c r="BI397" s="373">
        <f t="shared" si="33"/>
        <v>7.1249999999999994E-2</v>
      </c>
      <c r="BT397" s="355"/>
      <c r="BU397" s="355"/>
      <c r="BV397" s="355"/>
      <c r="BW397" s="355"/>
    </row>
    <row r="398" spans="1:75" x14ac:dyDescent="0.15">
      <c r="A398" s="356"/>
      <c r="B398" s="355"/>
      <c r="C398" s="355"/>
      <c r="D398" s="355"/>
      <c r="E398" s="355"/>
      <c r="F398" s="355"/>
      <c r="G398" s="355"/>
      <c r="O398" s="356"/>
      <c r="P398" s="355"/>
      <c r="Q398" s="355"/>
      <c r="R398" s="355"/>
      <c r="S398" s="355"/>
      <c r="T398" s="355"/>
      <c r="U398" s="355"/>
      <c r="V398" s="355"/>
      <c r="W398" s="355"/>
      <c r="AG398" s="355"/>
      <c r="AH398" s="355"/>
      <c r="AI398" s="355"/>
      <c r="AJ398" s="355"/>
      <c r="AK398" s="355"/>
      <c r="AL398" s="355"/>
      <c r="AM398" s="355"/>
      <c r="AU398" s="379">
        <v>55868</v>
      </c>
      <c r="AV398" s="375"/>
      <c r="AW398" s="375"/>
      <c r="AX398" s="375"/>
      <c r="AY398" s="375"/>
      <c r="AZ398" s="375"/>
      <c r="BA398" s="375"/>
      <c r="BB398" s="375"/>
      <c r="BC398" s="375"/>
      <c r="BD398" s="375"/>
      <c r="BE398" s="375"/>
      <c r="BF398" s="375">
        <v>7.1249999999999994E-2</v>
      </c>
      <c r="BG398" s="375"/>
      <c r="BH398" s="375"/>
      <c r="BI398" s="373">
        <f t="shared" si="33"/>
        <v>7.1249999999999994E-2</v>
      </c>
      <c r="BT398" s="355"/>
      <c r="BU398" s="355"/>
      <c r="BV398" s="355"/>
      <c r="BW398" s="355"/>
    </row>
    <row r="399" spans="1:75" x14ac:dyDescent="0.15">
      <c r="A399" s="356"/>
      <c r="B399" s="355"/>
      <c r="C399" s="355"/>
      <c r="D399" s="355"/>
      <c r="E399" s="355"/>
      <c r="F399" s="355"/>
      <c r="G399" s="355"/>
      <c r="O399" s="356"/>
      <c r="P399" s="355"/>
      <c r="Q399" s="355"/>
      <c r="R399" s="355"/>
      <c r="S399" s="355"/>
      <c r="T399" s="355"/>
      <c r="U399" s="355"/>
      <c r="V399" s="355"/>
      <c r="W399" s="355"/>
      <c r="AG399" s="355"/>
      <c r="AH399" s="355"/>
      <c r="AI399" s="355"/>
      <c r="AJ399" s="355"/>
      <c r="AK399" s="355"/>
      <c r="AL399" s="355"/>
      <c r="AM399" s="355"/>
      <c r="AU399" s="379">
        <v>55899</v>
      </c>
      <c r="AV399" s="375"/>
      <c r="AW399" s="375"/>
      <c r="AX399" s="375"/>
      <c r="AY399" s="375"/>
      <c r="AZ399" s="375"/>
      <c r="BA399" s="375"/>
      <c r="BB399" s="375"/>
      <c r="BC399" s="375"/>
      <c r="BD399" s="375"/>
      <c r="BE399" s="375"/>
      <c r="BF399" s="375">
        <v>7.1249999999999994E-2</v>
      </c>
      <c r="BG399" s="375"/>
      <c r="BH399" s="375"/>
      <c r="BI399" s="373">
        <f t="shared" si="33"/>
        <v>7.1249999999999994E-2</v>
      </c>
      <c r="BT399" s="355"/>
      <c r="BU399" s="355"/>
      <c r="BV399" s="355"/>
      <c r="BW399" s="355"/>
    </row>
    <row r="400" spans="1:75" x14ac:dyDescent="0.15">
      <c r="A400" s="356"/>
      <c r="B400" s="355"/>
      <c r="C400" s="355"/>
      <c r="D400" s="355"/>
      <c r="E400" s="355"/>
      <c r="F400" s="355"/>
      <c r="G400" s="355"/>
      <c r="O400" s="356"/>
      <c r="P400" s="355"/>
      <c r="Q400" s="355"/>
      <c r="R400" s="355"/>
      <c r="S400" s="355"/>
      <c r="T400" s="355"/>
      <c r="U400" s="355"/>
      <c r="V400" s="355"/>
      <c r="W400" s="355"/>
      <c r="AG400" s="355"/>
      <c r="AH400" s="355"/>
      <c r="AI400" s="355"/>
      <c r="AJ400" s="355"/>
      <c r="AK400" s="355"/>
      <c r="AL400" s="355"/>
      <c r="AM400" s="355"/>
      <c r="AU400" s="379">
        <v>55930</v>
      </c>
      <c r="AV400" s="375"/>
      <c r="AW400" s="375"/>
      <c r="AX400" s="375"/>
      <c r="AY400" s="375"/>
      <c r="AZ400" s="375"/>
      <c r="BA400" s="375"/>
      <c r="BB400" s="375"/>
      <c r="BC400" s="375"/>
      <c r="BD400" s="375"/>
      <c r="BE400" s="375"/>
      <c r="BF400" s="375">
        <v>7.1249999999999994E-2</v>
      </c>
      <c r="BG400" s="375"/>
      <c r="BH400" s="375"/>
      <c r="BI400" s="373">
        <f t="shared" si="33"/>
        <v>7.1249999999999994E-2</v>
      </c>
      <c r="BT400" s="355"/>
      <c r="BU400" s="355"/>
      <c r="BV400" s="355"/>
      <c r="BW400" s="355"/>
    </row>
    <row r="401" spans="1:75" x14ac:dyDescent="0.15">
      <c r="A401" s="356"/>
      <c r="B401" s="355"/>
      <c r="C401" s="355"/>
      <c r="D401" s="355"/>
      <c r="E401" s="355"/>
      <c r="F401" s="355"/>
      <c r="G401" s="355"/>
      <c r="O401" s="356"/>
      <c r="P401" s="355"/>
      <c r="Q401" s="355"/>
      <c r="R401" s="355"/>
      <c r="S401" s="355"/>
      <c r="T401" s="355"/>
      <c r="U401" s="355"/>
      <c r="V401" s="355"/>
      <c r="W401" s="355"/>
      <c r="AG401" s="355"/>
      <c r="AH401" s="355"/>
      <c r="AI401" s="355"/>
      <c r="AJ401" s="355"/>
      <c r="AK401" s="355"/>
      <c r="AL401" s="355"/>
      <c r="AM401" s="355"/>
      <c r="AU401" s="379">
        <v>55958</v>
      </c>
      <c r="AV401" s="375"/>
      <c r="AW401" s="375"/>
      <c r="AX401" s="375"/>
      <c r="AY401" s="375"/>
      <c r="AZ401" s="375"/>
      <c r="BA401" s="375"/>
      <c r="BB401" s="375"/>
      <c r="BC401" s="375"/>
      <c r="BD401" s="375"/>
      <c r="BE401" s="375"/>
      <c r="BF401" s="375">
        <v>7.1249999999999994E-2</v>
      </c>
      <c r="BG401" s="375"/>
      <c r="BH401" s="375"/>
      <c r="BI401" s="373">
        <f t="shared" si="33"/>
        <v>7.1249999999999994E-2</v>
      </c>
      <c r="BT401" s="355"/>
      <c r="BU401" s="355"/>
      <c r="BV401" s="355"/>
      <c r="BW401" s="355"/>
    </row>
    <row r="402" spans="1:75" x14ac:dyDescent="0.15">
      <c r="A402" s="356"/>
      <c r="B402" s="355"/>
      <c r="C402" s="355"/>
      <c r="D402" s="355"/>
      <c r="E402" s="355"/>
      <c r="F402" s="355"/>
      <c r="G402" s="355"/>
      <c r="O402" s="356"/>
      <c r="P402" s="355"/>
      <c r="Q402" s="355"/>
      <c r="R402" s="355"/>
      <c r="S402" s="355"/>
      <c r="T402" s="355"/>
      <c r="U402" s="355"/>
      <c r="V402" s="355"/>
      <c r="W402" s="355"/>
      <c r="AG402" s="355"/>
      <c r="AH402" s="355"/>
      <c r="AI402" s="355"/>
      <c r="AJ402" s="355"/>
      <c r="AK402" s="355"/>
      <c r="AL402" s="355"/>
      <c r="AM402" s="355"/>
      <c r="AU402" s="379">
        <v>55989</v>
      </c>
      <c r="AV402" s="375"/>
      <c r="AW402" s="375"/>
      <c r="AX402" s="375"/>
      <c r="AY402" s="375"/>
      <c r="AZ402" s="375"/>
      <c r="BA402" s="375"/>
      <c r="BB402" s="375"/>
      <c r="BC402" s="375"/>
      <c r="BD402" s="375"/>
      <c r="BE402" s="375"/>
      <c r="BF402" s="375">
        <v>7.1249999999999994E-2</v>
      </c>
      <c r="BG402" s="375"/>
      <c r="BH402" s="375"/>
      <c r="BI402" s="373">
        <f t="shared" si="33"/>
        <v>7.1249999999999994E-2</v>
      </c>
      <c r="BT402" s="355"/>
      <c r="BU402" s="355"/>
      <c r="BV402" s="355"/>
      <c r="BW402" s="355"/>
    </row>
    <row r="403" spans="1:75" x14ac:dyDescent="0.15">
      <c r="A403" s="356"/>
      <c r="B403" s="355"/>
      <c r="C403" s="355"/>
      <c r="D403" s="355"/>
      <c r="E403" s="355"/>
      <c r="F403" s="355"/>
      <c r="G403" s="355"/>
      <c r="O403" s="356"/>
      <c r="P403" s="355"/>
      <c r="Q403" s="355"/>
      <c r="R403" s="355"/>
      <c r="S403" s="355"/>
      <c r="T403" s="355"/>
      <c r="U403" s="355"/>
      <c r="V403" s="355"/>
      <c r="W403" s="355"/>
      <c r="AG403" s="355"/>
      <c r="AH403" s="355"/>
      <c r="AI403" s="355"/>
      <c r="AJ403" s="355"/>
      <c r="AK403" s="355"/>
      <c r="AL403" s="355"/>
      <c r="AM403" s="355"/>
      <c r="AU403" s="379">
        <v>56019</v>
      </c>
      <c r="AV403" s="375"/>
      <c r="AW403" s="375"/>
      <c r="AX403" s="375"/>
      <c r="AY403" s="375"/>
      <c r="AZ403" s="375"/>
      <c r="BA403" s="375"/>
      <c r="BB403" s="375"/>
      <c r="BC403" s="375"/>
      <c r="BD403" s="375"/>
      <c r="BE403" s="375"/>
      <c r="BF403" s="375">
        <v>7.1249999999999994E-2</v>
      </c>
      <c r="BG403" s="375"/>
      <c r="BH403" s="375"/>
      <c r="BI403" s="373">
        <f t="shared" si="33"/>
        <v>7.1249999999999994E-2</v>
      </c>
      <c r="BT403" s="355"/>
      <c r="BU403" s="355"/>
      <c r="BV403" s="355"/>
      <c r="BW403" s="355"/>
    </row>
    <row r="404" spans="1:75" x14ac:dyDescent="0.15">
      <c r="A404" s="356"/>
      <c r="B404" s="355"/>
      <c r="C404" s="355"/>
      <c r="D404" s="355"/>
      <c r="E404" s="355"/>
      <c r="F404" s="355"/>
      <c r="G404" s="355"/>
      <c r="O404" s="356"/>
      <c r="P404" s="355"/>
      <c r="Q404" s="355"/>
      <c r="R404" s="355"/>
      <c r="S404" s="355"/>
      <c r="T404" s="355"/>
      <c r="U404" s="355"/>
      <c r="V404" s="355"/>
      <c r="W404" s="355"/>
      <c r="AG404" s="355"/>
      <c r="AH404" s="355"/>
      <c r="AI404" s="355"/>
      <c r="AJ404" s="355"/>
      <c r="AK404" s="355"/>
      <c r="AL404" s="355"/>
      <c r="AM404" s="355"/>
      <c r="AU404" s="379">
        <v>56050</v>
      </c>
      <c r="AV404" s="375"/>
      <c r="AW404" s="375"/>
      <c r="AX404" s="375"/>
      <c r="AY404" s="375"/>
      <c r="AZ404" s="375"/>
      <c r="BA404" s="375"/>
      <c r="BB404" s="375"/>
      <c r="BC404" s="375"/>
      <c r="BD404" s="375"/>
      <c r="BE404" s="375"/>
      <c r="BF404" s="375">
        <v>7.1249999999999994E-2</v>
      </c>
      <c r="BG404" s="375"/>
      <c r="BH404" s="375"/>
      <c r="BI404" s="373">
        <f t="shared" si="33"/>
        <v>7.1249999999999994E-2</v>
      </c>
      <c r="BT404" s="355"/>
      <c r="BU404" s="355"/>
      <c r="BV404" s="355"/>
      <c r="BW404" s="355"/>
    </row>
    <row r="405" spans="1:75" x14ac:dyDescent="0.15">
      <c r="A405" s="356"/>
      <c r="B405" s="355"/>
      <c r="C405" s="355"/>
      <c r="D405" s="355"/>
      <c r="E405" s="355"/>
      <c r="F405" s="355"/>
      <c r="G405" s="355"/>
      <c r="O405" s="356"/>
      <c r="P405" s="355"/>
      <c r="Q405" s="355"/>
      <c r="R405" s="355"/>
      <c r="S405" s="355"/>
      <c r="T405" s="355"/>
      <c r="U405" s="355"/>
      <c r="V405" s="355"/>
      <c r="W405" s="355"/>
      <c r="AG405" s="355"/>
      <c r="AH405" s="355"/>
      <c r="AI405" s="355"/>
      <c r="AJ405" s="355"/>
      <c r="AK405" s="355"/>
      <c r="AL405" s="355"/>
      <c r="AM405" s="355"/>
      <c r="AU405" s="379">
        <v>56080</v>
      </c>
      <c r="AV405" s="375"/>
      <c r="AW405" s="375"/>
      <c r="AX405" s="375"/>
      <c r="AY405" s="375"/>
      <c r="AZ405" s="375"/>
      <c r="BA405" s="375"/>
      <c r="BB405" s="375"/>
      <c r="BC405" s="375"/>
      <c r="BD405" s="375"/>
      <c r="BE405" s="375"/>
      <c r="BF405" s="375">
        <v>7.1249999999999994E-2</v>
      </c>
      <c r="BG405" s="375"/>
      <c r="BH405" s="375"/>
      <c r="BI405" s="373">
        <f t="shared" si="33"/>
        <v>7.1249999999999994E-2</v>
      </c>
      <c r="BT405" s="355"/>
      <c r="BU405" s="355"/>
      <c r="BV405" s="355"/>
      <c r="BW405" s="355"/>
    </row>
    <row r="406" spans="1:75" x14ac:dyDescent="0.15">
      <c r="A406" s="356"/>
      <c r="B406" s="355"/>
      <c r="C406" s="355"/>
      <c r="D406" s="355"/>
      <c r="E406" s="355"/>
      <c r="F406" s="355"/>
      <c r="G406" s="355"/>
      <c r="O406" s="356"/>
      <c r="P406" s="355"/>
      <c r="Q406" s="355"/>
      <c r="R406" s="355"/>
      <c r="S406" s="355"/>
      <c r="T406" s="355"/>
      <c r="U406" s="355"/>
      <c r="V406" s="355"/>
      <c r="W406" s="355"/>
      <c r="AG406" s="355"/>
      <c r="AH406" s="355"/>
      <c r="AI406" s="355"/>
      <c r="AJ406" s="355"/>
      <c r="AK406" s="355"/>
      <c r="AL406" s="355"/>
      <c r="AM406" s="355"/>
      <c r="AU406" s="379">
        <v>56111</v>
      </c>
      <c r="AV406" s="375"/>
      <c r="AW406" s="375"/>
      <c r="AX406" s="375"/>
      <c r="AY406" s="375"/>
      <c r="AZ406" s="375"/>
      <c r="BA406" s="375"/>
      <c r="BB406" s="375"/>
      <c r="BC406" s="375"/>
      <c r="BD406" s="375"/>
      <c r="BE406" s="375"/>
      <c r="BF406" s="375">
        <v>7.1249999999999994E-2</v>
      </c>
      <c r="BG406" s="375"/>
      <c r="BH406" s="375"/>
      <c r="BI406" s="373">
        <f t="shared" si="33"/>
        <v>7.1249999999999994E-2</v>
      </c>
      <c r="BT406" s="355"/>
      <c r="BU406" s="355"/>
      <c r="BV406" s="355"/>
      <c r="BW406" s="355"/>
    </row>
    <row r="407" spans="1:75" x14ac:dyDescent="0.15">
      <c r="A407" s="356"/>
      <c r="B407" s="355"/>
      <c r="C407" s="355"/>
      <c r="D407" s="355"/>
      <c r="E407" s="355"/>
      <c r="F407" s="355"/>
      <c r="G407" s="355"/>
      <c r="O407" s="356"/>
      <c r="P407" s="355"/>
      <c r="Q407" s="355"/>
      <c r="R407" s="355"/>
      <c r="S407" s="355"/>
      <c r="T407" s="355"/>
      <c r="U407" s="355"/>
      <c r="V407" s="355"/>
      <c r="W407" s="355"/>
      <c r="AG407" s="355"/>
      <c r="AH407" s="355"/>
      <c r="AI407" s="355"/>
      <c r="AJ407" s="355"/>
      <c r="AK407" s="355"/>
      <c r="AL407" s="355"/>
      <c r="AM407" s="355"/>
      <c r="AU407" s="379">
        <v>56142</v>
      </c>
      <c r="AV407" s="375"/>
      <c r="AW407" s="375"/>
      <c r="AX407" s="375"/>
      <c r="AY407" s="375"/>
      <c r="AZ407" s="375"/>
      <c r="BA407" s="375"/>
      <c r="BB407" s="375"/>
      <c r="BC407" s="375"/>
      <c r="BD407" s="375"/>
      <c r="BE407" s="375"/>
      <c r="BF407" s="375">
        <v>7.1249999999999994E-2</v>
      </c>
      <c r="BG407" s="375"/>
      <c r="BH407" s="375"/>
      <c r="BI407" s="373">
        <f t="shared" si="33"/>
        <v>7.1249999999999994E-2</v>
      </c>
      <c r="BT407" s="355"/>
      <c r="BU407" s="355"/>
      <c r="BV407" s="355"/>
      <c r="BW407" s="355"/>
    </row>
    <row r="408" spans="1:75" x14ac:dyDescent="0.15">
      <c r="A408" s="356"/>
      <c r="B408" s="355"/>
      <c r="C408" s="355"/>
      <c r="D408" s="355"/>
      <c r="E408" s="355"/>
      <c r="F408" s="355"/>
      <c r="G408" s="355"/>
      <c r="O408" s="356"/>
      <c r="P408" s="355"/>
      <c r="Q408" s="355"/>
      <c r="R408" s="355"/>
      <c r="S408" s="355"/>
      <c r="T408" s="355"/>
      <c r="U408" s="355"/>
      <c r="V408" s="355"/>
      <c r="W408" s="355"/>
      <c r="AG408" s="355"/>
      <c r="AH408" s="355"/>
      <c r="AI408" s="355"/>
      <c r="AJ408" s="355"/>
      <c r="AK408" s="355"/>
      <c r="AL408" s="355"/>
      <c r="AM408" s="355"/>
      <c r="AU408" s="379">
        <v>56172</v>
      </c>
      <c r="AV408" s="375"/>
      <c r="AW408" s="375"/>
      <c r="AX408" s="375"/>
      <c r="AY408" s="375"/>
      <c r="AZ408" s="375"/>
      <c r="BA408" s="375"/>
      <c r="BB408" s="375"/>
      <c r="BC408" s="375"/>
      <c r="BD408" s="375"/>
      <c r="BE408" s="375"/>
      <c r="BF408" s="375">
        <v>7.1249999999999994E-2</v>
      </c>
      <c r="BG408" s="375"/>
      <c r="BH408" s="375"/>
      <c r="BI408" s="373">
        <f t="shared" si="33"/>
        <v>7.1249999999999994E-2</v>
      </c>
      <c r="BT408" s="355"/>
      <c r="BU408" s="355"/>
      <c r="BV408" s="355"/>
      <c r="BW408" s="355"/>
    </row>
    <row r="409" spans="1:75" x14ac:dyDescent="0.15">
      <c r="A409" s="356"/>
      <c r="B409" s="355"/>
      <c r="C409" s="355"/>
      <c r="D409" s="355"/>
      <c r="E409" s="355"/>
      <c r="F409" s="355"/>
      <c r="G409" s="355"/>
      <c r="O409" s="356"/>
      <c r="P409" s="355"/>
      <c r="Q409" s="355"/>
      <c r="R409" s="355"/>
      <c r="S409" s="355"/>
      <c r="T409" s="355"/>
      <c r="U409" s="355"/>
      <c r="V409" s="355"/>
      <c r="W409" s="355"/>
      <c r="AG409" s="355"/>
      <c r="AH409" s="355"/>
      <c r="AI409" s="355"/>
      <c r="AJ409" s="355"/>
      <c r="AK409" s="355"/>
      <c r="AL409" s="355"/>
      <c r="AM409" s="355"/>
      <c r="AU409" s="379">
        <v>56203</v>
      </c>
      <c r="AV409" s="375"/>
      <c r="AW409" s="375"/>
      <c r="AX409" s="375"/>
      <c r="AY409" s="375"/>
      <c r="AZ409" s="375"/>
      <c r="BA409" s="375"/>
      <c r="BB409" s="375"/>
      <c r="BC409" s="375"/>
      <c r="BD409" s="375"/>
      <c r="BE409" s="375"/>
      <c r="BF409" s="375">
        <v>7.1249999999999994E-2</v>
      </c>
      <c r="BG409" s="375"/>
      <c r="BH409" s="375"/>
      <c r="BI409" s="373">
        <f t="shared" si="33"/>
        <v>7.1249999999999994E-2</v>
      </c>
      <c r="BT409" s="355"/>
      <c r="BU409" s="355"/>
      <c r="BV409" s="355"/>
      <c r="BW409" s="355"/>
    </row>
    <row r="410" spans="1:75" x14ac:dyDescent="0.15">
      <c r="A410" s="356"/>
      <c r="B410" s="355"/>
      <c r="C410" s="355"/>
      <c r="D410" s="355"/>
      <c r="E410" s="355"/>
      <c r="F410" s="355"/>
      <c r="G410" s="355"/>
      <c r="O410" s="356"/>
      <c r="P410" s="355"/>
      <c r="Q410" s="355"/>
      <c r="R410" s="355"/>
      <c r="S410" s="355"/>
      <c r="T410" s="355"/>
      <c r="U410" s="355"/>
      <c r="V410" s="355"/>
      <c r="W410" s="355"/>
      <c r="AG410" s="355"/>
      <c r="AH410" s="355"/>
      <c r="AI410" s="355"/>
      <c r="AJ410" s="355"/>
      <c r="AK410" s="355"/>
      <c r="AL410" s="355"/>
      <c r="AM410" s="355"/>
      <c r="AU410" s="379">
        <v>56233</v>
      </c>
      <c r="AV410" s="375"/>
      <c r="AW410" s="375"/>
      <c r="AX410" s="375"/>
      <c r="AY410" s="375"/>
      <c r="AZ410" s="375"/>
      <c r="BA410" s="375"/>
      <c r="BB410" s="375"/>
      <c r="BC410" s="375"/>
      <c r="BD410" s="375"/>
      <c r="BE410" s="375"/>
      <c r="BF410" s="375">
        <v>7.1249999999999994E-2</v>
      </c>
      <c r="BG410" s="375"/>
      <c r="BH410" s="375"/>
      <c r="BI410" s="373">
        <f t="shared" si="33"/>
        <v>7.1249999999999994E-2</v>
      </c>
      <c r="BT410" s="355"/>
      <c r="BU410" s="355"/>
      <c r="BV410" s="355"/>
      <c r="BW410" s="355"/>
    </row>
    <row r="411" spans="1:75" x14ac:dyDescent="0.15">
      <c r="A411" s="356"/>
      <c r="B411" s="355"/>
      <c r="C411" s="355"/>
      <c r="D411" s="355"/>
      <c r="E411" s="355"/>
      <c r="F411" s="355"/>
      <c r="G411" s="355"/>
      <c r="O411" s="356"/>
      <c r="P411" s="355"/>
      <c r="Q411" s="355"/>
      <c r="R411" s="355"/>
      <c r="S411" s="355"/>
      <c r="T411" s="355"/>
      <c r="U411" s="355"/>
      <c r="V411" s="355"/>
      <c r="W411" s="355"/>
      <c r="AG411" s="355"/>
      <c r="AH411" s="355"/>
      <c r="AI411" s="355"/>
      <c r="AJ411" s="355"/>
      <c r="AK411" s="355"/>
      <c r="AL411" s="355"/>
      <c r="AM411" s="355"/>
      <c r="AU411" s="379">
        <v>56264</v>
      </c>
      <c r="AV411" s="375"/>
      <c r="AW411" s="375"/>
      <c r="AX411" s="375"/>
      <c r="AY411" s="375"/>
      <c r="AZ411" s="375"/>
      <c r="BA411" s="375"/>
      <c r="BB411" s="375"/>
      <c r="BC411" s="375"/>
      <c r="BD411" s="375"/>
      <c r="BE411" s="375"/>
      <c r="BF411" s="375">
        <v>7.1249999999999994E-2</v>
      </c>
      <c r="BG411" s="375"/>
      <c r="BH411" s="375"/>
      <c r="BI411" s="373">
        <f t="shared" si="33"/>
        <v>7.1249999999999994E-2</v>
      </c>
      <c r="BT411" s="355"/>
      <c r="BU411" s="355"/>
      <c r="BV411" s="355"/>
      <c r="BW411" s="355"/>
    </row>
    <row r="412" spans="1:75" x14ac:dyDescent="0.15">
      <c r="A412" s="356"/>
      <c r="B412" s="355"/>
      <c r="C412" s="355"/>
      <c r="D412" s="355"/>
      <c r="E412" s="355"/>
      <c r="F412" s="355"/>
      <c r="G412" s="355"/>
      <c r="O412" s="356"/>
      <c r="P412" s="355"/>
      <c r="Q412" s="355"/>
      <c r="R412" s="355"/>
      <c r="S412" s="355"/>
      <c r="T412" s="355"/>
      <c r="U412" s="355"/>
      <c r="V412" s="355"/>
      <c r="W412" s="355"/>
      <c r="AG412" s="355"/>
      <c r="AH412" s="355"/>
      <c r="AI412" s="355"/>
      <c r="AJ412" s="355"/>
      <c r="AK412" s="355"/>
      <c r="AL412" s="355"/>
      <c r="AM412" s="355"/>
      <c r="AU412" s="379">
        <v>56295</v>
      </c>
      <c r="AV412" s="375"/>
      <c r="AW412" s="375"/>
      <c r="AX412" s="375"/>
      <c r="AY412" s="375"/>
      <c r="AZ412" s="375"/>
      <c r="BA412" s="375"/>
      <c r="BB412" s="375"/>
      <c r="BC412" s="375"/>
      <c r="BD412" s="375"/>
      <c r="BE412" s="375"/>
      <c r="BF412" s="375">
        <v>7.1249999999999994E-2</v>
      </c>
      <c r="BG412" s="375"/>
      <c r="BH412" s="375"/>
      <c r="BI412" s="373">
        <f t="shared" si="33"/>
        <v>7.1249999999999994E-2</v>
      </c>
      <c r="BT412" s="355"/>
      <c r="BU412" s="355"/>
      <c r="BV412" s="355"/>
      <c r="BW412" s="355"/>
    </row>
    <row r="413" spans="1:75" x14ac:dyDescent="0.15">
      <c r="A413" s="356"/>
      <c r="B413" s="355"/>
      <c r="C413" s="355"/>
      <c r="D413" s="355"/>
      <c r="E413" s="355"/>
      <c r="F413" s="355"/>
      <c r="G413" s="355"/>
      <c r="O413" s="356"/>
      <c r="P413" s="355"/>
      <c r="Q413" s="355"/>
      <c r="R413" s="355"/>
      <c r="S413" s="355"/>
      <c r="T413" s="355"/>
      <c r="U413" s="355"/>
      <c r="V413" s="355"/>
      <c r="W413" s="355"/>
      <c r="AG413" s="355"/>
      <c r="AH413" s="355"/>
      <c r="AI413" s="355"/>
      <c r="AJ413" s="355"/>
      <c r="AK413" s="355"/>
      <c r="AL413" s="355"/>
      <c r="AM413" s="355"/>
      <c r="AU413" s="379">
        <v>56323</v>
      </c>
      <c r="AV413" s="375"/>
      <c r="AW413" s="375"/>
      <c r="AX413" s="375"/>
      <c r="AY413" s="375"/>
      <c r="AZ413" s="375"/>
      <c r="BA413" s="375"/>
      <c r="BB413" s="375"/>
      <c r="BC413" s="375"/>
      <c r="BD413" s="375"/>
      <c r="BE413" s="375"/>
      <c r="BF413" s="375">
        <v>7.1249999999999994E-2</v>
      </c>
      <c r="BG413" s="375"/>
      <c r="BH413" s="375"/>
      <c r="BI413" s="373">
        <f t="shared" si="33"/>
        <v>7.1249999999999994E-2</v>
      </c>
      <c r="BT413" s="355"/>
      <c r="BU413" s="355"/>
      <c r="BV413" s="355"/>
      <c r="BW413" s="355"/>
    </row>
    <row r="414" spans="1:75" x14ac:dyDescent="0.15">
      <c r="A414" s="356"/>
      <c r="B414" s="355"/>
      <c r="C414" s="355"/>
      <c r="D414" s="355"/>
      <c r="E414" s="355"/>
      <c r="F414" s="355"/>
      <c r="G414" s="355"/>
      <c r="O414" s="356"/>
      <c r="P414" s="355"/>
      <c r="Q414" s="355"/>
      <c r="R414" s="355"/>
      <c r="S414" s="355"/>
      <c r="T414" s="355"/>
      <c r="U414" s="355"/>
      <c r="V414" s="355"/>
      <c r="W414" s="355"/>
      <c r="AG414" s="355"/>
      <c r="AH414" s="355"/>
      <c r="AI414" s="355"/>
      <c r="AJ414" s="355"/>
      <c r="AK414" s="355"/>
      <c r="AL414" s="355"/>
      <c r="AM414" s="355"/>
      <c r="AU414" s="379">
        <v>56354</v>
      </c>
      <c r="AV414" s="375"/>
      <c r="AW414" s="375"/>
      <c r="AX414" s="375"/>
      <c r="AY414" s="375"/>
      <c r="AZ414" s="375"/>
      <c r="BA414" s="375"/>
      <c r="BB414" s="375"/>
      <c r="BC414" s="375"/>
      <c r="BD414" s="375"/>
      <c r="BE414" s="375"/>
      <c r="BF414" s="375">
        <v>7.1249999999999994E-2</v>
      </c>
      <c r="BG414" s="375"/>
      <c r="BH414" s="375"/>
      <c r="BI414" s="373">
        <f t="shared" si="33"/>
        <v>7.1249999999999994E-2</v>
      </c>
      <c r="BT414" s="355"/>
      <c r="BU414" s="355"/>
      <c r="BV414" s="355"/>
      <c r="BW414" s="355"/>
    </row>
    <row r="415" spans="1:75" x14ac:dyDescent="0.15">
      <c r="A415" s="356"/>
      <c r="B415" s="355"/>
      <c r="C415" s="355"/>
      <c r="D415" s="355"/>
      <c r="E415" s="355"/>
      <c r="F415" s="355"/>
      <c r="G415" s="355"/>
      <c r="O415" s="356"/>
      <c r="P415" s="355"/>
      <c r="Q415" s="355"/>
      <c r="R415" s="355"/>
      <c r="S415" s="355"/>
      <c r="T415" s="355"/>
      <c r="U415" s="355"/>
      <c r="V415" s="355"/>
      <c r="W415" s="355"/>
      <c r="AG415" s="355"/>
      <c r="AH415" s="355"/>
      <c r="AI415" s="355"/>
      <c r="AJ415" s="355"/>
      <c r="AK415" s="355"/>
      <c r="AL415" s="355"/>
      <c r="AM415" s="355"/>
      <c r="AU415" s="379">
        <v>56384</v>
      </c>
      <c r="AV415" s="375"/>
      <c r="AW415" s="375"/>
      <c r="AX415" s="375"/>
      <c r="AY415" s="375"/>
      <c r="AZ415" s="375"/>
      <c r="BA415" s="375"/>
      <c r="BB415" s="375"/>
      <c r="BC415" s="375"/>
      <c r="BD415" s="375"/>
      <c r="BE415" s="375"/>
      <c r="BF415" s="375">
        <v>7.1249999999999994E-2</v>
      </c>
      <c r="BG415" s="375"/>
      <c r="BH415" s="375"/>
      <c r="BI415" s="373">
        <f t="shared" si="33"/>
        <v>7.1249999999999994E-2</v>
      </c>
      <c r="BT415" s="355"/>
      <c r="BU415" s="355"/>
      <c r="BV415" s="355"/>
      <c r="BW415" s="355"/>
    </row>
    <row r="416" spans="1:75" x14ac:dyDescent="0.15">
      <c r="A416" s="356"/>
      <c r="B416" s="355"/>
      <c r="C416" s="355"/>
      <c r="D416" s="355"/>
      <c r="E416" s="355"/>
      <c r="F416" s="355"/>
      <c r="G416" s="355"/>
      <c r="O416" s="356"/>
      <c r="P416" s="355"/>
      <c r="Q416" s="355"/>
      <c r="R416" s="355"/>
      <c r="S416" s="355"/>
      <c r="T416" s="355"/>
      <c r="U416" s="355"/>
      <c r="V416" s="355"/>
      <c r="W416" s="355"/>
      <c r="AG416" s="355"/>
      <c r="AH416" s="355"/>
      <c r="AI416" s="355"/>
      <c r="AJ416" s="355"/>
      <c r="AK416" s="355"/>
      <c r="AL416" s="355"/>
      <c r="AM416" s="355"/>
      <c r="AU416" s="379">
        <v>56415</v>
      </c>
      <c r="AV416" s="375"/>
      <c r="AW416" s="375"/>
      <c r="AX416" s="375"/>
      <c r="AY416" s="375"/>
      <c r="AZ416" s="375"/>
      <c r="BA416" s="375"/>
      <c r="BB416" s="375"/>
      <c r="BC416" s="375"/>
      <c r="BD416" s="375"/>
      <c r="BE416" s="375"/>
      <c r="BF416" s="375">
        <v>7.1249999999999994E-2</v>
      </c>
      <c r="BG416" s="375"/>
      <c r="BH416" s="375"/>
      <c r="BI416" s="373">
        <f t="shared" si="33"/>
        <v>7.1249999999999994E-2</v>
      </c>
      <c r="BT416" s="355"/>
      <c r="BU416" s="355"/>
      <c r="BV416" s="355"/>
      <c r="BW416" s="355"/>
    </row>
    <row r="417" spans="1:75" x14ac:dyDescent="0.15">
      <c r="A417" s="356"/>
      <c r="B417" s="355"/>
      <c r="C417" s="355"/>
      <c r="D417" s="355"/>
      <c r="E417" s="355"/>
      <c r="F417" s="355"/>
      <c r="G417" s="355"/>
      <c r="O417" s="356"/>
      <c r="P417" s="355"/>
      <c r="Q417" s="355"/>
      <c r="R417" s="355"/>
      <c r="S417" s="355"/>
      <c r="T417" s="355"/>
      <c r="U417" s="355"/>
      <c r="V417" s="355"/>
      <c r="W417" s="355"/>
      <c r="AG417" s="355"/>
      <c r="AH417" s="355"/>
      <c r="AI417" s="355"/>
      <c r="AJ417" s="355"/>
      <c r="AK417" s="355"/>
      <c r="AL417" s="355"/>
      <c r="AM417" s="355"/>
      <c r="AU417" s="379">
        <v>56445</v>
      </c>
      <c r="AV417" s="375"/>
      <c r="AW417" s="375"/>
      <c r="AX417" s="375"/>
      <c r="AY417" s="375"/>
      <c r="AZ417" s="375"/>
      <c r="BA417" s="375"/>
      <c r="BB417" s="375"/>
      <c r="BC417" s="375"/>
      <c r="BD417" s="375"/>
      <c r="BE417" s="375"/>
      <c r="BF417" s="375">
        <v>7.1249999999999994E-2</v>
      </c>
      <c r="BG417" s="375"/>
      <c r="BH417" s="375"/>
      <c r="BI417" s="373">
        <f t="shared" si="33"/>
        <v>7.1249999999999994E-2</v>
      </c>
      <c r="BT417" s="355"/>
      <c r="BU417" s="355"/>
      <c r="BV417" s="355"/>
      <c r="BW417" s="355"/>
    </row>
    <row r="418" spans="1:75" x14ac:dyDescent="0.15">
      <c r="A418" s="356"/>
      <c r="B418" s="355"/>
      <c r="C418" s="355"/>
      <c r="D418" s="355"/>
      <c r="E418" s="355"/>
      <c r="F418" s="355"/>
      <c r="G418" s="355"/>
      <c r="O418" s="356"/>
      <c r="P418" s="355"/>
      <c r="Q418" s="355"/>
      <c r="R418" s="355"/>
      <c r="S418" s="355"/>
      <c r="T418" s="355"/>
      <c r="U418" s="355"/>
      <c r="V418" s="355"/>
      <c r="W418" s="355"/>
      <c r="AG418" s="355"/>
      <c r="AH418" s="355"/>
      <c r="AI418" s="355"/>
      <c r="AJ418" s="355"/>
      <c r="AK418" s="355"/>
      <c r="AL418" s="355"/>
      <c r="AM418" s="355"/>
      <c r="AU418" s="379">
        <v>56476</v>
      </c>
      <c r="AV418" s="375"/>
      <c r="AW418" s="375"/>
      <c r="AX418" s="375"/>
      <c r="AY418" s="375"/>
      <c r="AZ418" s="375"/>
      <c r="BA418" s="375"/>
      <c r="BB418" s="375"/>
      <c r="BC418" s="375"/>
      <c r="BD418" s="375"/>
      <c r="BE418" s="375"/>
      <c r="BF418" s="375">
        <v>7.1249999999999994E-2</v>
      </c>
      <c r="BG418" s="375"/>
      <c r="BH418" s="375"/>
      <c r="BI418" s="373">
        <f t="shared" si="33"/>
        <v>7.1249999999999994E-2</v>
      </c>
      <c r="BT418" s="355"/>
      <c r="BU418" s="355"/>
      <c r="BV418" s="355"/>
      <c r="BW418" s="355"/>
    </row>
    <row r="419" spans="1:75" x14ac:dyDescent="0.15">
      <c r="A419" s="356"/>
      <c r="B419" s="355"/>
      <c r="C419" s="355"/>
      <c r="D419" s="355"/>
      <c r="E419" s="355"/>
      <c r="F419" s="355"/>
      <c r="G419" s="355"/>
      <c r="O419" s="356"/>
      <c r="P419" s="355"/>
      <c r="Q419" s="355"/>
      <c r="R419" s="355"/>
      <c r="S419" s="355"/>
      <c r="T419" s="355"/>
      <c r="U419" s="355"/>
      <c r="V419" s="355"/>
      <c r="W419" s="355"/>
      <c r="AG419" s="355"/>
      <c r="AH419" s="355"/>
      <c r="AI419" s="355"/>
      <c r="AJ419" s="355"/>
      <c r="AK419" s="355"/>
      <c r="AL419" s="355"/>
      <c r="AM419" s="355"/>
      <c r="AU419" s="379">
        <v>56507</v>
      </c>
      <c r="AV419" s="375"/>
      <c r="AW419" s="375"/>
      <c r="AX419" s="375"/>
      <c r="AY419" s="375"/>
      <c r="AZ419" s="375"/>
      <c r="BA419" s="375"/>
      <c r="BB419" s="375"/>
      <c r="BC419" s="375"/>
      <c r="BD419" s="375"/>
      <c r="BE419" s="375"/>
      <c r="BF419" s="375">
        <v>7.1249999999999994E-2</v>
      </c>
      <c r="BG419" s="375"/>
      <c r="BH419" s="375"/>
      <c r="BI419" s="373">
        <f t="shared" si="33"/>
        <v>7.1249999999999994E-2</v>
      </c>
      <c r="BT419" s="355"/>
      <c r="BU419" s="355"/>
      <c r="BV419" s="355"/>
      <c r="BW419" s="355"/>
    </row>
    <row r="420" spans="1:75" x14ac:dyDescent="0.15">
      <c r="A420" s="356"/>
      <c r="B420" s="355"/>
      <c r="C420" s="355"/>
      <c r="D420" s="355"/>
      <c r="E420" s="355"/>
      <c r="F420" s="355"/>
      <c r="G420" s="355"/>
      <c r="O420" s="356"/>
      <c r="P420" s="355"/>
      <c r="Q420" s="355"/>
      <c r="R420" s="355"/>
      <c r="S420" s="355"/>
      <c r="T420" s="355"/>
      <c r="U420" s="355"/>
      <c r="V420" s="355"/>
      <c r="W420" s="355"/>
      <c r="AG420" s="355"/>
      <c r="AH420" s="355"/>
      <c r="AI420" s="355"/>
      <c r="AJ420" s="355"/>
      <c r="AK420" s="355"/>
      <c r="AL420" s="355"/>
      <c r="AM420" s="355"/>
      <c r="AU420" s="379">
        <v>56537</v>
      </c>
      <c r="AV420" s="375"/>
      <c r="AW420" s="375"/>
      <c r="AX420" s="375"/>
      <c r="AY420" s="375"/>
      <c r="AZ420" s="375"/>
      <c r="BA420" s="375"/>
      <c r="BB420" s="375"/>
      <c r="BC420" s="375"/>
      <c r="BD420" s="375"/>
      <c r="BE420" s="375"/>
      <c r="BF420" s="375">
        <v>7.1249999999999994E-2</v>
      </c>
      <c r="BG420" s="375"/>
      <c r="BH420" s="375"/>
      <c r="BI420" s="373">
        <f t="shared" si="33"/>
        <v>7.1249999999999994E-2</v>
      </c>
      <c r="BT420" s="355"/>
      <c r="BU420" s="355"/>
      <c r="BV420" s="355"/>
      <c r="BW420" s="355"/>
    </row>
    <row r="421" spans="1:75" x14ac:dyDescent="0.15">
      <c r="A421" s="356"/>
      <c r="B421" s="355"/>
      <c r="C421" s="355"/>
      <c r="D421" s="355"/>
      <c r="E421" s="355"/>
      <c r="F421" s="355"/>
      <c r="G421" s="355"/>
      <c r="O421" s="356"/>
      <c r="P421" s="355"/>
      <c r="Q421" s="355"/>
      <c r="R421" s="355"/>
      <c r="S421" s="355"/>
      <c r="T421" s="355"/>
      <c r="U421" s="355"/>
      <c r="V421" s="355"/>
      <c r="W421" s="355"/>
      <c r="AG421" s="355"/>
      <c r="AH421" s="355"/>
      <c r="AI421" s="355"/>
      <c r="AJ421" s="355"/>
      <c r="AK421" s="355"/>
      <c r="AL421" s="355"/>
      <c r="AM421" s="355"/>
      <c r="AU421" s="379">
        <v>56568</v>
      </c>
      <c r="AV421" s="375"/>
      <c r="AW421" s="375"/>
      <c r="AX421" s="375"/>
      <c r="AY421" s="375"/>
      <c r="AZ421" s="375"/>
      <c r="BA421" s="375"/>
      <c r="BB421" s="375"/>
      <c r="BC421" s="375"/>
      <c r="BD421" s="375"/>
      <c r="BE421" s="375"/>
      <c r="BF421" s="375">
        <v>7.1249999999999994E-2</v>
      </c>
      <c r="BG421" s="375"/>
      <c r="BH421" s="375"/>
      <c r="BI421" s="373">
        <f t="shared" si="33"/>
        <v>7.1249999999999994E-2</v>
      </c>
      <c r="BT421" s="355"/>
      <c r="BU421" s="355"/>
      <c r="BV421" s="355"/>
      <c r="BW421" s="355"/>
    </row>
    <row r="422" spans="1:75" x14ac:dyDescent="0.15">
      <c r="A422" s="356"/>
      <c r="B422" s="355"/>
      <c r="C422" s="355"/>
      <c r="D422" s="355"/>
      <c r="E422" s="355"/>
      <c r="F422" s="355"/>
      <c r="G422" s="355"/>
      <c r="O422" s="356"/>
      <c r="P422" s="355"/>
      <c r="Q422" s="355"/>
      <c r="R422" s="355"/>
      <c r="S422" s="355"/>
      <c r="T422" s="355"/>
      <c r="U422" s="355"/>
      <c r="V422" s="355"/>
      <c r="W422" s="355"/>
      <c r="AG422" s="355"/>
      <c r="AH422" s="355"/>
      <c r="AI422" s="355"/>
      <c r="AJ422" s="355"/>
      <c r="AK422" s="355"/>
      <c r="AL422" s="355"/>
      <c r="AM422" s="355"/>
      <c r="AU422" s="379">
        <v>56598</v>
      </c>
      <c r="AV422" s="375"/>
      <c r="AW422" s="375"/>
      <c r="AX422" s="375"/>
      <c r="AY422" s="375"/>
      <c r="AZ422" s="375"/>
      <c r="BA422" s="375"/>
      <c r="BB422" s="375"/>
      <c r="BC422" s="375"/>
      <c r="BD422" s="375"/>
      <c r="BE422" s="375"/>
      <c r="BF422" s="375">
        <v>7.1249999999999994E-2</v>
      </c>
      <c r="BG422" s="375"/>
      <c r="BH422" s="375"/>
      <c r="BI422" s="373">
        <f t="shared" si="33"/>
        <v>7.1249999999999994E-2</v>
      </c>
      <c r="BT422" s="355"/>
      <c r="BU422" s="355"/>
      <c r="BV422" s="355"/>
      <c r="BW422" s="355"/>
    </row>
    <row r="423" spans="1:75" x14ac:dyDescent="0.15">
      <c r="A423" s="356"/>
      <c r="B423" s="355"/>
      <c r="C423" s="355"/>
      <c r="D423" s="355"/>
      <c r="E423" s="355"/>
      <c r="F423" s="355"/>
      <c r="G423" s="355"/>
      <c r="O423" s="356"/>
      <c r="P423" s="355"/>
      <c r="Q423" s="355"/>
      <c r="R423" s="355"/>
      <c r="S423" s="355"/>
      <c r="T423" s="355"/>
      <c r="U423" s="355"/>
      <c r="V423" s="355"/>
      <c r="W423" s="355"/>
      <c r="AG423" s="355"/>
      <c r="AH423" s="355"/>
      <c r="AI423" s="355"/>
      <c r="AJ423" s="355"/>
      <c r="AK423" s="355"/>
      <c r="AL423" s="355"/>
      <c r="AM423" s="355"/>
      <c r="AU423" s="379">
        <v>56629</v>
      </c>
      <c r="AV423" s="375"/>
      <c r="AW423" s="375"/>
      <c r="AX423" s="375"/>
      <c r="AY423" s="375"/>
      <c r="AZ423" s="375"/>
      <c r="BA423" s="375"/>
      <c r="BB423" s="375"/>
      <c r="BC423" s="375"/>
      <c r="BD423" s="375"/>
      <c r="BE423" s="375"/>
      <c r="BF423" s="375">
        <v>7.1249999999999994E-2</v>
      </c>
      <c r="BG423" s="375"/>
      <c r="BH423" s="375"/>
      <c r="BI423" s="373">
        <f t="shared" si="33"/>
        <v>7.1249999999999994E-2</v>
      </c>
      <c r="BT423" s="355"/>
      <c r="BU423" s="355"/>
      <c r="BV423" s="355"/>
      <c r="BW423" s="355"/>
    </row>
    <row r="424" spans="1:75" x14ac:dyDescent="0.15">
      <c r="A424" s="356"/>
      <c r="B424" s="355"/>
      <c r="C424" s="355"/>
      <c r="D424" s="355"/>
      <c r="E424" s="355"/>
      <c r="F424" s="355"/>
      <c r="G424" s="355"/>
      <c r="O424" s="356"/>
      <c r="P424" s="355"/>
      <c r="Q424" s="355"/>
      <c r="R424" s="355"/>
      <c r="S424" s="355"/>
      <c r="T424" s="355"/>
      <c r="U424" s="355"/>
      <c r="V424" s="355"/>
      <c r="W424" s="355"/>
      <c r="AG424" s="355"/>
      <c r="AH424" s="355"/>
      <c r="AI424" s="355"/>
      <c r="AJ424" s="355"/>
      <c r="AK424" s="355"/>
      <c r="AL424" s="355"/>
      <c r="AM424" s="355"/>
      <c r="AU424" s="379">
        <v>56660</v>
      </c>
      <c r="AV424" s="375"/>
      <c r="AW424" s="375"/>
      <c r="AX424" s="375"/>
      <c r="AY424" s="375"/>
      <c r="AZ424" s="375"/>
      <c r="BA424" s="375"/>
      <c r="BB424" s="375"/>
      <c r="BC424" s="375"/>
      <c r="BD424" s="375"/>
      <c r="BE424" s="375"/>
      <c r="BF424" s="375">
        <v>7.1249999999999994E-2</v>
      </c>
      <c r="BG424" s="375"/>
      <c r="BH424" s="375"/>
      <c r="BI424" s="373">
        <f t="shared" si="33"/>
        <v>7.1249999999999994E-2</v>
      </c>
      <c r="BT424" s="355"/>
      <c r="BU424" s="355"/>
      <c r="BV424" s="355"/>
      <c r="BW424" s="355"/>
    </row>
    <row r="425" spans="1:75" x14ac:dyDescent="0.15">
      <c r="A425" s="356"/>
      <c r="B425" s="355"/>
      <c r="C425" s="355"/>
      <c r="D425" s="355"/>
      <c r="E425" s="355"/>
      <c r="F425" s="355"/>
      <c r="G425" s="355"/>
      <c r="O425" s="356"/>
      <c r="P425" s="355"/>
      <c r="Q425" s="355"/>
      <c r="R425" s="355"/>
      <c r="S425" s="355"/>
      <c r="T425" s="355"/>
      <c r="U425" s="355"/>
      <c r="V425" s="355"/>
      <c r="W425" s="355"/>
      <c r="AG425" s="355"/>
      <c r="AH425" s="355"/>
      <c r="AI425" s="355"/>
      <c r="AJ425" s="355"/>
      <c r="AK425" s="355"/>
      <c r="AL425" s="355"/>
      <c r="AM425" s="355"/>
      <c r="AU425" s="379">
        <v>56688</v>
      </c>
      <c r="AV425" s="375"/>
      <c r="AW425" s="375"/>
      <c r="AX425" s="375"/>
      <c r="AY425" s="375"/>
      <c r="AZ425" s="375"/>
      <c r="BA425" s="375"/>
      <c r="BB425" s="375"/>
      <c r="BC425" s="375"/>
      <c r="BD425" s="375"/>
      <c r="BE425" s="375"/>
      <c r="BF425" s="375">
        <v>7.1249999999999994E-2</v>
      </c>
      <c r="BG425" s="375"/>
      <c r="BH425" s="375"/>
      <c r="BI425" s="373">
        <f t="shared" si="33"/>
        <v>7.1249999999999994E-2</v>
      </c>
      <c r="BT425" s="355"/>
      <c r="BU425" s="355"/>
      <c r="BV425" s="355"/>
      <c r="BW425" s="355"/>
    </row>
    <row r="426" spans="1:75" x14ac:dyDescent="0.15">
      <c r="A426" s="356"/>
      <c r="B426" s="355"/>
      <c r="C426" s="355"/>
      <c r="D426" s="355"/>
      <c r="E426" s="355"/>
      <c r="F426" s="355"/>
      <c r="G426" s="355"/>
      <c r="O426" s="356"/>
      <c r="P426" s="355"/>
      <c r="Q426" s="355"/>
      <c r="R426" s="355"/>
      <c r="S426" s="355"/>
      <c r="T426" s="355"/>
      <c r="U426" s="355"/>
      <c r="V426" s="355"/>
      <c r="W426" s="355"/>
      <c r="AG426" s="355"/>
      <c r="AH426" s="355"/>
      <c r="AI426" s="355"/>
      <c r="AJ426" s="355"/>
      <c r="AK426" s="355"/>
      <c r="AL426" s="355"/>
      <c r="AM426" s="355"/>
      <c r="AU426" s="379">
        <v>56719</v>
      </c>
      <c r="AV426" s="375"/>
      <c r="AW426" s="375"/>
      <c r="AX426" s="375"/>
      <c r="AY426" s="375"/>
      <c r="AZ426" s="375"/>
      <c r="BA426" s="375"/>
      <c r="BB426" s="375"/>
      <c r="BC426" s="375"/>
      <c r="BD426" s="375"/>
      <c r="BE426" s="375"/>
      <c r="BF426" s="375">
        <v>7.1249999999999994E-2</v>
      </c>
      <c r="BG426" s="375"/>
      <c r="BH426" s="375"/>
      <c r="BI426" s="373">
        <f t="shared" si="33"/>
        <v>7.1249999999999994E-2</v>
      </c>
      <c r="BT426" s="355"/>
      <c r="BU426" s="355"/>
      <c r="BV426" s="355"/>
      <c r="BW426" s="355"/>
    </row>
    <row r="427" spans="1:75" x14ac:dyDescent="0.15">
      <c r="A427" s="356"/>
      <c r="B427" s="355"/>
      <c r="C427" s="355"/>
      <c r="D427" s="355"/>
      <c r="E427" s="355"/>
      <c r="F427" s="355"/>
      <c r="G427" s="355"/>
      <c r="O427" s="356"/>
      <c r="P427" s="355"/>
      <c r="Q427" s="355"/>
      <c r="R427" s="355"/>
      <c r="S427" s="355"/>
      <c r="T427" s="355"/>
      <c r="U427" s="355"/>
      <c r="V427" s="355"/>
      <c r="W427" s="355"/>
      <c r="AG427" s="355"/>
      <c r="AH427" s="355"/>
      <c r="AI427" s="355"/>
      <c r="AJ427" s="355"/>
      <c r="AK427" s="355"/>
      <c r="AL427" s="355"/>
      <c r="AM427" s="355"/>
      <c r="AU427" s="379">
        <v>56749</v>
      </c>
      <c r="AV427" s="375"/>
      <c r="AW427" s="375"/>
      <c r="AX427" s="375"/>
      <c r="AY427" s="375"/>
      <c r="AZ427" s="375"/>
      <c r="BA427" s="375"/>
      <c r="BB427" s="375"/>
      <c r="BC427" s="375"/>
      <c r="BD427" s="375"/>
      <c r="BE427" s="375"/>
      <c r="BF427" s="375">
        <v>7.1249999999999994E-2</v>
      </c>
      <c r="BG427" s="375"/>
      <c r="BH427" s="375"/>
      <c r="BI427" s="373">
        <f t="shared" si="33"/>
        <v>7.1249999999999994E-2</v>
      </c>
      <c r="BT427" s="355"/>
      <c r="BU427" s="355"/>
      <c r="BV427" s="355"/>
      <c r="BW427" s="355"/>
    </row>
    <row r="428" spans="1:75" x14ac:dyDescent="0.15">
      <c r="A428" s="356"/>
      <c r="B428" s="355"/>
      <c r="C428" s="355"/>
      <c r="D428" s="355"/>
      <c r="E428" s="355"/>
      <c r="F428" s="355"/>
      <c r="G428" s="355"/>
      <c r="O428" s="356"/>
      <c r="P428" s="355"/>
      <c r="Q428" s="355"/>
      <c r="R428" s="355"/>
      <c r="S428" s="355"/>
      <c r="T428" s="355"/>
      <c r="U428" s="355"/>
      <c r="V428" s="355"/>
      <c r="W428" s="355"/>
      <c r="AG428" s="355"/>
      <c r="AH428" s="355"/>
      <c r="AI428" s="355"/>
      <c r="AJ428" s="355"/>
      <c r="AK428" s="355"/>
      <c r="AL428" s="355"/>
      <c r="AM428" s="355"/>
      <c r="AU428" s="379">
        <v>56780</v>
      </c>
      <c r="AV428" s="375"/>
      <c r="AW428" s="375"/>
      <c r="AX428" s="375"/>
      <c r="AY428" s="375"/>
      <c r="AZ428" s="375"/>
      <c r="BA428" s="375"/>
      <c r="BB428" s="375"/>
      <c r="BC428" s="375"/>
      <c r="BD428" s="375"/>
      <c r="BE428" s="375"/>
      <c r="BF428" s="375">
        <v>7.1249999999999994E-2</v>
      </c>
      <c r="BG428" s="375"/>
      <c r="BH428" s="375"/>
      <c r="BI428" s="373">
        <f t="shared" si="33"/>
        <v>7.1249999999999994E-2</v>
      </c>
      <c r="BT428" s="355"/>
      <c r="BU428" s="355"/>
      <c r="BV428" s="355"/>
      <c r="BW428" s="355"/>
    </row>
    <row r="429" spans="1:75" x14ac:dyDescent="0.15">
      <c r="A429" s="356"/>
      <c r="B429" s="355"/>
      <c r="C429" s="355"/>
      <c r="D429" s="355"/>
      <c r="E429" s="355"/>
      <c r="F429" s="355"/>
      <c r="G429" s="355"/>
      <c r="O429" s="356"/>
      <c r="P429" s="355"/>
      <c r="Q429" s="355"/>
      <c r="R429" s="355"/>
      <c r="S429" s="355"/>
      <c r="T429" s="355"/>
      <c r="U429" s="355"/>
      <c r="V429" s="355"/>
      <c r="W429" s="355"/>
      <c r="AG429" s="355"/>
      <c r="AH429" s="355"/>
      <c r="AI429" s="355"/>
      <c r="AJ429" s="355"/>
      <c r="AK429" s="355"/>
      <c r="AL429" s="355"/>
      <c r="AM429" s="355"/>
      <c r="AU429" s="379">
        <v>56810</v>
      </c>
      <c r="AV429" s="375"/>
      <c r="AW429" s="375"/>
      <c r="AX429" s="375"/>
      <c r="AY429" s="375"/>
      <c r="AZ429" s="375"/>
      <c r="BA429" s="375"/>
      <c r="BB429" s="375"/>
      <c r="BC429" s="375"/>
      <c r="BD429" s="375"/>
      <c r="BE429" s="375"/>
      <c r="BF429" s="375">
        <v>7.1249999999999994E-2</v>
      </c>
      <c r="BG429" s="375"/>
      <c r="BH429" s="375"/>
      <c r="BI429" s="373">
        <f t="shared" si="33"/>
        <v>7.1249999999999994E-2</v>
      </c>
      <c r="BT429" s="355"/>
      <c r="BU429" s="355"/>
      <c r="BV429" s="355"/>
      <c r="BW429" s="355"/>
    </row>
    <row r="430" spans="1:75" x14ac:dyDescent="0.15">
      <c r="A430" s="356"/>
      <c r="B430" s="355"/>
      <c r="C430" s="355"/>
      <c r="D430" s="355"/>
      <c r="E430" s="355"/>
      <c r="F430" s="355"/>
      <c r="G430" s="355"/>
      <c r="O430" s="356"/>
      <c r="P430" s="355"/>
      <c r="Q430" s="355"/>
      <c r="R430" s="355"/>
      <c r="S430" s="355"/>
      <c r="T430" s="355"/>
      <c r="U430" s="355"/>
      <c r="V430" s="355"/>
      <c r="W430" s="355"/>
      <c r="AG430" s="355"/>
      <c r="AH430" s="355"/>
      <c r="AI430" s="355"/>
      <c r="AJ430" s="355"/>
      <c r="AK430" s="355"/>
      <c r="AL430" s="355"/>
      <c r="AM430" s="355"/>
      <c r="AU430" s="379">
        <v>56841</v>
      </c>
      <c r="AV430" s="375"/>
      <c r="AW430" s="375"/>
      <c r="AX430" s="375"/>
      <c r="AY430" s="375"/>
      <c r="AZ430" s="375"/>
      <c r="BA430" s="375"/>
      <c r="BB430" s="375"/>
      <c r="BC430" s="375"/>
      <c r="BD430" s="375"/>
      <c r="BE430" s="375"/>
      <c r="BF430" s="375">
        <v>7.1249999999999994E-2</v>
      </c>
      <c r="BG430" s="375"/>
      <c r="BH430" s="375"/>
      <c r="BI430" s="373">
        <f t="shared" si="33"/>
        <v>7.1249999999999994E-2</v>
      </c>
      <c r="BT430" s="355"/>
      <c r="BU430" s="355"/>
      <c r="BV430" s="355"/>
      <c r="BW430" s="355"/>
    </row>
    <row r="431" spans="1:75" x14ac:dyDescent="0.15">
      <c r="A431" s="356"/>
      <c r="B431" s="355"/>
      <c r="C431" s="355"/>
      <c r="D431" s="355"/>
      <c r="E431" s="355"/>
      <c r="F431" s="355"/>
      <c r="G431" s="355"/>
      <c r="O431" s="356"/>
      <c r="P431" s="355"/>
      <c r="Q431" s="355"/>
      <c r="R431" s="355"/>
      <c r="S431" s="355"/>
      <c r="T431" s="355"/>
      <c r="U431" s="355"/>
      <c r="V431" s="355"/>
      <c r="W431" s="355"/>
      <c r="AG431" s="355"/>
      <c r="AH431" s="355"/>
      <c r="AI431" s="355"/>
      <c r="AJ431" s="355"/>
      <c r="AK431" s="355"/>
      <c r="AL431" s="355"/>
      <c r="AM431" s="355"/>
      <c r="AU431" s="379">
        <v>56872</v>
      </c>
      <c r="AV431" s="375"/>
      <c r="AW431" s="375"/>
      <c r="AX431" s="375"/>
      <c r="AY431" s="375"/>
      <c r="AZ431" s="375"/>
      <c r="BA431" s="375"/>
      <c r="BB431" s="375"/>
      <c r="BC431" s="375"/>
      <c r="BD431" s="375"/>
      <c r="BE431" s="375"/>
      <c r="BF431" s="375">
        <v>7.1249999999999994E-2</v>
      </c>
      <c r="BG431" s="375"/>
      <c r="BH431" s="375"/>
      <c r="BI431" s="373">
        <f t="shared" si="33"/>
        <v>7.1249999999999994E-2</v>
      </c>
      <c r="BT431" s="355"/>
      <c r="BU431" s="355"/>
      <c r="BV431" s="355"/>
      <c r="BW431" s="355"/>
    </row>
    <row r="432" spans="1:75" x14ac:dyDescent="0.15">
      <c r="A432" s="356"/>
      <c r="B432" s="355"/>
      <c r="C432" s="355"/>
      <c r="D432" s="355"/>
      <c r="E432" s="355"/>
      <c r="F432" s="355"/>
      <c r="G432" s="355"/>
      <c r="O432" s="356"/>
      <c r="P432" s="355"/>
      <c r="Q432" s="355"/>
      <c r="R432" s="355"/>
      <c r="S432" s="355"/>
      <c r="T432" s="355"/>
      <c r="U432" s="355"/>
      <c r="V432" s="355"/>
      <c r="W432" s="355"/>
      <c r="AG432" s="355"/>
      <c r="AH432" s="355"/>
      <c r="AI432" s="355"/>
      <c r="AJ432" s="355"/>
      <c r="AK432" s="355"/>
      <c r="AL432" s="355"/>
      <c r="AM432" s="355"/>
      <c r="AU432" s="379">
        <v>56902</v>
      </c>
      <c r="AV432" s="375"/>
      <c r="AW432" s="375"/>
      <c r="AX432" s="375"/>
      <c r="AY432" s="375"/>
      <c r="AZ432" s="375"/>
      <c r="BA432" s="375"/>
      <c r="BB432" s="375"/>
      <c r="BC432" s="375"/>
      <c r="BD432" s="375"/>
      <c r="BE432" s="375"/>
      <c r="BF432" s="375">
        <v>7.1249999999999994E-2</v>
      </c>
      <c r="BG432" s="375"/>
      <c r="BH432" s="375"/>
      <c r="BI432" s="373">
        <f t="shared" si="33"/>
        <v>7.1249999999999994E-2</v>
      </c>
      <c r="BT432" s="355"/>
      <c r="BU432" s="355"/>
      <c r="BV432" s="355"/>
      <c r="BW432" s="355"/>
    </row>
    <row r="433" spans="1:75" x14ac:dyDescent="0.15">
      <c r="A433" s="356"/>
      <c r="B433" s="355"/>
      <c r="C433" s="355"/>
      <c r="D433" s="355"/>
      <c r="E433" s="355"/>
      <c r="F433" s="355"/>
      <c r="G433" s="355"/>
      <c r="O433" s="356"/>
      <c r="P433" s="355"/>
      <c r="Q433" s="355"/>
      <c r="R433" s="355"/>
      <c r="S433" s="355"/>
      <c r="T433" s="355"/>
      <c r="U433" s="355"/>
      <c r="V433" s="355"/>
      <c r="W433" s="355"/>
      <c r="AG433" s="355"/>
      <c r="AH433" s="355"/>
      <c r="AI433" s="355"/>
      <c r="AJ433" s="355"/>
      <c r="AK433" s="355"/>
      <c r="AL433" s="355"/>
      <c r="AM433" s="355"/>
      <c r="AU433" s="379">
        <v>56933</v>
      </c>
      <c r="AV433" s="375"/>
      <c r="AW433" s="375"/>
      <c r="AX433" s="375"/>
      <c r="AY433" s="375"/>
      <c r="AZ433" s="375"/>
      <c r="BA433" s="375"/>
      <c r="BB433" s="375"/>
      <c r="BC433" s="375"/>
      <c r="BD433" s="375"/>
      <c r="BE433" s="375"/>
      <c r="BF433" s="375">
        <v>7.1249999999999994E-2</v>
      </c>
      <c r="BG433" s="375"/>
      <c r="BH433" s="375"/>
      <c r="BI433" s="373">
        <f t="shared" si="33"/>
        <v>7.1249999999999994E-2</v>
      </c>
      <c r="BT433" s="355"/>
      <c r="BU433" s="355"/>
      <c r="BV433" s="355"/>
      <c r="BW433" s="355"/>
    </row>
    <row r="434" spans="1:75" x14ac:dyDescent="0.15">
      <c r="A434" s="356"/>
      <c r="B434" s="355"/>
      <c r="C434" s="355"/>
      <c r="D434" s="355"/>
      <c r="E434" s="355"/>
      <c r="F434" s="355"/>
      <c r="G434" s="355"/>
      <c r="O434" s="356"/>
      <c r="P434" s="355"/>
      <c r="Q434" s="355"/>
      <c r="R434" s="355"/>
      <c r="S434" s="355"/>
      <c r="T434" s="355"/>
      <c r="U434" s="355"/>
      <c r="V434" s="355"/>
      <c r="W434" s="355"/>
      <c r="AG434" s="355"/>
      <c r="AH434" s="355"/>
      <c r="AI434" s="355"/>
      <c r="AJ434" s="355"/>
      <c r="AK434" s="355"/>
      <c r="AL434" s="355"/>
      <c r="AM434" s="355"/>
      <c r="AU434" s="379">
        <v>56963</v>
      </c>
      <c r="AV434" s="375"/>
      <c r="AW434" s="375"/>
      <c r="AX434" s="375"/>
      <c r="AY434" s="375"/>
      <c r="AZ434" s="375"/>
      <c r="BA434" s="375"/>
      <c r="BB434" s="375"/>
      <c r="BC434" s="375"/>
      <c r="BD434" s="375"/>
      <c r="BE434" s="375"/>
      <c r="BF434" s="375">
        <v>7.1249999999999994E-2</v>
      </c>
      <c r="BG434" s="375"/>
      <c r="BH434" s="375"/>
      <c r="BI434" s="373">
        <f t="shared" si="33"/>
        <v>7.1249999999999994E-2</v>
      </c>
      <c r="BT434" s="355"/>
      <c r="BU434" s="355"/>
      <c r="BV434" s="355"/>
      <c r="BW434" s="355"/>
    </row>
    <row r="435" spans="1:75" x14ac:dyDescent="0.15">
      <c r="A435" s="356"/>
      <c r="B435" s="355"/>
      <c r="C435" s="355"/>
      <c r="D435" s="355"/>
      <c r="E435" s="355"/>
      <c r="F435" s="355"/>
      <c r="G435" s="355"/>
      <c r="O435" s="356"/>
      <c r="P435" s="355"/>
      <c r="Q435" s="355"/>
      <c r="R435" s="355"/>
      <c r="S435" s="355"/>
      <c r="T435" s="355"/>
      <c r="U435" s="355"/>
      <c r="V435" s="355"/>
      <c r="W435" s="355"/>
      <c r="AG435" s="355"/>
      <c r="AH435" s="355"/>
      <c r="AI435" s="355"/>
      <c r="AJ435" s="355"/>
      <c r="AK435" s="355"/>
      <c r="AL435" s="355"/>
      <c r="AM435" s="355"/>
      <c r="AU435" s="379">
        <v>56994</v>
      </c>
      <c r="AV435" s="375"/>
      <c r="AW435" s="375"/>
      <c r="AX435" s="375"/>
      <c r="AY435" s="375"/>
      <c r="AZ435" s="375"/>
      <c r="BA435" s="375"/>
      <c r="BB435" s="375"/>
      <c r="BC435" s="375"/>
      <c r="BD435" s="375"/>
      <c r="BE435" s="375"/>
      <c r="BF435" s="375">
        <v>7.1249999999999994E-2</v>
      </c>
      <c r="BG435" s="375"/>
      <c r="BH435" s="375"/>
      <c r="BI435" s="373">
        <f t="shared" si="33"/>
        <v>7.1249999999999994E-2</v>
      </c>
      <c r="BT435" s="355"/>
      <c r="BU435" s="355"/>
      <c r="BV435" s="355"/>
      <c r="BW435" s="355"/>
    </row>
    <row r="436" spans="1:75" x14ac:dyDescent="0.15">
      <c r="A436" s="356"/>
      <c r="B436" s="355"/>
      <c r="C436" s="355"/>
      <c r="D436" s="355"/>
      <c r="E436" s="355"/>
      <c r="F436" s="355"/>
      <c r="G436" s="355"/>
      <c r="O436" s="356"/>
      <c r="P436" s="355"/>
      <c r="Q436" s="355"/>
      <c r="R436" s="355"/>
      <c r="S436" s="355"/>
      <c r="T436" s="355"/>
      <c r="U436" s="355"/>
      <c r="V436" s="355"/>
      <c r="W436" s="355"/>
      <c r="AG436" s="355"/>
      <c r="AH436" s="355"/>
      <c r="AI436" s="355"/>
      <c r="AJ436" s="355"/>
      <c r="AK436" s="355"/>
      <c r="AL436" s="355"/>
      <c r="AM436" s="355"/>
      <c r="AU436" s="379">
        <v>57025</v>
      </c>
      <c r="AV436" s="375"/>
      <c r="AW436" s="375"/>
      <c r="AX436" s="375"/>
      <c r="AY436" s="375"/>
      <c r="AZ436" s="375"/>
      <c r="BA436" s="375"/>
      <c r="BB436" s="375"/>
      <c r="BC436" s="375"/>
      <c r="BD436" s="375"/>
      <c r="BE436" s="375"/>
      <c r="BF436" s="375">
        <v>7.1249999999999994E-2</v>
      </c>
      <c r="BG436" s="375"/>
      <c r="BH436" s="375"/>
      <c r="BI436" s="373">
        <f t="shared" si="33"/>
        <v>7.1249999999999994E-2</v>
      </c>
      <c r="BT436" s="355"/>
      <c r="BU436" s="355"/>
      <c r="BV436" s="355"/>
      <c r="BW436" s="355"/>
    </row>
    <row r="437" spans="1:75" x14ac:dyDescent="0.15">
      <c r="A437" s="356"/>
      <c r="B437" s="355"/>
      <c r="C437" s="355"/>
      <c r="D437" s="355"/>
      <c r="E437" s="355"/>
      <c r="F437" s="355"/>
      <c r="G437" s="355"/>
      <c r="O437" s="356"/>
      <c r="P437" s="355"/>
      <c r="Q437" s="355"/>
      <c r="R437" s="355"/>
      <c r="S437" s="355"/>
      <c r="T437" s="355"/>
      <c r="U437" s="355"/>
      <c r="V437" s="355"/>
      <c r="W437" s="355"/>
      <c r="AG437" s="355"/>
      <c r="AH437" s="355"/>
      <c r="AI437" s="355"/>
      <c r="AJ437" s="355"/>
      <c r="AK437" s="355"/>
      <c r="AL437" s="355"/>
      <c r="AM437" s="355"/>
      <c r="AU437" s="379">
        <v>57054</v>
      </c>
      <c r="AV437" s="375"/>
      <c r="AW437" s="375"/>
      <c r="AX437" s="375"/>
      <c r="AY437" s="375"/>
      <c r="AZ437" s="375"/>
      <c r="BA437" s="375"/>
      <c r="BB437" s="375"/>
      <c r="BC437" s="375"/>
      <c r="BD437" s="375"/>
      <c r="BE437" s="375"/>
      <c r="BF437" s="375">
        <v>7.1249999999999994E-2</v>
      </c>
      <c r="BG437" s="375"/>
      <c r="BH437" s="375"/>
      <c r="BI437" s="373">
        <f t="shared" si="33"/>
        <v>7.1249999999999994E-2</v>
      </c>
      <c r="BT437" s="355"/>
      <c r="BU437" s="355"/>
      <c r="BV437" s="355"/>
      <c r="BW437" s="355"/>
    </row>
    <row r="438" spans="1:75" x14ac:dyDescent="0.15">
      <c r="A438" s="356"/>
      <c r="B438" s="355"/>
      <c r="C438" s="355"/>
      <c r="D438" s="355"/>
      <c r="E438" s="355"/>
      <c r="F438" s="355"/>
      <c r="G438" s="355"/>
      <c r="O438" s="356"/>
      <c r="P438" s="355"/>
      <c r="Q438" s="355"/>
      <c r="R438" s="355"/>
      <c r="S438" s="355"/>
      <c r="T438" s="355"/>
      <c r="U438" s="355"/>
      <c r="V438" s="355"/>
      <c r="W438" s="355"/>
      <c r="AG438" s="355"/>
      <c r="AH438" s="355"/>
      <c r="AI438" s="355"/>
      <c r="AJ438" s="355"/>
      <c r="AK438" s="355"/>
      <c r="AL438" s="355"/>
      <c r="AM438" s="355"/>
      <c r="AU438" s="379">
        <v>57085</v>
      </c>
      <c r="AV438" s="375"/>
      <c r="AW438" s="375"/>
      <c r="AX438" s="375"/>
      <c r="AY438" s="375"/>
      <c r="AZ438" s="375"/>
      <c r="BA438" s="375"/>
      <c r="BB438" s="375"/>
      <c r="BC438" s="375"/>
      <c r="BD438" s="375"/>
      <c r="BE438" s="375"/>
      <c r="BF438" s="375">
        <v>7.1249999999999994E-2</v>
      </c>
      <c r="BG438" s="375"/>
      <c r="BH438" s="375"/>
      <c r="BI438" s="373">
        <f t="shared" si="33"/>
        <v>7.1249999999999994E-2</v>
      </c>
      <c r="BT438" s="355"/>
      <c r="BU438" s="355"/>
      <c r="BV438" s="355"/>
      <c r="BW438" s="355"/>
    </row>
    <row r="439" spans="1:75" x14ac:dyDescent="0.15">
      <c r="A439" s="356"/>
      <c r="B439" s="355"/>
      <c r="C439" s="355"/>
      <c r="D439" s="355"/>
      <c r="E439" s="355"/>
      <c r="F439" s="355"/>
      <c r="G439" s="355"/>
      <c r="O439" s="356"/>
      <c r="P439" s="355"/>
      <c r="Q439" s="355"/>
      <c r="R439" s="355"/>
      <c r="S439" s="355"/>
      <c r="T439" s="355"/>
      <c r="U439" s="355"/>
      <c r="V439" s="355"/>
      <c r="W439" s="355"/>
      <c r="AG439" s="355"/>
      <c r="AH439" s="355"/>
      <c r="AI439" s="355"/>
      <c r="AJ439" s="355"/>
      <c r="AK439" s="355"/>
      <c r="AL439" s="355"/>
      <c r="AM439" s="355"/>
      <c r="AU439" s="379">
        <v>57115</v>
      </c>
      <c r="AV439" s="375"/>
      <c r="AW439" s="375"/>
      <c r="AX439" s="375"/>
      <c r="AY439" s="375"/>
      <c r="AZ439" s="375"/>
      <c r="BA439" s="375"/>
      <c r="BB439" s="375"/>
      <c r="BC439" s="375"/>
      <c r="BD439" s="375"/>
      <c r="BE439" s="375"/>
      <c r="BF439" s="375">
        <v>7.1249999999999994E-2</v>
      </c>
      <c r="BG439" s="375"/>
      <c r="BH439" s="375"/>
      <c r="BI439" s="373">
        <f t="shared" si="33"/>
        <v>7.1249999999999994E-2</v>
      </c>
      <c r="BT439" s="355"/>
      <c r="BU439" s="355"/>
      <c r="BV439" s="355"/>
      <c r="BW439" s="355"/>
    </row>
    <row r="440" spans="1:75" x14ac:dyDescent="0.15">
      <c r="A440" s="356"/>
      <c r="B440" s="355"/>
      <c r="C440" s="355"/>
      <c r="D440" s="355"/>
      <c r="E440" s="355"/>
      <c r="F440" s="355"/>
      <c r="G440" s="355"/>
      <c r="O440" s="356"/>
      <c r="P440" s="355"/>
      <c r="Q440" s="355"/>
      <c r="R440" s="355"/>
      <c r="S440" s="355"/>
      <c r="T440" s="355"/>
      <c r="U440" s="355"/>
      <c r="V440" s="355"/>
      <c r="W440" s="355"/>
      <c r="AG440" s="355"/>
      <c r="AH440" s="355"/>
      <c r="AI440" s="355"/>
      <c r="AJ440" s="355"/>
      <c r="AK440" s="355"/>
      <c r="AL440" s="355"/>
      <c r="AM440" s="355"/>
      <c r="AU440" s="379">
        <v>57146</v>
      </c>
      <c r="AV440" s="375"/>
      <c r="AW440" s="375"/>
      <c r="AX440" s="375"/>
      <c r="AY440" s="375"/>
      <c r="AZ440" s="375"/>
      <c r="BA440" s="375"/>
      <c r="BB440" s="375"/>
      <c r="BC440" s="375"/>
      <c r="BD440" s="375"/>
      <c r="BE440" s="375"/>
      <c r="BF440" s="375">
        <v>7.1249999999999994E-2</v>
      </c>
      <c r="BG440" s="375"/>
      <c r="BH440" s="375"/>
      <c r="BI440" s="373">
        <f t="shared" si="33"/>
        <v>7.1249999999999994E-2</v>
      </c>
      <c r="BT440" s="355"/>
      <c r="BU440" s="355"/>
      <c r="BV440" s="355"/>
      <c r="BW440" s="355"/>
    </row>
    <row r="441" spans="1:75" x14ac:dyDescent="0.15">
      <c r="A441" s="356"/>
      <c r="B441" s="355"/>
      <c r="C441" s="355"/>
      <c r="D441" s="355"/>
      <c r="E441" s="355"/>
      <c r="F441" s="355"/>
      <c r="G441" s="355"/>
      <c r="O441" s="356"/>
      <c r="P441" s="355"/>
      <c r="Q441" s="355"/>
      <c r="R441" s="355"/>
      <c r="S441" s="355"/>
      <c r="T441" s="355"/>
      <c r="U441" s="355"/>
      <c r="V441" s="355"/>
      <c r="W441" s="355"/>
      <c r="AG441" s="355"/>
      <c r="AH441" s="355"/>
      <c r="AI441" s="355"/>
      <c r="AJ441" s="355"/>
      <c r="AK441" s="355"/>
      <c r="AL441" s="355"/>
      <c r="AM441" s="355"/>
      <c r="AU441" s="379">
        <v>57176</v>
      </c>
      <c r="AV441" s="375"/>
      <c r="AW441" s="375"/>
      <c r="AX441" s="375"/>
      <c r="AY441" s="375"/>
      <c r="AZ441" s="375"/>
      <c r="BA441" s="375"/>
      <c r="BB441" s="375"/>
      <c r="BC441" s="375"/>
      <c r="BD441" s="375"/>
      <c r="BE441" s="375"/>
      <c r="BF441" s="375">
        <v>7.1249999999999994E-2</v>
      </c>
      <c r="BG441" s="375"/>
      <c r="BH441" s="375"/>
      <c r="BI441" s="373">
        <f t="shared" si="33"/>
        <v>7.1249999999999994E-2</v>
      </c>
      <c r="BT441" s="355"/>
      <c r="BU441" s="355"/>
      <c r="BV441" s="355"/>
      <c r="BW441" s="355"/>
    </row>
    <row r="442" spans="1:75" x14ac:dyDescent="0.15">
      <c r="A442" s="356"/>
      <c r="B442" s="355"/>
      <c r="C442" s="355"/>
      <c r="D442" s="355"/>
      <c r="E442" s="355"/>
      <c r="F442" s="355"/>
      <c r="G442" s="355"/>
      <c r="O442" s="356"/>
      <c r="P442" s="355"/>
      <c r="Q442" s="355"/>
      <c r="R442" s="355"/>
      <c r="S442" s="355"/>
      <c r="T442" s="355"/>
      <c r="U442" s="355"/>
      <c r="V442" s="355"/>
      <c r="W442" s="355"/>
      <c r="AG442" s="355"/>
      <c r="AH442" s="355"/>
      <c r="AI442" s="355"/>
      <c r="AJ442" s="355"/>
      <c r="AK442" s="355"/>
      <c r="AL442" s="355"/>
      <c r="AM442" s="355"/>
      <c r="AU442" s="379">
        <v>57207</v>
      </c>
      <c r="AV442" s="375"/>
      <c r="AW442" s="375"/>
      <c r="AX442" s="375"/>
      <c r="AY442" s="375"/>
      <c r="AZ442" s="375"/>
      <c r="BA442" s="375"/>
      <c r="BB442" s="375"/>
      <c r="BC442" s="375"/>
      <c r="BD442" s="375"/>
      <c r="BE442" s="375"/>
      <c r="BF442" s="375">
        <v>7.1249999999999994E-2</v>
      </c>
      <c r="BG442" s="375"/>
      <c r="BH442" s="375"/>
      <c r="BI442" s="373">
        <f t="shared" si="33"/>
        <v>7.1249999999999994E-2</v>
      </c>
      <c r="BT442" s="355"/>
      <c r="BU442" s="355"/>
      <c r="BV442" s="355"/>
      <c r="BW442" s="355"/>
    </row>
    <row r="443" spans="1:75" x14ac:dyDescent="0.15">
      <c r="A443" s="356"/>
      <c r="B443" s="355"/>
      <c r="C443" s="355"/>
      <c r="D443" s="355"/>
      <c r="E443" s="355"/>
      <c r="F443" s="355"/>
      <c r="G443" s="355"/>
      <c r="O443" s="356"/>
      <c r="P443" s="355"/>
      <c r="Q443" s="355"/>
      <c r="R443" s="355"/>
      <c r="S443" s="355"/>
      <c r="T443" s="355"/>
      <c r="U443" s="355"/>
      <c r="V443" s="355"/>
      <c r="W443" s="355"/>
      <c r="AG443" s="355"/>
      <c r="AH443" s="355"/>
      <c r="AI443" s="355"/>
      <c r="AJ443" s="355"/>
      <c r="AK443" s="355"/>
      <c r="AL443" s="355"/>
      <c r="AM443" s="355"/>
      <c r="AU443" s="379">
        <v>57238</v>
      </c>
      <c r="AV443" s="375"/>
      <c r="AW443" s="375"/>
      <c r="AX443" s="375"/>
      <c r="AY443" s="375"/>
      <c r="AZ443" s="375"/>
      <c r="BA443" s="375"/>
      <c r="BB443" s="375"/>
      <c r="BC443" s="375"/>
      <c r="BD443" s="375"/>
      <c r="BE443" s="375"/>
      <c r="BF443" s="375">
        <v>7.1249999999999994E-2</v>
      </c>
      <c r="BG443" s="375"/>
      <c r="BH443" s="375"/>
      <c r="BI443" s="373">
        <f t="shared" si="33"/>
        <v>7.1249999999999994E-2</v>
      </c>
      <c r="BT443" s="355"/>
      <c r="BU443" s="355"/>
      <c r="BV443" s="355"/>
      <c r="BW443" s="355"/>
    </row>
    <row r="444" spans="1:75" x14ac:dyDescent="0.15">
      <c r="A444" s="356"/>
      <c r="B444" s="355"/>
      <c r="C444" s="355"/>
      <c r="D444" s="355"/>
      <c r="E444" s="355"/>
      <c r="F444" s="355"/>
      <c r="G444" s="355"/>
      <c r="O444" s="356"/>
      <c r="P444" s="355"/>
      <c r="Q444" s="355"/>
      <c r="R444" s="355"/>
      <c r="S444" s="355"/>
      <c r="T444" s="355"/>
      <c r="U444" s="355"/>
      <c r="V444" s="355"/>
      <c r="W444" s="355"/>
      <c r="AG444" s="355"/>
      <c r="AH444" s="355"/>
      <c r="AI444" s="355"/>
      <c r="AJ444" s="355"/>
      <c r="AK444" s="355"/>
      <c r="AL444" s="355"/>
      <c r="AM444" s="355"/>
      <c r="AU444" s="379">
        <v>57268</v>
      </c>
      <c r="AV444" s="375"/>
      <c r="AW444" s="375"/>
      <c r="AX444" s="375"/>
      <c r="AY444" s="375"/>
      <c r="AZ444" s="375"/>
      <c r="BA444" s="375"/>
      <c r="BB444" s="375"/>
      <c r="BC444" s="375"/>
      <c r="BD444" s="375"/>
      <c r="BE444" s="375"/>
      <c r="BF444" s="375">
        <v>7.1249999999999994E-2</v>
      </c>
      <c r="BG444" s="375"/>
      <c r="BH444" s="375"/>
      <c r="BI444" s="373">
        <f t="shared" si="33"/>
        <v>7.1249999999999994E-2</v>
      </c>
      <c r="BT444" s="355"/>
      <c r="BU444" s="355"/>
      <c r="BV444" s="355"/>
      <c r="BW444" s="355"/>
    </row>
    <row r="445" spans="1:75" x14ac:dyDescent="0.15">
      <c r="A445" s="356"/>
      <c r="B445" s="355"/>
      <c r="C445" s="355"/>
      <c r="D445" s="355"/>
      <c r="E445" s="355"/>
      <c r="F445" s="355"/>
      <c r="G445" s="355"/>
      <c r="O445" s="356"/>
      <c r="P445" s="355"/>
      <c r="Q445" s="355"/>
      <c r="R445" s="355"/>
      <c r="S445" s="355"/>
      <c r="T445" s="355"/>
      <c r="U445" s="355"/>
      <c r="V445" s="355"/>
      <c r="W445" s="355"/>
      <c r="AG445" s="355"/>
      <c r="AH445" s="355"/>
      <c r="AI445" s="355"/>
      <c r="AJ445" s="355"/>
      <c r="AK445" s="355"/>
      <c r="AL445" s="355"/>
      <c r="AM445" s="355"/>
      <c r="AU445" s="379">
        <v>57299</v>
      </c>
      <c r="AV445" s="375"/>
      <c r="AW445" s="375"/>
      <c r="AX445" s="375"/>
      <c r="AY445" s="375"/>
      <c r="AZ445" s="375"/>
      <c r="BA445" s="375"/>
      <c r="BB445" s="375"/>
      <c r="BC445" s="375"/>
      <c r="BD445" s="375"/>
      <c r="BE445" s="375"/>
      <c r="BF445" s="375">
        <v>7.1249999999999994E-2</v>
      </c>
      <c r="BG445" s="375"/>
      <c r="BH445" s="375"/>
      <c r="BI445" s="373">
        <f t="shared" si="33"/>
        <v>7.1249999999999994E-2</v>
      </c>
      <c r="BT445" s="355"/>
      <c r="BU445" s="355"/>
      <c r="BV445" s="355"/>
      <c r="BW445" s="355"/>
    </row>
    <row r="446" spans="1:75" x14ac:dyDescent="0.15">
      <c r="A446" s="356"/>
      <c r="B446" s="355"/>
      <c r="C446" s="355"/>
      <c r="D446" s="355"/>
      <c r="E446" s="355"/>
      <c r="F446" s="355"/>
      <c r="G446" s="355"/>
      <c r="O446" s="356"/>
      <c r="P446" s="355"/>
      <c r="Q446" s="355"/>
      <c r="R446" s="355"/>
      <c r="S446" s="355"/>
      <c r="T446" s="355"/>
      <c r="U446" s="355"/>
      <c r="V446" s="355"/>
      <c r="W446" s="355"/>
      <c r="AG446" s="355"/>
      <c r="AH446" s="355"/>
      <c r="AI446" s="355"/>
      <c r="AJ446" s="355"/>
      <c r="AK446" s="355"/>
      <c r="AL446" s="355"/>
      <c r="AM446" s="355"/>
      <c r="AU446" s="379">
        <v>57329</v>
      </c>
      <c r="AV446" s="375"/>
      <c r="AW446" s="375"/>
      <c r="AX446" s="375"/>
      <c r="AY446" s="375"/>
      <c r="AZ446" s="375"/>
      <c r="BA446" s="375"/>
      <c r="BB446" s="375"/>
      <c r="BC446" s="375"/>
      <c r="BD446" s="375"/>
      <c r="BE446" s="375"/>
      <c r="BF446" s="375">
        <v>7.1249999999999994E-2</v>
      </c>
      <c r="BG446" s="375"/>
      <c r="BH446" s="375"/>
      <c r="BI446" s="373">
        <f t="shared" si="33"/>
        <v>7.1249999999999994E-2</v>
      </c>
      <c r="BT446" s="355"/>
      <c r="BU446" s="355"/>
      <c r="BV446" s="355"/>
      <c r="BW446" s="355"/>
    </row>
    <row r="447" spans="1:75" x14ac:dyDescent="0.15">
      <c r="A447" s="356"/>
      <c r="B447" s="355"/>
      <c r="C447" s="355"/>
      <c r="D447" s="355"/>
      <c r="E447" s="355"/>
      <c r="F447" s="355"/>
      <c r="G447" s="355"/>
      <c r="O447" s="356"/>
      <c r="P447" s="355"/>
      <c r="Q447" s="355"/>
      <c r="R447" s="355"/>
      <c r="S447" s="355"/>
      <c r="T447" s="355"/>
      <c r="U447" s="355"/>
      <c r="V447" s="355"/>
      <c r="W447" s="355"/>
      <c r="AG447" s="355"/>
      <c r="AH447" s="355"/>
      <c r="AI447" s="355"/>
      <c r="AJ447" s="355"/>
      <c r="AK447" s="355"/>
      <c r="AL447" s="355"/>
      <c r="AM447" s="355"/>
      <c r="AU447" s="379">
        <v>57360</v>
      </c>
      <c r="AV447" s="375"/>
      <c r="AW447" s="375"/>
      <c r="AX447" s="375"/>
      <c r="AY447" s="375"/>
      <c r="AZ447" s="375"/>
      <c r="BA447" s="375"/>
      <c r="BB447" s="375"/>
      <c r="BC447" s="375"/>
      <c r="BD447" s="375"/>
      <c r="BE447" s="375"/>
      <c r="BF447" s="375">
        <v>7.1249999999999994E-2</v>
      </c>
      <c r="BG447" s="375"/>
      <c r="BH447" s="375"/>
      <c r="BI447" s="373">
        <f t="shared" si="33"/>
        <v>7.1249999999999994E-2</v>
      </c>
      <c r="BT447" s="355"/>
      <c r="BU447" s="355"/>
      <c r="BV447" s="355"/>
      <c r="BW447" s="355"/>
    </row>
    <row r="448" spans="1:75" x14ac:dyDescent="0.15">
      <c r="A448" s="356"/>
      <c r="B448" s="355"/>
      <c r="C448" s="355"/>
      <c r="D448" s="355"/>
      <c r="E448" s="355"/>
      <c r="F448" s="355"/>
      <c r="G448" s="355"/>
      <c r="O448" s="356"/>
      <c r="P448" s="355"/>
      <c r="Q448" s="355"/>
      <c r="R448" s="355"/>
      <c r="S448" s="355"/>
      <c r="T448" s="355"/>
      <c r="U448" s="355"/>
      <c r="V448" s="355"/>
      <c r="W448" s="355"/>
      <c r="AG448" s="355"/>
      <c r="AH448" s="355"/>
      <c r="AI448" s="355"/>
      <c r="AJ448" s="355"/>
      <c r="AK448" s="355"/>
      <c r="AL448" s="355"/>
      <c r="AM448" s="355"/>
      <c r="AU448" s="379">
        <v>57391</v>
      </c>
      <c r="AV448" s="375"/>
      <c r="AW448" s="375"/>
      <c r="AX448" s="375"/>
      <c r="AY448" s="375"/>
      <c r="AZ448" s="375"/>
      <c r="BA448" s="375"/>
      <c r="BB448" s="375"/>
      <c r="BC448" s="375"/>
      <c r="BD448" s="375"/>
      <c r="BE448" s="375"/>
      <c r="BF448" s="375">
        <v>7.1249999999999994E-2</v>
      </c>
      <c r="BG448" s="375"/>
      <c r="BH448" s="375"/>
      <c r="BI448" s="373">
        <f t="shared" si="33"/>
        <v>7.1249999999999994E-2</v>
      </c>
      <c r="BT448" s="355"/>
      <c r="BU448" s="355"/>
      <c r="BV448" s="355"/>
      <c r="BW448" s="355"/>
    </row>
    <row r="449" spans="1:75" x14ac:dyDescent="0.15">
      <c r="A449" s="356"/>
      <c r="B449" s="355"/>
      <c r="C449" s="355"/>
      <c r="D449" s="355"/>
      <c r="E449" s="355"/>
      <c r="F449" s="355"/>
      <c r="G449" s="355"/>
      <c r="O449" s="356"/>
      <c r="P449" s="355"/>
      <c r="Q449" s="355"/>
      <c r="R449" s="355"/>
      <c r="S449" s="355"/>
      <c r="T449" s="355"/>
      <c r="U449" s="355"/>
      <c r="V449" s="355"/>
      <c r="W449" s="355"/>
      <c r="AG449" s="355"/>
      <c r="AH449" s="355"/>
      <c r="AI449" s="355"/>
      <c r="AJ449" s="355"/>
      <c r="AK449" s="355"/>
      <c r="AL449" s="355"/>
      <c r="AM449" s="355"/>
      <c r="AU449" s="379">
        <v>57419</v>
      </c>
      <c r="AV449" s="375"/>
      <c r="AW449" s="375"/>
      <c r="AX449" s="375"/>
      <c r="AY449" s="375"/>
      <c r="AZ449" s="375"/>
      <c r="BA449" s="375"/>
      <c r="BB449" s="375"/>
      <c r="BC449" s="375"/>
      <c r="BD449" s="375"/>
      <c r="BE449" s="375"/>
      <c r="BF449" s="375">
        <v>7.1249999999999994E-2</v>
      </c>
      <c r="BG449" s="375"/>
      <c r="BH449" s="375"/>
      <c r="BI449" s="373">
        <f t="shared" si="33"/>
        <v>7.1249999999999994E-2</v>
      </c>
      <c r="BT449" s="355"/>
      <c r="BU449" s="355"/>
      <c r="BV449" s="355"/>
      <c r="BW449" s="355"/>
    </row>
    <row r="450" spans="1:75" x14ac:dyDescent="0.15">
      <c r="A450" s="356"/>
      <c r="B450" s="355"/>
      <c r="C450" s="355"/>
      <c r="D450" s="355"/>
      <c r="E450" s="355"/>
      <c r="F450" s="355"/>
      <c r="G450" s="355"/>
      <c r="O450" s="356"/>
      <c r="P450" s="355"/>
      <c r="Q450" s="355"/>
      <c r="R450" s="355"/>
      <c r="S450" s="355"/>
      <c r="T450" s="355"/>
      <c r="U450" s="355"/>
      <c r="V450" s="355"/>
      <c r="W450" s="355"/>
      <c r="AG450" s="355"/>
      <c r="AH450" s="355"/>
      <c r="AI450" s="355"/>
      <c r="AJ450" s="355"/>
      <c r="AK450" s="355"/>
      <c r="AL450" s="355"/>
      <c r="AM450" s="355"/>
      <c r="AU450" s="379">
        <v>57450</v>
      </c>
      <c r="AV450" s="375"/>
      <c r="AW450" s="375"/>
      <c r="AX450" s="375"/>
      <c r="AY450" s="375"/>
      <c r="AZ450" s="375"/>
      <c r="BA450" s="375"/>
      <c r="BB450" s="375"/>
      <c r="BC450" s="375"/>
      <c r="BD450" s="375"/>
      <c r="BE450" s="375"/>
      <c r="BF450" s="375">
        <v>7.1249999999999994E-2</v>
      </c>
      <c r="BG450" s="375"/>
      <c r="BH450" s="375"/>
      <c r="BI450" s="373">
        <f t="shared" si="33"/>
        <v>7.1249999999999994E-2</v>
      </c>
      <c r="BT450" s="355"/>
      <c r="BU450" s="355"/>
      <c r="BV450" s="355"/>
      <c r="BW450" s="355"/>
    </row>
    <row r="451" spans="1:75" x14ac:dyDescent="0.15">
      <c r="A451" s="356"/>
      <c r="B451" s="355"/>
      <c r="C451" s="355"/>
      <c r="D451" s="355"/>
      <c r="E451" s="355"/>
      <c r="F451" s="355"/>
      <c r="G451" s="355"/>
      <c r="O451" s="356"/>
      <c r="P451" s="355"/>
      <c r="Q451" s="355"/>
      <c r="R451" s="355"/>
      <c r="S451" s="355"/>
      <c r="T451" s="355"/>
      <c r="U451" s="355"/>
      <c r="V451" s="355"/>
      <c r="W451" s="355"/>
      <c r="AG451" s="355"/>
      <c r="AH451" s="355"/>
      <c r="AI451" s="355"/>
      <c r="AJ451" s="355"/>
      <c r="AK451" s="355"/>
      <c r="AL451" s="355"/>
      <c r="AM451" s="355"/>
      <c r="AU451" s="379">
        <v>57480</v>
      </c>
      <c r="AV451" s="375"/>
      <c r="AW451" s="375"/>
      <c r="AX451" s="375"/>
      <c r="AY451" s="375"/>
      <c r="AZ451" s="375"/>
      <c r="BA451" s="375"/>
      <c r="BB451" s="375"/>
      <c r="BC451" s="375"/>
      <c r="BD451" s="375"/>
      <c r="BE451" s="375"/>
      <c r="BF451" s="375">
        <v>7.1249999999999994E-2</v>
      </c>
      <c r="BG451" s="375"/>
      <c r="BH451" s="375"/>
      <c r="BI451" s="373">
        <f t="shared" si="33"/>
        <v>7.1249999999999994E-2</v>
      </c>
      <c r="BT451" s="355"/>
      <c r="BU451" s="355"/>
      <c r="BV451" s="355"/>
      <c r="BW451" s="355"/>
    </row>
    <row r="452" spans="1:75" x14ac:dyDescent="0.15">
      <c r="A452" s="356"/>
      <c r="B452" s="355"/>
      <c r="C452" s="355"/>
      <c r="D452" s="355"/>
      <c r="E452" s="355"/>
      <c r="F452" s="355"/>
      <c r="G452" s="355"/>
      <c r="O452" s="356"/>
      <c r="P452" s="355"/>
      <c r="Q452" s="355"/>
      <c r="R452" s="355"/>
      <c r="S452" s="355"/>
      <c r="T452" s="355"/>
      <c r="U452" s="355"/>
      <c r="V452" s="355"/>
      <c r="W452" s="355"/>
      <c r="AG452" s="355"/>
      <c r="AH452" s="355"/>
      <c r="AI452" s="355"/>
      <c r="AJ452" s="355"/>
      <c r="AK452" s="355"/>
      <c r="AL452" s="355"/>
      <c r="AM452" s="355"/>
      <c r="AU452" s="379">
        <v>57511</v>
      </c>
      <c r="AV452" s="375"/>
      <c r="AW452" s="375"/>
      <c r="AX452" s="375"/>
      <c r="AY452" s="375"/>
      <c r="AZ452" s="375"/>
      <c r="BA452" s="375"/>
      <c r="BB452" s="375"/>
      <c r="BC452" s="375"/>
      <c r="BD452" s="375"/>
      <c r="BE452" s="375"/>
      <c r="BF452" s="375">
        <v>7.1249999999999994E-2</v>
      </c>
      <c r="BG452" s="375"/>
      <c r="BH452" s="375"/>
      <c r="BI452" s="373">
        <f t="shared" si="33"/>
        <v>7.1249999999999994E-2</v>
      </c>
      <c r="BT452" s="355"/>
      <c r="BU452" s="355"/>
      <c r="BV452" s="355"/>
      <c r="BW452" s="355"/>
    </row>
    <row r="453" spans="1:75" x14ac:dyDescent="0.15">
      <c r="A453" s="356"/>
      <c r="B453" s="355"/>
      <c r="C453" s="355"/>
      <c r="D453" s="355"/>
      <c r="E453" s="355"/>
      <c r="F453" s="355"/>
      <c r="G453" s="355"/>
      <c r="O453" s="356"/>
      <c r="P453" s="355"/>
      <c r="Q453" s="355"/>
      <c r="R453" s="355"/>
      <c r="S453" s="355"/>
      <c r="T453" s="355"/>
      <c r="U453" s="355"/>
      <c r="V453" s="355"/>
      <c r="W453" s="355"/>
      <c r="AG453" s="355"/>
      <c r="AH453" s="355"/>
      <c r="AI453" s="355"/>
      <c r="AJ453" s="355"/>
      <c r="AK453" s="355"/>
      <c r="AL453" s="355"/>
      <c r="AM453" s="355"/>
      <c r="AU453" s="379">
        <v>57541</v>
      </c>
      <c r="AV453" s="375"/>
      <c r="AW453" s="375"/>
      <c r="AX453" s="375"/>
      <c r="AY453" s="375"/>
      <c r="AZ453" s="375"/>
      <c r="BA453" s="375"/>
      <c r="BB453" s="375"/>
      <c r="BC453" s="375"/>
      <c r="BD453" s="375"/>
      <c r="BE453" s="375"/>
      <c r="BF453" s="375">
        <v>7.1249999999999994E-2</v>
      </c>
      <c r="BG453" s="375"/>
      <c r="BH453" s="375"/>
      <c r="BI453" s="373">
        <f t="shared" si="33"/>
        <v>7.1249999999999994E-2</v>
      </c>
      <c r="BT453" s="355"/>
      <c r="BU453" s="355"/>
      <c r="BV453" s="355"/>
      <c r="BW453" s="355"/>
    </row>
    <row r="454" spans="1:75" x14ac:dyDescent="0.15">
      <c r="A454" s="356"/>
      <c r="B454" s="355"/>
      <c r="C454" s="355"/>
      <c r="D454" s="355"/>
      <c r="E454" s="355"/>
      <c r="F454" s="355"/>
      <c r="G454" s="355"/>
      <c r="O454" s="356"/>
      <c r="P454" s="355"/>
      <c r="Q454" s="355"/>
      <c r="R454" s="355"/>
      <c r="S454" s="355"/>
      <c r="T454" s="355"/>
      <c r="U454" s="355"/>
      <c r="V454" s="355"/>
      <c r="W454" s="355"/>
      <c r="AG454" s="355"/>
      <c r="AH454" s="355"/>
      <c r="AI454" s="355"/>
      <c r="AJ454" s="355"/>
      <c r="AK454" s="355"/>
      <c r="AL454" s="355"/>
      <c r="AM454" s="355"/>
      <c r="AU454" s="379">
        <v>57572</v>
      </c>
      <c r="AV454" s="375"/>
      <c r="AW454" s="375"/>
      <c r="AX454" s="375"/>
      <c r="AY454" s="375"/>
      <c r="AZ454" s="375"/>
      <c r="BA454" s="375"/>
      <c r="BB454" s="375"/>
      <c r="BC454" s="375"/>
      <c r="BD454" s="375"/>
      <c r="BE454" s="375"/>
      <c r="BF454" s="375">
        <v>7.1249999999999994E-2</v>
      </c>
      <c r="BG454" s="375"/>
      <c r="BH454" s="375"/>
      <c r="BI454" s="373">
        <f t="shared" si="33"/>
        <v>7.1249999999999994E-2</v>
      </c>
      <c r="BT454" s="355"/>
      <c r="BU454" s="355"/>
      <c r="BV454" s="355"/>
      <c r="BW454" s="355"/>
    </row>
    <row r="455" spans="1:75" x14ac:dyDescent="0.15">
      <c r="A455" s="356"/>
      <c r="B455" s="355"/>
      <c r="C455" s="355"/>
      <c r="D455" s="355"/>
      <c r="E455" s="355"/>
      <c r="F455" s="355"/>
      <c r="G455" s="355"/>
      <c r="O455" s="356"/>
      <c r="P455" s="355"/>
      <c r="Q455" s="355"/>
      <c r="R455" s="355"/>
      <c r="S455" s="355"/>
      <c r="T455" s="355"/>
      <c r="U455" s="355"/>
      <c r="V455" s="355"/>
      <c r="W455" s="355"/>
      <c r="AG455" s="355"/>
      <c r="AH455" s="355"/>
      <c r="AI455" s="355"/>
      <c r="AJ455" s="355"/>
      <c r="AK455" s="355"/>
      <c r="AL455" s="355"/>
      <c r="AM455" s="355"/>
      <c r="AU455" s="379">
        <v>57603</v>
      </c>
      <c r="AV455" s="375"/>
      <c r="AW455" s="375"/>
      <c r="AX455" s="375"/>
      <c r="AY455" s="375"/>
      <c r="AZ455" s="375"/>
      <c r="BA455" s="375"/>
      <c r="BB455" s="375"/>
      <c r="BC455" s="375"/>
      <c r="BD455" s="375"/>
      <c r="BE455" s="375"/>
      <c r="BF455" s="375">
        <v>7.1249999999999994E-2</v>
      </c>
      <c r="BG455" s="375"/>
      <c r="BH455" s="375"/>
      <c r="BI455" s="373">
        <f t="shared" ref="BI455:BI518" si="34">+AVERAGE(AV455:BH455)</f>
        <v>7.1249999999999994E-2</v>
      </c>
      <c r="BT455" s="355"/>
      <c r="BU455" s="355"/>
      <c r="BV455" s="355"/>
      <c r="BW455" s="355"/>
    </row>
    <row r="456" spans="1:75" x14ac:dyDescent="0.15">
      <c r="A456" s="356"/>
      <c r="B456" s="355"/>
      <c r="C456" s="355"/>
      <c r="D456" s="355"/>
      <c r="E456" s="355"/>
      <c r="F456" s="355"/>
      <c r="G456" s="355"/>
      <c r="O456" s="356"/>
      <c r="P456" s="355"/>
      <c r="Q456" s="355"/>
      <c r="R456" s="355"/>
      <c r="S456" s="355"/>
      <c r="T456" s="355"/>
      <c r="U456" s="355"/>
      <c r="V456" s="355"/>
      <c r="W456" s="355"/>
      <c r="AG456" s="355"/>
      <c r="AH456" s="355"/>
      <c r="AI456" s="355"/>
      <c r="AJ456" s="355"/>
      <c r="AK456" s="355"/>
      <c r="AL456" s="355"/>
      <c r="AM456" s="355"/>
      <c r="AU456" s="379">
        <v>57633</v>
      </c>
      <c r="AV456" s="375"/>
      <c r="AW456" s="375"/>
      <c r="AX456" s="375"/>
      <c r="AY456" s="375"/>
      <c r="AZ456" s="375"/>
      <c r="BA456" s="375"/>
      <c r="BB456" s="375"/>
      <c r="BC456" s="375"/>
      <c r="BD456" s="375"/>
      <c r="BE456" s="375"/>
      <c r="BF456" s="375">
        <v>7.1249999999999994E-2</v>
      </c>
      <c r="BG456" s="375"/>
      <c r="BH456" s="375"/>
      <c r="BI456" s="373">
        <f t="shared" si="34"/>
        <v>7.1249999999999994E-2</v>
      </c>
      <c r="BT456" s="355"/>
      <c r="BU456" s="355"/>
      <c r="BV456" s="355"/>
      <c r="BW456" s="355"/>
    </row>
    <row r="457" spans="1:75" x14ac:dyDescent="0.15">
      <c r="A457" s="356"/>
      <c r="B457" s="355"/>
      <c r="C457" s="355"/>
      <c r="D457" s="355"/>
      <c r="E457" s="355"/>
      <c r="F457" s="355"/>
      <c r="G457" s="355"/>
      <c r="O457" s="356"/>
      <c r="P457" s="355"/>
      <c r="Q457" s="355"/>
      <c r="R457" s="355"/>
      <c r="S457" s="355"/>
      <c r="T457" s="355"/>
      <c r="U457" s="355"/>
      <c r="V457" s="355"/>
      <c r="W457" s="355"/>
      <c r="AG457" s="355"/>
      <c r="AH457" s="355"/>
      <c r="AI457" s="355"/>
      <c r="AJ457" s="355"/>
      <c r="AK457" s="355"/>
      <c r="AL457" s="355"/>
      <c r="AM457" s="355"/>
      <c r="AU457" s="379">
        <v>57664</v>
      </c>
      <c r="AV457" s="375"/>
      <c r="AW457" s="375"/>
      <c r="AX457" s="375"/>
      <c r="AY457" s="375"/>
      <c r="AZ457" s="375"/>
      <c r="BA457" s="375"/>
      <c r="BB457" s="375"/>
      <c r="BC457" s="375"/>
      <c r="BD457" s="375"/>
      <c r="BE457" s="375"/>
      <c r="BF457" s="375">
        <v>7.1249999999999994E-2</v>
      </c>
      <c r="BG457" s="375"/>
      <c r="BH457" s="375"/>
      <c r="BI457" s="373">
        <f t="shared" si="34"/>
        <v>7.1249999999999994E-2</v>
      </c>
      <c r="BT457" s="355"/>
      <c r="BU457" s="355"/>
      <c r="BV457" s="355"/>
      <c r="BW457" s="355"/>
    </row>
    <row r="458" spans="1:75" x14ac:dyDescent="0.15">
      <c r="A458" s="356"/>
      <c r="B458" s="355"/>
      <c r="C458" s="355"/>
      <c r="D458" s="355"/>
      <c r="E458" s="355"/>
      <c r="F458" s="355"/>
      <c r="G458" s="355"/>
      <c r="O458" s="356"/>
      <c r="P458" s="355"/>
      <c r="Q458" s="355"/>
      <c r="R458" s="355"/>
      <c r="S458" s="355"/>
      <c r="T458" s="355"/>
      <c r="U458" s="355"/>
      <c r="V458" s="355"/>
      <c r="W458" s="355"/>
      <c r="AG458" s="355"/>
      <c r="AH458" s="355"/>
      <c r="AI458" s="355"/>
      <c r="AJ458" s="355"/>
      <c r="AK458" s="355"/>
      <c r="AL458" s="355"/>
      <c r="AM458" s="355"/>
      <c r="AU458" s="379">
        <v>57694</v>
      </c>
      <c r="AV458" s="375"/>
      <c r="AW458" s="375"/>
      <c r="AX458" s="375"/>
      <c r="AY458" s="375"/>
      <c r="AZ458" s="375"/>
      <c r="BA458" s="375"/>
      <c r="BB458" s="375"/>
      <c r="BC458" s="375"/>
      <c r="BD458" s="375"/>
      <c r="BE458" s="375"/>
      <c r="BF458" s="375">
        <v>7.1249999999999994E-2</v>
      </c>
      <c r="BG458" s="375"/>
      <c r="BH458" s="375"/>
      <c r="BI458" s="373">
        <f t="shared" si="34"/>
        <v>7.1249999999999994E-2</v>
      </c>
      <c r="BT458" s="355"/>
      <c r="BU458" s="355"/>
      <c r="BV458" s="355"/>
      <c r="BW458" s="355"/>
    </row>
    <row r="459" spans="1:75" x14ac:dyDescent="0.15">
      <c r="A459" s="356"/>
      <c r="B459" s="355"/>
      <c r="C459" s="355"/>
      <c r="D459" s="355"/>
      <c r="E459" s="355"/>
      <c r="F459" s="355"/>
      <c r="G459" s="355"/>
      <c r="O459" s="356"/>
      <c r="P459" s="355"/>
      <c r="Q459" s="355"/>
      <c r="R459" s="355"/>
      <c r="S459" s="355"/>
      <c r="T459" s="355"/>
      <c r="U459" s="355"/>
      <c r="V459" s="355"/>
      <c r="W459" s="355"/>
      <c r="AG459" s="355"/>
      <c r="AH459" s="355"/>
      <c r="AI459" s="355"/>
      <c r="AJ459" s="355"/>
      <c r="AK459" s="355"/>
      <c r="AL459" s="355"/>
      <c r="AM459" s="355"/>
      <c r="AU459" s="379">
        <v>57725</v>
      </c>
      <c r="AV459" s="375"/>
      <c r="AW459" s="375"/>
      <c r="AX459" s="375"/>
      <c r="AY459" s="375"/>
      <c r="AZ459" s="375"/>
      <c r="BA459" s="375"/>
      <c r="BB459" s="375"/>
      <c r="BC459" s="375"/>
      <c r="BD459" s="375"/>
      <c r="BE459" s="375"/>
      <c r="BF459" s="375">
        <v>7.1249999999999994E-2</v>
      </c>
      <c r="BG459" s="375"/>
      <c r="BH459" s="375"/>
      <c r="BI459" s="373">
        <f t="shared" si="34"/>
        <v>7.1249999999999994E-2</v>
      </c>
      <c r="BT459" s="355"/>
      <c r="BU459" s="355"/>
      <c r="BV459" s="355"/>
      <c r="BW459" s="355"/>
    </row>
    <row r="460" spans="1:75" x14ac:dyDescent="0.15">
      <c r="A460" s="356"/>
      <c r="B460" s="355"/>
      <c r="C460" s="355"/>
      <c r="D460" s="355"/>
      <c r="E460" s="355"/>
      <c r="F460" s="355"/>
      <c r="G460" s="355"/>
      <c r="O460" s="356"/>
      <c r="P460" s="355"/>
      <c r="Q460" s="355"/>
      <c r="R460" s="355"/>
      <c r="S460" s="355"/>
      <c r="T460" s="355"/>
      <c r="U460" s="355"/>
      <c r="V460" s="355"/>
      <c r="W460" s="355"/>
      <c r="AG460" s="355"/>
      <c r="AH460" s="355"/>
      <c r="AI460" s="355"/>
      <c r="AJ460" s="355"/>
      <c r="AK460" s="355"/>
      <c r="AL460" s="355"/>
      <c r="AM460" s="355"/>
      <c r="AU460" s="379">
        <v>57756</v>
      </c>
      <c r="AV460" s="375"/>
      <c r="AW460" s="375"/>
      <c r="AX460" s="375"/>
      <c r="AY460" s="375"/>
      <c r="AZ460" s="375"/>
      <c r="BA460" s="375"/>
      <c r="BB460" s="375"/>
      <c r="BC460" s="375"/>
      <c r="BD460" s="375"/>
      <c r="BE460" s="375"/>
      <c r="BF460" s="375">
        <v>7.1249999999999994E-2</v>
      </c>
      <c r="BG460" s="375"/>
      <c r="BH460" s="375"/>
      <c r="BI460" s="373">
        <f t="shared" si="34"/>
        <v>7.1249999999999994E-2</v>
      </c>
      <c r="BT460" s="355"/>
      <c r="BU460" s="355"/>
      <c r="BV460" s="355"/>
      <c r="BW460" s="355"/>
    </row>
    <row r="461" spans="1:75" x14ac:dyDescent="0.15">
      <c r="A461" s="356"/>
      <c r="B461" s="355"/>
      <c r="C461" s="355"/>
      <c r="D461" s="355"/>
      <c r="E461" s="355"/>
      <c r="F461" s="355"/>
      <c r="G461" s="355"/>
      <c r="O461" s="356"/>
      <c r="P461" s="355"/>
      <c r="Q461" s="355"/>
      <c r="R461" s="355"/>
      <c r="S461" s="355"/>
      <c r="T461" s="355"/>
      <c r="U461" s="355"/>
      <c r="V461" s="355"/>
      <c r="W461" s="355"/>
      <c r="AG461" s="355"/>
      <c r="AH461" s="355"/>
      <c r="AI461" s="355"/>
      <c r="AJ461" s="355"/>
      <c r="AK461" s="355"/>
      <c r="AL461" s="355"/>
      <c r="AM461" s="355"/>
      <c r="AU461" s="379">
        <v>57784</v>
      </c>
      <c r="AV461" s="375"/>
      <c r="AW461" s="375"/>
      <c r="AX461" s="375"/>
      <c r="AY461" s="375"/>
      <c r="AZ461" s="375"/>
      <c r="BA461" s="375"/>
      <c r="BB461" s="375"/>
      <c r="BC461" s="375"/>
      <c r="BD461" s="375"/>
      <c r="BE461" s="375"/>
      <c r="BF461" s="375">
        <v>7.1249999999999994E-2</v>
      </c>
      <c r="BG461" s="375"/>
      <c r="BH461" s="375"/>
      <c r="BI461" s="373">
        <f t="shared" si="34"/>
        <v>7.1249999999999994E-2</v>
      </c>
      <c r="BT461" s="355"/>
      <c r="BU461" s="355"/>
      <c r="BV461" s="355"/>
      <c r="BW461" s="355"/>
    </row>
    <row r="462" spans="1:75" x14ac:dyDescent="0.15">
      <c r="A462" s="356"/>
      <c r="B462" s="355"/>
      <c r="C462" s="355"/>
      <c r="D462" s="355"/>
      <c r="E462" s="355"/>
      <c r="F462" s="355"/>
      <c r="G462" s="355"/>
      <c r="O462" s="356"/>
      <c r="P462" s="355"/>
      <c r="Q462" s="355"/>
      <c r="R462" s="355"/>
      <c r="S462" s="355"/>
      <c r="T462" s="355"/>
      <c r="U462" s="355"/>
      <c r="V462" s="355"/>
      <c r="W462" s="355"/>
      <c r="AG462" s="355"/>
      <c r="AH462" s="355"/>
      <c r="AI462" s="355"/>
      <c r="AJ462" s="355"/>
      <c r="AK462" s="355"/>
      <c r="AL462" s="355"/>
      <c r="AM462" s="355"/>
      <c r="AU462" s="379">
        <v>57815</v>
      </c>
      <c r="AV462" s="375"/>
      <c r="AW462" s="375"/>
      <c r="AX462" s="375"/>
      <c r="AY462" s="375"/>
      <c r="AZ462" s="375"/>
      <c r="BA462" s="375"/>
      <c r="BB462" s="375"/>
      <c r="BC462" s="375"/>
      <c r="BD462" s="375"/>
      <c r="BE462" s="375"/>
      <c r="BF462" s="375">
        <v>7.1249999999999994E-2</v>
      </c>
      <c r="BG462" s="375"/>
      <c r="BH462" s="375"/>
      <c r="BI462" s="373">
        <f t="shared" si="34"/>
        <v>7.1249999999999994E-2</v>
      </c>
      <c r="BT462" s="355"/>
      <c r="BU462" s="355"/>
      <c r="BV462" s="355"/>
      <c r="BW462" s="355"/>
    </row>
    <row r="463" spans="1:75" x14ac:dyDescent="0.15">
      <c r="A463" s="356"/>
      <c r="B463" s="355"/>
      <c r="C463" s="355"/>
      <c r="D463" s="355"/>
      <c r="E463" s="355"/>
      <c r="F463" s="355"/>
      <c r="G463" s="355"/>
      <c r="O463" s="356"/>
      <c r="P463" s="355"/>
      <c r="Q463" s="355"/>
      <c r="R463" s="355"/>
      <c r="S463" s="355"/>
      <c r="T463" s="355"/>
      <c r="U463" s="355"/>
      <c r="V463" s="355"/>
      <c r="W463" s="355"/>
      <c r="AG463" s="355"/>
      <c r="AH463" s="355"/>
      <c r="AI463" s="355"/>
      <c r="AJ463" s="355"/>
      <c r="AK463" s="355"/>
      <c r="AL463" s="355"/>
      <c r="AM463" s="355"/>
      <c r="AU463" s="379">
        <v>57845</v>
      </c>
      <c r="AV463" s="375"/>
      <c r="AW463" s="375"/>
      <c r="AX463" s="375"/>
      <c r="AY463" s="375"/>
      <c r="AZ463" s="375"/>
      <c r="BA463" s="375"/>
      <c r="BB463" s="375"/>
      <c r="BC463" s="375"/>
      <c r="BD463" s="375"/>
      <c r="BE463" s="375"/>
      <c r="BF463" s="375">
        <v>7.1249999999999994E-2</v>
      </c>
      <c r="BG463" s="375"/>
      <c r="BH463" s="375"/>
      <c r="BI463" s="373">
        <f t="shared" si="34"/>
        <v>7.1249999999999994E-2</v>
      </c>
      <c r="BT463" s="355"/>
      <c r="BU463" s="355"/>
      <c r="BV463" s="355"/>
      <c r="BW463" s="355"/>
    </row>
    <row r="464" spans="1:75" x14ac:dyDescent="0.15">
      <c r="A464" s="356"/>
      <c r="B464" s="355"/>
      <c r="C464" s="355"/>
      <c r="D464" s="355"/>
      <c r="E464" s="355"/>
      <c r="F464" s="355"/>
      <c r="G464" s="355"/>
      <c r="O464" s="356"/>
      <c r="P464" s="355"/>
      <c r="Q464" s="355"/>
      <c r="R464" s="355"/>
      <c r="S464" s="355"/>
      <c r="T464" s="355"/>
      <c r="U464" s="355"/>
      <c r="V464" s="355"/>
      <c r="W464" s="355"/>
      <c r="AG464" s="355"/>
      <c r="AH464" s="355"/>
      <c r="AI464" s="355"/>
      <c r="AJ464" s="355"/>
      <c r="AK464" s="355"/>
      <c r="AL464" s="355"/>
      <c r="AM464" s="355"/>
      <c r="AU464" s="379">
        <v>57876</v>
      </c>
      <c r="AV464" s="375"/>
      <c r="AW464" s="375"/>
      <c r="AX464" s="375"/>
      <c r="AY464" s="375"/>
      <c r="AZ464" s="375"/>
      <c r="BA464" s="375"/>
      <c r="BB464" s="375"/>
      <c r="BC464" s="375"/>
      <c r="BD464" s="375"/>
      <c r="BE464" s="375"/>
      <c r="BF464" s="375">
        <v>7.1249999999999994E-2</v>
      </c>
      <c r="BG464" s="375"/>
      <c r="BH464" s="375"/>
      <c r="BI464" s="373">
        <f t="shared" si="34"/>
        <v>7.1249999999999994E-2</v>
      </c>
      <c r="BT464" s="355"/>
      <c r="BU464" s="355"/>
      <c r="BV464" s="355"/>
      <c r="BW464" s="355"/>
    </row>
    <row r="465" spans="1:75" x14ac:dyDescent="0.15">
      <c r="A465" s="356"/>
      <c r="B465" s="355"/>
      <c r="C465" s="355"/>
      <c r="D465" s="355"/>
      <c r="E465" s="355"/>
      <c r="F465" s="355"/>
      <c r="G465" s="355"/>
      <c r="O465" s="356"/>
      <c r="P465" s="355"/>
      <c r="Q465" s="355"/>
      <c r="R465" s="355"/>
      <c r="S465" s="355"/>
      <c r="T465" s="355"/>
      <c r="U465" s="355"/>
      <c r="V465" s="355"/>
      <c r="W465" s="355"/>
      <c r="AG465" s="355"/>
      <c r="AH465" s="355"/>
      <c r="AI465" s="355"/>
      <c r="AJ465" s="355"/>
      <c r="AK465" s="355"/>
      <c r="AL465" s="355"/>
      <c r="AM465" s="355"/>
      <c r="AU465" s="379">
        <v>57906</v>
      </c>
      <c r="AV465" s="375"/>
      <c r="AW465" s="375"/>
      <c r="AX465" s="375"/>
      <c r="AY465" s="375"/>
      <c r="AZ465" s="375"/>
      <c r="BA465" s="375"/>
      <c r="BB465" s="375"/>
      <c r="BC465" s="375"/>
      <c r="BD465" s="375"/>
      <c r="BE465" s="375"/>
      <c r="BF465" s="375">
        <v>7.1249999999999994E-2</v>
      </c>
      <c r="BG465" s="375"/>
      <c r="BH465" s="375"/>
      <c r="BI465" s="373">
        <f t="shared" si="34"/>
        <v>7.1249999999999994E-2</v>
      </c>
      <c r="BT465" s="355"/>
      <c r="BU465" s="355"/>
      <c r="BV465" s="355"/>
      <c r="BW465" s="355"/>
    </row>
    <row r="466" spans="1:75" x14ac:dyDescent="0.15">
      <c r="A466" s="356"/>
      <c r="B466" s="355"/>
      <c r="C466" s="355"/>
      <c r="D466" s="355"/>
      <c r="E466" s="355"/>
      <c r="F466" s="355"/>
      <c r="G466" s="355"/>
      <c r="O466" s="356"/>
      <c r="P466" s="355"/>
      <c r="Q466" s="355"/>
      <c r="R466" s="355"/>
      <c r="S466" s="355"/>
      <c r="T466" s="355"/>
      <c r="U466" s="355"/>
      <c r="V466" s="355"/>
      <c r="W466" s="355"/>
      <c r="AG466" s="355"/>
      <c r="AH466" s="355"/>
      <c r="AI466" s="355"/>
      <c r="AJ466" s="355"/>
      <c r="AK466" s="355"/>
      <c r="AL466" s="355"/>
      <c r="AM466" s="355"/>
      <c r="AU466" s="379">
        <v>57937</v>
      </c>
      <c r="AV466" s="375"/>
      <c r="AW466" s="375"/>
      <c r="AX466" s="375"/>
      <c r="AY466" s="375"/>
      <c r="AZ466" s="375"/>
      <c r="BA466" s="375"/>
      <c r="BB466" s="375"/>
      <c r="BC466" s="375"/>
      <c r="BD466" s="375"/>
      <c r="BE466" s="375"/>
      <c r="BF466" s="375">
        <v>7.1249999999999994E-2</v>
      </c>
      <c r="BG466" s="375"/>
      <c r="BH466" s="375"/>
      <c r="BI466" s="373">
        <f t="shared" si="34"/>
        <v>7.1249999999999994E-2</v>
      </c>
      <c r="BT466" s="355"/>
      <c r="BU466" s="355"/>
      <c r="BV466" s="355"/>
      <c r="BW466" s="355"/>
    </row>
    <row r="467" spans="1:75" x14ac:dyDescent="0.15">
      <c r="A467" s="356"/>
      <c r="B467" s="355"/>
      <c r="C467" s="355"/>
      <c r="D467" s="355"/>
      <c r="E467" s="355"/>
      <c r="F467" s="355"/>
      <c r="G467" s="355"/>
      <c r="O467" s="356"/>
      <c r="P467" s="355"/>
      <c r="Q467" s="355"/>
      <c r="R467" s="355"/>
      <c r="S467" s="355"/>
      <c r="T467" s="355"/>
      <c r="U467" s="355"/>
      <c r="V467" s="355"/>
      <c r="W467" s="355"/>
      <c r="AG467" s="355"/>
      <c r="AH467" s="355"/>
      <c r="AI467" s="355"/>
      <c r="AJ467" s="355"/>
      <c r="AK467" s="355"/>
      <c r="AL467" s="355"/>
      <c r="AM467" s="355"/>
      <c r="AU467" s="379">
        <v>57968</v>
      </c>
      <c r="AV467" s="375"/>
      <c r="AW467" s="375"/>
      <c r="AX467" s="375"/>
      <c r="AY467" s="375"/>
      <c r="AZ467" s="375"/>
      <c r="BA467" s="375"/>
      <c r="BB467" s="375"/>
      <c r="BC467" s="375"/>
      <c r="BD467" s="375"/>
      <c r="BE467" s="375"/>
      <c r="BF467" s="375">
        <v>7.1249999999999994E-2</v>
      </c>
      <c r="BG467" s="375"/>
      <c r="BH467" s="375"/>
      <c r="BI467" s="373">
        <f t="shared" si="34"/>
        <v>7.1249999999999994E-2</v>
      </c>
      <c r="BT467" s="355"/>
      <c r="BU467" s="355"/>
      <c r="BV467" s="355"/>
      <c r="BW467" s="355"/>
    </row>
    <row r="468" spans="1:75" x14ac:dyDescent="0.15">
      <c r="A468" s="356"/>
      <c r="B468" s="355"/>
      <c r="C468" s="355"/>
      <c r="D468" s="355"/>
      <c r="E468" s="355"/>
      <c r="F468" s="355"/>
      <c r="G468" s="355"/>
      <c r="O468" s="356"/>
      <c r="P468" s="355"/>
      <c r="Q468" s="355"/>
      <c r="R468" s="355"/>
      <c r="S468" s="355"/>
      <c r="T468" s="355"/>
      <c r="U468" s="355"/>
      <c r="V468" s="355"/>
      <c r="W468" s="355"/>
      <c r="AG468" s="355"/>
      <c r="AH468" s="355"/>
      <c r="AI468" s="355"/>
      <c r="AJ468" s="355"/>
      <c r="AK468" s="355"/>
      <c r="AL468" s="355"/>
      <c r="AM468" s="355"/>
      <c r="AU468" s="379">
        <v>57998</v>
      </c>
      <c r="AV468" s="375"/>
      <c r="AW468" s="375"/>
      <c r="AX468" s="375"/>
      <c r="AY468" s="375"/>
      <c r="AZ468" s="375"/>
      <c r="BA468" s="375"/>
      <c r="BB468" s="375"/>
      <c r="BC468" s="375"/>
      <c r="BD468" s="375"/>
      <c r="BE468" s="375"/>
      <c r="BF468" s="375">
        <v>7.1249999999999994E-2</v>
      </c>
      <c r="BG468" s="375"/>
      <c r="BH468" s="375"/>
      <c r="BI468" s="373">
        <f t="shared" si="34"/>
        <v>7.1249999999999994E-2</v>
      </c>
      <c r="BT468" s="355"/>
      <c r="BU468" s="355"/>
      <c r="BV468" s="355"/>
      <c r="BW468" s="355"/>
    </row>
    <row r="469" spans="1:75" x14ac:dyDescent="0.15">
      <c r="A469" s="356"/>
      <c r="B469" s="355"/>
      <c r="C469" s="355"/>
      <c r="D469" s="355"/>
      <c r="E469" s="355"/>
      <c r="F469" s="355"/>
      <c r="G469" s="355"/>
      <c r="O469" s="356"/>
      <c r="P469" s="355"/>
      <c r="Q469" s="355"/>
      <c r="R469" s="355"/>
      <c r="S469" s="355"/>
      <c r="T469" s="355"/>
      <c r="U469" s="355"/>
      <c r="V469" s="355"/>
      <c r="W469" s="355"/>
      <c r="AG469" s="355"/>
      <c r="AH469" s="355"/>
      <c r="AI469" s="355"/>
      <c r="AJ469" s="355"/>
      <c r="AK469" s="355"/>
      <c r="AL469" s="355"/>
      <c r="AM469" s="355"/>
      <c r="AU469" s="379">
        <v>58029</v>
      </c>
      <c r="AV469" s="375"/>
      <c r="AW469" s="375"/>
      <c r="AX469" s="375"/>
      <c r="AY469" s="375"/>
      <c r="AZ469" s="375"/>
      <c r="BA469" s="375"/>
      <c r="BB469" s="375"/>
      <c r="BC469" s="375"/>
      <c r="BD469" s="375"/>
      <c r="BE469" s="375"/>
      <c r="BF469" s="375">
        <v>7.1249999999999994E-2</v>
      </c>
      <c r="BG469" s="375"/>
      <c r="BH469" s="375"/>
      <c r="BI469" s="373">
        <f t="shared" si="34"/>
        <v>7.1249999999999994E-2</v>
      </c>
      <c r="BT469" s="355"/>
      <c r="BU469" s="355"/>
      <c r="BV469" s="355"/>
      <c r="BW469" s="355"/>
    </row>
    <row r="470" spans="1:75" x14ac:dyDescent="0.15">
      <c r="A470" s="356"/>
      <c r="B470" s="355"/>
      <c r="C470" s="355"/>
      <c r="D470" s="355"/>
      <c r="E470" s="355"/>
      <c r="F470" s="355"/>
      <c r="G470" s="355"/>
      <c r="O470" s="356"/>
      <c r="P470" s="355"/>
      <c r="Q470" s="355"/>
      <c r="R470" s="355"/>
      <c r="S470" s="355"/>
      <c r="T470" s="355"/>
      <c r="U470" s="355"/>
      <c r="V470" s="355"/>
      <c r="W470" s="355"/>
      <c r="AG470" s="355"/>
      <c r="AH470" s="355"/>
      <c r="AI470" s="355"/>
      <c r="AJ470" s="355"/>
      <c r="AK470" s="355"/>
      <c r="AL470" s="355"/>
      <c r="AM470" s="355"/>
      <c r="AU470" s="379">
        <v>58059</v>
      </c>
      <c r="AV470" s="375"/>
      <c r="AW470" s="375"/>
      <c r="AX470" s="375"/>
      <c r="AY470" s="375"/>
      <c r="AZ470" s="375"/>
      <c r="BA470" s="375"/>
      <c r="BB470" s="375"/>
      <c r="BC470" s="375"/>
      <c r="BD470" s="375"/>
      <c r="BE470" s="375"/>
      <c r="BF470" s="375">
        <v>7.1249999999999994E-2</v>
      </c>
      <c r="BG470" s="375"/>
      <c r="BH470" s="375"/>
      <c r="BI470" s="373">
        <f t="shared" si="34"/>
        <v>7.1249999999999994E-2</v>
      </c>
      <c r="BT470" s="355"/>
      <c r="BU470" s="355"/>
      <c r="BV470" s="355"/>
      <c r="BW470" s="355"/>
    </row>
    <row r="471" spans="1:75" x14ac:dyDescent="0.15">
      <c r="A471" s="356"/>
      <c r="B471" s="355"/>
      <c r="C471" s="355"/>
      <c r="D471" s="355"/>
      <c r="E471" s="355"/>
      <c r="F471" s="355"/>
      <c r="G471" s="355"/>
      <c r="O471" s="356"/>
      <c r="P471" s="355"/>
      <c r="Q471" s="355"/>
      <c r="R471" s="355"/>
      <c r="S471" s="355"/>
      <c r="T471" s="355"/>
      <c r="U471" s="355"/>
      <c r="V471" s="355"/>
      <c r="W471" s="355"/>
      <c r="AG471" s="355"/>
      <c r="AH471" s="355"/>
      <c r="AI471" s="355"/>
      <c r="AJ471" s="355"/>
      <c r="AK471" s="355"/>
      <c r="AL471" s="355"/>
      <c r="AM471" s="355"/>
      <c r="AU471" s="379">
        <v>58090</v>
      </c>
      <c r="AV471" s="375"/>
      <c r="AW471" s="375"/>
      <c r="AX471" s="375"/>
      <c r="AY471" s="375"/>
      <c r="AZ471" s="375"/>
      <c r="BA471" s="375"/>
      <c r="BB471" s="375"/>
      <c r="BC471" s="375"/>
      <c r="BD471" s="375"/>
      <c r="BE471" s="375"/>
      <c r="BF471" s="375">
        <v>7.1249999999999994E-2</v>
      </c>
      <c r="BG471" s="375"/>
      <c r="BH471" s="375"/>
      <c r="BI471" s="373">
        <f t="shared" si="34"/>
        <v>7.1249999999999994E-2</v>
      </c>
      <c r="BT471" s="355"/>
      <c r="BU471" s="355"/>
      <c r="BV471" s="355"/>
      <c r="BW471" s="355"/>
    </row>
    <row r="472" spans="1:75" x14ac:dyDescent="0.15">
      <c r="A472" s="356"/>
      <c r="B472" s="355"/>
      <c r="C472" s="355"/>
      <c r="D472" s="355"/>
      <c r="E472" s="355"/>
      <c r="F472" s="355"/>
      <c r="G472" s="355"/>
      <c r="O472" s="356"/>
      <c r="P472" s="355"/>
      <c r="Q472" s="355"/>
      <c r="R472" s="355"/>
      <c r="S472" s="355"/>
      <c r="T472" s="355"/>
      <c r="U472" s="355"/>
      <c r="V472" s="355"/>
      <c r="W472" s="355"/>
      <c r="AG472" s="355"/>
      <c r="AH472" s="355"/>
      <c r="AI472" s="355"/>
      <c r="AJ472" s="355"/>
      <c r="AK472" s="355"/>
      <c r="AL472" s="355"/>
      <c r="AM472" s="355"/>
      <c r="AU472" s="379">
        <v>58121</v>
      </c>
      <c r="AV472" s="375"/>
      <c r="AW472" s="375"/>
      <c r="AX472" s="375"/>
      <c r="AY472" s="375"/>
      <c r="AZ472" s="375"/>
      <c r="BA472" s="375"/>
      <c r="BB472" s="375"/>
      <c r="BC472" s="375"/>
      <c r="BD472" s="375"/>
      <c r="BE472" s="375"/>
      <c r="BF472" s="375">
        <v>7.1249999999999994E-2</v>
      </c>
      <c r="BG472" s="375"/>
      <c r="BH472" s="375"/>
      <c r="BI472" s="373">
        <f t="shared" si="34"/>
        <v>7.1249999999999994E-2</v>
      </c>
      <c r="BT472" s="355"/>
      <c r="BU472" s="355"/>
      <c r="BV472" s="355"/>
      <c r="BW472" s="355"/>
    </row>
    <row r="473" spans="1:75" x14ac:dyDescent="0.15">
      <c r="A473" s="356"/>
      <c r="B473" s="355"/>
      <c r="C473" s="355"/>
      <c r="D473" s="355"/>
      <c r="E473" s="355"/>
      <c r="F473" s="355"/>
      <c r="G473" s="355"/>
      <c r="O473" s="356"/>
      <c r="P473" s="355"/>
      <c r="Q473" s="355"/>
      <c r="R473" s="355"/>
      <c r="S473" s="355"/>
      <c r="T473" s="355"/>
      <c r="U473" s="355"/>
      <c r="V473" s="355"/>
      <c r="W473" s="355"/>
      <c r="AG473" s="355"/>
      <c r="AH473" s="355"/>
      <c r="AI473" s="355"/>
      <c r="AJ473" s="355"/>
      <c r="AK473" s="355"/>
      <c r="AL473" s="355"/>
      <c r="AM473" s="355"/>
      <c r="AU473" s="379">
        <v>58149</v>
      </c>
      <c r="AV473" s="375"/>
      <c r="AW473" s="375"/>
      <c r="AX473" s="375"/>
      <c r="AY473" s="375"/>
      <c r="AZ473" s="375"/>
      <c r="BA473" s="375"/>
      <c r="BB473" s="375"/>
      <c r="BC473" s="375"/>
      <c r="BD473" s="375"/>
      <c r="BE473" s="375"/>
      <c r="BF473" s="375">
        <v>7.1249999999999994E-2</v>
      </c>
      <c r="BG473" s="375"/>
      <c r="BH473" s="375"/>
      <c r="BI473" s="373">
        <f t="shared" si="34"/>
        <v>7.1249999999999994E-2</v>
      </c>
      <c r="BT473" s="355"/>
      <c r="BU473" s="355"/>
      <c r="BV473" s="355"/>
      <c r="BW473" s="355"/>
    </row>
    <row r="474" spans="1:75" x14ac:dyDescent="0.15">
      <c r="A474" s="356"/>
      <c r="B474" s="355"/>
      <c r="C474" s="355"/>
      <c r="D474" s="355"/>
      <c r="E474" s="355"/>
      <c r="F474" s="355"/>
      <c r="G474" s="355"/>
      <c r="O474" s="356"/>
      <c r="P474" s="355"/>
      <c r="Q474" s="355"/>
      <c r="R474" s="355"/>
      <c r="S474" s="355"/>
      <c r="T474" s="355"/>
      <c r="U474" s="355"/>
      <c r="V474" s="355"/>
      <c r="W474" s="355"/>
      <c r="AG474" s="355"/>
      <c r="AH474" s="355"/>
      <c r="AI474" s="355"/>
      <c r="AJ474" s="355"/>
      <c r="AK474" s="355"/>
      <c r="AL474" s="355"/>
      <c r="AM474" s="355"/>
      <c r="AU474" s="379">
        <v>58180</v>
      </c>
      <c r="AV474" s="375"/>
      <c r="AW474" s="375"/>
      <c r="AX474" s="375"/>
      <c r="AY474" s="375"/>
      <c r="AZ474" s="375"/>
      <c r="BA474" s="375"/>
      <c r="BB474" s="375"/>
      <c r="BC474" s="375"/>
      <c r="BD474" s="375"/>
      <c r="BE474" s="375"/>
      <c r="BF474" s="375">
        <v>7.1249999999999994E-2</v>
      </c>
      <c r="BG474" s="375"/>
      <c r="BH474" s="375"/>
      <c r="BI474" s="373">
        <f t="shared" si="34"/>
        <v>7.1249999999999994E-2</v>
      </c>
      <c r="BT474" s="355"/>
      <c r="BU474" s="355"/>
      <c r="BV474" s="355"/>
      <c r="BW474" s="355"/>
    </row>
    <row r="475" spans="1:75" x14ac:dyDescent="0.15">
      <c r="A475" s="356"/>
      <c r="B475" s="355"/>
      <c r="C475" s="355"/>
      <c r="D475" s="355"/>
      <c r="E475" s="355"/>
      <c r="F475" s="355"/>
      <c r="G475" s="355"/>
      <c r="O475" s="356"/>
      <c r="P475" s="355"/>
      <c r="Q475" s="355"/>
      <c r="R475" s="355"/>
      <c r="S475" s="355"/>
      <c r="T475" s="355"/>
      <c r="U475" s="355"/>
      <c r="V475" s="355"/>
      <c r="W475" s="355"/>
      <c r="AG475" s="355"/>
      <c r="AH475" s="355"/>
      <c r="AI475" s="355"/>
      <c r="AJ475" s="355"/>
      <c r="AK475" s="355"/>
      <c r="AL475" s="355"/>
      <c r="AM475" s="355"/>
      <c r="AU475" s="379">
        <v>58210</v>
      </c>
      <c r="AV475" s="375"/>
      <c r="AW475" s="375"/>
      <c r="AX475" s="375"/>
      <c r="AY475" s="375"/>
      <c r="AZ475" s="375"/>
      <c r="BA475" s="375"/>
      <c r="BB475" s="375"/>
      <c r="BC475" s="375"/>
      <c r="BD475" s="375"/>
      <c r="BE475" s="375"/>
      <c r="BF475" s="375">
        <v>7.1249999999999994E-2</v>
      </c>
      <c r="BG475" s="375"/>
      <c r="BH475" s="375"/>
      <c r="BI475" s="373">
        <f t="shared" si="34"/>
        <v>7.1249999999999994E-2</v>
      </c>
      <c r="BT475" s="355"/>
      <c r="BU475" s="355"/>
      <c r="BV475" s="355"/>
      <c r="BW475" s="355"/>
    </row>
    <row r="476" spans="1:75" x14ac:dyDescent="0.15">
      <c r="A476" s="356"/>
      <c r="B476" s="355"/>
      <c r="C476" s="355"/>
      <c r="D476" s="355"/>
      <c r="E476" s="355"/>
      <c r="F476" s="355"/>
      <c r="G476" s="355"/>
      <c r="O476" s="356"/>
      <c r="P476" s="355"/>
      <c r="Q476" s="355"/>
      <c r="R476" s="355"/>
      <c r="S476" s="355"/>
      <c r="T476" s="355"/>
      <c r="U476" s="355"/>
      <c r="V476" s="355"/>
      <c r="W476" s="355"/>
      <c r="AG476" s="355"/>
      <c r="AH476" s="355"/>
      <c r="AI476" s="355"/>
      <c r="AJ476" s="355"/>
      <c r="AK476" s="355"/>
      <c r="AL476" s="355"/>
      <c r="AM476" s="355"/>
      <c r="AU476" s="379">
        <v>58241</v>
      </c>
      <c r="AV476" s="375"/>
      <c r="AW476" s="375"/>
      <c r="AX476" s="375"/>
      <c r="AY476" s="375"/>
      <c r="AZ476" s="375"/>
      <c r="BA476" s="375"/>
      <c r="BB476" s="375"/>
      <c r="BC476" s="375"/>
      <c r="BD476" s="375"/>
      <c r="BE476" s="375"/>
      <c r="BF476" s="375">
        <v>7.1249999999999994E-2</v>
      </c>
      <c r="BG476" s="375"/>
      <c r="BH476" s="375"/>
      <c r="BI476" s="373">
        <f t="shared" si="34"/>
        <v>7.1249999999999994E-2</v>
      </c>
      <c r="BT476" s="355"/>
      <c r="BU476" s="355"/>
      <c r="BV476" s="355"/>
      <c r="BW476" s="355"/>
    </row>
    <row r="477" spans="1:75" x14ac:dyDescent="0.15">
      <c r="A477" s="356"/>
      <c r="B477" s="355"/>
      <c r="C477" s="355"/>
      <c r="D477" s="355"/>
      <c r="E477" s="355"/>
      <c r="F477" s="355"/>
      <c r="G477" s="355"/>
      <c r="O477" s="356"/>
      <c r="P477" s="355"/>
      <c r="Q477" s="355"/>
      <c r="R477" s="355"/>
      <c r="S477" s="355"/>
      <c r="T477" s="355"/>
      <c r="U477" s="355"/>
      <c r="V477" s="355"/>
      <c r="W477" s="355"/>
      <c r="AG477" s="355"/>
      <c r="AH477" s="355"/>
      <c r="AI477" s="355"/>
      <c r="AJ477" s="355"/>
      <c r="AK477" s="355"/>
      <c r="AL477" s="355"/>
      <c r="AM477" s="355"/>
      <c r="AU477" s="379">
        <v>58271</v>
      </c>
      <c r="AV477" s="375"/>
      <c r="AW477" s="375"/>
      <c r="AX477" s="375"/>
      <c r="AY477" s="375"/>
      <c r="AZ477" s="375"/>
      <c r="BA477" s="375"/>
      <c r="BB477" s="375"/>
      <c r="BC477" s="375"/>
      <c r="BD477" s="375"/>
      <c r="BE477" s="375"/>
      <c r="BF477" s="375">
        <v>7.1249999999999994E-2</v>
      </c>
      <c r="BG477" s="375"/>
      <c r="BH477" s="375"/>
      <c r="BI477" s="373">
        <f t="shared" si="34"/>
        <v>7.1249999999999994E-2</v>
      </c>
      <c r="BT477" s="355"/>
      <c r="BU477" s="355"/>
      <c r="BV477" s="355"/>
      <c r="BW477" s="355"/>
    </row>
    <row r="478" spans="1:75" x14ac:dyDescent="0.15">
      <c r="A478" s="356"/>
      <c r="B478" s="355"/>
      <c r="C478" s="355"/>
      <c r="D478" s="355"/>
      <c r="E478" s="355"/>
      <c r="F478" s="355"/>
      <c r="G478" s="355"/>
      <c r="O478" s="356"/>
      <c r="P478" s="355"/>
      <c r="Q478" s="355"/>
      <c r="R478" s="355"/>
      <c r="S478" s="355"/>
      <c r="T478" s="355"/>
      <c r="U478" s="355"/>
      <c r="V478" s="355"/>
      <c r="W478" s="355"/>
      <c r="AG478" s="355"/>
      <c r="AH478" s="355"/>
      <c r="AI478" s="355"/>
      <c r="AJ478" s="355"/>
      <c r="AK478" s="355"/>
      <c r="AL478" s="355"/>
      <c r="AM478" s="355"/>
      <c r="AU478" s="379">
        <v>58302</v>
      </c>
      <c r="AV478" s="375"/>
      <c r="AW478" s="375"/>
      <c r="AX478" s="375"/>
      <c r="AY478" s="375"/>
      <c r="AZ478" s="375"/>
      <c r="BA478" s="375"/>
      <c r="BB478" s="375"/>
      <c r="BC478" s="375"/>
      <c r="BD478" s="375"/>
      <c r="BE478" s="375"/>
      <c r="BF478" s="375">
        <v>7.1249999999999994E-2</v>
      </c>
      <c r="BG478" s="375"/>
      <c r="BH478" s="375"/>
      <c r="BI478" s="373">
        <f t="shared" si="34"/>
        <v>7.1249999999999994E-2</v>
      </c>
      <c r="BT478" s="355"/>
      <c r="BU478" s="355"/>
      <c r="BV478" s="355"/>
      <c r="BW478" s="355"/>
    </row>
    <row r="479" spans="1:75" x14ac:dyDescent="0.15">
      <c r="A479" s="356"/>
      <c r="B479" s="355"/>
      <c r="C479" s="355"/>
      <c r="D479" s="355"/>
      <c r="E479" s="355"/>
      <c r="F479" s="355"/>
      <c r="G479" s="355"/>
      <c r="O479" s="356"/>
      <c r="P479" s="355"/>
      <c r="Q479" s="355"/>
      <c r="R479" s="355"/>
      <c r="S479" s="355"/>
      <c r="T479" s="355"/>
      <c r="U479" s="355"/>
      <c r="V479" s="355"/>
      <c r="W479" s="355"/>
      <c r="AG479" s="355"/>
      <c r="AH479" s="355"/>
      <c r="AI479" s="355"/>
      <c r="AJ479" s="355"/>
      <c r="AK479" s="355"/>
      <c r="AL479" s="355"/>
      <c r="AM479" s="355"/>
      <c r="AU479" s="379">
        <v>58333</v>
      </c>
      <c r="AV479" s="375"/>
      <c r="AW479" s="375"/>
      <c r="AX479" s="375"/>
      <c r="AY479" s="375"/>
      <c r="AZ479" s="375"/>
      <c r="BA479" s="375"/>
      <c r="BB479" s="375"/>
      <c r="BC479" s="375"/>
      <c r="BD479" s="375"/>
      <c r="BE479" s="375"/>
      <c r="BF479" s="375">
        <v>7.1249999999999994E-2</v>
      </c>
      <c r="BG479" s="375"/>
      <c r="BH479" s="375"/>
      <c r="BI479" s="373">
        <f t="shared" si="34"/>
        <v>7.1249999999999994E-2</v>
      </c>
      <c r="BT479" s="355"/>
      <c r="BU479" s="355"/>
      <c r="BV479" s="355"/>
      <c r="BW479" s="355"/>
    </row>
    <row r="480" spans="1:75" x14ac:dyDescent="0.15">
      <c r="A480" s="356"/>
      <c r="B480" s="355"/>
      <c r="C480" s="355"/>
      <c r="D480" s="355"/>
      <c r="E480" s="355"/>
      <c r="F480" s="355"/>
      <c r="G480" s="355"/>
      <c r="O480" s="356"/>
      <c r="P480" s="355"/>
      <c r="Q480" s="355"/>
      <c r="R480" s="355"/>
      <c r="S480" s="355"/>
      <c r="T480" s="355"/>
      <c r="U480" s="355"/>
      <c r="V480" s="355"/>
      <c r="W480" s="355"/>
      <c r="AG480" s="355"/>
      <c r="AH480" s="355"/>
      <c r="AI480" s="355"/>
      <c r="AJ480" s="355"/>
      <c r="AK480" s="355"/>
      <c r="AL480" s="355"/>
      <c r="AM480" s="355"/>
      <c r="AU480" s="379">
        <v>58363</v>
      </c>
      <c r="AV480" s="375"/>
      <c r="AW480" s="375"/>
      <c r="AX480" s="375"/>
      <c r="AY480" s="375"/>
      <c r="AZ480" s="375"/>
      <c r="BA480" s="375"/>
      <c r="BB480" s="375"/>
      <c r="BC480" s="375"/>
      <c r="BD480" s="375"/>
      <c r="BE480" s="375"/>
      <c r="BF480" s="375">
        <v>7.1249999999999994E-2</v>
      </c>
      <c r="BG480" s="375"/>
      <c r="BH480" s="375"/>
      <c r="BI480" s="373">
        <f t="shared" si="34"/>
        <v>7.1249999999999994E-2</v>
      </c>
      <c r="BT480" s="355"/>
      <c r="BU480" s="355"/>
      <c r="BV480" s="355"/>
      <c r="BW480" s="355"/>
    </row>
    <row r="481" spans="1:75" x14ac:dyDescent="0.15">
      <c r="A481" s="356"/>
      <c r="B481" s="355"/>
      <c r="C481" s="355"/>
      <c r="D481" s="355"/>
      <c r="E481" s="355"/>
      <c r="F481" s="355"/>
      <c r="G481" s="355"/>
      <c r="O481" s="356"/>
      <c r="P481" s="355"/>
      <c r="Q481" s="355"/>
      <c r="R481" s="355"/>
      <c r="S481" s="355"/>
      <c r="T481" s="355"/>
      <c r="U481" s="355"/>
      <c r="V481" s="355"/>
      <c r="W481" s="355"/>
      <c r="AG481" s="355"/>
      <c r="AH481" s="355"/>
      <c r="AI481" s="355"/>
      <c r="AJ481" s="355"/>
      <c r="AK481" s="355"/>
      <c r="AL481" s="355"/>
      <c r="AM481" s="355"/>
      <c r="AU481" s="379">
        <v>58394</v>
      </c>
      <c r="AV481" s="375"/>
      <c r="AW481" s="375"/>
      <c r="AX481" s="375"/>
      <c r="AY481" s="375"/>
      <c r="AZ481" s="375"/>
      <c r="BA481" s="375"/>
      <c r="BB481" s="375"/>
      <c r="BC481" s="375"/>
      <c r="BD481" s="375"/>
      <c r="BE481" s="375"/>
      <c r="BF481" s="375">
        <v>7.1249999999999994E-2</v>
      </c>
      <c r="BG481" s="375"/>
      <c r="BH481" s="375"/>
      <c r="BI481" s="373">
        <f t="shared" si="34"/>
        <v>7.1249999999999994E-2</v>
      </c>
      <c r="BT481" s="355"/>
      <c r="BU481" s="355"/>
      <c r="BV481" s="355"/>
      <c r="BW481" s="355"/>
    </row>
    <row r="482" spans="1:75" x14ac:dyDescent="0.15">
      <c r="A482" s="356"/>
      <c r="B482" s="355"/>
      <c r="C482" s="355"/>
      <c r="D482" s="355"/>
      <c r="E482" s="355"/>
      <c r="F482" s="355"/>
      <c r="G482" s="355"/>
      <c r="O482" s="356"/>
      <c r="P482" s="355"/>
      <c r="Q482" s="355"/>
      <c r="R482" s="355"/>
      <c r="S482" s="355"/>
      <c r="T482" s="355"/>
      <c r="U482" s="355"/>
      <c r="V482" s="355"/>
      <c r="W482" s="355"/>
      <c r="AG482" s="355"/>
      <c r="AH482" s="355"/>
      <c r="AI482" s="355"/>
      <c r="AJ482" s="355"/>
      <c r="AK482" s="355"/>
      <c r="AL482" s="355"/>
      <c r="AM482" s="355"/>
      <c r="AU482" s="379">
        <v>58424</v>
      </c>
      <c r="AV482" s="375"/>
      <c r="AW482" s="375"/>
      <c r="AX482" s="375"/>
      <c r="AY482" s="375"/>
      <c r="AZ482" s="375"/>
      <c r="BA482" s="375"/>
      <c r="BB482" s="375"/>
      <c r="BC482" s="375"/>
      <c r="BD482" s="375"/>
      <c r="BE482" s="375"/>
      <c r="BF482" s="375">
        <v>7.1249999999999994E-2</v>
      </c>
      <c r="BG482" s="375"/>
      <c r="BH482" s="375"/>
      <c r="BI482" s="373">
        <f t="shared" si="34"/>
        <v>7.1249999999999994E-2</v>
      </c>
      <c r="BT482" s="355"/>
      <c r="BU482" s="355"/>
      <c r="BV482" s="355"/>
      <c r="BW482" s="355"/>
    </row>
    <row r="483" spans="1:75" x14ac:dyDescent="0.15">
      <c r="A483" s="356"/>
      <c r="B483" s="355"/>
      <c r="C483" s="355"/>
      <c r="D483" s="355"/>
      <c r="E483" s="355"/>
      <c r="F483" s="355"/>
      <c r="G483" s="355"/>
      <c r="O483" s="356"/>
      <c r="P483" s="355"/>
      <c r="Q483" s="355"/>
      <c r="R483" s="355"/>
      <c r="S483" s="355"/>
      <c r="T483" s="355"/>
      <c r="U483" s="355"/>
      <c r="V483" s="355"/>
      <c r="W483" s="355"/>
      <c r="AG483" s="355"/>
      <c r="AH483" s="355"/>
      <c r="AI483" s="355"/>
      <c r="AJ483" s="355"/>
      <c r="AK483" s="355"/>
      <c r="AL483" s="355"/>
      <c r="AM483" s="355"/>
      <c r="AU483" s="379">
        <v>58455</v>
      </c>
      <c r="AV483" s="375"/>
      <c r="AW483" s="375"/>
      <c r="AX483" s="375"/>
      <c r="AY483" s="375"/>
      <c r="AZ483" s="375"/>
      <c r="BA483" s="375"/>
      <c r="BB483" s="375"/>
      <c r="BC483" s="375"/>
      <c r="BD483" s="375"/>
      <c r="BE483" s="375"/>
      <c r="BF483" s="375">
        <v>7.1249999999999994E-2</v>
      </c>
      <c r="BG483" s="375"/>
      <c r="BH483" s="375"/>
      <c r="BI483" s="373">
        <f t="shared" si="34"/>
        <v>7.1249999999999994E-2</v>
      </c>
      <c r="BT483" s="355"/>
      <c r="BU483" s="355"/>
      <c r="BV483" s="355"/>
      <c r="BW483" s="355"/>
    </row>
    <row r="484" spans="1:75" x14ac:dyDescent="0.15">
      <c r="A484" s="356"/>
      <c r="B484" s="355"/>
      <c r="C484" s="355"/>
      <c r="D484" s="355"/>
      <c r="E484" s="355"/>
      <c r="F484" s="355"/>
      <c r="G484" s="355"/>
      <c r="O484" s="356"/>
      <c r="P484" s="355"/>
      <c r="Q484" s="355"/>
      <c r="R484" s="355"/>
      <c r="S484" s="355"/>
      <c r="T484" s="355"/>
      <c r="U484" s="355"/>
      <c r="V484" s="355"/>
      <c r="W484" s="355"/>
      <c r="AG484" s="355"/>
      <c r="AH484" s="355"/>
      <c r="AI484" s="355"/>
      <c r="AJ484" s="355"/>
      <c r="AK484" s="355"/>
      <c r="AL484" s="355"/>
      <c r="AM484" s="355"/>
      <c r="AU484" s="379">
        <v>58486</v>
      </c>
      <c r="AV484" s="375"/>
      <c r="AW484" s="375"/>
      <c r="AX484" s="375"/>
      <c r="AY484" s="375"/>
      <c r="AZ484" s="375"/>
      <c r="BA484" s="375"/>
      <c r="BB484" s="375"/>
      <c r="BC484" s="375"/>
      <c r="BD484" s="375"/>
      <c r="BE484" s="375"/>
      <c r="BF484" s="375">
        <v>7.1249999999999994E-2</v>
      </c>
      <c r="BG484" s="375"/>
      <c r="BH484" s="375"/>
      <c r="BI484" s="373">
        <f t="shared" si="34"/>
        <v>7.1249999999999994E-2</v>
      </c>
      <c r="BT484" s="355"/>
      <c r="BU484" s="355"/>
      <c r="BV484" s="355"/>
      <c r="BW484" s="355"/>
    </row>
    <row r="485" spans="1:75" x14ac:dyDescent="0.15">
      <c r="A485" s="356"/>
      <c r="B485" s="355"/>
      <c r="C485" s="355"/>
      <c r="D485" s="355"/>
      <c r="E485" s="355"/>
      <c r="F485" s="355"/>
      <c r="G485" s="355"/>
      <c r="O485" s="356"/>
      <c r="P485" s="355"/>
      <c r="Q485" s="355"/>
      <c r="R485" s="355"/>
      <c r="S485" s="355"/>
      <c r="T485" s="355"/>
      <c r="U485" s="355"/>
      <c r="V485" s="355"/>
      <c r="W485" s="355"/>
      <c r="AG485" s="355"/>
      <c r="AH485" s="355"/>
      <c r="AI485" s="355"/>
      <c r="AJ485" s="355"/>
      <c r="AK485" s="355"/>
      <c r="AL485" s="355"/>
      <c r="AM485" s="355"/>
      <c r="AU485" s="379">
        <v>58515</v>
      </c>
      <c r="AV485" s="375"/>
      <c r="AW485" s="375"/>
      <c r="AX485" s="375"/>
      <c r="AY485" s="375"/>
      <c r="AZ485" s="375"/>
      <c r="BA485" s="375"/>
      <c r="BB485" s="375"/>
      <c r="BC485" s="375"/>
      <c r="BD485" s="375"/>
      <c r="BE485" s="375"/>
      <c r="BF485" s="375">
        <v>7.1249999999999994E-2</v>
      </c>
      <c r="BG485" s="375"/>
      <c r="BH485" s="375"/>
      <c r="BI485" s="373">
        <f t="shared" si="34"/>
        <v>7.1249999999999994E-2</v>
      </c>
      <c r="BT485" s="355"/>
      <c r="BU485" s="355"/>
      <c r="BV485" s="355"/>
      <c r="BW485" s="355"/>
    </row>
    <row r="486" spans="1:75" x14ac:dyDescent="0.15">
      <c r="A486" s="356"/>
      <c r="B486" s="355"/>
      <c r="C486" s="355"/>
      <c r="D486" s="355"/>
      <c r="E486" s="355"/>
      <c r="F486" s="355"/>
      <c r="G486" s="355"/>
      <c r="O486" s="356"/>
      <c r="P486" s="355"/>
      <c r="Q486" s="355"/>
      <c r="R486" s="355"/>
      <c r="S486" s="355"/>
      <c r="T486" s="355"/>
      <c r="U486" s="355"/>
      <c r="V486" s="355"/>
      <c r="W486" s="355"/>
      <c r="AG486" s="355"/>
      <c r="AH486" s="355"/>
      <c r="AI486" s="355"/>
      <c r="AJ486" s="355"/>
      <c r="AK486" s="355"/>
      <c r="AL486" s="355"/>
      <c r="AM486" s="355"/>
      <c r="AU486" s="379">
        <v>58546</v>
      </c>
      <c r="AV486" s="375"/>
      <c r="AW486" s="375"/>
      <c r="AX486" s="375"/>
      <c r="AY486" s="375"/>
      <c r="AZ486" s="375"/>
      <c r="BA486" s="375"/>
      <c r="BB486" s="375"/>
      <c r="BC486" s="375"/>
      <c r="BD486" s="375"/>
      <c r="BE486" s="375"/>
      <c r="BF486" s="375">
        <v>7.1249999999999994E-2</v>
      </c>
      <c r="BG486" s="375"/>
      <c r="BH486" s="375"/>
      <c r="BI486" s="373">
        <f t="shared" si="34"/>
        <v>7.1249999999999994E-2</v>
      </c>
      <c r="BT486" s="355"/>
      <c r="BU486" s="355"/>
      <c r="BV486" s="355"/>
      <c r="BW486" s="355"/>
    </row>
    <row r="487" spans="1:75" x14ac:dyDescent="0.15">
      <c r="A487" s="356"/>
      <c r="B487" s="355"/>
      <c r="C487" s="355"/>
      <c r="D487" s="355"/>
      <c r="E487" s="355"/>
      <c r="F487" s="355"/>
      <c r="G487" s="355"/>
      <c r="O487" s="356"/>
      <c r="P487" s="355"/>
      <c r="Q487" s="355"/>
      <c r="R487" s="355"/>
      <c r="S487" s="355"/>
      <c r="T487" s="355"/>
      <c r="U487" s="355"/>
      <c r="V487" s="355"/>
      <c r="W487" s="355"/>
      <c r="AG487" s="355"/>
      <c r="AH487" s="355"/>
      <c r="AI487" s="355"/>
      <c r="AJ487" s="355"/>
      <c r="AK487" s="355"/>
      <c r="AL487" s="355"/>
      <c r="AM487" s="355"/>
      <c r="AU487" s="379">
        <v>58576</v>
      </c>
      <c r="AV487" s="375"/>
      <c r="AW487" s="375"/>
      <c r="AX487" s="375"/>
      <c r="AY487" s="375"/>
      <c r="AZ487" s="375"/>
      <c r="BA487" s="375"/>
      <c r="BB487" s="375"/>
      <c r="BC487" s="375"/>
      <c r="BD487" s="375"/>
      <c r="BE487" s="375"/>
      <c r="BF487" s="375">
        <v>7.1249999999999994E-2</v>
      </c>
      <c r="BG487" s="375"/>
      <c r="BH487" s="375"/>
      <c r="BI487" s="373">
        <f t="shared" si="34"/>
        <v>7.1249999999999994E-2</v>
      </c>
      <c r="BT487" s="355"/>
      <c r="BU487" s="355"/>
      <c r="BV487" s="355"/>
      <c r="BW487" s="355"/>
    </row>
    <row r="488" spans="1:75" x14ac:dyDescent="0.15">
      <c r="A488" s="356"/>
      <c r="B488" s="355"/>
      <c r="C488" s="355"/>
      <c r="D488" s="355"/>
      <c r="E488" s="355"/>
      <c r="F488" s="355"/>
      <c r="G488" s="355"/>
      <c r="O488" s="356"/>
      <c r="P488" s="355"/>
      <c r="Q488" s="355"/>
      <c r="R488" s="355"/>
      <c r="S488" s="355"/>
      <c r="T488" s="355"/>
      <c r="U488" s="355"/>
      <c r="V488" s="355"/>
      <c r="W488" s="355"/>
      <c r="AG488" s="355"/>
      <c r="AH488" s="355"/>
      <c r="AI488" s="355"/>
      <c r="AJ488" s="355"/>
      <c r="AK488" s="355"/>
      <c r="AL488" s="355"/>
      <c r="AM488" s="355"/>
      <c r="AU488" s="379">
        <v>58607</v>
      </c>
      <c r="AV488" s="375"/>
      <c r="AW488" s="375"/>
      <c r="AX488" s="375"/>
      <c r="AY488" s="375"/>
      <c r="AZ488" s="375"/>
      <c r="BA488" s="375"/>
      <c r="BB488" s="375"/>
      <c r="BC488" s="375"/>
      <c r="BD488" s="375"/>
      <c r="BE488" s="375"/>
      <c r="BF488" s="375">
        <v>7.1249999999999994E-2</v>
      </c>
      <c r="BG488" s="375"/>
      <c r="BH488" s="375"/>
      <c r="BI488" s="373">
        <f t="shared" si="34"/>
        <v>7.1249999999999994E-2</v>
      </c>
      <c r="BT488" s="355"/>
      <c r="BU488" s="355"/>
      <c r="BV488" s="355"/>
      <c r="BW488" s="355"/>
    </row>
    <row r="489" spans="1:75" x14ac:dyDescent="0.15">
      <c r="A489" s="356"/>
      <c r="B489" s="355"/>
      <c r="C489" s="355"/>
      <c r="D489" s="355"/>
      <c r="E489" s="355"/>
      <c r="F489" s="355"/>
      <c r="G489" s="355"/>
      <c r="O489" s="356"/>
      <c r="P489" s="355"/>
      <c r="Q489" s="355"/>
      <c r="R489" s="355"/>
      <c r="S489" s="355"/>
      <c r="T489" s="355"/>
      <c r="U489" s="355"/>
      <c r="V489" s="355"/>
      <c r="W489" s="355"/>
      <c r="AG489" s="355"/>
      <c r="AH489" s="355"/>
      <c r="AI489" s="355"/>
      <c r="AJ489" s="355"/>
      <c r="AK489" s="355"/>
      <c r="AL489" s="355"/>
      <c r="AM489" s="355"/>
      <c r="AU489" s="379">
        <v>58637</v>
      </c>
      <c r="AV489" s="375"/>
      <c r="AW489" s="375"/>
      <c r="AX489" s="375"/>
      <c r="AY489" s="375"/>
      <c r="AZ489" s="375"/>
      <c r="BA489" s="375"/>
      <c r="BB489" s="375"/>
      <c r="BC489" s="375"/>
      <c r="BD489" s="375"/>
      <c r="BE489" s="375"/>
      <c r="BF489" s="375">
        <v>7.1249999999999994E-2</v>
      </c>
      <c r="BG489" s="375"/>
      <c r="BH489" s="375"/>
      <c r="BI489" s="373">
        <f t="shared" si="34"/>
        <v>7.1249999999999994E-2</v>
      </c>
      <c r="BT489" s="355"/>
      <c r="BU489" s="355"/>
      <c r="BV489" s="355"/>
      <c r="BW489" s="355"/>
    </row>
    <row r="490" spans="1:75" x14ac:dyDescent="0.15">
      <c r="A490" s="356"/>
      <c r="B490" s="355"/>
      <c r="C490" s="355"/>
      <c r="D490" s="355"/>
      <c r="E490" s="355"/>
      <c r="F490" s="355"/>
      <c r="G490" s="355"/>
      <c r="O490" s="356"/>
      <c r="P490" s="355"/>
      <c r="Q490" s="355"/>
      <c r="R490" s="355"/>
      <c r="S490" s="355"/>
      <c r="T490" s="355"/>
      <c r="U490" s="355"/>
      <c r="V490" s="355"/>
      <c r="W490" s="355"/>
      <c r="AG490" s="355"/>
      <c r="AH490" s="355"/>
      <c r="AI490" s="355"/>
      <c r="AJ490" s="355"/>
      <c r="AK490" s="355"/>
      <c r="AL490" s="355"/>
      <c r="AM490" s="355"/>
      <c r="AU490" s="379">
        <v>58668</v>
      </c>
      <c r="AV490" s="375"/>
      <c r="AW490" s="375"/>
      <c r="AX490" s="375"/>
      <c r="AY490" s="375"/>
      <c r="AZ490" s="375"/>
      <c r="BA490" s="375"/>
      <c r="BB490" s="375"/>
      <c r="BC490" s="375"/>
      <c r="BD490" s="375"/>
      <c r="BE490" s="375"/>
      <c r="BF490" s="375">
        <v>7.1249999999999994E-2</v>
      </c>
      <c r="BG490" s="375"/>
      <c r="BH490" s="375"/>
      <c r="BI490" s="373">
        <f t="shared" si="34"/>
        <v>7.1249999999999994E-2</v>
      </c>
      <c r="BT490" s="355"/>
      <c r="BU490" s="355"/>
      <c r="BV490" s="355"/>
      <c r="BW490" s="355"/>
    </row>
    <row r="491" spans="1:75" x14ac:dyDescent="0.15">
      <c r="A491" s="356"/>
      <c r="B491" s="355"/>
      <c r="C491" s="355"/>
      <c r="D491" s="355"/>
      <c r="E491" s="355"/>
      <c r="F491" s="355"/>
      <c r="G491" s="355"/>
      <c r="O491" s="356"/>
      <c r="P491" s="355"/>
      <c r="Q491" s="355"/>
      <c r="R491" s="355"/>
      <c r="S491" s="355"/>
      <c r="T491" s="355"/>
      <c r="U491" s="355"/>
      <c r="V491" s="355"/>
      <c r="W491" s="355"/>
      <c r="AG491" s="355"/>
      <c r="AH491" s="355"/>
      <c r="AI491" s="355"/>
      <c r="AJ491" s="355"/>
      <c r="AK491" s="355"/>
      <c r="AL491" s="355"/>
      <c r="AM491" s="355"/>
      <c r="AU491" s="379">
        <v>58699</v>
      </c>
      <c r="AV491" s="375"/>
      <c r="AW491" s="375"/>
      <c r="AX491" s="375"/>
      <c r="AY491" s="375"/>
      <c r="AZ491" s="375"/>
      <c r="BA491" s="375"/>
      <c r="BB491" s="375"/>
      <c r="BC491" s="375"/>
      <c r="BD491" s="375"/>
      <c r="BE491" s="375"/>
      <c r="BF491" s="375">
        <v>7.1249999999999994E-2</v>
      </c>
      <c r="BG491" s="375"/>
      <c r="BH491" s="375"/>
      <c r="BI491" s="373">
        <f t="shared" si="34"/>
        <v>7.1249999999999994E-2</v>
      </c>
      <c r="BT491" s="355"/>
      <c r="BU491" s="355"/>
      <c r="BV491" s="355"/>
      <c r="BW491" s="355"/>
    </row>
    <row r="492" spans="1:75" x14ac:dyDescent="0.15">
      <c r="A492" s="356"/>
      <c r="B492" s="355"/>
      <c r="C492" s="355"/>
      <c r="D492" s="355"/>
      <c r="E492" s="355"/>
      <c r="F492" s="355"/>
      <c r="G492" s="355"/>
      <c r="O492" s="356"/>
      <c r="P492" s="355"/>
      <c r="Q492" s="355"/>
      <c r="R492" s="355"/>
      <c r="S492" s="355"/>
      <c r="T492" s="355"/>
      <c r="U492" s="355"/>
      <c r="V492" s="355"/>
      <c r="W492" s="355"/>
      <c r="AG492" s="355"/>
      <c r="AH492" s="355"/>
      <c r="AI492" s="355"/>
      <c r="AJ492" s="355"/>
      <c r="AK492" s="355"/>
      <c r="AL492" s="355"/>
      <c r="AM492" s="355"/>
      <c r="AU492" s="379">
        <v>58729</v>
      </c>
      <c r="AV492" s="375"/>
      <c r="AW492" s="375"/>
      <c r="AX492" s="375"/>
      <c r="AY492" s="375"/>
      <c r="AZ492" s="375"/>
      <c r="BA492" s="375"/>
      <c r="BB492" s="375"/>
      <c r="BC492" s="375"/>
      <c r="BD492" s="375"/>
      <c r="BE492" s="375"/>
      <c r="BF492" s="375">
        <v>7.1249999999999994E-2</v>
      </c>
      <c r="BG492" s="375"/>
      <c r="BH492" s="375"/>
      <c r="BI492" s="373">
        <f t="shared" si="34"/>
        <v>7.1249999999999994E-2</v>
      </c>
      <c r="BT492" s="355"/>
      <c r="BU492" s="355"/>
      <c r="BV492" s="355"/>
      <c r="BW492" s="355"/>
    </row>
    <row r="493" spans="1:75" x14ac:dyDescent="0.15">
      <c r="A493" s="356"/>
      <c r="B493" s="355"/>
      <c r="C493" s="355"/>
      <c r="D493" s="355"/>
      <c r="E493" s="355"/>
      <c r="F493" s="355"/>
      <c r="G493" s="355"/>
      <c r="O493" s="356"/>
      <c r="P493" s="355"/>
      <c r="Q493" s="355"/>
      <c r="R493" s="355"/>
      <c r="S493" s="355"/>
      <c r="T493" s="355"/>
      <c r="U493" s="355"/>
      <c r="V493" s="355"/>
      <c r="W493" s="355"/>
      <c r="AG493" s="355"/>
      <c r="AH493" s="355"/>
      <c r="AI493" s="355"/>
      <c r="AJ493" s="355"/>
      <c r="AK493" s="355"/>
      <c r="AL493" s="355"/>
      <c r="AM493" s="355"/>
      <c r="AU493" s="379">
        <v>58760</v>
      </c>
      <c r="AV493" s="375"/>
      <c r="AW493" s="375"/>
      <c r="AX493" s="375"/>
      <c r="AY493" s="375"/>
      <c r="AZ493" s="375"/>
      <c r="BA493" s="375"/>
      <c r="BB493" s="375"/>
      <c r="BC493" s="375"/>
      <c r="BD493" s="375"/>
      <c r="BE493" s="375"/>
      <c r="BF493" s="375">
        <v>7.1249999999999994E-2</v>
      </c>
      <c r="BG493" s="375"/>
      <c r="BH493" s="375"/>
      <c r="BI493" s="373">
        <f t="shared" si="34"/>
        <v>7.1249999999999994E-2</v>
      </c>
      <c r="BT493" s="355"/>
      <c r="BU493" s="355"/>
      <c r="BV493" s="355"/>
      <c r="BW493" s="355"/>
    </row>
    <row r="494" spans="1:75" x14ac:dyDescent="0.15">
      <c r="A494" s="356"/>
      <c r="B494" s="355"/>
      <c r="C494" s="355"/>
      <c r="D494" s="355"/>
      <c r="E494" s="355"/>
      <c r="F494" s="355"/>
      <c r="G494" s="355"/>
      <c r="O494" s="356"/>
      <c r="P494" s="355"/>
      <c r="Q494" s="355"/>
      <c r="R494" s="355"/>
      <c r="S494" s="355"/>
      <c r="T494" s="355"/>
      <c r="U494" s="355"/>
      <c r="V494" s="355"/>
      <c r="W494" s="355"/>
      <c r="AG494" s="355"/>
      <c r="AH494" s="355"/>
      <c r="AI494" s="355"/>
      <c r="AJ494" s="355"/>
      <c r="AK494" s="355"/>
      <c r="AL494" s="355"/>
      <c r="AM494" s="355"/>
      <c r="AU494" s="379">
        <v>58790</v>
      </c>
      <c r="AV494" s="375"/>
      <c r="AW494" s="375"/>
      <c r="AX494" s="375"/>
      <c r="AY494" s="375"/>
      <c r="AZ494" s="375"/>
      <c r="BA494" s="375"/>
      <c r="BB494" s="375"/>
      <c r="BC494" s="375"/>
      <c r="BD494" s="375"/>
      <c r="BE494" s="375"/>
      <c r="BF494" s="375">
        <v>7.1249999999999994E-2</v>
      </c>
      <c r="BG494" s="375"/>
      <c r="BH494" s="375"/>
      <c r="BI494" s="373">
        <f t="shared" si="34"/>
        <v>7.1249999999999994E-2</v>
      </c>
      <c r="BT494" s="355"/>
      <c r="BU494" s="355"/>
      <c r="BV494" s="355"/>
      <c r="BW494" s="355"/>
    </row>
    <row r="495" spans="1:75" x14ac:dyDescent="0.15">
      <c r="A495" s="356"/>
      <c r="B495" s="355"/>
      <c r="C495" s="355"/>
      <c r="D495" s="355"/>
      <c r="E495" s="355"/>
      <c r="F495" s="355"/>
      <c r="G495" s="355"/>
      <c r="O495" s="356"/>
      <c r="P495" s="355"/>
      <c r="Q495" s="355"/>
      <c r="R495" s="355"/>
      <c r="S495" s="355"/>
      <c r="T495" s="355"/>
      <c r="U495" s="355"/>
      <c r="V495" s="355"/>
      <c r="W495" s="355"/>
      <c r="AG495" s="355"/>
      <c r="AH495" s="355"/>
      <c r="AI495" s="355"/>
      <c r="AJ495" s="355"/>
      <c r="AK495" s="355"/>
      <c r="AL495" s="355"/>
      <c r="AM495" s="355"/>
      <c r="AU495" s="379">
        <v>58821</v>
      </c>
      <c r="AV495" s="375"/>
      <c r="AW495" s="375"/>
      <c r="AX495" s="375"/>
      <c r="AY495" s="375"/>
      <c r="AZ495" s="375"/>
      <c r="BA495" s="375"/>
      <c r="BB495" s="375"/>
      <c r="BC495" s="375"/>
      <c r="BD495" s="375"/>
      <c r="BE495" s="375"/>
      <c r="BF495" s="375">
        <v>7.1249999999999994E-2</v>
      </c>
      <c r="BG495" s="375"/>
      <c r="BH495" s="375"/>
      <c r="BI495" s="373">
        <f t="shared" si="34"/>
        <v>7.1249999999999994E-2</v>
      </c>
      <c r="BT495" s="355"/>
      <c r="BU495" s="355"/>
      <c r="BV495" s="355"/>
      <c r="BW495" s="355"/>
    </row>
    <row r="496" spans="1:75" x14ac:dyDescent="0.15">
      <c r="A496" s="356"/>
      <c r="B496" s="355"/>
      <c r="C496" s="355"/>
      <c r="D496" s="355"/>
      <c r="E496" s="355"/>
      <c r="F496" s="355"/>
      <c r="G496" s="355"/>
      <c r="O496" s="356"/>
      <c r="P496" s="355"/>
      <c r="Q496" s="355"/>
      <c r="R496" s="355"/>
      <c r="S496" s="355"/>
      <c r="T496" s="355"/>
      <c r="U496" s="355"/>
      <c r="V496" s="355"/>
      <c r="W496" s="355"/>
      <c r="AG496" s="355"/>
      <c r="AH496" s="355"/>
      <c r="AI496" s="355"/>
      <c r="AJ496" s="355"/>
      <c r="AK496" s="355"/>
      <c r="AL496" s="355"/>
      <c r="AM496" s="355"/>
      <c r="AU496" s="379">
        <v>58852</v>
      </c>
      <c r="AV496" s="375"/>
      <c r="AW496" s="375"/>
      <c r="AX496" s="375"/>
      <c r="AY496" s="375"/>
      <c r="AZ496" s="375"/>
      <c r="BA496" s="375"/>
      <c r="BB496" s="375"/>
      <c r="BC496" s="375"/>
      <c r="BD496" s="375"/>
      <c r="BE496" s="375"/>
      <c r="BF496" s="375">
        <v>7.1249999999999994E-2</v>
      </c>
      <c r="BG496" s="375"/>
      <c r="BH496" s="375"/>
      <c r="BI496" s="373">
        <f t="shared" si="34"/>
        <v>7.1249999999999994E-2</v>
      </c>
      <c r="BT496" s="355"/>
      <c r="BU496" s="355"/>
      <c r="BV496" s="355"/>
      <c r="BW496" s="355"/>
    </row>
    <row r="497" spans="1:75" x14ac:dyDescent="0.15">
      <c r="A497" s="356"/>
      <c r="B497" s="355"/>
      <c r="C497" s="355"/>
      <c r="D497" s="355"/>
      <c r="E497" s="355"/>
      <c r="F497" s="355"/>
      <c r="G497" s="355"/>
      <c r="O497" s="356"/>
      <c r="P497" s="355"/>
      <c r="Q497" s="355"/>
      <c r="R497" s="355"/>
      <c r="S497" s="355"/>
      <c r="T497" s="355"/>
      <c r="U497" s="355"/>
      <c r="V497" s="355"/>
      <c r="W497" s="355"/>
      <c r="AG497" s="355"/>
      <c r="AH497" s="355"/>
      <c r="AI497" s="355"/>
      <c r="AJ497" s="355"/>
      <c r="AK497" s="355"/>
      <c r="AL497" s="355"/>
      <c r="AM497" s="355"/>
      <c r="AU497" s="379">
        <v>58880</v>
      </c>
      <c r="AV497" s="375"/>
      <c r="AW497" s="375"/>
      <c r="AX497" s="375"/>
      <c r="AY497" s="375"/>
      <c r="AZ497" s="375"/>
      <c r="BA497" s="375"/>
      <c r="BB497" s="375"/>
      <c r="BC497" s="375"/>
      <c r="BD497" s="375"/>
      <c r="BE497" s="375"/>
      <c r="BF497" s="375">
        <v>7.1249999999999994E-2</v>
      </c>
      <c r="BG497" s="375"/>
      <c r="BH497" s="375"/>
      <c r="BI497" s="373">
        <f t="shared" si="34"/>
        <v>7.1249999999999994E-2</v>
      </c>
      <c r="BT497" s="355"/>
      <c r="BU497" s="355"/>
      <c r="BV497" s="355"/>
      <c r="BW497" s="355"/>
    </row>
    <row r="498" spans="1:75" x14ac:dyDescent="0.15">
      <c r="A498" s="356"/>
      <c r="B498" s="355"/>
      <c r="C498" s="355"/>
      <c r="D498" s="355"/>
      <c r="E498" s="355"/>
      <c r="F498" s="355"/>
      <c r="G498" s="355"/>
      <c r="O498" s="356"/>
      <c r="P498" s="355"/>
      <c r="Q498" s="355"/>
      <c r="R498" s="355"/>
      <c r="S498" s="355"/>
      <c r="T498" s="355"/>
      <c r="U498" s="355"/>
      <c r="V498" s="355"/>
      <c r="W498" s="355"/>
      <c r="AG498" s="355"/>
      <c r="AH498" s="355"/>
      <c r="AI498" s="355"/>
      <c r="AJ498" s="355"/>
      <c r="AK498" s="355"/>
      <c r="AL498" s="355"/>
      <c r="AM498" s="355"/>
      <c r="AU498" s="379">
        <v>58911</v>
      </c>
      <c r="AV498" s="375"/>
      <c r="AW498" s="375"/>
      <c r="AX498" s="375"/>
      <c r="AY498" s="375"/>
      <c r="AZ498" s="375"/>
      <c r="BA498" s="375"/>
      <c r="BB498" s="375"/>
      <c r="BC498" s="375"/>
      <c r="BD498" s="375"/>
      <c r="BE498" s="375"/>
      <c r="BF498" s="375">
        <v>7.1249999999999994E-2</v>
      </c>
      <c r="BG498" s="375"/>
      <c r="BH498" s="375"/>
      <c r="BI498" s="373">
        <f t="shared" si="34"/>
        <v>7.1249999999999994E-2</v>
      </c>
      <c r="BT498" s="355"/>
      <c r="BU498" s="355"/>
      <c r="BV498" s="355"/>
      <c r="BW498" s="355"/>
    </row>
    <row r="499" spans="1:75" x14ac:dyDescent="0.15">
      <c r="A499" s="356"/>
      <c r="B499" s="355"/>
      <c r="C499" s="355"/>
      <c r="D499" s="355"/>
      <c r="E499" s="355"/>
      <c r="F499" s="355"/>
      <c r="G499" s="355"/>
      <c r="O499" s="356"/>
      <c r="P499" s="355"/>
      <c r="Q499" s="355"/>
      <c r="R499" s="355"/>
      <c r="S499" s="355"/>
      <c r="T499" s="355"/>
      <c r="U499" s="355"/>
      <c r="V499" s="355"/>
      <c r="W499" s="355"/>
      <c r="AG499" s="355"/>
      <c r="AH499" s="355"/>
      <c r="AI499" s="355"/>
      <c r="AJ499" s="355"/>
      <c r="AK499" s="355"/>
      <c r="AL499" s="355"/>
      <c r="AM499" s="355"/>
      <c r="AU499" s="379">
        <v>58941</v>
      </c>
      <c r="AV499" s="375"/>
      <c r="AW499" s="375"/>
      <c r="AX499" s="375"/>
      <c r="AY499" s="375"/>
      <c r="AZ499" s="375"/>
      <c r="BA499" s="375"/>
      <c r="BB499" s="375"/>
      <c r="BC499" s="375"/>
      <c r="BD499" s="375"/>
      <c r="BE499" s="375"/>
      <c r="BF499" s="375">
        <v>7.1249999999999994E-2</v>
      </c>
      <c r="BG499" s="375"/>
      <c r="BH499" s="375"/>
      <c r="BI499" s="373">
        <f t="shared" si="34"/>
        <v>7.1249999999999994E-2</v>
      </c>
      <c r="BT499" s="355"/>
      <c r="BU499" s="355"/>
      <c r="BV499" s="355"/>
      <c r="BW499" s="355"/>
    </row>
    <row r="500" spans="1:75" x14ac:dyDescent="0.15">
      <c r="A500" s="356"/>
      <c r="B500" s="355"/>
      <c r="C500" s="355"/>
      <c r="D500" s="355"/>
      <c r="E500" s="355"/>
      <c r="F500" s="355"/>
      <c r="G500" s="355"/>
      <c r="O500" s="356"/>
      <c r="P500" s="355"/>
      <c r="Q500" s="355"/>
      <c r="R500" s="355"/>
      <c r="S500" s="355"/>
      <c r="T500" s="355"/>
      <c r="U500" s="355"/>
      <c r="V500" s="355"/>
      <c r="W500" s="355"/>
      <c r="AG500" s="355"/>
      <c r="AH500" s="355"/>
      <c r="AI500" s="355"/>
      <c r="AJ500" s="355"/>
      <c r="AK500" s="355"/>
      <c r="AL500" s="355"/>
      <c r="AM500" s="355"/>
      <c r="AU500" s="379">
        <v>58972</v>
      </c>
      <c r="AV500" s="375"/>
      <c r="AW500" s="375"/>
      <c r="AX500" s="375"/>
      <c r="AY500" s="375"/>
      <c r="AZ500" s="375"/>
      <c r="BA500" s="375"/>
      <c r="BB500" s="375"/>
      <c r="BC500" s="375"/>
      <c r="BD500" s="375"/>
      <c r="BE500" s="375"/>
      <c r="BF500" s="375">
        <v>7.1249999999999994E-2</v>
      </c>
      <c r="BG500" s="375"/>
      <c r="BH500" s="375"/>
      <c r="BI500" s="373">
        <f t="shared" si="34"/>
        <v>7.1249999999999994E-2</v>
      </c>
      <c r="BT500" s="355"/>
      <c r="BU500" s="355"/>
      <c r="BV500" s="355"/>
      <c r="BW500" s="355"/>
    </row>
    <row r="501" spans="1:75" x14ac:dyDescent="0.15">
      <c r="A501" s="356"/>
      <c r="B501" s="355"/>
      <c r="C501" s="355"/>
      <c r="D501" s="355"/>
      <c r="E501" s="355"/>
      <c r="F501" s="355"/>
      <c r="G501" s="355"/>
      <c r="O501" s="356"/>
      <c r="P501" s="355"/>
      <c r="Q501" s="355"/>
      <c r="R501" s="355"/>
      <c r="S501" s="355"/>
      <c r="T501" s="355"/>
      <c r="U501" s="355"/>
      <c r="V501" s="355"/>
      <c r="W501" s="355"/>
      <c r="AG501" s="355"/>
      <c r="AH501" s="355"/>
      <c r="AI501" s="355"/>
      <c r="AJ501" s="355"/>
      <c r="AK501" s="355"/>
      <c r="AL501" s="355"/>
      <c r="AM501" s="355"/>
      <c r="AU501" s="379">
        <v>59002</v>
      </c>
      <c r="AV501" s="375"/>
      <c r="AW501" s="375"/>
      <c r="AX501" s="375"/>
      <c r="AY501" s="375"/>
      <c r="AZ501" s="375"/>
      <c r="BA501" s="375"/>
      <c r="BB501" s="375"/>
      <c r="BC501" s="375"/>
      <c r="BD501" s="375"/>
      <c r="BE501" s="375"/>
      <c r="BF501" s="375">
        <v>7.1249999999999994E-2</v>
      </c>
      <c r="BG501" s="375"/>
      <c r="BH501" s="375"/>
      <c r="BI501" s="373">
        <f t="shared" si="34"/>
        <v>7.1249999999999994E-2</v>
      </c>
      <c r="BT501" s="355"/>
      <c r="BU501" s="355"/>
      <c r="BV501" s="355"/>
      <c r="BW501" s="355"/>
    </row>
    <row r="502" spans="1:75" x14ac:dyDescent="0.15">
      <c r="A502" s="356"/>
      <c r="B502" s="355"/>
      <c r="C502" s="355"/>
      <c r="D502" s="355"/>
      <c r="E502" s="355"/>
      <c r="F502" s="355"/>
      <c r="G502" s="355"/>
      <c r="O502" s="356"/>
      <c r="P502" s="355"/>
      <c r="Q502" s="355"/>
      <c r="R502" s="355"/>
      <c r="S502" s="355"/>
      <c r="T502" s="355"/>
      <c r="U502" s="355"/>
      <c r="V502" s="355"/>
      <c r="W502" s="355"/>
      <c r="AG502" s="355"/>
      <c r="AH502" s="355"/>
      <c r="AI502" s="355"/>
      <c r="AJ502" s="355"/>
      <c r="AK502" s="355"/>
      <c r="AL502" s="355"/>
      <c r="AM502" s="355"/>
      <c r="AU502" s="379">
        <v>59033</v>
      </c>
      <c r="AV502" s="375"/>
      <c r="AW502" s="375"/>
      <c r="AX502" s="375"/>
      <c r="AY502" s="375"/>
      <c r="AZ502" s="375"/>
      <c r="BA502" s="375"/>
      <c r="BB502" s="375"/>
      <c r="BC502" s="375"/>
      <c r="BD502" s="375"/>
      <c r="BE502" s="375"/>
      <c r="BF502" s="375">
        <v>7.1249999999999994E-2</v>
      </c>
      <c r="BG502" s="375"/>
      <c r="BH502" s="375"/>
      <c r="BI502" s="373">
        <f t="shared" si="34"/>
        <v>7.1249999999999994E-2</v>
      </c>
      <c r="BT502" s="355"/>
      <c r="BU502" s="355"/>
      <c r="BV502" s="355"/>
      <c r="BW502" s="355"/>
    </row>
    <row r="503" spans="1:75" x14ac:dyDescent="0.15">
      <c r="A503" s="356"/>
      <c r="B503" s="355"/>
      <c r="C503" s="355"/>
      <c r="D503" s="355"/>
      <c r="E503" s="355"/>
      <c r="F503" s="355"/>
      <c r="G503" s="355"/>
      <c r="O503" s="356"/>
      <c r="P503" s="355"/>
      <c r="Q503" s="355"/>
      <c r="R503" s="355"/>
      <c r="S503" s="355"/>
      <c r="T503" s="355"/>
      <c r="U503" s="355"/>
      <c r="V503" s="355"/>
      <c r="W503" s="355"/>
      <c r="AG503" s="355"/>
      <c r="AH503" s="355"/>
      <c r="AI503" s="355"/>
      <c r="AJ503" s="355"/>
      <c r="AK503" s="355"/>
      <c r="AL503" s="355"/>
      <c r="AM503" s="355"/>
      <c r="AU503" s="379">
        <v>59064</v>
      </c>
      <c r="AV503" s="375"/>
      <c r="AW503" s="375"/>
      <c r="AX503" s="375"/>
      <c r="AY503" s="375"/>
      <c r="AZ503" s="375"/>
      <c r="BA503" s="375"/>
      <c r="BB503" s="375"/>
      <c r="BC503" s="375"/>
      <c r="BD503" s="375"/>
      <c r="BE503" s="375"/>
      <c r="BF503" s="375">
        <v>7.1249999999999994E-2</v>
      </c>
      <c r="BG503" s="375"/>
      <c r="BH503" s="375"/>
      <c r="BI503" s="373">
        <f t="shared" si="34"/>
        <v>7.1249999999999994E-2</v>
      </c>
      <c r="BT503" s="355"/>
      <c r="BU503" s="355"/>
      <c r="BV503" s="355"/>
      <c r="BW503" s="355"/>
    </row>
    <row r="504" spans="1:75" x14ac:dyDescent="0.15">
      <c r="A504" s="356"/>
      <c r="B504" s="355"/>
      <c r="C504" s="355"/>
      <c r="D504" s="355"/>
      <c r="E504" s="355"/>
      <c r="F504" s="355"/>
      <c r="G504" s="355"/>
      <c r="O504" s="356"/>
      <c r="P504" s="355"/>
      <c r="Q504" s="355"/>
      <c r="R504" s="355"/>
      <c r="S504" s="355"/>
      <c r="T504" s="355"/>
      <c r="U504" s="355"/>
      <c r="V504" s="355"/>
      <c r="W504" s="355"/>
      <c r="AG504" s="355"/>
      <c r="AH504" s="355"/>
      <c r="AI504" s="355"/>
      <c r="AJ504" s="355"/>
      <c r="AK504" s="355"/>
      <c r="AL504" s="355"/>
      <c r="AM504" s="355"/>
      <c r="AU504" s="379">
        <v>59094</v>
      </c>
      <c r="AV504" s="375"/>
      <c r="AW504" s="375"/>
      <c r="AX504" s="375"/>
      <c r="AY504" s="375"/>
      <c r="AZ504" s="375"/>
      <c r="BA504" s="375"/>
      <c r="BB504" s="375"/>
      <c r="BC504" s="375"/>
      <c r="BD504" s="375"/>
      <c r="BE504" s="375"/>
      <c r="BF504" s="375">
        <v>7.1249999999999994E-2</v>
      </c>
      <c r="BG504" s="375"/>
      <c r="BH504" s="375"/>
      <c r="BI504" s="373">
        <f t="shared" si="34"/>
        <v>7.1249999999999994E-2</v>
      </c>
      <c r="BT504" s="355"/>
      <c r="BU504" s="355"/>
      <c r="BV504" s="355"/>
      <c r="BW504" s="355"/>
    </row>
    <row r="505" spans="1:75" x14ac:dyDescent="0.15">
      <c r="A505" s="356"/>
      <c r="B505" s="355"/>
      <c r="C505" s="355"/>
      <c r="D505" s="355"/>
      <c r="E505" s="355"/>
      <c r="F505" s="355"/>
      <c r="G505" s="355"/>
      <c r="O505" s="356"/>
      <c r="P505" s="355"/>
      <c r="Q505" s="355"/>
      <c r="R505" s="355"/>
      <c r="S505" s="355"/>
      <c r="T505" s="355"/>
      <c r="U505" s="355"/>
      <c r="V505" s="355"/>
      <c r="W505" s="355"/>
      <c r="AG505" s="355"/>
      <c r="AH505" s="355"/>
      <c r="AI505" s="355"/>
      <c r="AJ505" s="355"/>
      <c r="AK505" s="355"/>
      <c r="AL505" s="355"/>
      <c r="AM505" s="355"/>
      <c r="AU505" s="379">
        <v>59125</v>
      </c>
      <c r="AV505" s="375"/>
      <c r="AW505" s="375"/>
      <c r="AX505" s="375"/>
      <c r="AY505" s="375"/>
      <c r="AZ505" s="375"/>
      <c r="BA505" s="375"/>
      <c r="BB505" s="375"/>
      <c r="BC505" s="375"/>
      <c r="BD505" s="375"/>
      <c r="BE505" s="375"/>
      <c r="BF505" s="375">
        <v>7.1249999999999994E-2</v>
      </c>
      <c r="BG505" s="375"/>
      <c r="BH505" s="375"/>
      <c r="BI505" s="373">
        <f t="shared" si="34"/>
        <v>7.1249999999999994E-2</v>
      </c>
      <c r="BT505" s="355"/>
      <c r="BU505" s="355"/>
      <c r="BV505" s="355"/>
      <c r="BW505" s="355"/>
    </row>
    <row r="506" spans="1:75" x14ac:dyDescent="0.15">
      <c r="A506" s="356"/>
      <c r="B506" s="355"/>
      <c r="C506" s="355"/>
      <c r="D506" s="355"/>
      <c r="E506" s="355"/>
      <c r="F506" s="355"/>
      <c r="G506" s="355"/>
      <c r="O506" s="356"/>
      <c r="P506" s="355"/>
      <c r="Q506" s="355"/>
      <c r="R506" s="355"/>
      <c r="S506" s="355"/>
      <c r="T506" s="355"/>
      <c r="U506" s="355"/>
      <c r="V506" s="355"/>
      <c r="W506" s="355"/>
      <c r="AG506" s="355"/>
      <c r="AH506" s="355"/>
      <c r="AI506" s="355"/>
      <c r="AJ506" s="355"/>
      <c r="AK506" s="355"/>
      <c r="AL506" s="355"/>
      <c r="AM506" s="355"/>
      <c r="AU506" s="379">
        <v>59155</v>
      </c>
      <c r="AV506" s="375"/>
      <c r="AW506" s="375"/>
      <c r="AX506" s="375"/>
      <c r="AY506" s="375"/>
      <c r="AZ506" s="375"/>
      <c r="BA506" s="375"/>
      <c r="BB506" s="375"/>
      <c r="BC506" s="375"/>
      <c r="BD506" s="375"/>
      <c r="BE506" s="375"/>
      <c r="BF506" s="375">
        <v>7.1249999999999994E-2</v>
      </c>
      <c r="BG506" s="375"/>
      <c r="BH506" s="375"/>
      <c r="BI506" s="373">
        <f t="shared" si="34"/>
        <v>7.1249999999999994E-2</v>
      </c>
      <c r="BT506" s="355"/>
      <c r="BU506" s="355"/>
      <c r="BV506" s="355"/>
      <c r="BW506" s="355"/>
    </row>
    <row r="507" spans="1:75" x14ac:dyDescent="0.15">
      <c r="A507" s="356"/>
      <c r="B507" s="355"/>
      <c r="C507" s="355"/>
      <c r="D507" s="355"/>
      <c r="E507" s="355"/>
      <c r="F507" s="355"/>
      <c r="G507" s="355"/>
      <c r="O507" s="356"/>
      <c r="P507" s="355"/>
      <c r="Q507" s="355"/>
      <c r="R507" s="355"/>
      <c r="S507" s="355"/>
      <c r="T507" s="355"/>
      <c r="U507" s="355"/>
      <c r="V507" s="355"/>
      <c r="W507" s="355"/>
      <c r="AG507" s="355"/>
      <c r="AH507" s="355"/>
      <c r="AI507" s="355"/>
      <c r="AJ507" s="355"/>
      <c r="AK507" s="355"/>
      <c r="AL507" s="355"/>
      <c r="AM507" s="355"/>
      <c r="AU507" s="379">
        <v>59186</v>
      </c>
      <c r="AV507" s="375"/>
      <c r="AW507" s="375"/>
      <c r="AX507" s="375"/>
      <c r="AY507" s="375"/>
      <c r="AZ507" s="375"/>
      <c r="BA507" s="375"/>
      <c r="BB507" s="375"/>
      <c r="BC507" s="375"/>
      <c r="BD507" s="375"/>
      <c r="BE507" s="375"/>
      <c r="BF507" s="375">
        <v>7.1249999999999994E-2</v>
      </c>
      <c r="BG507" s="375"/>
      <c r="BH507" s="375"/>
      <c r="BI507" s="373">
        <f t="shared" si="34"/>
        <v>7.1249999999999994E-2</v>
      </c>
      <c r="BT507" s="355"/>
      <c r="BU507" s="355"/>
      <c r="BV507" s="355"/>
      <c r="BW507" s="355"/>
    </row>
    <row r="508" spans="1:75" x14ac:dyDescent="0.15">
      <c r="A508" s="356"/>
      <c r="B508" s="355"/>
      <c r="C508" s="355"/>
      <c r="D508" s="355"/>
      <c r="E508" s="355"/>
      <c r="F508" s="355"/>
      <c r="G508" s="355"/>
      <c r="O508" s="356"/>
      <c r="P508" s="355"/>
      <c r="Q508" s="355"/>
      <c r="R508" s="355"/>
      <c r="S508" s="355"/>
      <c r="T508" s="355"/>
      <c r="U508" s="355"/>
      <c r="V508" s="355"/>
      <c r="W508" s="355"/>
      <c r="AG508" s="355"/>
      <c r="AH508" s="355"/>
      <c r="AI508" s="355"/>
      <c r="AJ508" s="355"/>
      <c r="AK508" s="355"/>
      <c r="AL508" s="355"/>
      <c r="AM508" s="355"/>
      <c r="AU508" s="379">
        <v>59217</v>
      </c>
      <c r="AV508" s="375"/>
      <c r="AW508" s="375"/>
      <c r="AX508" s="375"/>
      <c r="AY508" s="375"/>
      <c r="AZ508" s="375"/>
      <c r="BA508" s="375"/>
      <c r="BB508" s="375"/>
      <c r="BC508" s="375"/>
      <c r="BD508" s="375"/>
      <c r="BE508" s="375"/>
      <c r="BF508" s="375">
        <v>7.1249999999999994E-2</v>
      </c>
      <c r="BG508" s="375"/>
      <c r="BH508" s="375"/>
      <c r="BI508" s="373">
        <f t="shared" si="34"/>
        <v>7.1249999999999994E-2</v>
      </c>
      <c r="BT508" s="355"/>
      <c r="BU508" s="355"/>
      <c r="BV508" s="355"/>
      <c r="BW508" s="355"/>
    </row>
    <row r="509" spans="1:75" x14ac:dyDescent="0.15">
      <c r="A509" s="356"/>
      <c r="B509" s="355"/>
      <c r="C509" s="355"/>
      <c r="D509" s="355"/>
      <c r="E509" s="355"/>
      <c r="F509" s="355"/>
      <c r="G509" s="355"/>
      <c r="O509" s="356"/>
      <c r="P509" s="355"/>
      <c r="Q509" s="355"/>
      <c r="R509" s="355"/>
      <c r="S509" s="355"/>
      <c r="T509" s="355"/>
      <c r="U509" s="355"/>
      <c r="V509" s="355"/>
      <c r="W509" s="355"/>
      <c r="AG509" s="355"/>
      <c r="AH509" s="355"/>
      <c r="AI509" s="355"/>
      <c r="AJ509" s="355"/>
      <c r="AK509" s="355"/>
      <c r="AL509" s="355"/>
      <c r="AM509" s="355"/>
      <c r="AU509" s="379">
        <v>59245</v>
      </c>
      <c r="AV509" s="375"/>
      <c r="AW509" s="375"/>
      <c r="AX509" s="375"/>
      <c r="AY509" s="375"/>
      <c r="AZ509" s="375"/>
      <c r="BA509" s="375"/>
      <c r="BB509" s="375"/>
      <c r="BC509" s="375"/>
      <c r="BD509" s="375"/>
      <c r="BE509" s="375"/>
      <c r="BF509" s="375">
        <v>7.1249999999999994E-2</v>
      </c>
      <c r="BG509" s="375"/>
      <c r="BH509" s="375"/>
      <c r="BI509" s="373">
        <f t="shared" si="34"/>
        <v>7.1249999999999994E-2</v>
      </c>
      <c r="BT509" s="355"/>
      <c r="BU509" s="355"/>
      <c r="BV509" s="355"/>
      <c r="BW509" s="355"/>
    </row>
    <row r="510" spans="1:75" x14ac:dyDescent="0.15">
      <c r="A510" s="356"/>
      <c r="B510" s="355"/>
      <c r="C510" s="355"/>
      <c r="D510" s="355"/>
      <c r="E510" s="355"/>
      <c r="F510" s="355"/>
      <c r="G510" s="355"/>
      <c r="O510" s="356"/>
      <c r="P510" s="355"/>
      <c r="Q510" s="355"/>
      <c r="R510" s="355"/>
      <c r="S510" s="355"/>
      <c r="T510" s="355"/>
      <c r="U510" s="355"/>
      <c r="V510" s="355"/>
      <c r="W510" s="355"/>
      <c r="AG510" s="355"/>
      <c r="AH510" s="355"/>
      <c r="AI510" s="355"/>
      <c r="AJ510" s="355"/>
      <c r="AK510" s="355"/>
      <c r="AL510" s="355"/>
      <c r="AM510" s="355"/>
      <c r="AU510" s="379">
        <v>59276</v>
      </c>
      <c r="AV510" s="375"/>
      <c r="AW510" s="375"/>
      <c r="AX510" s="375"/>
      <c r="AY510" s="375"/>
      <c r="AZ510" s="375"/>
      <c r="BA510" s="375"/>
      <c r="BB510" s="375"/>
      <c r="BC510" s="375"/>
      <c r="BD510" s="375"/>
      <c r="BE510" s="375"/>
      <c r="BF510" s="375">
        <v>7.1249999999999994E-2</v>
      </c>
      <c r="BG510" s="375"/>
      <c r="BH510" s="375"/>
      <c r="BI510" s="373">
        <f t="shared" si="34"/>
        <v>7.1249999999999994E-2</v>
      </c>
      <c r="BT510" s="355"/>
      <c r="BU510" s="355"/>
      <c r="BV510" s="355"/>
      <c r="BW510" s="355"/>
    </row>
    <row r="511" spans="1:75" x14ac:dyDescent="0.15">
      <c r="A511" s="356"/>
      <c r="B511" s="355"/>
      <c r="C511" s="355"/>
      <c r="D511" s="355"/>
      <c r="E511" s="355"/>
      <c r="F511" s="355"/>
      <c r="G511" s="355"/>
      <c r="O511" s="356"/>
      <c r="P511" s="355"/>
      <c r="Q511" s="355"/>
      <c r="R511" s="355"/>
      <c r="S511" s="355"/>
      <c r="T511" s="355"/>
      <c r="U511" s="355"/>
      <c r="V511" s="355"/>
      <c r="W511" s="355"/>
      <c r="AG511" s="355"/>
      <c r="AH511" s="355"/>
      <c r="AI511" s="355"/>
      <c r="AJ511" s="355"/>
      <c r="AK511" s="355"/>
      <c r="AL511" s="355"/>
      <c r="AM511" s="355"/>
      <c r="AU511" s="379">
        <v>59306</v>
      </c>
      <c r="AV511" s="375"/>
      <c r="AW511" s="375"/>
      <c r="AX511" s="375"/>
      <c r="AY511" s="375"/>
      <c r="AZ511" s="375"/>
      <c r="BA511" s="375"/>
      <c r="BB511" s="375"/>
      <c r="BC511" s="375"/>
      <c r="BD511" s="375"/>
      <c r="BE511" s="375"/>
      <c r="BF511" s="375">
        <v>7.1249999999999994E-2</v>
      </c>
      <c r="BG511" s="375"/>
      <c r="BH511" s="375"/>
      <c r="BI511" s="373">
        <f t="shared" si="34"/>
        <v>7.1249999999999994E-2</v>
      </c>
      <c r="BT511" s="355"/>
      <c r="BU511" s="355"/>
      <c r="BV511" s="355"/>
      <c r="BW511" s="355"/>
    </row>
    <row r="512" spans="1:75" x14ac:dyDescent="0.15">
      <c r="A512" s="356"/>
      <c r="B512" s="355"/>
      <c r="C512" s="355"/>
      <c r="D512" s="355"/>
      <c r="E512" s="355"/>
      <c r="F512" s="355"/>
      <c r="G512" s="355"/>
      <c r="O512" s="356"/>
      <c r="P512" s="355"/>
      <c r="Q512" s="355"/>
      <c r="R512" s="355"/>
      <c r="S512" s="355"/>
      <c r="T512" s="355"/>
      <c r="U512" s="355"/>
      <c r="V512" s="355"/>
      <c r="W512" s="355"/>
      <c r="AG512" s="355"/>
      <c r="AH512" s="355"/>
      <c r="AI512" s="355"/>
      <c r="AJ512" s="355"/>
      <c r="AK512" s="355"/>
      <c r="AL512" s="355"/>
      <c r="AM512" s="355"/>
      <c r="AU512" s="379">
        <v>59337</v>
      </c>
      <c r="AV512" s="375"/>
      <c r="AW512" s="375"/>
      <c r="AX512" s="375"/>
      <c r="AY512" s="375"/>
      <c r="AZ512" s="375"/>
      <c r="BA512" s="375"/>
      <c r="BB512" s="375"/>
      <c r="BC512" s="375"/>
      <c r="BD512" s="375"/>
      <c r="BE512" s="375"/>
      <c r="BF512" s="375">
        <v>7.1249999999999994E-2</v>
      </c>
      <c r="BG512" s="375"/>
      <c r="BH512" s="375"/>
      <c r="BI512" s="373">
        <f t="shared" si="34"/>
        <v>7.1249999999999994E-2</v>
      </c>
      <c r="BT512" s="355"/>
      <c r="BU512" s="355"/>
      <c r="BV512" s="355"/>
      <c r="BW512" s="355"/>
    </row>
    <row r="513" spans="1:75" x14ac:dyDescent="0.15">
      <c r="A513" s="356"/>
      <c r="B513" s="355"/>
      <c r="C513" s="355"/>
      <c r="D513" s="355"/>
      <c r="E513" s="355"/>
      <c r="F513" s="355"/>
      <c r="G513" s="355"/>
      <c r="O513" s="356"/>
      <c r="P513" s="355"/>
      <c r="Q513" s="355"/>
      <c r="R513" s="355"/>
      <c r="S513" s="355"/>
      <c r="T513" s="355"/>
      <c r="U513" s="355"/>
      <c r="V513" s="355"/>
      <c r="W513" s="355"/>
      <c r="AG513" s="355"/>
      <c r="AH513" s="355"/>
      <c r="AI513" s="355"/>
      <c r="AJ513" s="355"/>
      <c r="AK513" s="355"/>
      <c r="AL513" s="355"/>
      <c r="AM513" s="355"/>
      <c r="AU513" s="379">
        <v>59367</v>
      </c>
      <c r="AV513" s="375"/>
      <c r="AW513" s="375"/>
      <c r="AX513" s="375"/>
      <c r="AY513" s="375"/>
      <c r="AZ513" s="375"/>
      <c r="BA513" s="375"/>
      <c r="BB513" s="375"/>
      <c r="BC513" s="375"/>
      <c r="BD513" s="375"/>
      <c r="BE513" s="375"/>
      <c r="BF513" s="375">
        <v>7.1249999999999994E-2</v>
      </c>
      <c r="BG513" s="375"/>
      <c r="BH513" s="375"/>
      <c r="BI513" s="373">
        <f t="shared" si="34"/>
        <v>7.1249999999999994E-2</v>
      </c>
      <c r="BT513" s="355"/>
      <c r="BU513" s="355"/>
      <c r="BV513" s="355"/>
      <c r="BW513" s="355"/>
    </row>
    <row r="514" spans="1:75" x14ac:dyDescent="0.15">
      <c r="A514" s="356"/>
      <c r="B514" s="355"/>
      <c r="C514" s="355"/>
      <c r="D514" s="355"/>
      <c r="E514" s="355"/>
      <c r="F514" s="355"/>
      <c r="G514" s="355"/>
      <c r="O514" s="356"/>
      <c r="P514" s="355"/>
      <c r="Q514" s="355"/>
      <c r="R514" s="355"/>
      <c r="S514" s="355"/>
      <c r="T514" s="355"/>
      <c r="U514" s="355"/>
      <c r="V514" s="355"/>
      <c r="W514" s="355"/>
      <c r="AG514" s="355"/>
      <c r="AH514" s="355"/>
      <c r="AI514" s="355"/>
      <c r="AJ514" s="355"/>
      <c r="AK514" s="355"/>
      <c r="AL514" s="355"/>
      <c r="AM514" s="355"/>
      <c r="AU514" s="379">
        <v>59398</v>
      </c>
      <c r="AV514" s="375"/>
      <c r="AW514" s="375"/>
      <c r="AX514" s="375"/>
      <c r="AY514" s="375"/>
      <c r="AZ514" s="375"/>
      <c r="BA514" s="375"/>
      <c r="BB514" s="375"/>
      <c r="BC514" s="375"/>
      <c r="BD514" s="375"/>
      <c r="BE514" s="375"/>
      <c r="BF514" s="375">
        <v>7.1249999999999994E-2</v>
      </c>
      <c r="BG514" s="375"/>
      <c r="BH514" s="375"/>
      <c r="BI514" s="373">
        <f t="shared" si="34"/>
        <v>7.1249999999999994E-2</v>
      </c>
      <c r="BT514" s="355"/>
      <c r="BU514" s="355"/>
      <c r="BV514" s="355"/>
      <c r="BW514" s="355"/>
    </row>
    <row r="515" spans="1:75" x14ac:dyDescent="0.15">
      <c r="A515" s="356"/>
      <c r="B515" s="355"/>
      <c r="C515" s="355"/>
      <c r="D515" s="355"/>
      <c r="E515" s="355"/>
      <c r="F515" s="355"/>
      <c r="G515" s="355"/>
      <c r="O515" s="356"/>
      <c r="P515" s="355"/>
      <c r="Q515" s="355"/>
      <c r="R515" s="355"/>
      <c r="S515" s="355"/>
      <c r="T515" s="355"/>
      <c r="U515" s="355"/>
      <c r="V515" s="355"/>
      <c r="W515" s="355"/>
      <c r="AG515" s="355"/>
      <c r="AH515" s="355"/>
      <c r="AI515" s="355"/>
      <c r="AJ515" s="355"/>
      <c r="AK515" s="355"/>
      <c r="AL515" s="355"/>
      <c r="AM515" s="355"/>
      <c r="AU515" s="379">
        <v>59429</v>
      </c>
      <c r="AV515" s="375"/>
      <c r="AW515" s="375"/>
      <c r="AX515" s="375"/>
      <c r="AY515" s="375"/>
      <c r="AZ515" s="375"/>
      <c r="BA515" s="375"/>
      <c r="BB515" s="375"/>
      <c r="BC515" s="375"/>
      <c r="BD515" s="375"/>
      <c r="BE515" s="375"/>
      <c r="BF515" s="375">
        <v>7.1249999999999994E-2</v>
      </c>
      <c r="BG515" s="375"/>
      <c r="BH515" s="375"/>
      <c r="BI515" s="373">
        <f t="shared" si="34"/>
        <v>7.1249999999999994E-2</v>
      </c>
      <c r="BT515" s="355"/>
      <c r="BU515" s="355"/>
      <c r="BV515" s="355"/>
      <c r="BW515" s="355"/>
    </row>
    <row r="516" spans="1:75" x14ac:dyDescent="0.15">
      <c r="A516" s="356"/>
      <c r="B516" s="355"/>
      <c r="C516" s="355"/>
      <c r="D516" s="355"/>
      <c r="E516" s="355"/>
      <c r="F516" s="355"/>
      <c r="G516" s="355"/>
      <c r="O516" s="356"/>
      <c r="P516" s="355"/>
      <c r="Q516" s="355"/>
      <c r="R516" s="355"/>
      <c r="S516" s="355"/>
      <c r="T516" s="355"/>
      <c r="U516" s="355"/>
      <c r="V516" s="355"/>
      <c r="W516" s="355"/>
      <c r="AG516" s="355"/>
      <c r="AH516" s="355"/>
      <c r="AI516" s="355"/>
      <c r="AJ516" s="355"/>
      <c r="AK516" s="355"/>
      <c r="AL516" s="355"/>
      <c r="AM516" s="355"/>
      <c r="AU516" s="379">
        <v>59459</v>
      </c>
      <c r="AV516" s="375"/>
      <c r="AW516" s="375"/>
      <c r="AX516" s="375"/>
      <c r="AY516" s="375"/>
      <c r="AZ516" s="375"/>
      <c r="BA516" s="375"/>
      <c r="BB516" s="375"/>
      <c r="BC516" s="375"/>
      <c r="BD516" s="375"/>
      <c r="BE516" s="375"/>
      <c r="BF516" s="375">
        <v>7.1249999999999994E-2</v>
      </c>
      <c r="BG516" s="375"/>
      <c r="BH516" s="375"/>
      <c r="BI516" s="373">
        <f t="shared" si="34"/>
        <v>7.1249999999999994E-2</v>
      </c>
      <c r="BT516" s="355"/>
      <c r="BU516" s="355"/>
      <c r="BV516" s="355"/>
      <c r="BW516" s="355"/>
    </row>
    <row r="517" spans="1:75" x14ac:dyDescent="0.15">
      <c r="A517" s="356"/>
      <c r="B517" s="355"/>
      <c r="C517" s="355"/>
      <c r="D517" s="355"/>
      <c r="E517" s="355"/>
      <c r="F517" s="355"/>
      <c r="G517" s="355"/>
      <c r="O517" s="356"/>
      <c r="P517" s="355"/>
      <c r="Q517" s="355"/>
      <c r="R517" s="355"/>
      <c r="S517" s="355"/>
      <c r="T517" s="355"/>
      <c r="U517" s="355"/>
      <c r="V517" s="355"/>
      <c r="W517" s="355"/>
      <c r="AG517" s="355"/>
      <c r="AH517" s="355"/>
      <c r="AI517" s="355"/>
      <c r="AJ517" s="355"/>
      <c r="AK517" s="355"/>
      <c r="AL517" s="355"/>
      <c r="AM517" s="355"/>
      <c r="AU517" s="379">
        <v>59490</v>
      </c>
      <c r="AV517" s="375"/>
      <c r="AW517" s="375"/>
      <c r="AX517" s="375"/>
      <c r="AY517" s="375"/>
      <c r="AZ517" s="375"/>
      <c r="BA517" s="375"/>
      <c r="BB517" s="375"/>
      <c r="BC517" s="375"/>
      <c r="BD517" s="375"/>
      <c r="BE517" s="375"/>
      <c r="BF517" s="375">
        <v>7.1249999999999994E-2</v>
      </c>
      <c r="BG517" s="375"/>
      <c r="BH517" s="375"/>
      <c r="BI517" s="373">
        <f t="shared" si="34"/>
        <v>7.1249999999999994E-2</v>
      </c>
      <c r="BT517" s="355"/>
      <c r="BU517" s="355"/>
      <c r="BV517" s="355"/>
      <c r="BW517" s="355"/>
    </row>
    <row r="518" spans="1:75" x14ac:dyDescent="0.15">
      <c r="A518" s="356"/>
      <c r="B518" s="355"/>
      <c r="C518" s="355"/>
      <c r="D518" s="355"/>
      <c r="E518" s="355"/>
      <c r="F518" s="355"/>
      <c r="G518" s="355"/>
      <c r="O518" s="356"/>
      <c r="P518" s="355"/>
      <c r="Q518" s="355"/>
      <c r="R518" s="355"/>
      <c r="S518" s="355"/>
      <c r="T518" s="355"/>
      <c r="U518" s="355"/>
      <c r="V518" s="355"/>
      <c r="W518" s="355"/>
      <c r="AG518" s="355"/>
      <c r="AH518" s="355"/>
      <c r="AI518" s="355"/>
      <c r="AJ518" s="355"/>
      <c r="AK518" s="355"/>
      <c r="AL518" s="355"/>
      <c r="AM518" s="355"/>
      <c r="AU518" s="379">
        <v>59520</v>
      </c>
      <c r="AV518" s="375"/>
      <c r="AW518" s="375"/>
      <c r="AX518" s="375"/>
      <c r="AY518" s="375"/>
      <c r="AZ518" s="375"/>
      <c r="BA518" s="375"/>
      <c r="BB518" s="375"/>
      <c r="BC518" s="375"/>
      <c r="BD518" s="375"/>
      <c r="BE518" s="375"/>
      <c r="BF518" s="375">
        <v>7.1249999999999994E-2</v>
      </c>
      <c r="BG518" s="375"/>
      <c r="BH518" s="375"/>
      <c r="BI518" s="373">
        <f t="shared" si="34"/>
        <v>7.1249999999999994E-2</v>
      </c>
      <c r="BT518" s="355"/>
      <c r="BU518" s="355"/>
      <c r="BV518" s="355"/>
      <c r="BW518" s="355"/>
    </row>
    <row r="519" spans="1:75" x14ac:dyDescent="0.15">
      <c r="A519" s="356"/>
      <c r="B519" s="355"/>
      <c r="C519" s="355"/>
      <c r="D519" s="355"/>
      <c r="E519" s="355"/>
      <c r="F519" s="355"/>
      <c r="G519" s="355"/>
      <c r="O519" s="356"/>
      <c r="P519" s="355"/>
      <c r="Q519" s="355"/>
      <c r="R519" s="355"/>
      <c r="S519" s="355"/>
      <c r="T519" s="355"/>
      <c r="U519" s="355"/>
      <c r="V519" s="355"/>
      <c r="W519" s="355"/>
      <c r="AG519" s="355"/>
      <c r="AH519" s="355"/>
      <c r="AI519" s="355"/>
      <c r="AJ519" s="355"/>
      <c r="AK519" s="355"/>
      <c r="AL519" s="355"/>
      <c r="AM519" s="355"/>
      <c r="AU519" s="379">
        <v>59551</v>
      </c>
      <c r="AV519" s="375"/>
      <c r="AW519" s="375"/>
      <c r="AX519" s="375"/>
      <c r="AY519" s="375"/>
      <c r="AZ519" s="375"/>
      <c r="BA519" s="375"/>
      <c r="BB519" s="375"/>
      <c r="BC519" s="375"/>
      <c r="BD519" s="375"/>
      <c r="BE519" s="375"/>
      <c r="BF519" s="375">
        <v>7.1249999999999994E-2</v>
      </c>
      <c r="BG519" s="375"/>
      <c r="BH519" s="375"/>
      <c r="BI519" s="373">
        <f t="shared" ref="BI519:BI582" si="35">+AVERAGE(AV519:BH519)</f>
        <v>7.1249999999999994E-2</v>
      </c>
      <c r="BT519" s="355"/>
      <c r="BU519" s="355"/>
      <c r="BV519" s="355"/>
      <c r="BW519" s="355"/>
    </row>
    <row r="520" spans="1:75" x14ac:dyDescent="0.15">
      <c r="A520" s="356"/>
      <c r="B520" s="355"/>
      <c r="C520" s="355"/>
      <c r="D520" s="355"/>
      <c r="E520" s="355"/>
      <c r="F520" s="355"/>
      <c r="G520" s="355"/>
      <c r="O520" s="356"/>
      <c r="P520" s="355"/>
      <c r="Q520" s="355"/>
      <c r="R520" s="355"/>
      <c r="S520" s="355"/>
      <c r="T520" s="355"/>
      <c r="U520" s="355"/>
      <c r="V520" s="355"/>
      <c r="W520" s="355"/>
      <c r="AG520" s="355"/>
      <c r="AH520" s="355"/>
      <c r="AI520" s="355"/>
      <c r="AJ520" s="355"/>
      <c r="AK520" s="355"/>
      <c r="AL520" s="355"/>
      <c r="AM520" s="355"/>
      <c r="AU520" s="379">
        <v>59582</v>
      </c>
      <c r="AV520" s="375"/>
      <c r="AW520" s="375"/>
      <c r="AX520" s="375"/>
      <c r="AY520" s="375"/>
      <c r="AZ520" s="375"/>
      <c r="BA520" s="375"/>
      <c r="BB520" s="375"/>
      <c r="BC520" s="375"/>
      <c r="BD520" s="375"/>
      <c r="BE520" s="375"/>
      <c r="BF520" s="375">
        <v>7.1249999999999994E-2</v>
      </c>
      <c r="BG520" s="375"/>
      <c r="BH520" s="375"/>
      <c r="BI520" s="373">
        <f t="shared" si="35"/>
        <v>7.1249999999999994E-2</v>
      </c>
      <c r="BT520" s="355"/>
      <c r="BU520" s="355"/>
      <c r="BV520" s="355"/>
      <c r="BW520" s="355"/>
    </row>
    <row r="521" spans="1:75" x14ac:dyDescent="0.15">
      <c r="A521" s="356"/>
      <c r="B521" s="355"/>
      <c r="C521" s="355"/>
      <c r="D521" s="355"/>
      <c r="E521" s="355"/>
      <c r="F521" s="355"/>
      <c r="G521" s="355"/>
      <c r="O521" s="356"/>
      <c r="P521" s="355"/>
      <c r="Q521" s="355"/>
      <c r="R521" s="355"/>
      <c r="S521" s="355"/>
      <c r="T521" s="355"/>
      <c r="U521" s="355"/>
      <c r="V521" s="355"/>
      <c r="W521" s="355"/>
      <c r="AG521" s="355"/>
      <c r="AH521" s="355"/>
      <c r="AI521" s="355"/>
      <c r="AJ521" s="355"/>
      <c r="AK521" s="355"/>
      <c r="AL521" s="355"/>
      <c r="AM521" s="355"/>
      <c r="AU521" s="379">
        <v>59610</v>
      </c>
      <c r="AV521" s="375"/>
      <c r="AW521" s="375"/>
      <c r="AX521" s="375"/>
      <c r="AY521" s="375"/>
      <c r="AZ521" s="375"/>
      <c r="BA521" s="375"/>
      <c r="BB521" s="375"/>
      <c r="BC521" s="375"/>
      <c r="BD521" s="375"/>
      <c r="BE521" s="375"/>
      <c r="BF521" s="375">
        <v>7.1249999999999994E-2</v>
      </c>
      <c r="BG521" s="375"/>
      <c r="BH521" s="375"/>
      <c r="BI521" s="373">
        <f t="shared" si="35"/>
        <v>7.1249999999999994E-2</v>
      </c>
      <c r="BT521" s="355"/>
      <c r="BU521" s="355"/>
      <c r="BV521" s="355"/>
      <c r="BW521" s="355"/>
    </row>
    <row r="522" spans="1:75" x14ac:dyDescent="0.15">
      <c r="A522" s="356"/>
      <c r="B522" s="355"/>
      <c r="C522" s="355"/>
      <c r="D522" s="355"/>
      <c r="E522" s="355"/>
      <c r="F522" s="355"/>
      <c r="G522" s="355"/>
      <c r="O522" s="356"/>
      <c r="P522" s="355"/>
      <c r="Q522" s="355"/>
      <c r="R522" s="355"/>
      <c r="S522" s="355"/>
      <c r="T522" s="355"/>
      <c r="U522" s="355"/>
      <c r="V522" s="355"/>
      <c r="W522" s="355"/>
      <c r="AG522" s="355"/>
      <c r="AH522" s="355"/>
      <c r="AI522" s="355"/>
      <c r="AJ522" s="355"/>
      <c r="AK522" s="355"/>
      <c r="AL522" s="355"/>
      <c r="AM522" s="355"/>
      <c r="AU522" s="379">
        <v>59641</v>
      </c>
      <c r="AV522" s="375"/>
      <c r="AW522" s="375"/>
      <c r="AX522" s="375"/>
      <c r="AY522" s="375"/>
      <c r="AZ522" s="375"/>
      <c r="BA522" s="375"/>
      <c r="BB522" s="375"/>
      <c r="BC522" s="375"/>
      <c r="BD522" s="375"/>
      <c r="BE522" s="375"/>
      <c r="BF522" s="375">
        <v>7.1249999999999994E-2</v>
      </c>
      <c r="BG522" s="375"/>
      <c r="BH522" s="375"/>
      <c r="BI522" s="373">
        <f t="shared" si="35"/>
        <v>7.1249999999999994E-2</v>
      </c>
      <c r="BT522" s="355"/>
      <c r="BU522" s="355"/>
      <c r="BV522" s="355"/>
      <c r="BW522" s="355"/>
    </row>
    <row r="523" spans="1:75" x14ac:dyDescent="0.15">
      <c r="A523" s="356"/>
      <c r="B523" s="355"/>
      <c r="C523" s="355"/>
      <c r="D523" s="355"/>
      <c r="E523" s="355"/>
      <c r="F523" s="355"/>
      <c r="G523" s="355"/>
      <c r="O523" s="356"/>
      <c r="P523" s="355"/>
      <c r="Q523" s="355"/>
      <c r="R523" s="355"/>
      <c r="S523" s="355"/>
      <c r="T523" s="355"/>
      <c r="U523" s="355"/>
      <c r="V523" s="355"/>
      <c r="W523" s="355"/>
      <c r="AG523" s="355"/>
      <c r="AH523" s="355"/>
      <c r="AI523" s="355"/>
      <c r="AJ523" s="355"/>
      <c r="AK523" s="355"/>
      <c r="AL523" s="355"/>
      <c r="AM523" s="355"/>
      <c r="AU523" s="379">
        <v>59671</v>
      </c>
      <c r="AV523" s="375"/>
      <c r="AW523" s="375"/>
      <c r="AX523" s="375"/>
      <c r="AY523" s="375"/>
      <c r="AZ523" s="375"/>
      <c r="BA523" s="375"/>
      <c r="BB523" s="375"/>
      <c r="BC523" s="375"/>
      <c r="BD523" s="375"/>
      <c r="BE523" s="375"/>
      <c r="BF523" s="375">
        <v>7.1249999999999994E-2</v>
      </c>
      <c r="BG523" s="375"/>
      <c r="BH523" s="375"/>
      <c r="BI523" s="373">
        <f t="shared" si="35"/>
        <v>7.1249999999999994E-2</v>
      </c>
      <c r="BT523" s="355"/>
      <c r="BU523" s="355"/>
      <c r="BV523" s="355"/>
      <c r="BW523" s="355"/>
    </row>
    <row r="524" spans="1:75" x14ac:dyDescent="0.15">
      <c r="A524" s="356"/>
      <c r="B524" s="355"/>
      <c r="C524" s="355"/>
      <c r="D524" s="355"/>
      <c r="E524" s="355"/>
      <c r="F524" s="355"/>
      <c r="G524" s="355"/>
      <c r="O524" s="356"/>
      <c r="P524" s="355"/>
      <c r="Q524" s="355"/>
      <c r="R524" s="355"/>
      <c r="S524" s="355"/>
      <c r="T524" s="355"/>
      <c r="U524" s="355"/>
      <c r="V524" s="355"/>
      <c r="W524" s="355"/>
      <c r="AG524" s="355"/>
      <c r="AH524" s="355"/>
      <c r="AI524" s="355"/>
      <c r="AJ524" s="355"/>
      <c r="AK524" s="355"/>
      <c r="AL524" s="355"/>
      <c r="AM524" s="355"/>
      <c r="AU524" s="379">
        <v>59702</v>
      </c>
      <c r="AV524" s="375"/>
      <c r="AW524" s="375"/>
      <c r="AX524" s="375"/>
      <c r="AY524" s="375"/>
      <c r="AZ524" s="375"/>
      <c r="BA524" s="375"/>
      <c r="BB524" s="375"/>
      <c r="BC524" s="375"/>
      <c r="BD524" s="375"/>
      <c r="BE524" s="375"/>
      <c r="BF524" s="375">
        <v>7.1249999999999994E-2</v>
      </c>
      <c r="BG524" s="375"/>
      <c r="BH524" s="375"/>
      <c r="BI524" s="373">
        <f t="shared" si="35"/>
        <v>7.1249999999999994E-2</v>
      </c>
      <c r="BT524" s="355"/>
      <c r="BU524" s="355"/>
      <c r="BV524" s="355"/>
      <c r="BW524" s="355"/>
    </row>
    <row r="525" spans="1:75" x14ac:dyDescent="0.15">
      <c r="A525" s="356"/>
      <c r="B525" s="355"/>
      <c r="C525" s="355"/>
      <c r="D525" s="355"/>
      <c r="E525" s="355"/>
      <c r="F525" s="355"/>
      <c r="G525" s="355"/>
      <c r="O525" s="356"/>
      <c r="P525" s="355"/>
      <c r="Q525" s="355"/>
      <c r="R525" s="355"/>
      <c r="S525" s="355"/>
      <c r="T525" s="355"/>
      <c r="U525" s="355"/>
      <c r="V525" s="355"/>
      <c r="W525" s="355"/>
      <c r="AG525" s="355"/>
      <c r="AH525" s="355"/>
      <c r="AI525" s="355"/>
      <c r="AJ525" s="355"/>
      <c r="AK525" s="355"/>
      <c r="AL525" s="355"/>
      <c r="AM525" s="355"/>
      <c r="AU525" s="379">
        <v>59732</v>
      </c>
      <c r="AV525" s="375"/>
      <c r="AW525" s="375"/>
      <c r="AX525" s="375"/>
      <c r="AY525" s="375"/>
      <c r="AZ525" s="375"/>
      <c r="BA525" s="375"/>
      <c r="BB525" s="375"/>
      <c r="BC525" s="375"/>
      <c r="BD525" s="375"/>
      <c r="BE525" s="375"/>
      <c r="BF525" s="375">
        <v>7.1249999999999994E-2</v>
      </c>
      <c r="BG525" s="375"/>
      <c r="BH525" s="375"/>
      <c r="BI525" s="373">
        <f t="shared" si="35"/>
        <v>7.1249999999999994E-2</v>
      </c>
      <c r="BT525" s="355"/>
      <c r="BU525" s="355"/>
      <c r="BV525" s="355"/>
      <c r="BW525" s="355"/>
    </row>
    <row r="526" spans="1:75" x14ac:dyDescent="0.15">
      <c r="A526" s="356"/>
      <c r="B526" s="355"/>
      <c r="C526" s="355"/>
      <c r="D526" s="355"/>
      <c r="E526" s="355"/>
      <c r="F526" s="355"/>
      <c r="G526" s="355"/>
      <c r="O526" s="356"/>
      <c r="P526" s="355"/>
      <c r="Q526" s="355"/>
      <c r="R526" s="355"/>
      <c r="S526" s="355"/>
      <c r="T526" s="355"/>
      <c r="U526" s="355"/>
      <c r="V526" s="355"/>
      <c r="W526" s="355"/>
      <c r="AG526" s="355"/>
      <c r="AH526" s="355"/>
      <c r="AI526" s="355"/>
      <c r="AJ526" s="355"/>
      <c r="AK526" s="355"/>
      <c r="AL526" s="355"/>
      <c r="AM526" s="355"/>
      <c r="AU526" s="379">
        <v>59763</v>
      </c>
      <c r="AV526" s="375"/>
      <c r="AW526" s="375"/>
      <c r="AX526" s="375"/>
      <c r="AY526" s="375"/>
      <c r="AZ526" s="375"/>
      <c r="BA526" s="375"/>
      <c r="BB526" s="375"/>
      <c r="BC526" s="375"/>
      <c r="BD526" s="375"/>
      <c r="BE526" s="375"/>
      <c r="BF526" s="375">
        <v>7.1249999999999994E-2</v>
      </c>
      <c r="BG526" s="375"/>
      <c r="BH526" s="375"/>
      <c r="BI526" s="373">
        <f t="shared" si="35"/>
        <v>7.1249999999999994E-2</v>
      </c>
      <c r="BT526" s="355"/>
      <c r="BU526" s="355"/>
      <c r="BV526" s="355"/>
      <c r="BW526" s="355"/>
    </row>
    <row r="527" spans="1:75" x14ac:dyDescent="0.15">
      <c r="A527" s="356"/>
      <c r="B527" s="355"/>
      <c r="C527" s="355"/>
      <c r="D527" s="355"/>
      <c r="E527" s="355"/>
      <c r="F527" s="355"/>
      <c r="G527" s="355"/>
      <c r="O527" s="356"/>
      <c r="P527" s="355"/>
      <c r="Q527" s="355"/>
      <c r="R527" s="355"/>
      <c r="S527" s="355"/>
      <c r="T527" s="355"/>
      <c r="U527" s="355"/>
      <c r="V527" s="355"/>
      <c r="W527" s="355"/>
      <c r="AG527" s="355"/>
      <c r="AH527" s="355"/>
      <c r="AI527" s="355"/>
      <c r="AJ527" s="355"/>
      <c r="AK527" s="355"/>
      <c r="AL527" s="355"/>
      <c r="AM527" s="355"/>
      <c r="AU527" s="379">
        <v>59794</v>
      </c>
      <c r="AV527" s="375"/>
      <c r="AW527" s="375"/>
      <c r="AX527" s="375"/>
      <c r="AY527" s="375"/>
      <c r="AZ527" s="375"/>
      <c r="BA527" s="375"/>
      <c r="BB527" s="375"/>
      <c r="BC527" s="375"/>
      <c r="BD527" s="375"/>
      <c r="BE527" s="375"/>
      <c r="BF527" s="375">
        <v>7.1249999999999994E-2</v>
      </c>
      <c r="BG527" s="375"/>
      <c r="BH527" s="375"/>
      <c r="BI527" s="373">
        <f t="shared" si="35"/>
        <v>7.1249999999999994E-2</v>
      </c>
      <c r="BT527" s="355"/>
      <c r="BU527" s="355"/>
      <c r="BV527" s="355"/>
      <c r="BW527" s="355"/>
    </row>
    <row r="528" spans="1:75" x14ac:dyDescent="0.15">
      <c r="A528" s="356"/>
      <c r="B528" s="355"/>
      <c r="C528" s="355"/>
      <c r="D528" s="355"/>
      <c r="E528" s="355"/>
      <c r="F528" s="355"/>
      <c r="G528" s="355"/>
      <c r="O528" s="356"/>
      <c r="P528" s="355"/>
      <c r="Q528" s="355"/>
      <c r="R528" s="355"/>
      <c r="S528" s="355"/>
      <c r="T528" s="355"/>
      <c r="U528" s="355"/>
      <c r="V528" s="355"/>
      <c r="W528" s="355"/>
      <c r="AG528" s="355"/>
      <c r="AH528" s="355"/>
      <c r="AI528" s="355"/>
      <c r="AJ528" s="355"/>
      <c r="AK528" s="355"/>
      <c r="AL528" s="355"/>
      <c r="AM528" s="355"/>
      <c r="AU528" s="379">
        <v>59824</v>
      </c>
      <c r="AV528" s="375"/>
      <c r="AW528" s="375"/>
      <c r="AX528" s="375"/>
      <c r="AY528" s="375"/>
      <c r="AZ528" s="375"/>
      <c r="BA528" s="375"/>
      <c r="BB528" s="375"/>
      <c r="BC528" s="375"/>
      <c r="BD528" s="375"/>
      <c r="BE528" s="375"/>
      <c r="BF528" s="375">
        <v>7.1249999999999994E-2</v>
      </c>
      <c r="BG528" s="375"/>
      <c r="BH528" s="375"/>
      <c r="BI528" s="373">
        <f t="shared" si="35"/>
        <v>7.1249999999999994E-2</v>
      </c>
      <c r="BT528" s="355"/>
      <c r="BU528" s="355"/>
      <c r="BV528" s="355"/>
      <c r="BW528" s="355"/>
    </row>
    <row r="529" spans="1:75" x14ac:dyDescent="0.15">
      <c r="A529" s="356"/>
      <c r="B529" s="355"/>
      <c r="C529" s="355"/>
      <c r="D529" s="355"/>
      <c r="E529" s="355"/>
      <c r="F529" s="355"/>
      <c r="G529" s="355"/>
      <c r="O529" s="356"/>
      <c r="P529" s="355"/>
      <c r="Q529" s="355"/>
      <c r="R529" s="355"/>
      <c r="S529" s="355"/>
      <c r="T529" s="355"/>
      <c r="U529" s="355"/>
      <c r="V529" s="355"/>
      <c r="W529" s="355"/>
      <c r="AG529" s="355"/>
      <c r="AH529" s="355"/>
      <c r="AI529" s="355"/>
      <c r="AJ529" s="355"/>
      <c r="AK529" s="355"/>
      <c r="AL529" s="355"/>
      <c r="AM529" s="355"/>
      <c r="AU529" s="379">
        <v>59855</v>
      </c>
      <c r="AV529" s="375"/>
      <c r="AW529" s="375"/>
      <c r="AX529" s="375"/>
      <c r="AY529" s="375"/>
      <c r="AZ529" s="375"/>
      <c r="BA529" s="375"/>
      <c r="BB529" s="375"/>
      <c r="BC529" s="375"/>
      <c r="BD529" s="375"/>
      <c r="BE529" s="375"/>
      <c r="BF529" s="375">
        <v>7.1249999999999994E-2</v>
      </c>
      <c r="BG529" s="375"/>
      <c r="BH529" s="375"/>
      <c r="BI529" s="373">
        <f t="shared" si="35"/>
        <v>7.1249999999999994E-2</v>
      </c>
      <c r="BT529" s="355"/>
      <c r="BU529" s="355"/>
      <c r="BV529" s="355"/>
      <c r="BW529" s="355"/>
    </row>
    <row r="530" spans="1:75" x14ac:dyDescent="0.15">
      <c r="A530" s="356"/>
      <c r="B530" s="355"/>
      <c r="C530" s="355"/>
      <c r="D530" s="355"/>
      <c r="E530" s="355"/>
      <c r="F530" s="355"/>
      <c r="G530" s="355"/>
      <c r="O530" s="356"/>
      <c r="P530" s="355"/>
      <c r="Q530" s="355"/>
      <c r="R530" s="355"/>
      <c r="S530" s="355"/>
      <c r="T530" s="355"/>
      <c r="U530" s="355"/>
      <c r="V530" s="355"/>
      <c r="W530" s="355"/>
      <c r="AG530" s="355"/>
      <c r="AH530" s="355"/>
      <c r="AI530" s="355"/>
      <c r="AJ530" s="355"/>
      <c r="AK530" s="355"/>
      <c r="AL530" s="355"/>
      <c r="AM530" s="355"/>
      <c r="AU530" s="379">
        <v>59885</v>
      </c>
      <c r="AV530" s="375"/>
      <c r="AW530" s="375"/>
      <c r="AX530" s="375"/>
      <c r="AY530" s="375"/>
      <c r="AZ530" s="375"/>
      <c r="BA530" s="375"/>
      <c r="BB530" s="375"/>
      <c r="BC530" s="375"/>
      <c r="BD530" s="375"/>
      <c r="BE530" s="375"/>
      <c r="BF530" s="375">
        <v>7.1249999999999994E-2</v>
      </c>
      <c r="BG530" s="375"/>
      <c r="BH530" s="375"/>
      <c r="BI530" s="373">
        <f t="shared" si="35"/>
        <v>7.1249999999999994E-2</v>
      </c>
      <c r="BT530" s="355"/>
      <c r="BU530" s="355"/>
      <c r="BV530" s="355"/>
      <c r="BW530" s="355"/>
    </row>
    <row r="531" spans="1:75" x14ac:dyDescent="0.15">
      <c r="A531" s="356"/>
      <c r="B531" s="355"/>
      <c r="C531" s="355"/>
      <c r="D531" s="355"/>
      <c r="E531" s="355"/>
      <c r="F531" s="355"/>
      <c r="G531" s="355"/>
      <c r="O531" s="356"/>
      <c r="P531" s="355"/>
      <c r="Q531" s="355"/>
      <c r="R531" s="355"/>
      <c r="S531" s="355"/>
      <c r="T531" s="355"/>
      <c r="U531" s="355"/>
      <c r="V531" s="355"/>
      <c r="W531" s="355"/>
      <c r="AG531" s="355"/>
      <c r="AH531" s="355"/>
      <c r="AI531" s="355"/>
      <c r="AJ531" s="355"/>
      <c r="AK531" s="355"/>
      <c r="AL531" s="355"/>
      <c r="AM531" s="355"/>
      <c r="AU531" s="379">
        <v>59916</v>
      </c>
      <c r="AV531" s="375"/>
      <c r="AW531" s="375"/>
      <c r="AX531" s="375"/>
      <c r="AY531" s="375"/>
      <c r="AZ531" s="375"/>
      <c r="BA531" s="375"/>
      <c r="BB531" s="375"/>
      <c r="BC531" s="375"/>
      <c r="BD531" s="375"/>
      <c r="BE531" s="375"/>
      <c r="BF531" s="375">
        <v>7.1249999999999994E-2</v>
      </c>
      <c r="BG531" s="375"/>
      <c r="BH531" s="375"/>
      <c r="BI531" s="373">
        <f t="shared" si="35"/>
        <v>7.1249999999999994E-2</v>
      </c>
      <c r="BT531" s="355"/>
      <c r="BU531" s="355"/>
      <c r="BV531" s="355"/>
      <c r="BW531" s="355"/>
    </row>
    <row r="532" spans="1:75" x14ac:dyDescent="0.15">
      <c r="A532" s="356"/>
      <c r="B532" s="355"/>
      <c r="C532" s="355"/>
      <c r="D532" s="355"/>
      <c r="E532" s="355"/>
      <c r="F532" s="355"/>
      <c r="G532" s="355"/>
      <c r="O532" s="356"/>
      <c r="P532" s="355"/>
      <c r="Q532" s="355"/>
      <c r="R532" s="355"/>
      <c r="S532" s="355"/>
      <c r="T532" s="355"/>
      <c r="U532" s="355"/>
      <c r="V532" s="355"/>
      <c r="W532" s="355"/>
      <c r="AG532" s="355"/>
      <c r="AH532" s="355"/>
      <c r="AI532" s="355"/>
      <c r="AJ532" s="355"/>
      <c r="AK532" s="355"/>
      <c r="AL532" s="355"/>
      <c r="AM532" s="355"/>
      <c r="AU532" s="379">
        <v>59947</v>
      </c>
      <c r="AV532" s="375"/>
      <c r="AW532" s="375"/>
      <c r="AX532" s="375"/>
      <c r="AY532" s="375"/>
      <c r="AZ532" s="375"/>
      <c r="BA532" s="375"/>
      <c r="BB532" s="375"/>
      <c r="BC532" s="375"/>
      <c r="BD532" s="375"/>
      <c r="BE532" s="375"/>
      <c r="BF532" s="375">
        <v>7.1249999999999994E-2</v>
      </c>
      <c r="BG532" s="375"/>
      <c r="BH532" s="375"/>
      <c r="BI532" s="373">
        <f t="shared" si="35"/>
        <v>7.1249999999999994E-2</v>
      </c>
      <c r="BT532" s="355"/>
      <c r="BU532" s="355"/>
      <c r="BV532" s="355"/>
      <c r="BW532" s="355"/>
    </row>
    <row r="533" spans="1:75" x14ac:dyDescent="0.15">
      <c r="A533" s="356"/>
      <c r="B533" s="355"/>
      <c r="C533" s="355"/>
      <c r="D533" s="355"/>
      <c r="E533" s="355"/>
      <c r="F533" s="355"/>
      <c r="G533" s="355"/>
      <c r="O533" s="356"/>
      <c r="P533" s="355"/>
      <c r="Q533" s="355"/>
      <c r="R533" s="355"/>
      <c r="S533" s="355"/>
      <c r="T533" s="355"/>
      <c r="U533" s="355"/>
      <c r="V533" s="355"/>
      <c r="W533" s="355"/>
      <c r="AG533" s="355"/>
      <c r="AH533" s="355"/>
      <c r="AI533" s="355"/>
      <c r="AJ533" s="355"/>
      <c r="AK533" s="355"/>
      <c r="AL533" s="355"/>
      <c r="AM533" s="355"/>
      <c r="AU533" s="379">
        <v>59976</v>
      </c>
      <c r="AV533" s="375"/>
      <c r="AW533" s="375"/>
      <c r="AX533" s="375"/>
      <c r="AY533" s="375"/>
      <c r="AZ533" s="375"/>
      <c r="BA533" s="375"/>
      <c r="BB533" s="375"/>
      <c r="BC533" s="375"/>
      <c r="BD533" s="375"/>
      <c r="BE533" s="375"/>
      <c r="BF533" s="375">
        <v>7.1249999999999994E-2</v>
      </c>
      <c r="BG533" s="375"/>
      <c r="BH533" s="375"/>
      <c r="BI533" s="373">
        <f t="shared" si="35"/>
        <v>7.1249999999999994E-2</v>
      </c>
      <c r="BT533" s="355"/>
      <c r="BU533" s="355"/>
      <c r="BV533" s="355"/>
      <c r="BW533" s="355"/>
    </row>
    <row r="534" spans="1:75" x14ac:dyDescent="0.15">
      <c r="A534" s="356"/>
      <c r="B534" s="355"/>
      <c r="C534" s="355"/>
      <c r="D534" s="355"/>
      <c r="E534" s="355"/>
      <c r="F534" s="355"/>
      <c r="G534" s="355"/>
      <c r="O534" s="356"/>
      <c r="P534" s="355"/>
      <c r="Q534" s="355"/>
      <c r="R534" s="355"/>
      <c r="S534" s="355"/>
      <c r="T534" s="355"/>
      <c r="U534" s="355"/>
      <c r="V534" s="355"/>
      <c r="W534" s="355"/>
      <c r="AG534" s="355"/>
      <c r="AH534" s="355"/>
      <c r="AI534" s="355"/>
      <c r="AJ534" s="355"/>
      <c r="AK534" s="355"/>
      <c r="AL534" s="355"/>
      <c r="AM534" s="355"/>
      <c r="AU534" s="379">
        <v>60007</v>
      </c>
      <c r="AV534" s="375"/>
      <c r="AW534" s="375"/>
      <c r="AX534" s="375"/>
      <c r="AY534" s="375"/>
      <c r="AZ534" s="375"/>
      <c r="BA534" s="375"/>
      <c r="BB534" s="375"/>
      <c r="BC534" s="375"/>
      <c r="BD534" s="375"/>
      <c r="BE534" s="375"/>
      <c r="BF534" s="375">
        <v>7.1249999999999994E-2</v>
      </c>
      <c r="BG534" s="375"/>
      <c r="BH534" s="375"/>
      <c r="BI534" s="373">
        <f t="shared" si="35"/>
        <v>7.1249999999999994E-2</v>
      </c>
      <c r="BT534" s="355"/>
      <c r="BU534" s="355"/>
      <c r="BV534" s="355"/>
      <c r="BW534" s="355"/>
    </row>
    <row r="535" spans="1:75" x14ac:dyDescent="0.15">
      <c r="A535" s="356"/>
      <c r="B535" s="355"/>
      <c r="C535" s="355"/>
      <c r="D535" s="355"/>
      <c r="E535" s="355"/>
      <c r="F535" s="355"/>
      <c r="G535" s="355"/>
      <c r="O535" s="356"/>
      <c r="P535" s="355"/>
      <c r="Q535" s="355"/>
      <c r="R535" s="355"/>
      <c r="S535" s="355"/>
      <c r="T535" s="355"/>
      <c r="U535" s="355"/>
      <c r="V535" s="355"/>
      <c r="W535" s="355"/>
      <c r="AG535" s="355"/>
      <c r="AH535" s="355"/>
      <c r="AI535" s="355"/>
      <c r="AJ535" s="355"/>
      <c r="AK535" s="355"/>
      <c r="AL535" s="355"/>
      <c r="AM535" s="355"/>
      <c r="AU535" s="379">
        <v>60037</v>
      </c>
      <c r="AV535" s="375"/>
      <c r="AW535" s="375"/>
      <c r="AX535" s="375"/>
      <c r="AY535" s="375"/>
      <c r="AZ535" s="375"/>
      <c r="BA535" s="375"/>
      <c r="BB535" s="375"/>
      <c r="BC535" s="375"/>
      <c r="BD535" s="375"/>
      <c r="BE535" s="375"/>
      <c r="BF535" s="375">
        <v>7.1249999999999994E-2</v>
      </c>
      <c r="BG535" s="375"/>
      <c r="BH535" s="375"/>
      <c r="BI535" s="373">
        <f t="shared" si="35"/>
        <v>7.1249999999999994E-2</v>
      </c>
      <c r="BT535" s="355"/>
      <c r="BU535" s="355"/>
      <c r="BV535" s="355"/>
      <c r="BW535" s="355"/>
    </row>
    <row r="536" spans="1:75" x14ac:dyDescent="0.15">
      <c r="A536" s="356"/>
      <c r="B536" s="355"/>
      <c r="C536" s="355"/>
      <c r="D536" s="355"/>
      <c r="E536" s="355"/>
      <c r="F536" s="355"/>
      <c r="G536" s="355"/>
      <c r="O536" s="356"/>
      <c r="P536" s="355"/>
      <c r="Q536" s="355"/>
      <c r="R536" s="355"/>
      <c r="S536" s="355"/>
      <c r="T536" s="355"/>
      <c r="U536" s="355"/>
      <c r="V536" s="355"/>
      <c r="W536" s="355"/>
      <c r="AG536" s="355"/>
      <c r="AH536" s="355"/>
      <c r="AI536" s="355"/>
      <c r="AJ536" s="355"/>
      <c r="AK536" s="355"/>
      <c r="AL536" s="355"/>
      <c r="AM536" s="355"/>
      <c r="AU536" s="379">
        <v>60068</v>
      </c>
      <c r="AV536" s="375"/>
      <c r="AW536" s="375"/>
      <c r="AX536" s="375"/>
      <c r="AY536" s="375"/>
      <c r="AZ536" s="375"/>
      <c r="BA536" s="375"/>
      <c r="BB536" s="375"/>
      <c r="BC536" s="375"/>
      <c r="BD536" s="375"/>
      <c r="BE536" s="375"/>
      <c r="BF536" s="375">
        <v>7.1249999999999994E-2</v>
      </c>
      <c r="BG536" s="375"/>
      <c r="BH536" s="375"/>
      <c r="BI536" s="373">
        <f t="shared" si="35"/>
        <v>7.1249999999999994E-2</v>
      </c>
      <c r="BT536" s="355"/>
      <c r="BU536" s="355"/>
      <c r="BV536" s="355"/>
      <c r="BW536" s="355"/>
    </row>
    <row r="537" spans="1:75" x14ac:dyDescent="0.15">
      <c r="A537" s="356"/>
      <c r="B537" s="355"/>
      <c r="C537" s="355"/>
      <c r="D537" s="355"/>
      <c r="E537" s="355"/>
      <c r="F537" s="355"/>
      <c r="G537" s="355"/>
      <c r="O537" s="356"/>
      <c r="P537" s="355"/>
      <c r="Q537" s="355"/>
      <c r="R537" s="355"/>
      <c r="S537" s="355"/>
      <c r="T537" s="355"/>
      <c r="U537" s="355"/>
      <c r="V537" s="355"/>
      <c r="W537" s="355"/>
      <c r="AG537" s="355"/>
      <c r="AH537" s="355"/>
      <c r="AI537" s="355"/>
      <c r="AJ537" s="355"/>
      <c r="AK537" s="355"/>
      <c r="AL537" s="355"/>
      <c r="AM537" s="355"/>
      <c r="AU537" s="379">
        <v>60098</v>
      </c>
      <c r="AV537" s="375"/>
      <c r="AW537" s="375"/>
      <c r="AX537" s="375"/>
      <c r="AY537" s="375"/>
      <c r="AZ537" s="375"/>
      <c r="BA537" s="375"/>
      <c r="BB537" s="375"/>
      <c r="BC537" s="375"/>
      <c r="BD537" s="375"/>
      <c r="BE537" s="375"/>
      <c r="BF537" s="375">
        <v>7.1249999999999994E-2</v>
      </c>
      <c r="BG537" s="375"/>
      <c r="BH537" s="375"/>
      <c r="BI537" s="373">
        <f t="shared" si="35"/>
        <v>7.1249999999999994E-2</v>
      </c>
      <c r="BT537" s="355"/>
      <c r="BU537" s="355"/>
      <c r="BV537" s="355"/>
      <c r="BW537" s="355"/>
    </row>
    <row r="538" spans="1:75" x14ac:dyDescent="0.15">
      <c r="A538" s="356"/>
      <c r="B538" s="355"/>
      <c r="C538" s="355"/>
      <c r="D538" s="355"/>
      <c r="E538" s="355"/>
      <c r="F538" s="355"/>
      <c r="G538" s="355"/>
      <c r="O538" s="356"/>
      <c r="P538" s="355"/>
      <c r="Q538" s="355"/>
      <c r="R538" s="355"/>
      <c r="S538" s="355"/>
      <c r="T538" s="355"/>
      <c r="U538" s="355"/>
      <c r="V538" s="355"/>
      <c r="W538" s="355"/>
      <c r="AG538" s="355"/>
      <c r="AH538" s="355"/>
      <c r="AI538" s="355"/>
      <c r="AJ538" s="355"/>
      <c r="AK538" s="355"/>
      <c r="AL538" s="355"/>
      <c r="AM538" s="355"/>
      <c r="AU538" s="379">
        <v>60129</v>
      </c>
      <c r="AV538" s="375"/>
      <c r="AW538" s="375"/>
      <c r="AX538" s="375"/>
      <c r="AY538" s="375"/>
      <c r="AZ538" s="375"/>
      <c r="BA538" s="375"/>
      <c r="BB538" s="375"/>
      <c r="BC538" s="375"/>
      <c r="BD538" s="375"/>
      <c r="BE538" s="375"/>
      <c r="BF538" s="375">
        <v>7.1249999999999994E-2</v>
      </c>
      <c r="BG538" s="375"/>
      <c r="BH538" s="375"/>
      <c r="BI538" s="373">
        <f t="shared" si="35"/>
        <v>7.1249999999999994E-2</v>
      </c>
      <c r="BT538" s="355"/>
      <c r="BU538" s="355"/>
      <c r="BV538" s="355"/>
      <c r="BW538" s="355"/>
    </row>
    <row r="539" spans="1:75" x14ac:dyDescent="0.15">
      <c r="A539" s="356"/>
      <c r="B539" s="355"/>
      <c r="C539" s="355"/>
      <c r="D539" s="355"/>
      <c r="E539" s="355"/>
      <c r="F539" s="355"/>
      <c r="G539" s="355"/>
      <c r="O539" s="356"/>
      <c r="P539" s="355"/>
      <c r="Q539" s="355"/>
      <c r="R539" s="355"/>
      <c r="S539" s="355"/>
      <c r="T539" s="355"/>
      <c r="U539" s="355"/>
      <c r="V539" s="355"/>
      <c r="W539" s="355"/>
      <c r="AG539" s="355"/>
      <c r="AH539" s="355"/>
      <c r="AI539" s="355"/>
      <c r="AJ539" s="355"/>
      <c r="AK539" s="355"/>
      <c r="AL539" s="355"/>
      <c r="AM539" s="355"/>
      <c r="AU539" s="379">
        <v>60160</v>
      </c>
      <c r="AV539" s="375"/>
      <c r="AW539" s="375"/>
      <c r="AX539" s="375"/>
      <c r="AY539" s="375"/>
      <c r="AZ539" s="375"/>
      <c r="BA539" s="375"/>
      <c r="BB539" s="375"/>
      <c r="BC539" s="375"/>
      <c r="BD539" s="375"/>
      <c r="BE539" s="375"/>
      <c r="BF539" s="375">
        <v>7.1249999999999994E-2</v>
      </c>
      <c r="BG539" s="375"/>
      <c r="BH539" s="375"/>
      <c r="BI539" s="373">
        <f t="shared" si="35"/>
        <v>7.1249999999999994E-2</v>
      </c>
      <c r="BT539" s="355"/>
      <c r="BU539" s="355"/>
      <c r="BV539" s="355"/>
      <c r="BW539" s="355"/>
    </row>
    <row r="540" spans="1:75" x14ac:dyDescent="0.15">
      <c r="A540" s="356"/>
      <c r="B540" s="355"/>
      <c r="C540" s="355"/>
      <c r="D540" s="355"/>
      <c r="E540" s="355"/>
      <c r="F540" s="355"/>
      <c r="G540" s="355"/>
      <c r="O540" s="356"/>
      <c r="P540" s="355"/>
      <c r="Q540" s="355"/>
      <c r="R540" s="355"/>
      <c r="S540" s="355"/>
      <c r="T540" s="355"/>
      <c r="U540" s="355"/>
      <c r="V540" s="355"/>
      <c r="W540" s="355"/>
      <c r="AG540" s="355"/>
      <c r="AH540" s="355"/>
      <c r="AI540" s="355"/>
      <c r="AJ540" s="355"/>
      <c r="AK540" s="355"/>
      <c r="AL540" s="355"/>
      <c r="AM540" s="355"/>
      <c r="AU540" s="379">
        <v>60190</v>
      </c>
      <c r="AV540" s="375"/>
      <c r="AW540" s="375"/>
      <c r="AX540" s="375"/>
      <c r="AY540" s="375"/>
      <c r="AZ540" s="375"/>
      <c r="BA540" s="375"/>
      <c r="BB540" s="375"/>
      <c r="BC540" s="375"/>
      <c r="BD540" s="375"/>
      <c r="BE540" s="375"/>
      <c r="BF540" s="375">
        <v>7.1249999999999994E-2</v>
      </c>
      <c r="BG540" s="375"/>
      <c r="BH540" s="375"/>
      <c r="BI540" s="373">
        <f t="shared" si="35"/>
        <v>7.1249999999999994E-2</v>
      </c>
      <c r="BT540" s="355"/>
      <c r="BU540" s="355"/>
      <c r="BV540" s="355"/>
      <c r="BW540" s="355"/>
    </row>
    <row r="541" spans="1:75" x14ac:dyDescent="0.15">
      <c r="A541" s="356"/>
      <c r="B541" s="355"/>
      <c r="C541" s="355"/>
      <c r="D541" s="355"/>
      <c r="E541" s="355"/>
      <c r="F541" s="355"/>
      <c r="G541" s="355"/>
      <c r="O541" s="356"/>
      <c r="P541" s="355"/>
      <c r="Q541" s="355"/>
      <c r="R541" s="355"/>
      <c r="S541" s="355"/>
      <c r="T541" s="355"/>
      <c r="U541" s="355"/>
      <c r="V541" s="355"/>
      <c r="W541" s="355"/>
      <c r="AG541" s="355"/>
      <c r="AH541" s="355"/>
      <c r="AI541" s="355"/>
      <c r="AJ541" s="355"/>
      <c r="AK541" s="355"/>
      <c r="AL541" s="355"/>
      <c r="AM541" s="355"/>
      <c r="AU541" s="379">
        <v>60221</v>
      </c>
      <c r="AV541" s="375"/>
      <c r="AW541" s="375"/>
      <c r="AX541" s="375"/>
      <c r="AY541" s="375"/>
      <c r="AZ541" s="375"/>
      <c r="BA541" s="375"/>
      <c r="BB541" s="375"/>
      <c r="BC541" s="375"/>
      <c r="BD541" s="375"/>
      <c r="BE541" s="375"/>
      <c r="BF541" s="375">
        <v>7.1249999999999994E-2</v>
      </c>
      <c r="BG541" s="375"/>
      <c r="BH541" s="375"/>
      <c r="BI541" s="373">
        <f t="shared" si="35"/>
        <v>7.1249999999999994E-2</v>
      </c>
      <c r="BT541" s="355"/>
      <c r="BU541" s="355"/>
      <c r="BV541" s="355"/>
      <c r="BW541" s="355"/>
    </row>
    <row r="542" spans="1:75" x14ac:dyDescent="0.15">
      <c r="A542" s="356"/>
      <c r="B542" s="355"/>
      <c r="C542" s="355"/>
      <c r="D542" s="355"/>
      <c r="E542" s="355"/>
      <c r="F542" s="355"/>
      <c r="G542" s="355"/>
      <c r="O542" s="356"/>
      <c r="P542" s="355"/>
      <c r="Q542" s="355"/>
      <c r="R542" s="355"/>
      <c r="S542" s="355"/>
      <c r="T542" s="355"/>
      <c r="U542" s="355"/>
      <c r="V542" s="355"/>
      <c r="W542" s="355"/>
      <c r="AG542" s="355"/>
      <c r="AH542" s="355"/>
      <c r="AI542" s="355"/>
      <c r="AJ542" s="355"/>
      <c r="AK542" s="355"/>
      <c r="AL542" s="355"/>
      <c r="AM542" s="355"/>
      <c r="AU542" s="379">
        <v>60251</v>
      </c>
      <c r="AV542" s="375"/>
      <c r="AW542" s="375"/>
      <c r="AX542" s="375"/>
      <c r="AY542" s="375"/>
      <c r="AZ542" s="375"/>
      <c r="BA542" s="375"/>
      <c r="BB542" s="375"/>
      <c r="BC542" s="375"/>
      <c r="BD542" s="375"/>
      <c r="BE542" s="375"/>
      <c r="BF542" s="375">
        <v>7.1249999999999994E-2</v>
      </c>
      <c r="BG542" s="375"/>
      <c r="BH542" s="375"/>
      <c r="BI542" s="373">
        <f t="shared" si="35"/>
        <v>7.1249999999999994E-2</v>
      </c>
      <c r="BT542" s="355"/>
      <c r="BU542" s="355"/>
      <c r="BV542" s="355"/>
      <c r="BW542" s="355"/>
    </row>
    <row r="543" spans="1:75" x14ac:dyDescent="0.15">
      <c r="A543" s="356"/>
      <c r="B543" s="355"/>
      <c r="C543" s="355"/>
      <c r="D543" s="355"/>
      <c r="E543" s="355"/>
      <c r="F543" s="355"/>
      <c r="G543" s="355"/>
      <c r="O543" s="356"/>
      <c r="P543" s="355"/>
      <c r="Q543" s="355"/>
      <c r="R543" s="355"/>
      <c r="S543" s="355"/>
      <c r="T543" s="355"/>
      <c r="U543" s="355"/>
      <c r="V543" s="355"/>
      <c r="W543" s="355"/>
      <c r="AG543" s="355"/>
      <c r="AH543" s="355"/>
      <c r="AI543" s="355"/>
      <c r="AJ543" s="355"/>
      <c r="AK543" s="355"/>
      <c r="AL543" s="355"/>
      <c r="AM543" s="355"/>
      <c r="AU543" s="379">
        <v>60282</v>
      </c>
      <c r="AV543" s="375"/>
      <c r="AW543" s="375"/>
      <c r="AX543" s="375"/>
      <c r="AY543" s="375"/>
      <c r="AZ543" s="375"/>
      <c r="BA543" s="375"/>
      <c r="BB543" s="375"/>
      <c r="BC543" s="375"/>
      <c r="BD543" s="375"/>
      <c r="BE543" s="375"/>
      <c r="BF543" s="375">
        <v>7.1249999999999994E-2</v>
      </c>
      <c r="BG543" s="375"/>
      <c r="BH543" s="375"/>
      <c r="BI543" s="373">
        <f t="shared" si="35"/>
        <v>7.1249999999999994E-2</v>
      </c>
      <c r="BT543" s="355"/>
      <c r="BU543" s="355"/>
      <c r="BV543" s="355"/>
      <c r="BW543" s="355"/>
    </row>
    <row r="544" spans="1:75" x14ac:dyDescent="0.15">
      <c r="A544" s="356"/>
      <c r="B544" s="355"/>
      <c r="C544" s="355"/>
      <c r="D544" s="355"/>
      <c r="E544" s="355"/>
      <c r="F544" s="355"/>
      <c r="G544" s="355"/>
      <c r="O544" s="356"/>
      <c r="P544" s="355"/>
      <c r="Q544" s="355"/>
      <c r="R544" s="355"/>
      <c r="S544" s="355"/>
      <c r="T544" s="355"/>
      <c r="U544" s="355"/>
      <c r="V544" s="355"/>
      <c r="W544" s="355"/>
      <c r="AG544" s="355"/>
      <c r="AH544" s="355"/>
      <c r="AI544" s="355"/>
      <c r="AJ544" s="355"/>
      <c r="AK544" s="355"/>
      <c r="AL544" s="355"/>
      <c r="AM544" s="355"/>
      <c r="AU544" s="379">
        <v>60313</v>
      </c>
      <c r="AV544" s="375"/>
      <c r="AW544" s="375"/>
      <c r="AX544" s="375"/>
      <c r="AY544" s="375"/>
      <c r="AZ544" s="375"/>
      <c r="BA544" s="375"/>
      <c r="BB544" s="375"/>
      <c r="BC544" s="375"/>
      <c r="BD544" s="375"/>
      <c r="BE544" s="375"/>
      <c r="BF544" s="375">
        <v>7.1249999999999994E-2</v>
      </c>
      <c r="BG544" s="375"/>
      <c r="BH544" s="375"/>
      <c r="BI544" s="373">
        <f t="shared" si="35"/>
        <v>7.1249999999999994E-2</v>
      </c>
      <c r="BT544" s="355"/>
      <c r="BU544" s="355"/>
      <c r="BV544" s="355"/>
      <c r="BW544" s="355"/>
    </row>
    <row r="545" spans="1:75" x14ac:dyDescent="0.15">
      <c r="A545" s="356"/>
      <c r="B545" s="355"/>
      <c r="C545" s="355"/>
      <c r="D545" s="355"/>
      <c r="E545" s="355"/>
      <c r="F545" s="355"/>
      <c r="G545" s="355"/>
      <c r="O545" s="356"/>
      <c r="P545" s="355"/>
      <c r="Q545" s="355"/>
      <c r="R545" s="355"/>
      <c r="S545" s="355"/>
      <c r="T545" s="355"/>
      <c r="U545" s="355"/>
      <c r="V545" s="355"/>
      <c r="W545" s="355"/>
      <c r="AG545" s="355"/>
      <c r="AH545" s="355"/>
      <c r="AI545" s="355"/>
      <c r="AJ545" s="355"/>
      <c r="AK545" s="355"/>
      <c r="AL545" s="355"/>
      <c r="AM545" s="355"/>
      <c r="AU545" s="379">
        <v>60341</v>
      </c>
      <c r="AV545" s="375"/>
      <c r="AW545" s="375"/>
      <c r="AX545" s="375"/>
      <c r="AY545" s="375"/>
      <c r="AZ545" s="375"/>
      <c r="BA545" s="375"/>
      <c r="BB545" s="375"/>
      <c r="BC545" s="375"/>
      <c r="BD545" s="375"/>
      <c r="BE545" s="375"/>
      <c r="BF545" s="375">
        <v>7.1249999999999994E-2</v>
      </c>
      <c r="BG545" s="375"/>
      <c r="BH545" s="375"/>
      <c r="BI545" s="373">
        <f t="shared" si="35"/>
        <v>7.1249999999999994E-2</v>
      </c>
      <c r="BT545" s="355"/>
      <c r="BU545" s="355"/>
      <c r="BV545" s="355"/>
      <c r="BW545" s="355"/>
    </row>
    <row r="546" spans="1:75" x14ac:dyDescent="0.15">
      <c r="A546" s="356"/>
      <c r="B546" s="355"/>
      <c r="C546" s="355"/>
      <c r="D546" s="355"/>
      <c r="E546" s="355"/>
      <c r="F546" s="355"/>
      <c r="G546" s="355"/>
      <c r="O546" s="356"/>
      <c r="P546" s="355"/>
      <c r="Q546" s="355"/>
      <c r="R546" s="355"/>
      <c r="S546" s="355"/>
      <c r="T546" s="355"/>
      <c r="U546" s="355"/>
      <c r="V546" s="355"/>
      <c r="W546" s="355"/>
      <c r="AG546" s="355"/>
      <c r="AH546" s="355"/>
      <c r="AI546" s="355"/>
      <c r="AJ546" s="355"/>
      <c r="AK546" s="355"/>
      <c r="AL546" s="355"/>
      <c r="AM546" s="355"/>
      <c r="AU546" s="379">
        <v>60372</v>
      </c>
      <c r="AV546" s="375"/>
      <c r="AW546" s="375"/>
      <c r="AX546" s="375"/>
      <c r="AY546" s="375"/>
      <c r="AZ546" s="375"/>
      <c r="BA546" s="375"/>
      <c r="BB546" s="375"/>
      <c r="BC546" s="375"/>
      <c r="BD546" s="375"/>
      <c r="BE546" s="375"/>
      <c r="BF546" s="375">
        <v>7.1249999999999994E-2</v>
      </c>
      <c r="BG546" s="375"/>
      <c r="BH546" s="375"/>
      <c r="BI546" s="373">
        <f t="shared" si="35"/>
        <v>7.1249999999999994E-2</v>
      </c>
      <c r="BT546" s="355"/>
      <c r="BU546" s="355"/>
      <c r="BV546" s="355"/>
      <c r="BW546" s="355"/>
    </row>
    <row r="547" spans="1:75" x14ac:dyDescent="0.15">
      <c r="A547" s="356"/>
      <c r="B547" s="355"/>
      <c r="C547" s="355"/>
      <c r="D547" s="355"/>
      <c r="E547" s="355"/>
      <c r="F547" s="355"/>
      <c r="G547" s="355"/>
      <c r="O547" s="356"/>
      <c r="P547" s="355"/>
      <c r="Q547" s="355"/>
      <c r="R547" s="355"/>
      <c r="S547" s="355"/>
      <c r="T547" s="355"/>
      <c r="U547" s="355"/>
      <c r="V547" s="355"/>
      <c r="W547" s="355"/>
      <c r="AG547" s="355"/>
      <c r="AH547" s="355"/>
      <c r="AI547" s="355"/>
      <c r="AJ547" s="355"/>
      <c r="AK547" s="355"/>
      <c r="AL547" s="355"/>
      <c r="AM547" s="355"/>
      <c r="AU547" s="379">
        <v>60402</v>
      </c>
      <c r="AV547" s="375"/>
      <c r="AW547" s="375"/>
      <c r="AX547" s="375"/>
      <c r="AY547" s="375"/>
      <c r="AZ547" s="375"/>
      <c r="BA547" s="375"/>
      <c r="BB547" s="375"/>
      <c r="BC547" s="375"/>
      <c r="BD547" s="375"/>
      <c r="BE547" s="375"/>
      <c r="BF547" s="375">
        <v>7.1249999999999994E-2</v>
      </c>
      <c r="BG547" s="375"/>
      <c r="BH547" s="375"/>
      <c r="BI547" s="373">
        <f t="shared" si="35"/>
        <v>7.1249999999999994E-2</v>
      </c>
      <c r="BT547" s="355"/>
      <c r="BU547" s="355"/>
      <c r="BV547" s="355"/>
      <c r="BW547" s="355"/>
    </row>
    <row r="548" spans="1:75" x14ac:dyDescent="0.15">
      <c r="A548" s="356"/>
      <c r="B548" s="355"/>
      <c r="C548" s="355"/>
      <c r="D548" s="355"/>
      <c r="E548" s="355"/>
      <c r="F548" s="355"/>
      <c r="G548" s="355"/>
      <c r="O548" s="356"/>
      <c r="P548" s="355"/>
      <c r="Q548" s="355"/>
      <c r="R548" s="355"/>
      <c r="S548" s="355"/>
      <c r="T548" s="355"/>
      <c r="U548" s="355"/>
      <c r="V548" s="355"/>
      <c r="W548" s="355"/>
      <c r="AG548" s="355"/>
      <c r="AH548" s="355"/>
      <c r="AI548" s="355"/>
      <c r="AJ548" s="355"/>
      <c r="AK548" s="355"/>
      <c r="AL548" s="355"/>
      <c r="AM548" s="355"/>
      <c r="AU548" s="379">
        <v>60433</v>
      </c>
      <c r="AV548" s="375"/>
      <c r="AW548" s="375"/>
      <c r="AX548" s="375"/>
      <c r="AY548" s="375"/>
      <c r="AZ548" s="375"/>
      <c r="BA548" s="375"/>
      <c r="BB548" s="375"/>
      <c r="BC548" s="375"/>
      <c r="BD548" s="375"/>
      <c r="BE548" s="375"/>
      <c r="BF548" s="375">
        <v>7.1249999999999994E-2</v>
      </c>
      <c r="BG548" s="375"/>
      <c r="BH548" s="375"/>
      <c r="BI548" s="373">
        <f t="shared" si="35"/>
        <v>7.1249999999999994E-2</v>
      </c>
      <c r="BT548" s="355"/>
      <c r="BU548" s="355"/>
      <c r="BV548" s="355"/>
      <c r="BW548" s="355"/>
    </row>
    <row r="549" spans="1:75" x14ac:dyDescent="0.15">
      <c r="A549" s="356"/>
      <c r="B549" s="355"/>
      <c r="C549" s="355"/>
      <c r="D549" s="355"/>
      <c r="E549" s="355"/>
      <c r="F549" s="355"/>
      <c r="G549" s="355"/>
      <c r="O549" s="356"/>
      <c r="P549" s="355"/>
      <c r="Q549" s="355"/>
      <c r="R549" s="355"/>
      <c r="S549" s="355"/>
      <c r="T549" s="355"/>
      <c r="U549" s="355"/>
      <c r="V549" s="355"/>
      <c r="W549" s="355"/>
      <c r="AG549" s="355"/>
      <c r="AH549" s="355"/>
      <c r="AI549" s="355"/>
      <c r="AJ549" s="355"/>
      <c r="AK549" s="355"/>
      <c r="AL549" s="355"/>
      <c r="AM549" s="355"/>
      <c r="AU549" s="379">
        <v>60463</v>
      </c>
      <c r="AV549" s="375"/>
      <c r="AW549" s="375"/>
      <c r="AX549" s="375"/>
      <c r="AY549" s="375"/>
      <c r="AZ549" s="375"/>
      <c r="BA549" s="375"/>
      <c r="BB549" s="375"/>
      <c r="BC549" s="375"/>
      <c r="BD549" s="375"/>
      <c r="BE549" s="375"/>
      <c r="BF549" s="375">
        <v>7.1249999999999994E-2</v>
      </c>
      <c r="BG549" s="375"/>
      <c r="BH549" s="375"/>
      <c r="BI549" s="373">
        <f t="shared" si="35"/>
        <v>7.1249999999999994E-2</v>
      </c>
      <c r="BT549" s="355"/>
      <c r="BU549" s="355"/>
      <c r="BV549" s="355"/>
      <c r="BW549" s="355"/>
    </row>
    <row r="550" spans="1:75" x14ac:dyDescent="0.15">
      <c r="A550" s="356"/>
      <c r="B550" s="355"/>
      <c r="C550" s="355"/>
      <c r="D550" s="355"/>
      <c r="E550" s="355"/>
      <c r="F550" s="355"/>
      <c r="G550" s="355"/>
      <c r="O550" s="356"/>
      <c r="P550" s="355"/>
      <c r="Q550" s="355"/>
      <c r="R550" s="355"/>
      <c r="S550" s="355"/>
      <c r="T550" s="355"/>
      <c r="U550" s="355"/>
      <c r="V550" s="355"/>
      <c r="W550" s="355"/>
      <c r="AG550" s="355"/>
      <c r="AH550" s="355"/>
      <c r="AI550" s="355"/>
      <c r="AJ550" s="355"/>
      <c r="AK550" s="355"/>
      <c r="AL550" s="355"/>
      <c r="AM550" s="355"/>
      <c r="AU550" s="379">
        <v>60494</v>
      </c>
      <c r="AV550" s="375"/>
      <c r="AW550" s="375"/>
      <c r="AX550" s="375"/>
      <c r="AY550" s="375"/>
      <c r="AZ550" s="375"/>
      <c r="BA550" s="375"/>
      <c r="BB550" s="375"/>
      <c r="BC550" s="375"/>
      <c r="BD550" s="375"/>
      <c r="BE550" s="375"/>
      <c r="BF550" s="375">
        <v>7.1249999999999994E-2</v>
      </c>
      <c r="BG550" s="375"/>
      <c r="BH550" s="375"/>
      <c r="BI550" s="373">
        <f t="shared" si="35"/>
        <v>7.1249999999999994E-2</v>
      </c>
      <c r="BT550" s="355"/>
      <c r="BU550" s="355"/>
      <c r="BV550" s="355"/>
      <c r="BW550" s="355"/>
    </row>
    <row r="551" spans="1:75" x14ac:dyDescent="0.15">
      <c r="A551" s="356"/>
      <c r="B551" s="355"/>
      <c r="C551" s="355"/>
      <c r="D551" s="355"/>
      <c r="E551" s="355"/>
      <c r="F551" s="355"/>
      <c r="G551" s="355"/>
      <c r="O551" s="356"/>
      <c r="P551" s="355"/>
      <c r="Q551" s="355"/>
      <c r="R551" s="355"/>
      <c r="S551" s="355"/>
      <c r="T551" s="355"/>
      <c r="U551" s="355"/>
      <c r="V551" s="355"/>
      <c r="W551" s="355"/>
      <c r="AG551" s="355"/>
      <c r="AH551" s="355"/>
      <c r="AI551" s="355"/>
      <c r="AJ551" s="355"/>
      <c r="AK551" s="355"/>
      <c r="AL551" s="355"/>
      <c r="AM551" s="355"/>
      <c r="AU551" s="379">
        <v>60525</v>
      </c>
      <c r="AV551" s="375"/>
      <c r="AW551" s="375"/>
      <c r="AX551" s="375"/>
      <c r="AY551" s="375"/>
      <c r="AZ551" s="375"/>
      <c r="BA551" s="375"/>
      <c r="BB551" s="375"/>
      <c r="BC551" s="375"/>
      <c r="BD551" s="375"/>
      <c r="BE551" s="375"/>
      <c r="BF551" s="375">
        <v>7.1249999999999994E-2</v>
      </c>
      <c r="BG551" s="375"/>
      <c r="BH551" s="375"/>
      <c r="BI551" s="373">
        <f t="shared" si="35"/>
        <v>7.1249999999999994E-2</v>
      </c>
      <c r="BT551" s="355"/>
      <c r="BU551" s="355"/>
      <c r="BV551" s="355"/>
      <c r="BW551" s="355"/>
    </row>
    <row r="552" spans="1:75" x14ac:dyDescent="0.15">
      <c r="A552" s="356"/>
      <c r="B552" s="355"/>
      <c r="C552" s="355"/>
      <c r="D552" s="355"/>
      <c r="E552" s="355"/>
      <c r="F552" s="355"/>
      <c r="G552" s="355"/>
      <c r="O552" s="356"/>
      <c r="P552" s="355"/>
      <c r="Q552" s="355"/>
      <c r="R552" s="355"/>
      <c r="S552" s="355"/>
      <c r="T552" s="355"/>
      <c r="U552" s="355"/>
      <c r="V552" s="355"/>
      <c r="W552" s="355"/>
      <c r="AG552" s="355"/>
      <c r="AH552" s="355"/>
      <c r="AI552" s="355"/>
      <c r="AJ552" s="355"/>
      <c r="AK552" s="355"/>
      <c r="AL552" s="355"/>
      <c r="AM552" s="355"/>
      <c r="AU552" s="379">
        <v>60555</v>
      </c>
      <c r="AV552" s="375"/>
      <c r="AW552" s="375"/>
      <c r="AX552" s="375"/>
      <c r="AY552" s="375"/>
      <c r="AZ552" s="375"/>
      <c r="BA552" s="375"/>
      <c r="BB552" s="375"/>
      <c r="BC552" s="375"/>
      <c r="BD552" s="375"/>
      <c r="BE552" s="375"/>
      <c r="BF552" s="375">
        <v>7.1249999999999994E-2</v>
      </c>
      <c r="BG552" s="375"/>
      <c r="BH552" s="375"/>
      <c r="BI552" s="373">
        <f t="shared" si="35"/>
        <v>7.1249999999999994E-2</v>
      </c>
      <c r="BT552" s="355"/>
      <c r="BU552" s="355"/>
      <c r="BV552" s="355"/>
      <c r="BW552" s="355"/>
    </row>
    <row r="553" spans="1:75" x14ac:dyDescent="0.15">
      <c r="A553" s="356"/>
      <c r="B553" s="355"/>
      <c r="C553" s="355"/>
      <c r="D553" s="355"/>
      <c r="E553" s="355"/>
      <c r="F553" s="355"/>
      <c r="G553" s="355"/>
      <c r="O553" s="356"/>
      <c r="P553" s="355"/>
      <c r="Q553" s="355"/>
      <c r="R553" s="355"/>
      <c r="S553" s="355"/>
      <c r="T553" s="355"/>
      <c r="U553" s="355"/>
      <c r="V553" s="355"/>
      <c r="W553" s="355"/>
      <c r="AG553" s="355"/>
      <c r="AH553" s="355"/>
      <c r="AI553" s="355"/>
      <c r="AJ553" s="355"/>
      <c r="AK553" s="355"/>
      <c r="AL553" s="355"/>
      <c r="AM553" s="355"/>
      <c r="AU553" s="379">
        <v>60586</v>
      </c>
      <c r="AV553" s="375"/>
      <c r="AW553" s="375"/>
      <c r="AX553" s="375"/>
      <c r="AY553" s="375"/>
      <c r="AZ553" s="375"/>
      <c r="BA553" s="375"/>
      <c r="BB553" s="375"/>
      <c r="BC553" s="375"/>
      <c r="BD553" s="375"/>
      <c r="BE553" s="375"/>
      <c r="BF553" s="375">
        <v>7.1249999999999994E-2</v>
      </c>
      <c r="BG553" s="375"/>
      <c r="BH553" s="375"/>
      <c r="BI553" s="373">
        <f t="shared" si="35"/>
        <v>7.1249999999999994E-2</v>
      </c>
      <c r="BT553" s="355"/>
      <c r="BU553" s="355"/>
      <c r="BV553" s="355"/>
      <c r="BW553" s="355"/>
    </row>
    <row r="554" spans="1:75" x14ac:dyDescent="0.15">
      <c r="A554" s="356"/>
      <c r="B554" s="355"/>
      <c r="C554" s="355"/>
      <c r="D554" s="355"/>
      <c r="E554" s="355"/>
      <c r="F554" s="355"/>
      <c r="G554" s="355"/>
      <c r="O554" s="356"/>
      <c r="P554" s="355"/>
      <c r="Q554" s="355"/>
      <c r="R554" s="355"/>
      <c r="S554" s="355"/>
      <c r="T554" s="355"/>
      <c r="U554" s="355"/>
      <c r="V554" s="355"/>
      <c r="W554" s="355"/>
      <c r="AG554" s="355"/>
      <c r="AH554" s="355"/>
      <c r="AI554" s="355"/>
      <c r="AJ554" s="355"/>
      <c r="AK554" s="355"/>
      <c r="AL554" s="355"/>
      <c r="AM554" s="355"/>
      <c r="AU554" s="379">
        <v>60616</v>
      </c>
      <c r="AV554" s="375"/>
      <c r="AW554" s="375"/>
      <c r="AX554" s="375"/>
      <c r="AY554" s="375"/>
      <c r="AZ554" s="375"/>
      <c r="BA554" s="375"/>
      <c r="BB554" s="375"/>
      <c r="BC554" s="375"/>
      <c r="BD554" s="375"/>
      <c r="BE554" s="375"/>
      <c r="BF554" s="375">
        <v>7.1249999999999994E-2</v>
      </c>
      <c r="BG554" s="375"/>
      <c r="BH554" s="375"/>
      <c r="BI554" s="373">
        <f t="shared" si="35"/>
        <v>7.1249999999999994E-2</v>
      </c>
      <c r="BT554" s="355"/>
      <c r="BU554" s="355"/>
      <c r="BV554" s="355"/>
      <c r="BW554" s="355"/>
    </row>
    <row r="555" spans="1:75" x14ac:dyDescent="0.15">
      <c r="A555" s="356"/>
      <c r="B555" s="355"/>
      <c r="C555" s="355"/>
      <c r="D555" s="355"/>
      <c r="E555" s="355"/>
      <c r="F555" s="355"/>
      <c r="G555" s="355"/>
      <c r="O555" s="356"/>
      <c r="P555" s="355"/>
      <c r="Q555" s="355"/>
      <c r="R555" s="355"/>
      <c r="S555" s="355"/>
      <c r="T555" s="355"/>
      <c r="U555" s="355"/>
      <c r="V555" s="355"/>
      <c r="W555" s="355"/>
      <c r="AG555" s="355"/>
      <c r="AH555" s="355"/>
      <c r="AI555" s="355"/>
      <c r="AJ555" s="355"/>
      <c r="AK555" s="355"/>
      <c r="AL555" s="355"/>
      <c r="AM555" s="355"/>
      <c r="AU555" s="379">
        <v>60647</v>
      </c>
      <c r="AV555" s="375"/>
      <c r="AW555" s="375"/>
      <c r="AX555" s="375"/>
      <c r="AY555" s="375"/>
      <c r="AZ555" s="375"/>
      <c r="BA555" s="375"/>
      <c r="BB555" s="375"/>
      <c r="BC555" s="375"/>
      <c r="BD555" s="375"/>
      <c r="BE555" s="375"/>
      <c r="BF555" s="375">
        <v>7.1249999999999994E-2</v>
      </c>
      <c r="BG555" s="375"/>
      <c r="BH555" s="375"/>
      <c r="BI555" s="373">
        <f t="shared" si="35"/>
        <v>7.1249999999999994E-2</v>
      </c>
      <c r="BT555" s="355"/>
      <c r="BU555" s="355"/>
      <c r="BV555" s="355"/>
      <c r="BW555" s="355"/>
    </row>
    <row r="556" spans="1:75" x14ac:dyDescent="0.15">
      <c r="A556" s="356"/>
      <c r="B556" s="355"/>
      <c r="C556" s="355"/>
      <c r="D556" s="355"/>
      <c r="E556" s="355"/>
      <c r="F556" s="355"/>
      <c r="G556" s="355"/>
      <c r="O556" s="356"/>
      <c r="P556" s="355"/>
      <c r="Q556" s="355"/>
      <c r="R556" s="355"/>
      <c r="S556" s="355"/>
      <c r="T556" s="355"/>
      <c r="U556" s="355"/>
      <c r="V556" s="355"/>
      <c r="W556" s="355"/>
      <c r="AG556" s="355"/>
      <c r="AH556" s="355"/>
      <c r="AI556" s="355"/>
      <c r="AJ556" s="355"/>
      <c r="AK556" s="355"/>
      <c r="AL556" s="355"/>
      <c r="AM556" s="355"/>
      <c r="AU556" s="379">
        <v>60678</v>
      </c>
      <c r="AV556" s="375"/>
      <c r="AW556" s="375"/>
      <c r="AX556" s="375"/>
      <c r="AY556" s="375"/>
      <c r="AZ556" s="375"/>
      <c r="BA556" s="375"/>
      <c r="BB556" s="375"/>
      <c r="BC556" s="375"/>
      <c r="BD556" s="375"/>
      <c r="BE556" s="375"/>
      <c r="BF556" s="375">
        <v>7.1249999999999994E-2</v>
      </c>
      <c r="BG556" s="375"/>
      <c r="BH556" s="375"/>
      <c r="BI556" s="373">
        <f t="shared" si="35"/>
        <v>7.1249999999999994E-2</v>
      </c>
      <c r="BT556" s="355"/>
      <c r="BU556" s="355"/>
      <c r="BV556" s="355"/>
      <c r="BW556" s="355"/>
    </row>
    <row r="557" spans="1:75" x14ac:dyDescent="0.15">
      <c r="A557" s="356"/>
      <c r="B557" s="355"/>
      <c r="C557" s="355"/>
      <c r="D557" s="355"/>
      <c r="E557" s="355"/>
      <c r="F557" s="355"/>
      <c r="G557" s="355"/>
      <c r="O557" s="356"/>
      <c r="P557" s="355"/>
      <c r="Q557" s="355"/>
      <c r="R557" s="355"/>
      <c r="S557" s="355"/>
      <c r="T557" s="355"/>
      <c r="U557" s="355"/>
      <c r="V557" s="355"/>
      <c r="W557" s="355"/>
      <c r="AG557" s="355"/>
      <c r="AH557" s="355"/>
      <c r="AI557" s="355"/>
      <c r="AJ557" s="355"/>
      <c r="AK557" s="355"/>
      <c r="AL557" s="355"/>
      <c r="AM557" s="355"/>
      <c r="AU557" s="379">
        <v>60706</v>
      </c>
      <c r="AV557" s="375"/>
      <c r="AW557" s="375"/>
      <c r="AX557" s="375"/>
      <c r="AY557" s="375"/>
      <c r="AZ557" s="375"/>
      <c r="BA557" s="375"/>
      <c r="BB557" s="375"/>
      <c r="BC557" s="375"/>
      <c r="BD557" s="375"/>
      <c r="BE557" s="375"/>
      <c r="BF557" s="375">
        <v>7.1249999999999994E-2</v>
      </c>
      <c r="BG557" s="375"/>
      <c r="BH557" s="375"/>
      <c r="BI557" s="373">
        <f t="shared" si="35"/>
        <v>7.1249999999999994E-2</v>
      </c>
      <c r="BT557" s="355"/>
      <c r="BU557" s="355"/>
      <c r="BV557" s="355"/>
      <c r="BW557" s="355"/>
    </row>
    <row r="558" spans="1:75" x14ac:dyDescent="0.15">
      <c r="A558" s="356"/>
      <c r="B558" s="355"/>
      <c r="C558" s="355"/>
      <c r="D558" s="355"/>
      <c r="E558" s="355"/>
      <c r="F558" s="355"/>
      <c r="G558" s="355"/>
      <c r="O558" s="356"/>
      <c r="P558" s="355"/>
      <c r="Q558" s="355"/>
      <c r="R558" s="355"/>
      <c r="S558" s="355"/>
      <c r="T558" s="355"/>
      <c r="U558" s="355"/>
      <c r="V558" s="355"/>
      <c r="W558" s="355"/>
      <c r="AG558" s="355"/>
      <c r="AH558" s="355"/>
      <c r="AI558" s="355"/>
      <c r="AJ558" s="355"/>
      <c r="AK558" s="355"/>
      <c r="AL558" s="355"/>
      <c r="AM558" s="355"/>
      <c r="AU558" s="379">
        <v>60737</v>
      </c>
      <c r="AV558" s="375"/>
      <c r="AW558" s="375"/>
      <c r="AX558" s="375"/>
      <c r="AY558" s="375"/>
      <c r="AZ558" s="375"/>
      <c r="BA558" s="375"/>
      <c r="BB558" s="375"/>
      <c r="BC558" s="375"/>
      <c r="BD558" s="375"/>
      <c r="BE558" s="375"/>
      <c r="BF558" s="375">
        <v>7.1249999999999994E-2</v>
      </c>
      <c r="BG558" s="375"/>
      <c r="BH558" s="375"/>
      <c r="BI558" s="373">
        <f t="shared" si="35"/>
        <v>7.1249999999999994E-2</v>
      </c>
      <c r="BT558" s="355"/>
      <c r="BU558" s="355"/>
      <c r="BV558" s="355"/>
      <c r="BW558" s="355"/>
    </row>
    <row r="559" spans="1:75" x14ac:dyDescent="0.15">
      <c r="A559" s="356"/>
      <c r="B559" s="355"/>
      <c r="C559" s="355"/>
      <c r="D559" s="355"/>
      <c r="E559" s="355"/>
      <c r="F559" s="355"/>
      <c r="G559" s="355"/>
      <c r="O559" s="356"/>
      <c r="P559" s="355"/>
      <c r="Q559" s="355"/>
      <c r="R559" s="355"/>
      <c r="S559" s="355"/>
      <c r="T559" s="355"/>
      <c r="U559" s="355"/>
      <c r="V559" s="355"/>
      <c r="W559" s="355"/>
      <c r="AG559" s="355"/>
      <c r="AH559" s="355"/>
      <c r="AI559" s="355"/>
      <c r="AJ559" s="355"/>
      <c r="AK559" s="355"/>
      <c r="AL559" s="355"/>
      <c r="AM559" s="355"/>
      <c r="AU559" s="379">
        <v>60767</v>
      </c>
      <c r="AV559" s="375"/>
      <c r="AW559" s="375"/>
      <c r="AX559" s="375"/>
      <c r="AY559" s="375"/>
      <c r="AZ559" s="375"/>
      <c r="BA559" s="375"/>
      <c r="BB559" s="375"/>
      <c r="BC559" s="375"/>
      <c r="BD559" s="375"/>
      <c r="BE559" s="375"/>
      <c r="BF559" s="375">
        <v>7.1249999999999994E-2</v>
      </c>
      <c r="BG559" s="375"/>
      <c r="BH559" s="375"/>
      <c r="BI559" s="373">
        <f t="shared" si="35"/>
        <v>7.1249999999999994E-2</v>
      </c>
      <c r="BT559" s="355"/>
      <c r="BU559" s="355"/>
      <c r="BV559" s="355"/>
      <c r="BW559" s="355"/>
    </row>
    <row r="560" spans="1:75" x14ac:dyDescent="0.15">
      <c r="A560" s="356"/>
      <c r="B560" s="355"/>
      <c r="C560" s="355"/>
      <c r="D560" s="355"/>
      <c r="E560" s="355"/>
      <c r="F560" s="355"/>
      <c r="G560" s="355"/>
      <c r="O560" s="356"/>
      <c r="P560" s="355"/>
      <c r="Q560" s="355"/>
      <c r="R560" s="355"/>
      <c r="S560" s="355"/>
      <c r="T560" s="355"/>
      <c r="U560" s="355"/>
      <c r="V560" s="355"/>
      <c r="W560" s="355"/>
      <c r="AG560" s="355"/>
      <c r="AH560" s="355"/>
      <c r="AI560" s="355"/>
      <c r="AJ560" s="355"/>
      <c r="AK560" s="355"/>
      <c r="AL560" s="355"/>
      <c r="AM560" s="355"/>
      <c r="AU560" s="379">
        <v>60798</v>
      </c>
      <c r="AV560" s="375"/>
      <c r="AW560" s="375"/>
      <c r="AX560" s="375"/>
      <c r="AY560" s="375"/>
      <c r="AZ560" s="375"/>
      <c r="BA560" s="375"/>
      <c r="BB560" s="375"/>
      <c r="BC560" s="375"/>
      <c r="BD560" s="375"/>
      <c r="BE560" s="375"/>
      <c r="BF560" s="375">
        <v>7.1249999999999994E-2</v>
      </c>
      <c r="BG560" s="375"/>
      <c r="BH560" s="375"/>
      <c r="BI560" s="373">
        <f t="shared" si="35"/>
        <v>7.1249999999999994E-2</v>
      </c>
      <c r="BT560" s="355"/>
      <c r="BU560" s="355"/>
      <c r="BV560" s="355"/>
      <c r="BW560" s="355"/>
    </row>
    <row r="561" spans="1:75" x14ac:dyDescent="0.15">
      <c r="A561" s="356"/>
      <c r="B561" s="355"/>
      <c r="C561" s="355"/>
      <c r="D561" s="355"/>
      <c r="E561" s="355"/>
      <c r="F561" s="355"/>
      <c r="G561" s="355"/>
      <c r="O561" s="356"/>
      <c r="P561" s="355"/>
      <c r="Q561" s="355"/>
      <c r="R561" s="355"/>
      <c r="S561" s="355"/>
      <c r="T561" s="355"/>
      <c r="U561" s="355"/>
      <c r="V561" s="355"/>
      <c r="W561" s="355"/>
      <c r="AG561" s="355"/>
      <c r="AH561" s="355"/>
      <c r="AI561" s="355"/>
      <c r="AJ561" s="355"/>
      <c r="AK561" s="355"/>
      <c r="AL561" s="355"/>
      <c r="AM561" s="355"/>
      <c r="AU561" s="379">
        <v>60828</v>
      </c>
      <c r="AV561" s="375"/>
      <c r="AW561" s="375"/>
      <c r="AX561" s="375"/>
      <c r="AY561" s="375"/>
      <c r="AZ561" s="375"/>
      <c r="BA561" s="375"/>
      <c r="BB561" s="375"/>
      <c r="BC561" s="375"/>
      <c r="BD561" s="375"/>
      <c r="BE561" s="375"/>
      <c r="BF561" s="375">
        <v>7.1249999999999994E-2</v>
      </c>
      <c r="BG561" s="375"/>
      <c r="BH561" s="375"/>
      <c r="BI561" s="373">
        <f t="shared" si="35"/>
        <v>7.1249999999999994E-2</v>
      </c>
      <c r="BT561" s="355"/>
      <c r="BU561" s="355"/>
      <c r="BV561" s="355"/>
      <c r="BW561" s="355"/>
    </row>
    <row r="562" spans="1:75" x14ac:dyDescent="0.15">
      <c r="A562" s="356"/>
      <c r="B562" s="355"/>
      <c r="C562" s="355"/>
      <c r="D562" s="355"/>
      <c r="E562" s="355"/>
      <c r="F562" s="355"/>
      <c r="G562" s="355"/>
      <c r="O562" s="356"/>
      <c r="P562" s="355"/>
      <c r="Q562" s="355"/>
      <c r="R562" s="355"/>
      <c r="S562" s="355"/>
      <c r="T562" s="355"/>
      <c r="U562" s="355"/>
      <c r="V562" s="355"/>
      <c r="W562" s="355"/>
      <c r="AG562" s="355"/>
      <c r="AH562" s="355"/>
      <c r="AI562" s="355"/>
      <c r="AJ562" s="355"/>
      <c r="AK562" s="355"/>
      <c r="AL562" s="355"/>
      <c r="AM562" s="355"/>
      <c r="AU562" s="379">
        <v>60859</v>
      </c>
      <c r="AV562" s="375"/>
      <c r="AW562" s="375"/>
      <c r="AX562" s="375"/>
      <c r="AY562" s="375"/>
      <c r="AZ562" s="375"/>
      <c r="BA562" s="375"/>
      <c r="BB562" s="375"/>
      <c r="BC562" s="375"/>
      <c r="BD562" s="375"/>
      <c r="BE562" s="375"/>
      <c r="BF562" s="375">
        <v>7.1249999999999994E-2</v>
      </c>
      <c r="BG562" s="375"/>
      <c r="BH562" s="375"/>
      <c r="BI562" s="373">
        <f t="shared" si="35"/>
        <v>7.1249999999999994E-2</v>
      </c>
      <c r="BT562" s="355"/>
      <c r="BU562" s="355"/>
      <c r="BV562" s="355"/>
      <c r="BW562" s="355"/>
    </row>
    <row r="563" spans="1:75" x14ac:dyDescent="0.15">
      <c r="A563" s="356"/>
      <c r="B563" s="355"/>
      <c r="C563" s="355"/>
      <c r="D563" s="355"/>
      <c r="E563" s="355"/>
      <c r="F563" s="355"/>
      <c r="G563" s="355"/>
      <c r="O563" s="356"/>
      <c r="P563" s="355"/>
      <c r="Q563" s="355"/>
      <c r="R563" s="355"/>
      <c r="S563" s="355"/>
      <c r="T563" s="355"/>
      <c r="U563" s="355"/>
      <c r="V563" s="355"/>
      <c r="W563" s="355"/>
      <c r="AG563" s="355"/>
      <c r="AH563" s="355"/>
      <c r="AI563" s="355"/>
      <c r="AJ563" s="355"/>
      <c r="AK563" s="355"/>
      <c r="AL563" s="355"/>
      <c r="AM563" s="355"/>
      <c r="AU563" s="379">
        <v>60890</v>
      </c>
      <c r="AV563" s="375"/>
      <c r="AW563" s="375"/>
      <c r="AX563" s="375"/>
      <c r="AY563" s="375"/>
      <c r="AZ563" s="375"/>
      <c r="BA563" s="375"/>
      <c r="BB563" s="375"/>
      <c r="BC563" s="375"/>
      <c r="BD563" s="375"/>
      <c r="BE563" s="375"/>
      <c r="BF563" s="375">
        <v>7.1249999999999994E-2</v>
      </c>
      <c r="BG563" s="375"/>
      <c r="BH563" s="375"/>
      <c r="BI563" s="373">
        <f t="shared" si="35"/>
        <v>7.1249999999999994E-2</v>
      </c>
      <c r="BT563" s="355"/>
      <c r="BU563" s="355"/>
      <c r="BV563" s="355"/>
      <c r="BW563" s="355"/>
    </row>
    <row r="564" spans="1:75" x14ac:dyDescent="0.15">
      <c r="A564" s="356"/>
      <c r="B564" s="355"/>
      <c r="C564" s="355"/>
      <c r="D564" s="355"/>
      <c r="E564" s="355"/>
      <c r="F564" s="355"/>
      <c r="G564" s="355"/>
      <c r="O564" s="356"/>
      <c r="P564" s="355"/>
      <c r="Q564" s="355"/>
      <c r="R564" s="355"/>
      <c r="S564" s="355"/>
      <c r="T564" s="355"/>
      <c r="U564" s="355"/>
      <c r="V564" s="355"/>
      <c r="W564" s="355"/>
      <c r="AG564" s="355"/>
      <c r="AH564" s="355"/>
      <c r="AI564" s="355"/>
      <c r="AJ564" s="355"/>
      <c r="AK564" s="355"/>
      <c r="AL564" s="355"/>
      <c r="AM564" s="355"/>
      <c r="AU564" s="379">
        <v>60920</v>
      </c>
      <c r="AV564" s="375"/>
      <c r="AW564" s="375"/>
      <c r="AX564" s="375"/>
      <c r="AY564" s="375"/>
      <c r="AZ564" s="375"/>
      <c r="BA564" s="375"/>
      <c r="BB564" s="375"/>
      <c r="BC564" s="375"/>
      <c r="BD564" s="375"/>
      <c r="BE564" s="375"/>
      <c r="BF564" s="375">
        <v>7.1249999999999994E-2</v>
      </c>
      <c r="BG564" s="375"/>
      <c r="BH564" s="375"/>
      <c r="BI564" s="373">
        <f t="shared" si="35"/>
        <v>7.1249999999999994E-2</v>
      </c>
      <c r="BT564" s="355"/>
      <c r="BU564" s="355"/>
      <c r="BV564" s="355"/>
      <c r="BW564" s="355"/>
    </row>
    <row r="565" spans="1:75" x14ac:dyDescent="0.15">
      <c r="A565" s="356"/>
      <c r="B565" s="355"/>
      <c r="C565" s="355"/>
      <c r="D565" s="355"/>
      <c r="E565" s="355"/>
      <c r="F565" s="355"/>
      <c r="G565" s="355"/>
      <c r="O565" s="356"/>
      <c r="P565" s="355"/>
      <c r="Q565" s="355"/>
      <c r="R565" s="355"/>
      <c r="S565" s="355"/>
      <c r="T565" s="355"/>
      <c r="U565" s="355"/>
      <c r="V565" s="355"/>
      <c r="W565" s="355"/>
      <c r="AG565" s="355"/>
      <c r="AH565" s="355"/>
      <c r="AI565" s="355"/>
      <c r="AJ565" s="355"/>
      <c r="AK565" s="355"/>
      <c r="AL565" s="355"/>
      <c r="AM565" s="355"/>
      <c r="AU565" s="379">
        <v>60951</v>
      </c>
      <c r="AV565" s="375"/>
      <c r="AW565" s="375"/>
      <c r="AX565" s="375"/>
      <c r="AY565" s="375"/>
      <c r="AZ565" s="375"/>
      <c r="BA565" s="375"/>
      <c r="BB565" s="375"/>
      <c r="BC565" s="375"/>
      <c r="BD565" s="375"/>
      <c r="BE565" s="375"/>
      <c r="BF565" s="375">
        <v>7.1249999999999994E-2</v>
      </c>
      <c r="BG565" s="375"/>
      <c r="BH565" s="375"/>
      <c r="BI565" s="373">
        <f t="shared" si="35"/>
        <v>7.1249999999999994E-2</v>
      </c>
      <c r="BT565" s="355"/>
      <c r="BU565" s="355"/>
      <c r="BV565" s="355"/>
      <c r="BW565" s="355"/>
    </row>
    <row r="566" spans="1:75" x14ac:dyDescent="0.15">
      <c r="A566" s="356"/>
      <c r="B566" s="355"/>
      <c r="C566" s="355"/>
      <c r="D566" s="355"/>
      <c r="E566" s="355"/>
      <c r="F566" s="355"/>
      <c r="G566" s="355"/>
      <c r="O566" s="356"/>
      <c r="P566" s="355"/>
      <c r="Q566" s="355"/>
      <c r="R566" s="355"/>
      <c r="S566" s="355"/>
      <c r="T566" s="355"/>
      <c r="U566" s="355"/>
      <c r="V566" s="355"/>
      <c r="W566" s="355"/>
      <c r="AG566" s="355"/>
      <c r="AH566" s="355"/>
      <c r="AI566" s="355"/>
      <c r="AJ566" s="355"/>
      <c r="AK566" s="355"/>
      <c r="AL566" s="355"/>
      <c r="AM566" s="355"/>
      <c r="AU566" s="379">
        <v>60981</v>
      </c>
      <c r="AV566" s="375"/>
      <c r="AW566" s="375"/>
      <c r="AX566" s="375"/>
      <c r="AY566" s="375"/>
      <c r="AZ566" s="375"/>
      <c r="BA566" s="375"/>
      <c r="BB566" s="375"/>
      <c r="BC566" s="375"/>
      <c r="BD566" s="375"/>
      <c r="BE566" s="375"/>
      <c r="BF566" s="375">
        <v>7.1249999999999994E-2</v>
      </c>
      <c r="BG566" s="375"/>
      <c r="BH566" s="375"/>
      <c r="BI566" s="373">
        <f t="shared" si="35"/>
        <v>7.1249999999999994E-2</v>
      </c>
      <c r="BT566" s="355"/>
      <c r="BU566" s="355"/>
      <c r="BV566" s="355"/>
      <c r="BW566" s="355"/>
    </row>
    <row r="567" spans="1:75" x14ac:dyDescent="0.15">
      <c r="A567" s="356"/>
      <c r="B567" s="355"/>
      <c r="C567" s="355"/>
      <c r="D567" s="355"/>
      <c r="E567" s="355"/>
      <c r="F567" s="355"/>
      <c r="G567" s="355"/>
      <c r="O567" s="356"/>
      <c r="P567" s="355"/>
      <c r="Q567" s="355"/>
      <c r="R567" s="355"/>
      <c r="S567" s="355"/>
      <c r="T567" s="355"/>
      <c r="U567" s="355"/>
      <c r="V567" s="355"/>
      <c r="W567" s="355"/>
      <c r="AG567" s="355"/>
      <c r="AH567" s="355"/>
      <c r="AI567" s="355"/>
      <c r="AJ567" s="355"/>
      <c r="AK567" s="355"/>
      <c r="AL567" s="355"/>
      <c r="AM567" s="355"/>
      <c r="AU567" s="379">
        <v>61012</v>
      </c>
      <c r="AV567" s="375"/>
      <c r="AW567" s="375"/>
      <c r="AX567" s="375"/>
      <c r="AY567" s="375"/>
      <c r="AZ567" s="375"/>
      <c r="BA567" s="375"/>
      <c r="BB567" s="375"/>
      <c r="BC567" s="375"/>
      <c r="BD567" s="375"/>
      <c r="BE567" s="375"/>
      <c r="BF567" s="375">
        <v>7.1249999999999994E-2</v>
      </c>
      <c r="BG567" s="375"/>
      <c r="BH567" s="375"/>
      <c r="BI567" s="373">
        <f t="shared" si="35"/>
        <v>7.1249999999999994E-2</v>
      </c>
      <c r="BT567" s="355"/>
      <c r="BU567" s="355"/>
      <c r="BV567" s="355"/>
      <c r="BW567" s="355"/>
    </row>
    <row r="568" spans="1:75" x14ac:dyDescent="0.15">
      <c r="A568" s="356"/>
      <c r="B568" s="355"/>
      <c r="C568" s="355"/>
      <c r="D568" s="355"/>
      <c r="E568" s="355"/>
      <c r="F568" s="355"/>
      <c r="G568" s="355"/>
      <c r="O568" s="356"/>
      <c r="P568" s="355"/>
      <c r="Q568" s="355"/>
      <c r="R568" s="355"/>
      <c r="S568" s="355"/>
      <c r="T568" s="355"/>
      <c r="U568" s="355"/>
      <c r="V568" s="355"/>
      <c r="W568" s="355"/>
      <c r="AG568" s="355"/>
      <c r="AH568" s="355"/>
      <c r="AI568" s="355"/>
      <c r="AJ568" s="355"/>
      <c r="AK568" s="355"/>
      <c r="AL568" s="355"/>
      <c r="AM568" s="355"/>
      <c r="AU568" s="379">
        <v>61043</v>
      </c>
      <c r="AV568" s="375"/>
      <c r="AW568" s="375"/>
      <c r="AX568" s="375"/>
      <c r="AY568" s="375"/>
      <c r="AZ568" s="375"/>
      <c r="BA568" s="375"/>
      <c r="BB568" s="375"/>
      <c r="BC568" s="375"/>
      <c r="BD568" s="375"/>
      <c r="BE568" s="375"/>
      <c r="BF568" s="375">
        <v>7.1249999999999994E-2</v>
      </c>
      <c r="BG568" s="375"/>
      <c r="BH568" s="375"/>
      <c r="BI568" s="373">
        <f t="shared" si="35"/>
        <v>7.1249999999999994E-2</v>
      </c>
      <c r="BT568" s="355"/>
      <c r="BU568" s="355"/>
      <c r="BV568" s="355"/>
      <c r="BW568" s="355"/>
    </row>
    <row r="569" spans="1:75" x14ac:dyDescent="0.15">
      <c r="A569" s="356"/>
      <c r="B569" s="355"/>
      <c r="C569" s="355"/>
      <c r="D569" s="355"/>
      <c r="E569" s="355"/>
      <c r="F569" s="355"/>
      <c r="G569" s="355"/>
      <c r="O569" s="356"/>
      <c r="P569" s="355"/>
      <c r="Q569" s="355"/>
      <c r="R569" s="355"/>
      <c r="S569" s="355"/>
      <c r="T569" s="355"/>
      <c r="U569" s="355"/>
      <c r="V569" s="355"/>
      <c r="W569" s="355"/>
      <c r="AG569" s="355"/>
      <c r="AH569" s="355"/>
      <c r="AI569" s="355"/>
      <c r="AJ569" s="355"/>
      <c r="AK569" s="355"/>
      <c r="AL569" s="355"/>
      <c r="AM569" s="355"/>
      <c r="AU569" s="379">
        <v>61071</v>
      </c>
      <c r="AV569" s="375"/>
      <c r="AW569" s="375"/>
      <c r="AX569" s="375"/>
      <c r="AY569" s="375"/>
      <c r="AZ569" s="375"/>
      <c r="BA569" s="375"/>
      <c r="BB569" s="375"/>
      <c r="BC569" s="375"/>
      <c r="BD569" s="375"/>
      <c r="BE569" s="375"/>
      <c r="BF569" s="375">
        <v>7.1249999999999994E-2</v>
      </c>
      <c r="BG569" s="375"/>
      <c r="BH569" s="375"/>
      <c r="BI569" s="373">
        <f t="shared" si="35"/>
        <v>7.1249999999999994E-2</v>
      </c>
      <c r="BT569" s="355"/>
      <c r="BU569" s="355"/>
      <c r="BV569" s="355"/>
      <c r="BW569" s="355"/>
    </row>
    <row r="570" spans="1:75" x14ac:dyDescent="0.15">
      <c r="A570" s="356"/>
      <c r="B570" s="355"/>
      <c r="C570" s="355"/>
      <c r="D570" s="355"/>
      <c r="E570" s="355"/>
      <c r="F570" s="355"/>
      <c r="G570" s="355"/>
      <c r="O570" s="356"/>
      <c r="P570" s="355"/>
      <c r="Q570" s="355"/>
      <c r="R570" s="355"/>
      <c r="S570" s="355"/>
      <c r="T570" s="355"/>
      <c r="U570" s="355"/>
      <c r="V570" s="355"/>
      <c r="W570" s="355"/>
      <c r="AG570" s="355"/>
      <c r="AH570" s="355"/>
      <c r="AI570" s="355"/>
      <c r="AJ570" s="355"/>
      <c r="AK570" s="355"/>
      <c r="AL570" s="355"/>
      <c r="AM570" s="355"/>
      <c r="AU570" s="379">
        <v>61102</v>
      </c>
      <c r="AV570" s="375"/>
      <c r="AW570" s="375"/>
      <c r="AX570" s="375"/>
      <c r="AY570" s="375"/>
      <c r="AZ570" s="375"/>
      <c r="BA570" s="375"/>
      <c r="BB570" s="375"/>
      <c r="BC570" s="375"/>
      <c r="BD570" s="375"/>
      <c r="BE570" s="375"/>
      <c r="BF570" s="375">
        <v>7.1249999999999994E-2</v>
      </c>
      <c r="BG570" s="375"/>
      <c r="BH570" s="375"/>
      <c r="BI570" s="373">
        <f t="shared" si="35"/>
        <v>7.1249999999999994E-2</v>
      </c>
      <c r="BT570" s="355"/>
      <c r="BU570" s="355"/>
      <c r="BV570" s="355"/>
      <c r="BW570" s="355"/>
    </row>
    <row r="571" spans="1:75" x14ac:dyDescent="0.15">
      <c r="A571" s="356"/>
      <c r="B571" s="355"/>
      <c r="C571" s="355"/>
      <c r="D571" s="355"/>
      <c r="E571" s="355"/>
      <c r="F571" s="355"/>
      <c r="G571" s="355"/>
      <c r="O571" s="356"/>
      <c r="P571" s="355"/>
      <c r="Q571" s="355"/>
      <c r="R571" s="355"/>
      <c r="S571" s="355"/>
      <c r="T571" s="355"/>
      <c r="U571" s="355"/>
      <c r="V571" s="355"/>
      <c r="W571" s="355"/>
      <c r="AG571" s="355"/>
      <c r="AH571" s="355"/>
      <c r="AI571" s="355"/>
      <c r="AJ571" s="355"/>
      <c r="AK571" s="355"/>
      <c r="AL571" s="355"/>
      <c r="AM571" s="355"/>
      <c r="AU571" s="379">
        <v>61132</v>
      </c>
      <c r="AV571" s="375"/>
      <c r="AW571" s="375"/>
      <c r="AX571" s="375"/>
      <c r="AY571" s="375"/>
      <c r="AZ571" s="375"/>
      <c r="BA571" s="375"/>
      <c r="BB571" s="375"/>
      <c r="BC571" s="375"/>
      <c r="BD571" s="375"/>
      <c r="BE571" s="375"/>
      <c r="BF571" s="375">
        <v>7.1249999999999994E-2</v>
      </c>
      <c r="BG571" s="375"/>
      <c r="BH571" s="375"/>
      <c r="BI571" s="373">
        <f t="shared" si="35"/>
        <v>7.1249999999999994E-2</v>
      </c>
      <c r="BT571" s="355"/>
      <c r="BU571" s="355"/>
      <c r="BV571" s="355"/>
      <c r="BW571" s="355"/>
    </row>
    <row r="572" spans="1:75" x14ac:dyDescent="0.15">
      <c r="A572" s="356"/>
      <c r="B572" s="355"/>
      <c r="C572" s="355"/>
      <c r="D572" s="355"/>
      <c r="E572" s="355"/>
      <c r="F572" s="355"/>
      <c r="G572" s="355"/>
      <c r="O572" s="356"/>
      <c r="P572" s="355"/>
      <c r="Q572" s="355"/>
      <c r="R572" s="355"/>
      <c r="S572" s="355"/>
      <c r="T572" s="355"/>
      <c r="U572" s="355"/>
      <c r="V572" s="355"/>
      <c r="W572" s="355"/>
      <c r="AG572" s="355"/>
      <c r="AH572" s="355"/>
      <c r="AI572" s="355"/>
      <c r="AJ572" s="355"/>
      <c r="AK572" s="355"/>
      <c r="AL572" s="355"/>
      <c r="AM572" s="355"/>
      <c r="AU572" s="379">
        <v>61163</v>
      </c>
      <c r="AV572" s="375"/>
      <c r="AW572" s="375"/>
      <c r="AX572" s="375"/>
      <c r="AY572" s="375"/>
      <c r="AZ572" s="375"/>
      <c r="BA572" s="375"/>
      <c r="BB572" s="375"/>
      <c r="BC572" s="375"/>
      <c r="BD572" s="375"/>
      <c r="BE572" s="375"/>
      <c r="BF572" s="375">
        <v>7.1249999999999994E-2</v>
      </c>
      <c r="BG572" s="375"/>
      <c r="BH572" s="375"/>
      <c r="BI572" s="373">
        <f t="shared" si="35"/>
        <v>7.1249999999999994E-2</v>
      </c>
      <c r="BT572" s="355"/>
      <c r="BU572" s="355"/>
      <c r="BV572" s="355"/>
      <c r="BW572" s="355"/>
    </row>
    <row r="573" spans="1:75" x14ac:dyDescent="0.15">
      <c r="A573" s="356"/>
      <c r="B573" s="355"/>
      <c r="C573" s="355"/>
      <c r="D573" s="355"/>
      <c r="E573" s="355"/>
      <c r="F573" s="355"/>
      <c r="G573" s="355"/>
      <c r="O573" s="356"/>
      <c r="P573" s="355"/>
      <c r="Q573" s="355"/>
      <c r="R573" s="355"/>
      <c r="S573" s="355"/>
      <c r="T573" s="355"/>
      <c r="U573" s="355"/>
      <c r="V573" s="355"/>
      <c r="W573" s="355"/>
      <c r="AG573" s="355"/>
      <c r="AH573" s="355"/>
      <c r="AI573" s="355"/>
      <c r="AJ573" s="355"/>
      <c r="AK573" s="355"/>
      <c r="AL573" s="355"/>
      <c r="AM573" s="355"/>
      <c r="AU573" s="379">
        <v>61193</v>
      </c>
      <c r="AV573" s="375"/>
      <c r="AW573" s="375"/>
      <c r="AX573" s="375"/>
      <c r="AY573" s="375"/>
      <c r="AZ573" s="375"/>
      <c r="BA573" s="375"/>
      <c r="BB573" s="375"/>
      <c r="BC573" s="375"/>
      <c r="BD573" s="375"/>
      <c r="BE573" s="375"/>
      <c r="BF573" s="375">
        <v>7.1249999999999994E-2</v>
      </c>
      <c r="BG573" s="375"/>
      <c r="BH573" s="375"/>
      <c r="BI573" s="373">
        <f t="shared" si="35"/>
        <v>7.1249999999999994E-2</v>
      </c>
      <c r="BT573" s="355"/>
      <c r="BU573" s="355"/>
      <c r="BV573" s="355"/>
      <c r="BW573" s="355"/>
    </row>
    <row r="574" spans="1:75" x14ac:dyDescent="0.15">
      <c r="A574" s="356"/>
      <c r="B574" s="355"/>
      <c r="C574" s="355"/>
      <c r="D574" s="355"/>
      <c r="E574" s="355"/>
      <c r="F574" s="355"/>
      <c r="G574" s="355"/>
      <c r="O574" s="356"/>
      <c r="P574" s="355"/>
      <c r="Q574" s="355"/>
      <c r="R574" s="355"/>
      <c r="S574" s="355"/>
      <c r="T574" s="355"/>
      <c r="U574" s="355"/>
      <c r="V574" s="355"/>
      <c r="W574" s="355"/>
      <c r="AG574" s="355"/>
      <c r="AH574" s="355"/>
      <c r="AI574" s="355"/>
      <c r="AJ574" s="355"/>
      <c r="AK574" s="355"/>
      <c r="AL574" s="355"/>
      <c r="AM574" s="355"/>
      <c r="AU574" s="379">
        <v>61224</v>
      </c>
      <c r="AV574" s="375"/>
      <c r="AW574" s="375"/>
      <c r="AX574" s="375"/>
      <c r="AY574" s="375"/>
      <c r="AZ574" s="375"/>
      <c r="BA574" s="375"/>
      <c r="BB574" s="375"/>
      <c r="BC574" s="375"/>
      <c r="BD574" s="375"/>
      <c r="BE574" s="375"/>
      <c r="BF574" s="375">
        <v>7.1249999999999994E-2</v>
      </c>
      <c r="BG574" s="375"/>
      <c r="BH574" s="375"/>
      <c r="BI574" s="373">
        <f t="shared" si="35"/>
        <v>7.1249999999999994E-2</v>
      </c>
      <c r="BT574" s="355"/>
      <c r="BU574" s="355"/>
      <c r="BV574" s="355"/>
      <c r="BW574" s="355"/>
    </row>
    <row r="575" spans="1:75" x14ac:dyDescent="0.15">
      <c r="A575" s="356"/>
      <c r="B575" s="355"/>
      <c r="C575" s="355"/>
      <c r="D575" s="355"/>
      <c r="E575" s="355"/>
      <c r="F575" s="355"/>
      <c r="G575" s="355"/>
      <c r="O575" s="356"/>
      <c r="P575" s="355"/>
      <c r="Q575" s="355"/>
      <c r="R575" s="355"/>
      <c r="S575" s="355"/>
      <c r="T575" s="355"/>
      <c r="U575" s="355"/>
      <c r="V575" s="355"/>
      <c r="W575" s="355"/>
      <c r="AG575" s="355"/>
      <c r="AH575" s="355"/>
      <c r="AI575" s="355"/>
      <c r="AJ575" s="355"/>
      <c r="AK575" s="355"/>
      <c r="AL575" s="355"/>
      <c r="AM575" s="355"/>
      <c r="AU575" s="379">
        <v>61255</v>
      </c>
      <c r="AV575" s="375"/>
      <c r="AW575" s="375"/>
      <c r="AX575" s="375"/>
      <c r="AY575" s="375"/>
      <c r="AZ575" s="375"/>
      <c r="BA575" s="375"/>
      <c r="BB575" s="375"/>
      <c r="BC575" s="375"/>
      <c r="BD575" s="375"/>
      <c r="BE575" s="375"/>
      <c r="BF575" s="375">
        <v>7.1249999999999994E-2</v>
      </c>
      <c r="BG575" s="375"/>
      <c r="BH575" s="375"/>
      <c r="BI575" s="373">
        <f t="shared" si="35"/>
        <v>7.1249999999999994E-2</v>
      </c>
      <c r="BT575" s="355"/>
      <c r="BU575" s="355"/>
      <c r="BV575" s="355"/>
      <c r="BW575" s="355"/>
    </row>
    <row r="576" spans="1:75" x14ac:dyDescent="0.15">
      <c r="A576" s="356"/>
      <c r="B576" s="355"/>
      <c r="C576" s="355"/>
      <c r="D576" s="355"/>
      <c r="E576" s="355"/>
      <c r="F576" s="355"/>
      <c r="G576" s="355"/>
      <c r="O576" s="356"/>
      <c r="P576" s="355"/>
      <c r="Q576" s="355"/>
      <c r="R576" s="355"/>
      <c r="S576" s="355"/>
      <c r="T576" s="355"/>
      <c r="U576" s="355"/>
      <c r="V576" s="355"/>
      <c r="W576" s="355"/>
      <c r="AG576" s="355"/>
      <c r="AH576" s="355"/>
      <c r="AI576" s="355"/>
      <c r="AJ576" s="355"/>
      <c r="AK576" s="355"/>
      <c r="AL576" s="355"/>
      <c r="AM576" s="355"/>
      <c r="AU576" s="379">
        <v>61285</v>
      </c>
      <c r="AV576" s="375"/>
      <c r="AW576" s="375"/>
      <c r="AX576" s="375"/>
      <c r="AY576" s="375"/>
      <c r="AZ576" s="375"/>
      <c r="BA576" s="375"/>
      <c r="BB576" s="375"/>
      <c r="BC576" s="375"/>
      <c r="BD576" s="375"/>
      <c r="BE576" s="375"/>
      <c r="BF576" s="375">
        <v>7.1249999999999994E-2</v>
      </c>
      <c r="BG576" s="375"/>
      <c r="BH576" s="375"/>
      <c r="BI576" s="373">
        <f t="shared" si="35"/>
        <v>7.1249999999999994E-2</v>
      </c>
      <c r="BT576" s="355"/>
      <c r="BU576" s="355"/>
      <c r="BV576" s="355"/>
      <c r="BW576" s="355"/>
    </row>
    <row r="577" spans="1:75" x14ac:dyDescent="0.15">
      <c r="A577" s="356"/>
      <c r="B577" s="355"/>
      <c r="C577" s="355"/>
      <c r="D577" s="355"/>
      <c r="E577" s="355"/>
      <c r="F577" s="355"/>
      <c r="G577" s="355"/>
      <c r="O577" s="356"/>
      <c r="P577" s="355"/>
      <c r="Q577" s="355"/>
      <c r="R577" s="355"/>
      <c r="S577" s="355"/>
      <c r="T577" s="355"/>
      <c r="U577" s="355"/>
      <c r="V577" s="355"/>
      <c r="W577" s="355"/>
      <c r="AG577" s="355"/>
      <c r="AH577" s="355"/>
      <c r="AI577" s="355"/>
      <c r="AJ577" s="355"/>
      <c r="AK577" s="355"/>
      <c r="AL577" s="355"/>
      <c r="AM577" s="355"/>
      <c r="AU577" s="379">
        <v>61316</v>
      </c>
      <c r="AV577" s="375"/>
      <c r="AW577" s="375"/>
      <c r="AX577" s="375"/>
      <c r="AY577" s="375"/>
      <c r="AZ577" s="375"/>
      <c r="BA577" s="375"/>
      <c r="BB577" s="375"/>
      <c r="BC577" s="375"/>
      <c r="BD577" s="375"/>
      <c r="BE577" s="375"/>
      <c r="BF577" s="375">
        <v>7.1249999999999994E-2</v>
      </c>
      <c r="BG577" s="375"/>
      <c r="BH577" s="375"/>
      <c r="BI577" s="373">
        <f t="shared" si="35"/>
        <v>7.1249999999999994E-2</v>
      </c>
      <c r="BT577" s="355"/>
      <c r="BU577" s="355"/>
      <c r="BV577" s="355"/>
      <c r="BW577" s="355"/>
    </row>
    <row r="578" spans="1:75" x14ac:dyDescent="0.15">
      <c r="A578" s="356"/>
      <c r="B578" s="355"/>
      <c r="C578" s="355"/>
      <c r="D578" s="355"/>
      <c r="E578" s="355"/>
      <c r="F578" s="355"/>
      <c r="G578" s="355"/>
      <c r="O578" s="356"/>
      <c r="P578" s="355"/>
      <c r="Q578" s="355"/>
      <c r="R578" s="355"/>
      <c r="S578" s="355"/>
      <c r="T578" s="355"/>
      <c r="U578" s="355"/>
      <c r="V578" s="355"/>
      <c r="W578" s="355"/>
      <c r="AG578" s="355"/>
      <c r="AH578" s="355"/>
      <c r="AI578" s="355"/>
      <c r="AJ578" s="355"/>
      <c r="AK578" s="355"/>
      <c r="AL578" s="355"/>
      <c r="AM578" s="355"/>
      <c r="AU578" s="379">
        <v>61346</v>
      </c>
      <c r="AV578" s="375"/>
      <c r="AW578" s="375"/>
      <c r="AX578" s="375"/>
      <c r="AY578" s="375"/>
      <c r="AZ578" s="375"/>
      <c r="BA578" s="375"/>
      <c r="BB578" s="375"/>
      <c r="BC578" s="375"/>
      <c r="BD578" s="375"/>
      <c r="BE578" s="375"/>
      <c r="BF578" s="375">
        <v>7.1249999999999994E-2</v>
      </c>
      <c r="BG578" s="375"/>
      <c r="BH578" s="375"/>
      <c r="BI578" s="373">
        <f t="shared" si="35"/>
        <v>7.1249999999999994E-2</v>
      </c>
      <c r="BT578" s="355"/>
      <c r="BU578" s="355"/>
      <c r="BV578" s="355"/>
      <c r="BW578" s="355"/>
    </row>
    <row r="579" spans="1:75" x14ac:dyDescent="0.15">
      <c r="A579" s="356"/>
      <c r="B579" s="355"/>
      <c r="C579" s="355"/>
      <c r="D579" s="355"/>
      <c r="E579" s="355"/>
      <c r="F579" s="355"/>
      <c r="G579" s="355"/>
      <c r="O579" s="356"/>
      <c r="P579" s="355"/>
      <c r="Q579" s="355"/>
      <c r="R579" s="355"/>
      <c r="S579" s="355"/>
      <c r="T579" s="355"/>
      <c r="U579" s="355"/>
      <c r="V579" s="355"/>
      <c r="W579" s="355"/>
      <c r="AG579" s="355"/>
      <c r="AH579" s="355"/>
      <c r="AI579" s="355"/>
      <c r="AJ579" s="355"/>
      <c r="AK579" s="355"/>
      <c r="AL579" s="355"/>
      <c r="AM579" s="355"/>
      <c r="AU579" s="379">
        <v>61377</v>
      </c>
      <c r="AV579" s="375"/>
      <c r="AW579" s="375"/>
      <c r="AX579" s="375"/>
      <c r="AY579" s="375"/>
      <c r="AZ579" s="375"/>
      <c r="BA579" s="375"/>
      <c r="BB579" s="375"/>
      <c r="BC579" s="375"/>
      <c r="BD579" s="375"/>
      <c r="BE579" s="375"/>
      <c r="BF579" s="375">
        <v>7.1249999999999994E-2</v>
      </c>
      <c r="BG579" s="375"/>
      <c r="BH579" s="375"/>
      <c r="BI579" s="373">
        <f t="shared" si="35"/>
        <v>7.1249999999999994E-2</v>
      </c>
      <c r="BT579" s="355"/>
      <c r="BU579" s="355"/>
      <c r="BV579" s="355"/>
      <c r="BW579" s="355"/>
    </row>
    <row r="580" spans="1:75" x14ac:dyDescent="0.15">
      <c r="A580" s="356"/>
      <c r="B580" s="355"/>
      <c r="C580" s="355"/>
      <c r="D580" s="355"/>
      <c r="E580" s="355"/>
      <c r="F580" s="355"/>
      <c r="G580" s="355"/>
      <c r="O580" s="356"/>
      <c r="P580" s="355"/>
      <c r="Q580" s="355"/>
      <c r="R580" s="355"/>
      <c r="S580" s="355"/>
      <c r="T580" s="355"/>
      <c r="U580" s="355"/>
      <c r="V580" s="355"/>
      <c r="W580" s="355"/>
      <c r="AG580" s="355"/>
      <c r="AH580" s="355"/>
      <c r="AI580" s="355"/>
      <c r="AJ580" s="355"/>
      <c r="AK580" s="355"/>
      <c r="AL580" s="355"/>
      <c r="AM580" s="355"/>
      <c r="AU580" s="379">
        <v>61408</v>
      </c>
      <c r="AV580" s="375"/>
      <c r="AW580" s="375"/>
      <c r="AX580" s="375"/>
      <c r="AY580" s="375"/>
      <c r="AZ580" s="375"/>
      <c r="BA580" s="375"/>
      <c r="BB580" s="375"/>
      <c r="BC580" s="375"/>
      <c r="BD580" s="375"/>
      <c r="BE580" s="375"/>
      <c r="BF580" s="375">
        <v>7.1249999999999994E-2</v>
      </c>
      <c r="BG580" s="375"/>
      <c r="BH580" s="375"/>
      <c r="BI580" s="373">
        <f t="shared" si="35"/>
        <v>7.1249999999999994E-2</v>
      </c>
      <c r="BT580" s="355"/>
      <c r="BU580" s="355"/>
      <c r="BV580" s="355"/>
      <c r="BW580" s="355"/>
    </row>
    <row r="581" spans="1:75" x14ac:dyDescent="0.15">
      <c r="A581" s="356"/>
      <c r="B581" s="355"/>
      <c r="C581" s="355"/>
      <c r="D581" s="355"/>
      <c r="E581" s="355"/>
      <c r="F581" s="355"/>
      <c r="G581" s="355"/>
      <c r="O581" s="356"/>
      <c r="P581" s="355"/>
      <c r="Q581" s="355"/>
      <c r="R581" s="355"/>
      <c r="S581" s="355"/>
      <c r="T581" s="355"/>
      <c r="U581" s="355"/>
      <c r="V581" s="355"/>
      <c r="W581" s="355"/>
      <c r="AG581" s="355"/>
      <c r="AH581" s="355"/>
      <c r="AI581" s="355"/>
      <c r="AJ581" s="355"/>
      <c r="AK581" s="355"/>
      <c r="AL581" s="355"/>
      <c r="AM581" s="355"/>
      <c r="AU581" s="379">
        <v>61437</v>
      </c>
      <c r="AV581" s="375"/>
      <c r="AW581" s="375"/>
      <c r="AX581" s="375"/>
      <c r="AY581" s="375"/>
      <c r="AZ581" s="375"/>
      <c r="BA581" s="375"/>
      <c r="BB581" s="375"/>
      <c r="BC581" s="375"/>
      <c r="BD581" s="375"/>
      <c r="BE581" s="375"/>
      <c r="BF581" s="375">
        <v>7.1249999999999994E-2</v>
      </c>
      <c r="BG581" s="375"/>
      <c r="BH581" s="375"/>
      <c r="BI581" s="373">
        <f t="shared" si="35"/>
        <v>7.1249999999999994E-2</v>
      </c>
      <c r="BT581" s="355"/>
      <c r="BU581" s="355"/>
      <c r="BV581" s="355"/>
      <c r="BW581" s="355"/>
    </row>
    <row r="582" spans="1:75" x14ac:dyDescent="0.15">
      <c r="A582" s="356"/>
      <c r="B582" s="355"/>
      <c r="C582" s="355"/>
      <c r="D582" s="355"/>
      <c r="E582" s="355"/>
      <c r="F582" s="355"/>
      <c r="G582" s="355"/>
      <c r="O582" s="356"/>
      <c r="P582" s="355"/>
      <c r="Q582" s="355"/>
      <c r="R582" s="355"/>
      <c r="S582" s="355"/>
      <c r="T582" s="355"/>
      <c r="U582" s="355"/>
      <c r="V582" s="355"/>
      <c r="W582" s="355"/>
      <c r="AG582" s="355"/>
      <c r="AH582" s="355"/>
      <c r="AI582" s="355"/>
      <c r="AJ582" s="355"/>
      <c r="AK582" s="355"/>
      <c r="AL582" s="355"/>
      <c r="AM582" s="355"/>
      <c r="AU582" s="379">
        <v>61468</v>
      </c>
      <c r="AV582" s="375"/>
      <c r="AW582" s="375"/>
      <c r="AX582" s="375"/>
      <c r="AY582" s="375"/>
      <c r="AZ582" s="375"/>
      <c r="BA582" s="375"/>
      <c r="BB582" s="375"/>
      <c r="BC582" s="375"/>
      <c r="BD582" s="375"/>
      <c r="BE582" s="375"/>
      <c r="BF582" s="375">
        <v>7.1249999999999994E-2</v>
      </c>
      <c r="BG582" s="375"/>
      <c r="BH582" s="375"/>
      <c r="BI582" s="373">
        <f t="shared" si="35"/>
        <v>7.1249999999999994E-2</v>
      </c>
      <c r="BT582" s="355"/>
      <c r="BU582" s="355"/>
      <c r="BV582" s="355"/>
      <c r="BW582" s="355"/>
    </row>
    <row r="583" spans="1:75" x14ac:dyDescent="0.15">
      <c r="A583" s="356"/>
      <c r="B583" s="355"/>
      <c r="C583" s="355"/>
      <c r="D583" s="355"/>
      <c r="E583" s="355"/>
      <c r="F583" s="355"/>
      <c r="G583" s="355"/>
      <c r="O583" s="356"/>
      <c r="P583" s="355"/>
      <c r="Q583" s="355"/>
      <c r="R583" s="355"/>
      <c r="S583" s="355"/>
      <c r="T583" s="355"/>
      <c r="U583" s="355"/>
      <c r="V583" s="355"/>
      <c r="W583" s="355"/>
      <c r="AG583" s="355"/>
      <c r="AH583" s="355"/>
      <c r="AI583" s="355"/>
      <c r="AJ583" s="355"/>
      <c r="AK583" s="355"/>
      <c r="AL583" s="355"/>
      <c r="AM583" s="355"/>
      <c r="AU583" s="379">
        <v>61498</v>
      </c>
      <c r="AV583" s="375"/>
      <c r="AW583" s="375"/>
      <c r="AX583" s="375"/>
      <c r="AY583" s="375"/>
      <c r="AZ583" s="375"/>
      <c r="BA583" s="375"/>
      <c r="BB583" s="375"/>
      <c r="BC583" s="375"/>
      <c r="BD583" s="375"/>
      <c r="BE583" s="375"/>
      <c r="BF583" s="375">
        <v>7.1249999999999994E-2</v>
      </c>
      <c r="BG583" s="375"/>
      <c r="BH583" s="375"/>
      <c r="BI583" s="373">
        <f t="shared" ref="BI583:BI646" si="36">+AVERAGE(AV583:BH583)</f>
        <v>7.1249999999999994E-2</v>
      </c>
      <c r="BT583" s="355"/>
      <c r="BU583" s="355"/>
      <c r="BV583" s="355"/>
      <c r="BW583" s="355"/>
    </row>
    <row r="584" spans="1:75" x14ac:dyDescent="0.15">
      <c r="A584" s="356"/>
      <c r="B584" s="355"/>
      <c r="C584" s="355"/>
      <c r="D584" s="355"/>
      <c r="E584" s="355"/>
      <c r="F584" s="355"/>
      <c r="G584" s="355"/>
      <c r="O584" s="356"/>
      <c r="P584" s="355"/>
      <c r="Q584" s="355"/>
      <c r="R584" s="355"/>
      <c r="S584" s="355"/>
      <c r="T584" s="355"/>
      <c r="U584" s="355"/>
      <c r="V584" s="355"/>
      <c r="W584" s="355"/>
      <c r="AG584" s="355"/>
      <c r="AH584" s="355"/>
      <c r="AI584" s="355"/>
      <c r="AJ584" s="355"/>
      <c r="AK584" s="355"/>
      <c r="AL584" s="355"/>
      <c r="AM584" s="355"/>
      <c r="AU584" s="379">
        <v>61529</v>
      </c>
      <c r="AV584" s="375"/>
      <c r="AW584" s="375"/>
      <c r="AX584" s="375"/>
      <c r="AY584" s="375"/>
      <c r="AZ584" s="375"/>
      <c r="BA584" s="375"/>
      <c r="BB584" s="375"/>
      <c r="BC584" s="375"/>
      <c r="BD584" s="375"/>
      <c r="BE584" s="375"/>
      <c r="BF584" s="375">
        <v>7.1249999999999994E-2</v>
      </c>
      <c r="BG584" s="375"/>
      <c r="BH584" s="375"/>
      <c r="BI584" s="373">
        <f t="shared" si="36"/>
        <v>7.1249999999999994E-2</v>
      </c>
      <c r="BT584" s="355"/>
      <c r="BU584" s="355"/>
      <c r="BV584" s="355"/>
      <c r="BW584" s="355"/>
    </row>
    <row r="585" spans="1:75" x14ac:dyDescent="0.15">
      <c r="A585" s="356"/>
      <c r="B585" s="355"/>
      <c r="C585" s="355"/>
      <c r="D585" s="355"/>
      <c r="E585" s="355"/>
      <c r="F585" s="355"/>
      <c r="G585" s="355"/>
      <c r="O585" s="356"/>
      <c r="P585" s="355"/>
      <c r="Q585" s="355"/>
      <c r="R585" s="355"/>
      <c r="S585" s="355"/>
      <c r="T585" s="355"/>
      <c r="U585" s="355"/>
      <c r="V585" s="355"/>
      <c r="W585" s="355"/>
      <c r="AG585" s="355"/>
      <c r="AH585" s="355"/>
      <c r="AI585" s="355"/>
      <c r="AJ585" s="355"/>
      <c r="AK585" s="355"/>
      <c r="AL585" s="355"/>
      <c r="AM585" s="355"/>
      <c r="AU585" s="379">
        <v>61559</v>
      </c>
      <c r="AV585" s="375"/>
      <c r="AW585" s="375"/>
      <c r="AX585" s="375"/>
      <c r="AY585" s="375"/>
      <c r="AZ585" s="375"/>
      <c r="BA585" s="375"/>
      <c r="BB585" s="375"/>
      <c r="BC585" s="375"/>
      <c r="BD585" s="375"/>
      <c r="BE585" s="375"/>
      <c r="BF585" s="375">
        <v>7.1249999999999994E-2</v>
      </c>
      <c r="BG585" s="375"/>
      <c r="BH585" s="375"/>
      <c r="BI585" s="373">
        <f t="shared" si="36"/>
        <v>7.1249999999999994E-2</v>
      </c>
      <c r="BT585" s="355"/>
      <c r="BU585" s="355"/>
      <c r="BV585" s="355"/>
      <c r="BW585" s="355"/>
    </row>
    <row r="586" spans="1:75" x14ac:dyDescent="0.15">
      <c r="A586" s="356"/>
      <c r="B586" s="355"/>
      <c r="C586" s="355"/>
      <c r="D586" s="355"/>
      <c r="E586" s="355"/>
      <c r="F586" s="355"/>
      <c r="G586" s="355"/>
      <c r="O586" s="356"/>
      <c r="P586" s="355"/>
      <c r="Q586" s="355"/>
      <c r="R586" s="355"/>
      <c r="S586" s="355"/>
      <c r="T586" s="355"/>
      <c r="U586" s="355"/>
      <c r="V586" s="355"/>
      <c r="W586" s="355"/>
      <c r="AG586" s="355"/>
      <c r="AH586" s="355"/>
      <c r="AI586" s="355"/>
      <c r="AJ586" s="355"/>
      <c r="AK586" s="355"/>
      <c r="AL586" s="355"/>
      <c r="AM586" s="355"/>
      <c r="AU586" s="379">
        <v>61590</v>
      </c>
      <c r="AV586" s="375"/>
      <c r="AW586" s="375"/>
      <c r="AX586" s="375"/>
      <c r="AY586" s="375"/>
      <c r="AZ586" s="375"/>
      <c r="BA586" s="375"/>
      <c r="BB586" s="375"/>
      <c r="BC586" s="375"/>
      <c r="BD586" s="375"/>
      <c r="BE586" s="375"/>
      <c r="BF586" s="375">
        <v>7.1249999999999994E-2</v>
      </c>
      <c r="BG586" s="375"/>
      <c r="BH586" s="375"/>
      <c r="BI586" s="373">
        <f t="shared" si="36"/>
        <v>7.1249999999999994E-2</v>
      </c>
      <c r="BT586" s="355"/>
      <c r="BU586" s="355"/>
      <c r="BV586" s="355"/>
      <c r="BW586" s="355"/>
    </row>
    <row r="587" spans="1:75" x14ac:dyDescent="0.15">
      <c r="A587" s="356"/>
      <c r="B587" s="355"/>
      <c r="C587" s="355"/>
      <c r="D587" s="355"/>
      <c r="E587" s="355"/>
      <c r="F587" s="355"/>
      <c r="G587" s="355"/>
      <c r="O587" s="356"/>
      <c r="P587" s="355"/>
      <c r="Q587" s="355"/>
      <c r="R587" s="355"/>
      <c r="S587" s="355"/>
      <c r="T587" s="355"/>
      <c r="U587" s="355"/>
      <c r="V587" s="355"/>
      <c r="W587" s="355"/>
      <c r="AG587" s="355"/>
      <c r="AH587" s="355"/>
      <c r="AI587" s="355"/>
      <c r="AJ587" s="355"/>
      <c r="AK587" s="355"/>
      <c r="AL587" s="355"/>
      <c r="AM587" s="355"/>
      <c r="AU587" s="379">
        <v>61621</v>
      </c>
      <c r="AV587" s="375"/>
      <c r="AW587" s="375"/>
      <c r="AX587" s="375"/>
      <c r="AY587" s="375"/>
      <c r="AZ587" s="375"/>
      <c r="BA587" s="375"/>
      <c r="BB587" s="375"/>
      <c r="BC587" s="375"/>
      <c r="BD587" s="375"/>
      <c r="BE587" s="375"/>
      <c r="BF587" s="375">
        <v>7.1249999999999994E-2</v>
      </c>
      <c r="BG587" s="375"/>
      <c r="BH587" s="375"/>
      <c r="BI587" s="373">
        <f t="shared" si="36"/>
        <v>7.1249999999999994E-2</v>
      </c>
      <c r="BT587" s="355"/>
      <c r="BU587" s="355"/>
      <c r="BV587" s="355"/>
      <c r="BW587" s="355"/>
    </row>
    <row r="588" spans="1:75" x14ac:dyDescent="0.15">
      <c r="A588" s="356"/>
      <c r="B588" s="355"/>
      <c r="C588" s="355"/>
      <c r="D588" s="355"/>
      <c r="E588" s="355"/>
      <c r="F588" s="355"/>
      <c r="G588" s="355"/>
      <c r="O588" s="356"/>
      <c r="P588" s="355"/>
      <c r="Q588" s="355"/>
      <c r="R588" s="355"/>
      <c r="S588" s="355"/>
      <c r="T588" s="355"/>
      <c r="U588" s="355"/>
      <c r="V588" s="355"/>
      <c r="W588" s="355"/>
      <c r="AG588" s="355"/>
      <c r="AH588" s="355"/>
      <c r="AI588" s="355"/>
      <c r="AJ588" s="355"/>
      <c r="AK588" s="355"/>
      <c r="AL588" s="355"/>
      <c r="AM588" s="355"/>
      <c r="AU588" s="379">
        <v>61651</v>
      </c>
      <c r="AV588" s="375"/>
      <c r="AW588" s="375"/>
      <c r="AX588" s="375"/>
      <c r="AY588" s="375"/>
      <c r="AZ588" s="375"/>
      <c r="BA588" s="375"/>
      <c r="BB588" s="375"/>
      <c r="BC588" s="375"/>
      <c r="BD588" s="375"/>
      <c r="BE588" s="375"/>
      <c r="BF588" s="375">
        <v>7.1249999999999994E-2</v>
      </c>
      <c r="BG588" s="375"/>
      <c r="BH588" s="375"/>
      <c r="BI588" s="373">
        <f t="shared" si="36"/>
        <v>7.1249999999999994E-2</v>
      </c>
      <c r="BT588" s="355"/>
      <c r="BU588" s="355"/>
      <c r="BV588" s="355"/>
      <c r="BW588" s="355"/>
    </row>
    <row r="589" spans="1:75" x14ac:dyDescent="0.15">
      <c r="A589" s="356"/>
      <c r="B589" s="355"/>
      <c r="C589" s="355"/>
      <c r="D589" s="355"/>
      <c r="E589" s="355"/>
      <c r="F589" s="355"/>
      <c r="G589" s="355"/>
      <c r="O589" s="356"/>
      <c r="P589" s="355"/>
      <c r="Q589" s="355"/>
      <c r="R589" s="355"/>
      <c r="S589" s="355"/>
      <c r="T589" s="355"/>
      <c r="U589" s="355"/>
      <c r="V589" s="355"/>
      <c r="W589" s="355"/>
      <c r="AG589" s="355"/>
      <c r="AH589" s="355"/>
      <c r="AI589" s="355"/>
      <c r="AJ589" s="355"/>
      <c r="AK589" s="355"/>
      <c r="AL589" s="355"/>
      <c r="AM589" s="355"/>
      <c r="AU589" s="379">
        <v>61682</v>
      </c>
      <c r="AV589" s="375"/>
      <c r="AW589" s="375"/>
      <c r="AX589" s="375"/>
      <c r="AY589" s="375"/>
      <c r="AZ589" s="375"/>
      <c r="BA589" s="375"/>
      <c r="BB589" s="375"/>
      <c r="BC589" s="375"/>
      <c r="BD589" s="375"/>
      <c r="BE589" s="375"/>
      <c r="BF589" s="375">
        <v>7.1249999999999994E-2</v>
      </c>
      <c r="BG589" s="375"/>
      <c r="BH589" s="375"/>
      <c r="BI589" s="373">
        <f t="shared" si="36"/>
        <v>7.1249999999999994E-2</v>
      </c>
      <c r="BT589" s="355"/>
      <c r="BU589" s="355"/>
      <c r="BV589" s="355"/>
      <c r="BW589" s="355"/>
    </row>
    <row r="590" spans="1:75" x14ac:dyDescent="0.15">
      <c r="A590" s="356"/>
      <c r="B590" s="355"/>
      <c r="C590" s="355"/>
      <c r="D590" s="355"/>
      <c r="E590" s="355"/>
      <c r="F590" s="355"/>
      <c r="G590" s="355"/>
      <c r="O590" s="356"/>
      <c r="P590" s="355"/>
      <c r="Q590" s="355"/>
      <c r="R590" s="355"/>
      <c r="S590" s="355"/>
      <c r="T590" s="355"/>
      <c r="U590" s="355"/>
      <c r="V590" s="355"/>
      <c r="W590" s="355"/>
      <c r="AG590" s="355"/>
      <c r="AH590" s="355"/>
      <c r="AI590" s="355"/>
      <c r="AJ590" s="355"/>
      <c r="AK590" s="355"/>
      <c r="AL590" s="355"/>
      <c r="AM590" s="355"/>
      <c r="AU590" s="379">
        <v>61712</v>
      </c>
      <c r="AV590" s="375"/>
      <c r="AW590" s="375"/>
      <c r="AX590" s="375"/>
      <c r="AY590" s="375"/>
      <c r="AZ590" s="375"/>
      <c r="BA590" s="375"/>
      <c r="BB590" s="375"/>
      <c r="BC590" s="375"/>
      <c r="BD590" s="375"/>
      <c r="BE590" s="375"/>
      <c r="BF590" s="375">
        <v>7.1249999999999994E-2</v>
      </c>
      <c r="BG590" s="375"/>
      <c r="BH590" s="375"/>
      <c r="BI590" s="373">
        <f t="shared" si="36"/>
        <v>7.1249999999999994E-2</v>
      </c>
      <c r="BT590" s="355"/>
      <c r="BU590" s="355"/>
      <c r="BV590" s="355"/>
      <c r="BW590" s="355"/>
    </row>
    <row r="591" spans="1:75" x14ac:dyDescent="0.15">
      <c r="A591" s="356"/>
      <c r="B591" s="355"/>
      <c r="C591" s="355"/>
      <c r="D591" s="355"/>
      <c r="E591" s="355"/>
      <c r="F591" s="355"/>
      <c r="G591" s="355"/>
      <c r="O591" s="356"/>
      <c r="P591" s="355"/>
      <c r="Q591" s="355"/>
      <c r="R591" s="355"/>
      <c r="S591" s="355"/>
      <c r="T591" s="355"/>
      <c r="U591" s="355"/>
      <c r="V591" s="355"/>
      <c r="W591" s="355"/>
      <c r="AG591" s="355"/>
      <c r="AH591" s="355"/>
      <c r="AI591" s="355"/>
      <c r="AJ591" s="355"/>
      <c r="AK591" s="355"/>
      <c r="AL591" s="355"/>
      <c r="AM591" s="355"/>
      <c r="AU591" s="379">
        <v>61743</v>
      </c>
      <c r="AV591" s="375"/>
      <c r="AW591" s="375"/>
      <c r="AX591" s="375"/>
      <c r="AY591" s="375"/>
      <c r="AZ591" s="375"/>
      <c r="BA591" s="375"/>
      <c r="BB591" s="375"/>
      <c r="BC591" s="375"/>
      <c r="BD591" s="375"/>
      <c r="BE591" s="375"/>
      <c r="BF591" s="375">
        <v>7.1249999999999994E-2</v>
      </c>
      <c r="BG591" s="375"/>
      <c r="BH591" s="375"/>
      <c r="BI591" s="373">
        <f t="shared" si="36"/>
        <v>7.1249999999999994E-2</v>
      </c>
      <c r="BT591" s="355"/>
      <c r="BU591" s="355"/>
      <c r="BV591" s="355"/>
      <c r="BW591" s="355"/>
    </row>
    <row r="592" spans="1:75" x14ac:dyDescent="0.15">
      <c r="A592" s="356"/>
      <c r="B592" s="355"/>
      <c r="C592" s="355"/>
      <c r="D592" s="355"/>
      <c r="E592" s="355"/>
      <c r="F592" s="355"/>
      <c r="G592" s="355"/>
      <c r="O592" s="356"/>
      <c r="P592" s="355"/>
      <c r="Q592" s="355"/>
      <c r="R592" s="355"/>
      <c r="S592" s="355"/>
      <c r="T592" s="355"/>
      <c r="U592" s="355"/>
      <c r="V592" s="355"/>
      <c r="W592" s="355"/>
      <c r="AG592" s="355"/>
      <c r="AH592" s="355"/>
      <c r="AI592" s="355"/>
      <c r="AJ592" s="355"/>
      <c r="AK592" s="355"/>
      <c r="AL592" s="355"/>
      <c r="AM592" s="355"/>
      <c r="AU592" s="379">
        <v>61774</v>
      </c>
      <c r="AV592" s="375"/>
      <c r="AW592" s="375"/>
      <c r="AX592" s="375"/>
      <c r="AY592" s="375"/>
      <c r="AZ592" s="375"/>
      <c r="BA592" s="375"/>
      <c r="BB592" s="375"/>
      <c r="BC592" s="375"/>
      <c r="BD592" s="375"/>
      <c r="BE592" s="375"/>
      <c r="BF592" s="375">
        <v>7.1249999999999994E-2</v>
      </c>
      <c r="BG592" s="375"/>
      <c r="BH592" s="375"/>
      <c r="BI592" s="373">
        <f t="shared" si="36"/>
        <v>7.1249999999999994E-2</v>
      </c>
      <c r="BT592" s="355"/>
      <c r="BU592" s="355"/>
      <c r="BV592" s="355"/>
      <c r="BW592" s="355"/>
    </row>
    <row r="593" spans="1:75" x14ac:dyDescent="0.15">
      <c r="A593" s="356"/>
      <c r="B593" s="355"/>
      <c r="C593" s="355"/>
      <c r="D593" s="355"/>
      <c r="E593" s="355"/>
      <c r="F593" s="355"/>
      <c r="G593" s="355"/>
      <c r="O593" s="356"/>
      <c r="P593" s="355"/>
      <c r="Q593" s="355"/>
      <c r="R593" s="355"/>
      <c r="S593" s="355"/>
      <c r="T593" s="355"/>
      <c r="U593" s="355"/>
      <c r="V593" s="355"/>
      <c r="W593" s="355"/>
      <c r="AG593" s="355"/>
      <c r="AH593" s="355"/>
      <c r="AI593" s="355"/>
      <c r="AJ593" s="355"/>
      <c r="AK593" s="355"/>
      <c r="AL593" s="355"/>
      <c r="AM593" s="355"/>
      <c r="AU593" s="379">
        <v>61802</v>
      </c>
      <c r="AV593" s="375"/>
      <c r="AW593" s="375"/>
      <c r="AX593" s="375"/>
      <c r="AY593" s="375"/>
      <c r="AZ593" s="375"/>
      <c r="BA593" s="375"/>
      <c r="BB593" s="375"/>
      <c r="BC593" s="375"/>
      <c r="BD593" s="375"/>
      <c r="BE593" s="375"/>
      <c r="BF593" s="375">
        <v>7.1249999999999994E-2</v>
      </c>
      <c r="BG593" s="375"/>
      <c r="BH593" s="375"/>
      <c r="BI593" s="373">
        <f t="shared" si="36"/>
        <v>7.1249999999999994E-2</v>
      </c>
      <c r="BT593" s="355"/>
      <c r="BU593" s="355"/>
      <c r="BV593" s="355"/>
      <c r="BW593" s="355"/>
    </row>
    <row r="594" spans="1:75" x14ac:dyDescent="0.15">
      <c r="A594" s="356"/>
      <c r="B594" s="355"/>
      <c r="C594" s="355"/>
      <c r="D594" s="355"/>
      <c r="E594" s="355"/>
      <c r="F594" s="355"/>
      <c r="G594" s="355"/>
      <c r="O594" s="356"/>
      <c r="P594" s="355"/>
      <c r="Q594" s="355"/>
      <c r="R594" s="355"/>
      <c r="S594" s="355"/>
      <c r="T594" s="355"/>
      <c r="U594" s="355"/>
      <c r="V594" s="355"/>
      <c r="W594" s="355"/>
      <c r="AG594" s="355"/>
      <c r="AH594" s="355"/>
      <c r="AI594" s="355"/>
      <c r="AJ594" s="355"/>
      <c r="AK594" s="355"/>
      <c r="AL594" s="355"/>
      <c r="AM594" s="355"/>
      <c r="AU594" s="379">
        <v>61833</v>
      </c>
      <c r="AV594" s="375"/>
      <c r="AW594" s="375"/>
      <c r="AX594" s="375"/>
      <c r="AY594" s="375"/>
      <c r="AZ594" s="375"/>
      <c r="BA594" s="375"/>
      <c r="BB594" s="375"/>
      <c r="BC594" s="375"/>
      <c r="BD594" s="375"/>
      <c r="BE594" s="375"/>
      <c r="BF594" s="375">
        <v>7.1249999999999994E-2</v>
      </c>
      <c r="BG594" s="375"/>
      <c r="BH594" s="375"/>
      <c r="BI594" s="373">
        <f t="shared" si="36"/>
        <v>7.1249999999999994E-2</v>
      </c>
      <c r="BT594" s="355"/>
      <c r="BU594" s="355"/>
      <c r="BV594" s="355"/>
      <c r="BW594" s="355"/>
    </row>
    <row r="595" spans="1:75" x14ac:dyDescent="0.15">
      <c r="A595" s="356"/>
      <c r="B595" s="355"/>
      <c r="C595" s="355"/>
      <c r="D595" s="355"/>
      <c r="E595" s="355"/>
      <c r="F595" s="355"/>
      <c r="G595" s="355"/>
      <c r="O595" s="356"/>
      <c r="P595" s="355"/>
      <c r="Q595" s="355"/>
      <c r="R595" s="355"/>
      <c r="S595" s="355"/>
      <c r="T595" s="355"/>
      <c r="U595" s="355"/>
      <c r="V595" s="355"/>
      <c r="W595" s="355"/>
      <c r="AG595" s="355"/>
      <c r="AH595" s="355"/>
      <c r="AI595" s="355"/>
      <c r="AJ595" s="355"/>
      <c r="AK595" s="355"/>
      <c r="AL595" s="355"/>
      <c r="AM595" s="355"/>
      <c r="AU595" s="379">
        <v>61863</v>
      </c>
      <c r="AV595" s="375"/>
      <c r="AW595" s="375"/>
      <c r="AX595" s="375"/>
      <c r="AY595" s="375"/>
      <c r="AZ595" s="375"/>
      <c r="BA595" s="375"/>
      <c r="BB595" s="375"/>
      <c r="BC595" s="375"/>
      <c r="BD595" s="375"/>
      <c r="BE595" s="375"/>
      <c r="BF595" s="375">
        <v>7.1249999999999994E-2</v>
      </c>
      <c r="BG595" s="375"/>
      <c r="BH595" s="375"/>
      <c r="BI595" s="373">
        <f t="shared" si="36"/>
        <v>7.1249999999999994E-2</v>
      </c>
      <c r="BT595" s="355"/>
      <c r="BU595" s="355"/>
      <c r="BV595" s="355"/>
      <c r="BW595" s="355"/>
    </row>
    <row r="596" spans="1:75" x14ac:dyDescent="0.15">
      <c r="A596" s="356"/>
      <c r="B596" s="355"/>
      <c r="C596" s="355"/>
      <c r="D596" s="355"/>
      <c r="E596" s="355"/>
      <c r="F596" s="355"/>
      <c r="G596" s="355"/>
      <c r="O596" s="356"/>
      <c r="P596" s="355"/>
      <c r="Q596" s="355"/>
      <c r="R596" s="355"/>
      <c r="S596" s="355"/>
      <c r="T596" s="355"/>
      <c r="U596" s="355"/>
      <c r="V596" s="355"/>
      <c r="W596" s="355"/>
      <c r="AG596" s="355"/>
      <c r="AH596" s="355"/>
      <c r="AI596" s="355"/>
      <c r="AJ596" s="355"/>
      <c r="AK596" s="355"/>
      <c r="AL596" s="355"/>
      <c r="AM596" s="355"/>
      <c r="AU596" s="379">
        <v>61894</v>
      </c>
      <c r="AV596" s="375"/>
      <c r="AW596" s="375"/>
      <c r="AX596" s="375"/>
      <c r="AY596" s="375"/>
      <c r="AZ596" s="375"/>
      <c r="BA596" s="375"/>
      <c r="BB596" s="375"/>
      <c r="BC596" s="375"/>
      <c r="BD596" s="375"/>
      <c r="BE596" s="375"/>
      <c r="BF596" s="375">
        <v>7.1249999999999994E-2</v>
      </c>
      <c r="BG596" s="375"/>
      <c r="BH596" s="375"/>
      <c r="BI596" s="373">
        <f t="shared" si="36"/>
        <v>7.1249999999999994E-2</v>
      </c>
      <c r="BT596" s="355"/>
      <c r="BU596" s="355"/>
      <c r="BV596" s="355"/>
      <c r="BW596" s="355"/>
    </row>
    <row r="597" spans="1:75" x14ac:dyDescent="0.15">
      <c r="A597" s="356"/>
      <c r="B597" s="355"/>
      <c r="C597" s="355"/>
      <c r="D597" s="355"/>
      <c r="E597" s="355"/>
      <c r="F597" s="355"/>
      <c r="G597" s="355"/>
      <c r="O597" s="356"/>
      <c r="P597" s="355"/>
      <c r="Q597" s="355"/>
      <c r="R597" s="355"/>
      <c r="S597" s="355"/>
      <c r="T597" s="355"/>
      <c r="U597" s="355"/>
      <c r="V597" s="355"/>
      <c r="W597" s="355"/>
      <c r="AG597" s="355"/>
      <c r="AH597" s="355"/>
      <c r="AI597" s="355"/>
      <c r="AJ597" s="355"/>
      <c r="AK597" s="355"/>
      <c r="AL597" s="355"/>
      <c r="AM597" s="355"/>
      <c r="AU597" s="379">
        <v>61924</v>
      </c>
      <c r="AV597" s="375"/>
      <c r="AW597" s="375"/>
      <c r="AX597" s="375"/>
      <c r="AY597" s="375"/>
      <c r="AZ597" s="375"/>
      <c r="BA597" s="375"/>
      <c r="BB597" s="375"/>
      <c r="BC597" s="375"/>
      <c r="BD597" s="375"/>
      <c r="BE597" s="375"/>
      <c r="BF597" s="375">
        <v>7.1249999999999994E-2</v>
      </c>
      <c r="BG597" s="375"/>
      <c r="BH597" s="375"/>
      <c r="BI597" s="373">
        <f t="shared" si="36"/>
        <v>7.1249999999999994E-2</v>
      </c>
      <c r="BT597" s="355"/>
      <c r="BU597" s="355"/>
      <c r="BV597" s="355"/>
      <c r="BW597" s="355"/>
    </row>
    <row r="598" spans="1:75" x14ac:dyDescent="0.15">
      <c r="A598" s="356"/>
      <c r="B598" s="355"/>
      <c r="C598" s="355"/>
      <c r="D598" s="355"/>
      <c r="E598" s="355"/>
      <c r="F598" s="355"/>
      <c r="G598" s="355"/>
      <c r="O598" s="356"/>
      <c r="P598" s="355"/>
      <c r="Q598" s="355"/>
      <c r="R598" s="355"/>
      <c r="S598" s="355"/>
      <c r="T598" s="355"/>
      <c r="U598" s="355"/>
      <c r="V598" s="355"/>
      <c r="W598" s="355"/>
      <c r="AG598" s="355"/>
      <c r="AH598" s="355"/>
      <c r="AI598" s="355"/>
      <c r="AJ598" s="355"/>
      <c r="AK598" s="355"/>
      <c r="AL598" s="355"/>
      <c r="AM598" s="355"/>
      <c r="AU598" s="379">
        <v>61955</v>
      </c>
      <c r="AV598" s="375"/>
      <c r="AW598" s="375"/>
      <c r="AX598" s="375"/>
      <c r="AY598" s="375"/>
      <c r="AZ598" s="375"/>
      <c r="BA598" s="375"/>
      <c r="BB598" s="375"/>
      <c r="BC598" s="375"/>
      <c r="BD598" s="375"/>
      <c r="BE598" s="375"/>
      <c r="BF598" s="375">
        <v>7.1249999999999994E-2</v>
      </c>
      <c r="BG598" s="375"/>
      <c r="BH598" s="375"/>
      <c r="BI598" s="373">
        <f t="shared" si="36"/>
        <v>7.1249999999999994E-2</v>
      </c>
      <c r="BT598" s="355"/>
      <c r="BU598" s="355"/>
      <c r="BV598" s="355"/>
      <c r="BW598" s="355"/>
    </row>
    <row r="599" spans="1:75" x14ac:dyDescent="0.15">
      <c r="A599" s="356"/>
      <c r="B599" s="355"/>
      <c r="C599" s="355"/>
      <c r="D599" s="355"/>
      <c r="E599" s="355"/>
      <c r="F599" s="355"/>
      <c r="G599" s="355"/>
      <c r="O599" s="356"/>
      <c r="P599" s="355"/>
      <c r="Q599" s="355"/>
      <c r="R599" s="355"/>
      <c r="S599" s="355"/>
      <c r="T599" s="355"/>
      <c r="U599" s="355"/>
      <c r="V599" s="355"/>
      <c r="W599" s="355"/>
      <c r="AG599" s="355"/>
      <c r="AH599" s="355"/>
      <c r="AI599" s="355"/>
      <c r="AJ599" s="355"/>
      <c r="AK599" s="355"/>
      <c r="AL599" s="355"/>
      <c r="AM599" s="355"/>
      <c r="AU599" s="379">
        <v>61986</v>
      </c>
      <c r="AV599" s="375"/>
      <c r="AW599" s="375"/>
      <c r="AX599" s="375"/>
      <c r="AY599" s="375"/>
      <c r="AZ599" s="375"/>
      <c r="BA599" s="375"/>
      <c r="BB599" s="375"/>
      <c r="BC599" s="375"/>
      <c r="BD599" s="375"/>
      <c r="BE599" s="375"/>
      <c r="BF599" s="375">
        <v>7.1249999999999994E-2</v>
      </c>
      <c r="BG599" s="375"/>
      <c r="BH599" s="375"/>
      <c r="BI599" s="373">
        <f t="shared" si="36"/>
        <v>7.1249999999999994E-2</v>
      </c>
      <c r="BT599" s="355"/>
      <c r="BU599" s="355"/>
      <c r="BV599" s="355"/>
      <c r="BW599" s="355"/>
    </row>
    <row r="600" spans="1:75" x14ac:dyDescent="0.15">
      <c r="A600" s="356"/>
      <c r="B600" s="355"/>
      <c r="C600" s="355"/>
      <c r="D600" s="355"/>
      <c r="E600" s="355"/>
      <c r="F600" s="355"/>
      <c r="G600" s="355"/>
      <c r="O600" s="356"/>
      <c r="P600" s="355"/>
      <c r="Q600" s="355"/>
      <c r="R600" s="355"/>
      <c r="S600" s="355"/>
      <c r="T600" s="355"/>
      <c r="U600" s="355"/>
      <c r="V600" s="355"/>
      <c r="W600" s="355"/>
      <c r="AG600" s="355"/>
      <c r="AH600" s="355"/>
      <c r="AI600" s="355"/>
      <c r="AJ600" s="355"/>
      <c r="AK600" s="355"/>
      <c r="AL600" s="355"/>
      <c r="AM600" s="355"/>
      <c r="AU600" s="379">
        <v>62016</v>
      </c>
      <c r="AV600" s="375"/>
      <c r="AW600" s="375"/>
      <c r="AX600" s="375"/>
      <c r="AY600" s="375"/>
      <c r="AZ600" s="375"/>
      <c r="BA600" s="375"/>
      <c r="BB600" s="375"/>
      <c r="BC600" s="375"/>
      <c r="BD600" s="375"/>
      <c r="BE600" s="375"/>
      <c r="BF600" s="375">
        <v>7.1249999999999994E-2</v>
      </c>
      <c r="BG600" s="375"/>
      <c r="BH600" s="375"/>
      <c r="BI600" s="373">
        <f t="shared" si="36"/>
        <v>7.1249999999999994E-2</v>
      </c>
      <c r="BT600" s="355"/>
      <c r="BU600" s="355"/>
      <c r="BV600" s="355"/>
      <c r="BW600" s="355"/>
    </row>
    <row r="601" spans="1:75" x14ac:dyDescent="0.15">
      <c r="A601" s="356"/>
      <c r="B601" s="355"/>
      <c r="C601" s="355"/>
      <c r="D601" s="355"/>
      <c r="E601" s="355"/>
      <c r="F601" s="355"/>
      <c r="G601" s="355"/>
      <c r="O601" s="356"/>
      <c r="P601" s="355"/>
      <c r="Q601" s="355"/>
      <c r="R601" s="355"/>
      <c r="S601" s="355"/>
      <c r="T601" s="355"/>
      <c r="U601" s="355"/>
      <c r="V601" s="355"/>
      <c r="W601" s="355"/>
      <c r="AG601" s="355"/>
      <c r="AH601" s="355"/>
      <c r="AI601" s="355"/>
      <c r="AJ601" s="355"/>
      <c r="AK601" s="355"/>
      <c r="AL601" s="355"/>
      <c r="AM601" s="355"/>
      <c r="AU601" s="379">
        <v>62047</v>
      </c>
      <c r="AV601" s="375"/>
      <c r="AW601" s="375"/>
      <c r="AX601" s="375"/>
      <c r="AY601" s="375"/>
      <c r="AZ601" s="375"/>
      <c r="BA601" s="375"/>
      <c r="BB601" s="375"/>
      <c r="BC601" s="375"/>
      <c r="BD601" s="375"/>
      <c r="BE601" s="375"/>
      <c r="BF601" s="375">
        <v>7.1249999999999994E-2</v>
      </c>
      <c r="BG601" s="375"/>
      <c r="BH601" s="375"/>
      <c r="BI601" s="373">
        <f t="shared" si="36"/>
        <v>7.1249999999999994E-2</v>
      </c>
      <c r="BT601" s="355"/>
      <c r="BU601" s="355"/>
      <c r="BV601" s="355"/>
      <c r="BW601" s="355"/>
    </row>
    <row r="602" spans="1:75" x14ac:dyDescent="0.15">
      <c r="A602" s="356"/>
      <c r="B602" s="355"/>
      <c r="C602" s="355"/>
      <c r="D602" s="355"/>
      <c r="E602" s="355"/>
      <c r="F602" s="355"/>
      <c r="G602" s="355"/>
      <c r="O602" s="356"/>
      <c r="P602" s="355"/>
      <c r="Q602" s="355"/>
      <c r="R602" s="355"/>
      <c r="S602" s="355"/>
      <c r="T602" s="355"/>
      <c r="U602" s="355"/>
      <c r="V602" s="355"/>
      <c r="W602" s="355"/>
      <c r="AG602" s="355"/>
      <c r="AH602" s="355"/>
      <c r="AI602" s="355"/>
      <c r="AJ602" s="355"/>
      <c r="AK602" s="355"/>
      <c r="AL602" s="355"/>
      <c r="AM602" s="355"/>
      <c r="AU602" s="379">
        <v>62077</v>
      </c>
      <c r="AV602" s="375"/>
      <c r="AW602" s="375"/>
      <c r="AX602" s="375"/>
      <c r="AY602" s="375"/>
      <c r="AZ602" s="375"/>
      <c r="BA602" s="375"/>
      <c r="BB602" s="375"/>
      <c r="BC602" s="375"/>
      <c r="BD602" s="375"/>
      <c r="BE602" s="375"/>
      <c r="BF602" s="375">
        <v>7.1249999999999994E-2</v>
      </c>
      <c r="BG602" s="375"/>
      <c r="BH602" s="375"/>
      <c r="BI602" s="373">
        <f t="shared" si="36"/>
        <v>7.1249999999999994E-2</v>
      </c>
      <c r="BT602" s="355"/>
      <c r="BU602" s="355"/>
      <c r="BV602" s="355"/>
      <c r="BW602" s="355"/>
    </row>
    <row r="603" spans="1:75" x14ac:dyDescent="0.15">
      <c r="A603" s="356"/>
      <c r="B603" s="355"/>
      <c r="C603" s="355"/>
      <c r="D603" s="355"/>
      <c r="E603" s="355"/>
      <c r="F603" s="355"/>
      <c r="G603" s="355"/>
      <c r="O603" s="356"/>
      <c r="P603" s="355"/>
      <c r="Q603" s="355"/>
      <c r="R603" s="355"/>
      <c r="S603" s="355"/>
      <c r="T603" s="355"/>
      <c r="U603" s="355"/>
      <c r="V603" s="355"/>
      <c r="W603" s="355"/>
      <c r="AG603" s="355"/>
      <c r="AH603" s="355"/>
      <c r="AI603" s="355"/>
      <c r="AJ603" s="355"/>
      <c r="AK603" s="355"/>
      <c r="AL603" s="355"/>
      <c r="AM603" s="355"/>
      <c r="AU603" s="379">
        <v>62108</v>
      </c>
      <c r="AV603" s="375"/>
      <c r="AW603" s="375"/>
      <c r="AX603" s="375"/>
      <c r="AY603" s="375"/>
      <c r="AZ603" s="375"/>
      <c r="BA603" s="375"/>
      <c r="BB603" s="375"/>
      <c r="BC603" s="375"/>
      <c r="BD603" s="375"/>
      <c r="BE603" s="375"/>
      <c r="BF603" s="375">
        <v>7.1249999999999994E-2</v>
      </c>
      <c r="BG603" s="375"/>
      <c r="BH603" s="375"/>
      <c r="BI603" s="373">
        <f t="shared" si="36"/>
        <v>7.1249999999999994E-2</v>
      </c>
      <c r="BT603" s="355"/>
      <c r="BU603" s="355"/>
      <c r="BV603" s="355"/>
      <c r="BW603" s="355"/>
    </row>
    <row r="604" spans="1:75" x14ac:dyDescent="0.15">
      <c r="A604" s="356"/>
      <c r="B604" s="355"/>
      <c r="C604" s="355"/>
      <c r="D604" s="355"/>
      <c r="E604" s="355"/>
      <c r="F604" s="355"/>
      <c r="G604" s="355"/>
      <c r="O604" s="356"/>
      <c r="P604" s="355"/>
      <c r="Q604" s="355"/>
      <c r="R604" s="355"/>
      <c r="S604" s="355"/>
      <c r="T604" s="355"/>
      <c r="U604" s="355"/>
      <c r="V604" s="355"/>
      <c r="W604" s="355"/>
      <c r="AG604" s="355"/>
      <c r="AH604" s="355"/>
      <c r="AI604" s="355"/>
      <c r="AJ604" s="355"/>
      <c r="AK604" s="355"/>
      <c r="AL604" s="355"/>
      <c r="AM604" s="355"/>
      <c r="AU604" s="379">
        <v>62139</v>
      </c>
      <c r="AV604" s="375"/>
      <c r="AW604" s="375"/>
      <c r="AX604" s="375"/>
      <c r="AY604" s="375"/>
      <c r="AZ604" s="375"/>
      <c r="BA604" s="375"/>
      <c r="BB604" s="375"/>
      <c r="BC604" s="375"/>
      <c r="BD604" s="375"/>
      <c r="BE604" s="375"/>
      <c r="BF604" s="375">
        <v>7.1249999999999994E-2</v>
      </c>
      <c r="BG604" s="375"/>
      <c r="BH604" s="375"/>
      <c r="BI604" s="373">
        <f t="shared" si="36"/>
        <v>7.1249999999999994E-2</v>
      </c>
      <c r="BT604" s="355"/>
      <c r="BU604" s="355"/>
      <c r="BV604" s="355"/>
      <c r="BW604" s="355"/>
    </row>
    <row r="605" spans="1:75" x14ac:dyDescent="0.15">
      <c r="A605" s="356"/>
      <c r="B605" s="355"/>
      <c r="C605" s="355"/>
      <c r="D605" s="355"/>
      <c r="E605" s="355"/>
      <c r="F605" s="355"/>
      <c r="G605" s="355"/>
      <c r="O605" s="356"/>
      <c r="P605" s="355"/>
      <c r="Q605" s="355"/>
      <c r="R605" s="355"/>
      <c r="S605" s="355"/>
      <c r="T605" s="355"/>
      <c r="U605" s="355"/>
      <c r="V605" s="355"/>
      <c r="W605" s="355"/>
      <c r="AG605" s="355"/>
      <c r="AH605" s="355"/>
      <c r="AI605" s="355"/>
      <c r="AJ605" s="355"/>
      <c r="AK605" s="355"/>
      <c r="AL605" s="355"/>
      <c r="AM605" s="355"/>
      <c r="AU605" s="379">
        <v>62167</v>
      </c>
      <c r="AV605" s="375"/>
      <c r="AW605" s="375"/>
      <c r="AX605" s="375"/>
      <c r="AY605" s="375"/>
      <c r="AZ605" s="375"/>
      <c r="BA605" s="375"/>
      <c r="BB605" s="375"/>
      <c r="BC605" s="375"/>
      <c r="BD605" s="375"/>
      <c r="BE605" s="375"/>
      <c r="BF605" s="375">
        <v>7.1249999999999994E-2</v>
      </c>
      <c r="BG605" s="375"/>
      <c r="BH605" s="375"/>
      <c r="BI605" s="373">
        <f t="shared" si="36"/>
        <v>7.1249999999999994E-2</v>
      </c>
      <c r="BT605" s="355"/>
      <c r="BU605" s="355"/>
      <c r="BV605" s="355"/>
      <c r="BW605" s="355"/>
    </row>
    <row r="606" spans="1:75" x14ac:dyDescent="0.15">
      <c r="A606" s="356"/>
      <c r="B606" s="355"/>
      <c r="C606" s="355"/>
      <c r="D606" s="355"/>
      <c r="E606" s="355"/>
      <c r="F606" s="355"/>
      <c r="G606" s="355"/>
      <c r="O606" s="356"/>
      <c r="P606" s="355"/>
      <c r="Q606" s="355"/>
      <c r="R606" s="355"/>
      <c r="S606" s="355"/>
      <c r="T606" s="355"/>
      <c r="U606" s="355"/>
      <c r="V606" s="355"/>
      <c r="W606" s="355"/>
      <c r="AG606" s="355"/>
      <c r="AH606" s="355"/>
      <c r="AI606" s="355"/>
      <c r="AJ606" s="355"/>
      <c r="AK606" s="355"/>
      <c r="AL606" s="355"/>
      <c r="AM606" s="355"/>
      <c r="AU606" s="379">
        <v>62198</v>
      </c>
      <c r="AV606" s="375"/>
      <c r="AW606" s="375"/>
      <c r="AX606" s="375"/>
      <c r="AY606" s="375"/>
      <c r="AZ606" s="375"/>
      <c r="BA606" s="375"/>
      <c r="BB606" s="375"/>
      <c r="BC606" s="375"/>
      <c r="BD606" s="375"/>
      <c r="BE606" s="375"/>
      <c r="BF606" s="375">
        <v>7.1249999999999994E-2</v>
      </c>
      <c r="BG606" s="375"/>
      <c r="BH606" s="375"/>
      <c r="BI606" s="373">
        <f t="shared" si="36"/>
        <v>7.1249999999999994E-2</v>
      </c>
      <c r="BT606" s="355"/>
      <c r="BU606" s="355"/>
      <c r="BV606" s="355"/>
      <c r="BW606" s="355"/>
    </row>
    <row r="607" spans="1:75" x14ac:dyDescent="0.15">
      <c r="A607" s="356"/>
      <c r="B607" s="355"/>
      <c r="C607" s="355"/>
      <c r="D607" s="355"/>
      <c r="E607" s="355"/>
      <c r="F607" s="355"/>
      <c r="G607" s="355"/>
      <c r="O607" s="356"/>
      <c r="P607" s="355"/>
      <c r="Q607" s="355"/>
      <c r="R607" s="355"/>
      <c r="S607" s="355"/>
      <c r="T607" s="355"/>
      <c r="U607" s="355"/>
      <c r="V607" s="355"/>
      <c r="W607" s="355"/>
      <c r="AG607" s="355"/>
      <c r="AH607" s="355"/>
      <c r="AI607" s="355"/>
      <c r="AJ607" s="355"/>
      <c r="AK607" s="355"/>
      <c r="AL607" s="355"/>
      <c r="AM607" s="355"/>
      <c r="AU607" s="379">
        <v>62228</v>
      </c>
      <c r="AV607" s="375"/>
      <c r="AW607" s="375"/>
      <c r="AX607" s="375"/>
      <c r="AY607" s="375"/>
      <c r="AZ607" s="375"/>
      <c r="BA607" s="375"/>
      <c r="BB607" s="375"/>
      <c r="BC607" s="375"/>
      <c r="BD607" s="375"/>
      <c r="BE607" s="375"/>
      <c r="BF607" s="375">
        <v>7.1249999999999994E-2</v>
      </c>
      <c r="BG607" s="375"/>
      <c r="BH607" s="375"/>
      <c r="BI607" s="373">
        <f t="shared" si="36"/>
        <v>7.1249999999999994E-2</v>
      </c>
      <c r="BT607" s="355"/>
      <c r="BU607" s="355"/>
      <c r="BV607" s="355"/>
      <c r="BW607" s="355"/>
    </row>
    <row r="608" spans="1:75" x14ac:dyDescent="0.15">
      <c r="A608" s="356"/>
      <c r="B608" s="355"/>
      <c r="C608" s="355"/>
      <c r="D608" s="355"/>
      <c r="E608" s="355"/>
      <c r="F608" s="355"/>
      <c r="G608" s="355"/>
      <c r="O608" s="356"/>
      <c r="P608" s="355"/>
      <c r="Q608" s="355"/>
      <c r="R608" s="355"/>
      <c r="S608" s="355"/>
      <c r="T608" s="355"/>
      <c r="U608" s="355"/>
      <c r="V608" s="355"/>
      <c r="W608" s="355"/>
      <c r="AG608" s="355"/>
      <c r="AH608" s="355"/>
      <c r="AI608" s="355"/>
      <c r="AJ608" s="355"/>
      <c r="AK608" s="355"/>
      <c r="AL608" s="355"/>
      <c r="AM608" s="355"/>
      <c r="AU608" s="379">
        <v>62259</v>
      </c>
      <c r="AV608" s="375"/>
      <c r="AW608" s="375"/>
      <c r="AX608" s="375"/>
      <c r="AY608" s="375"/>
      <c r="AZ608" s="375"/>
      <c r="BA608" s="375"/>
      <c r="BB608" s="375"/>
      <c r="BC608" s="375"/>
      <c r="BD608" s="375"/>
      <c r="BE608" s="375"/>
      <c r="BF608" s="375">
        <v>7.1249999999999994E-2</v>
      </c>
      <c r="BG608" s="375"/>
      <c r="BH608" s="375"/>
      <c r="BI608" s="373">
        <f t="shared" si="36"/>
        <v>7.1249999999999994E-2</v>
      </c>
      <c r="BT608" s="355"/>
      <c r="BU608" s="355"/>
      <c r="BV608" s="355"/>
      <c r="BW608" s="355"/>
    </row>
    <row r="609" spans="1:75" x14ac:dyDescent="0.15">
      <c r="A609" s="356"/>
      <c r="B609" s="355"/>
      <c r="C609" s="355"/>
      <c r="D609" s="355"/>
      <c r="E609" s="355"/>
      <c r="F609" s="355"/>
      <c r="G609" s="355"/>
      <c r="O609" s="356"/>
      <c r="P609" s="355"/>
      <c r="Q609" s="355"/>
      <c r="R609" s="355"/>
      <c r="S609" s="355"/>
      <c r="T609" s="355"/>
      <c r="U609" s="355"/>
      <c r="V609" s="355"/>
      <c r="W609" s="355"/>
      <c r="AG609" s="355"/>
      <c r="AH609" s="355"/>
      <c r="AI609" s="355"/>
      <c r="AJ609" s="355"/>
      <c r="AK609" s="355"/>
      <c r="AL609" s="355"/>
      <c r="AM609" s="355"/>
      <c r="AU609" s="379">
        <v>62289</v>
      </c>
      <c r="AV609" s="375"/>
      <c r="AW609" s="375"/>
      <c r="AX609" s="375"/>
      <c r="AY609" s="375"/>
      <c r="AZ609" s="375"/>
      <c r="BA609" s="375"/>
      <c r="BB609" s="375"/>
      <c r="BC609" s="375"/>
      <c r="BD609" s="375"/>
      <c r="BE609" s="375"/>
      <c r="BF609" s="375">
        <v>7.1249999999999994E-2</v>
      </c>
      <c r="BG609" s="375"/>
      <c r="BH609" s="375"/>
      <c r="BI609" s="373">
        <f t="shared" si="36"/>
        <v>7.1249999999999994E-2</v>
      </c>
      <c r="BT609" s="355"/>
      <c r="BU609" s="355"/>
      <c r="BV609" s="355"/>
      <c r="BW609" s="355"/>
    </row>
    <row r="610" spans="1:75" x14ac:dyDescent="0.15">
      <c r="A610" s="356"/>
      <c r="B610" s="355"/>
      <c r="C610" s="355"/>
      <c r="D610" s="355"/>
      <c r="E610" s="355"/>
      <c r="F610" s="355"/>
      <c r="G610" s="355"/>
      <c r="O610" s="356"/>
      <c r="P610" s="355"/>
      <c r="Q610" s="355"/>
      <c r="R610" s="355"/>
      <c r="S610" s="355"/>
      <c r="T610" s="355"/>
      <c r="U610" s="355"/>
      <c r="V610" s="355"/>
      <c r="W610" s="355"/>
      <c r="AG610" s="355"/>
      <c r="AH610" s="355"/>
      <c r="AI610" s="355"/>
      <c r="AJ610" s="355"/>
      <c r="AK610" s="355"/>
      <c r="AL610" s="355"/>
      <c r="AM610" s="355"/>
      <c r="AU610" s="379">
        <v>62320</v>
      </c>
      <c r="AV610" s="375"/>
      <c r="AW610" s="375"/>
      <c r="AX610" s="375"/>
      <c r="AY610" s="375"/>
      <c r="AZ610" s="375"/>
      <c r="BA610" s="375"/>
      <c r="BB610" s="375"/>
      <c r="BC610" s="375"/>
      <c r="BD610" s="375"/>
      <c r="BE610" s="375"/>
      <c r="BF610" s="375">
        <v>7.1249999999999994E-2</v>
      </c>
      <c r="BG610" s="375"/>
      <c r="BH610" s="375"/>
      <c r="BI610" s="373">
        <f t="shared" si="36"/>
        <v>7.1249999999999994E-2</v>
      </c>
      <c r="BT610" s="355"/>
      <c r="BU610" s="355"/>
      <c r="BV610" s="355"/>
      <c r="BW610" s="355"/>
    </row>
    <row r="611" spans="1:75" x14ac:dyDescent="0.15">
      <c r="A611" s="356"/>
      <c r="B611" s="355"/>
      <c r="C611" s="355"/>
      <c r="D611" s="355"/>
      <c r="E611" s="355"/>
      <c r="F611" s="355"/>
      <c r="G611" s="355"/>
      <c r="O611" s="356"/>
      <c r="P611" s="355"/>
      <c r="Q611" s="355"/>
      <c r="R611" s="355"/>
      <c r="S611" s="355"/>
      <c r="T611" s="355"/>
      <c r="U611" s="355"/>
      <c r="V611" s="355"/>
      <c r="W611" s="355"/>
      <c r="AG611" s="355"/>
      <c r="AH611" s="355"/>
      <c r="AI611" s="355"/>
      <c r="AJ611" s="355"/>
      <c r="AK611" s="355"/>
      <c r="AL611" s="355"/>
      <c r="AM611" s="355"/>
      <c r="AU611" s="379">
        <v>62351</v>
      </c>
      <c r="AV611" s="375"/>
      <c r="AW611" s="375"/>
      <c r="AX611" s="375"/>
      <c r="AY611" s="375"/>
      <c r="AZ611" s="375"/>
      <c r="BA611" s="375"/>
      <c r="BB611" s="375"/>
      <c r="BC611" s="375"/>
      <c r="BD611" s="375"/>
      <c r="BE611" s="375"/>
      <c r="BF611" s="375">
        <v>7.1249999999999994E-2</v>
      </c>
      <c r="BG611" s="375"/>
      <c r="BH611" s="375"/>
      <c r="BI611" s="373">
        <f t="shared" si="36"/>
        <v>7.1249999999999994E-2</v>
      </c>
      <c r="BT611" s="355"/>
      <c r="BU611" s="355"/>
      <c r="BV611" s="355"/>
      <c r="BW611" s="355"/>
    </row>
    <row r="612" spans="1:75" x14ac:dyDescent="0.15">
      <c r="A612" s="356"/>
      <c r="B612" s="355"/>
      <c r="C612" s="355"/>
      <c r="D612" s="355"/>
      <c r="E612" s="355"/>
      <c r="F612" s="355"/>
      <c r="G612" s="355"/>
      <c r="O612" s="356"/>
      <c r="P612" s="355"/>
      <c r="Q612" s="355"/>
      <c r="R612" s="355"/>
      <c r="S612" s="355"/>
      <c r="T612" s="355"/>
      <c r="U612" s="355"/>
      <c r="V612" s="355"/>
      <c r="W612" s="355"/>
      <c r="AG612" s="355"/>
      <c r="AH612" s="355"/>
      <c r="AI612" s="355"/>
      <c r="AJ612" s="355"/>
      <c r="AK612" s="355"/>
      <c r="AL612" s="355"/>
      <c r="AM612" s="355"/>
      <c r="AU612" s="379">
        <v>62381</v>
      </c>
      <c r="AV612" s="375"/>
      <c r="AW612" s="375"/>
      <c r="AX612" s="375"/>
      <c r="AY612" s="375"/>
      <c r="AZ612" s="375"/>
      <c r="BA612" s="375"/>
      <c r="BB612" s="375"/>
      <c r="BC612" s="375"/>
      <c r="BD612" s="375"/>
      <c r="BE612" s="375"/>
      <c r="BF612" s="375">
        <v>7.1249999999999994E-2</v>
      </c>
      <c r="BG612" s="375"/>
      <c r="BH612" s="375"/>
      <c r="BI612" s="373">
        <f t="shared" si="36"/>
        <v>7.1249999999999994E-2</v>
      </c>
      <c r="BT612" s="355"/>
      <c r="BU612" s="355"/>
      <c r="BV612" s="355"/>
      <c r="BW612" s="355"/>
    </row>
    <row r="613" spans="1:75" x14ac:dyDescent="0.15">
      <c r="A613" s="356"/>
      <c r="B613" s="355"/>
      <c r="C613" s="355"/>
      <c r="D613" s="355"/>
      <c r="E613" s="355"/>
      <c r="F613" s="355"/>
      <c r="G613" s="355"/>
      <c r="O613" s="356"/>
      <c r="P613" s="355"/>
      <c r="Q613" s="355"/>
      <c r="R613" s="355"/>
      <c r="S613" s="355"/>
      <c r="T613" s="355"/>
      <c r="U613" s="355"/>
      <c r="V613" s="355"/>
      <c r="W613" s="355"/>
      <c r="AG613" s="355"/>
      <c r="AH613" s="355"/>
      <c r="AI613" s="355"/>
      <c r="AJ613" s="355"/>
      <c r="AK613" s="355"/>
      <c r="AL613" s="355"/>
      <c r="AM613" s="355"/>
      <c r="AU613" s="379">
        <v>62412</v>
      </c>
      <c r="AV613" s="375"/>
      <c r="AW613" s="375"/>
      <c r="AX613" s="375"/>
      <c r="AY613" s="375"/>
      <c r="AZ613" s="375"/>
      <c r="BA613" s="375"/>
      <c r="BB613" s="375"/>
      <c r="BC613" s="375"/>
      <c r="BD613" s="375"/>
      <c r="BE613" s="375"/>
      <c r="BF613" s="375">
        <v>7.1249999999999994E-2</v>
      </c>
      <c r="BG613" s="375"/>
      <c r="BH613" s="375"/>
      <c r="BI613" s="373">
        <f t="shared" si="36"/>
        <v>7.1249999999999994E-2</v>
      </c>
      <c r="BT613" s="355"/>
      <c r="BU613" s="355"/>
      <c r="BV613" s="355"/>
      <c r="BW613" s="355"/>
    </row>
    <row r="614" spans="1:75" x14ac:dyDescent="0.15">
      <c r="A614" s="356"/>
      <c r="B614" s="355"/>
      <c r="C614" s="355"/>
      <c r="D614" s="355"/>
      <c r="E614" s="355"/>
      <c r="F614" s="355"/>
      <c r="G614" s="355"/>
      <c r="O614" s="356"/>
      <c r="P614" s="355"/>
      <c r="Q614" s="355"/>
      <c r="R614" s="355"/>
      <c r="S614" s="355"/>
      <c r="T614" s="355"/>
      <c r="U614" s="355"/>
      <c r="V614" s="355"/>
      <c r="W614" s="355"/>
      <c r="AG614" s="355"/>
      <c r="AH614" s="355"/>
      <c r="AI614" s="355"/>
      <c r="AJ614" s="355"/>
      <c r="AK614" s="355"/>
      <c r="AL614" s="355"/>
      <c r="AM614" s="355"/>
      <c r="AU614" s="379">
        <v>62442</v>
      </c>
      <c r="AV614" s="375"/>
      <c r="AW614" s="375"/>
      <c r="AX614" s="375"/>
      <c r="AY614" s="375"/>
      <c r="AZ614" s="375"/>
      <c r="BA614" s="375"/>
      <c r="BB614" s="375"/>
      <c r="BC614" s="375"/>
      <c r="BD614" s="375"/>
      <c r="BE614" s="375"/>
      <c r="BF614" s="375">
        <v>7.1249999999999994E-2</v>
      </c>
      <c r="BG614" s="375"/>
      <c r="BH614" s="375"/>
      <c r="BI614" s="373">
        <f t="shared" si="36"/>
        <v>7.1249999999999994E-2</v>
      </c>
      <c r="BT614" s="355"/>
      <c r="BU614" s="355"/>
      <c r="BV614" s="355"/>
      <c r="BW614" s="355"/>
    </row>
    <row r="615" spans="1:75" x14ac:dyDescent="0.15">
      <c r="A615" s="356"/>
      <c r="B615" s="355"/>
      <c r="C615" s="355"/>
      <c r="D615" s="355"/>
      <c r="E615" s="355"/>
      <c r="F615" s="355"/>
      <c r="G615" s="355"/>
      <c r="O615" s="356"/>
      <c r="P615" s="355"/>
      <c r="Q615" s="355"/>
      <c r="R615" s="355"/>
      <c r="S615" s="355"/>
      <c r="T615" s="355"/>
      <c r="U615" s="355"/>
      <c r="V615" s="355"/>
      <c r="W615" s="355"/>
      <c r="AG615" s="355"/>
      <c r="AH615" s="355"/>
      <c r="AI615" s="355"/>
      <c r="AJ615" s="355"/>
      <c r="AK615" s="355"/>
      <c r="AL615" s="355"/>
      <c r="AM615" s="355"/>
      <c r="AU615" s="379">
        <v>62473</v>
      </c>
      <c r="AV615" s="375"/>
      <c r="AW615" s="375"/>
      <c r="AX615" s="375"/>
      <c r="AY615" s="375"/>
      <c r="AZ615" s="375"/>
      <c r="BA615" s="375"/>
      <c r="BB615" s="375"/>
      <c r="BC615" s="375"/>
      <c r="BD615" s="375"/>
      <c r="BE615" s="375"/>
      <c r="BF615" s="375">
        <v>7.1249999999999994E-2</v>
      </c>
      <c r="BG615" s="375"/>
      <c r="BH615" s="375"/>
      <c r="BI615" s="373">
        <f t="shared" si="36"/>
        <v>7.1249999999999994E-2</v>
      </c>
      <c r="BT615" s="355"/>
      <c r="BU615" s="355"/>
      <c r="BV615" s="355"/>
      <c r="BW615" s="355"/>
    </row>
    <row r="616" spans="1:75" x14ac:dyDescent="0.15">
      <c r="A616" s="356"/>
      <c r="B616" s="355"/>
      <c r="C616" s="355"/>
      <c r="D616" s="355"/>
      <c r="E616" s="355"/>
      <c r="F616" s="355"/>
      <c r="G616" s="355"/>
      <c r="O616" s="356"/>
      <c r="P616" s="355"/>
      <c r="Q616" s="355"/>
      <c r="R616" s="355"/>
      <c r="S616" s="355"/>
      <c r="T616" s="355"/>
      <c r="U616" s="355"/>
      <c r="V616" s="355"/>
      <c r="W616" s="355"/>
      <c r="AG616" s="355"/>
      <c r="AH616" s="355"/>
      <c r="AI616" s="355"/>
      <c r="AJ616" s="355"/>
      <c r="AK616" s="355"/>
      <c r="AL616" s="355"/>
      <c r="AM616" s="355"/>
      <c r="AU616" s="379">
        <v>62504</v>
      </c>
      <c r="AV616" s="375"/>
      <c r="AW616" s="375"/>
      <c r="AX616" s="375"/>
      <c r="AY616" s="375"/>
      <c r="AZ616" s="375"/>
      <c r="BA616" s="375"/>
      <c r="BB616" s="375"/>
      <c r="BC616" s="375"/>
      <c r="BD616" s="375"/>
      <c r="BE616" s="375"/>
      <c r="BF616" s="375">
        <v>7.1249999999999994E-2</v>
      </c>
      <c r="BG616" s="375"/>
      <c r="BH616" s="375"/>
      <c r="BI616" s="373">
        <f t="shared" si="36"/>
        <v>7.1249999999999994E-2</v>
      </c>
      <c r="BT616" s="355"/>
      <c r="BU616" s="355"/>
      <c r="BV616" s="355"/>
      <c r="BW616" s="355"/>
    </row>
    <row r="617" spans="1:75" x14ac:dyDescent="0.15">
      <c r="A617" s="356"/>
      <c r="B617" s="355"/>
      <c r="C617" s="355"/>
      <c r="D617" s="355"/>
      <c r="E617" s="355"/>
      <c r="F617" s="355"/>
      <c r="G617" s="355"/>
      <c r="O617" s="356"/>
      <c r="P617" s="355"/>
      <c r="Q617" s="355"/>
      <c r="R617" s="355"/>
      <c r="S617" s="355"/>
      <c r="T617" s="355"/>
      <c r="U617" s="355"/>
      <c r="V617" s="355"/>
      <c r="W617" s="355"/>
      <c r="AG617" s="355"/>
      <c r="AH617" s="355"/>
      <c r="AI617" s="355"/>
      <c r="AJ617" s="355"/>
      <c r="AK617" s="355"/>
      <c r="AL617" s="355"/>
      <c r="AM617" s="355"/>
      <c r="AU617" s="379">
        <v>62532</v>
      </c>
      <c r="AV617" s="375"/>
      <c r="AW617" s="375"/>
      <c r="AX617" s="375"/>
      <c r="AY617" s="375"/>
      <c r="AZ617" s="375"/>
      <c r="BA617" s="375"/>
      <c r="BB617" s="375"/>
      <c r="BC617" s="375"/>
      <c r="BD617" s="375"/>
      <c r="BE617" s="375"/>
      <c r="BF617" s="375">
        <v>7.1249999999999994E-2</v>
      </c>
      <c r="BG617" s="375"/>
      <c r="BH617" s="375"/>
      <c r="BI617" s="373">
        <f t="shared" si="36"/>
        <v>7.1249999999999994E-2</v>
      </c>
      <c r="BT617" s="355"/>
      <c r="BU617" s="355"/>
      <c r="BV617" s="355"/>
      <c r="BW617" s="355"/>
    </row>
    <row r="618" spans="1:75" x14ac:dyDescent="0.15">
      <c r="A618" s="356"/>
      <c r="B618" s="355"/>
      <c r="C618" s="355"/>
      <c r="D618" s="355"/>
      <c r="E618" s="355"/>
      <c r="F618" s="355"/>
      <c r="G618" s="355"/>
      <c r="O618" s="356"/>
      <c r="P618" s="355"/>
      <c r="Q618" s="355"/>
      <c r="R618" s="355"/>
      <c r="S618" s="355"/>
      <c r="T618" s="355"/>
      <c r="U618" s="355"/>
      <c r="V618" s="355"/>
      <c r="W618" s="355"/>
      <c r="AG618" s="355"/>
      <c r="AH618" s="355"/>
      <c r="AI618" s="355"/>
      <c r="AJ618" s="355"/>
      <c r="AK618" s="355"/>
      <c r="AL618" s="355"/>
      <c r="AM618" s="355"/>
      <c r="AU618" s="379">
        <v>62563</v>
      </c>
      <c r="AV618" s="375"/>
      <c r="AW618" s="375"/>
      <c r="AX618" s="375"/>
      <c r="AY618" s="375"/>
      <c r="AZ618" s="375"/>
      <c r="BA618" s="375"/>
      <c r="BB618" s="375"/>
      <c r="BC618" s="375"/>
      <c r="BD618" s="375"/>
      <c r="BE618" s="375"/>
      <c r="BF618" s="375">
        <v>7.1249999999999994E-2</v>
      </c>
      <c r="BG618" s="375"/>
      <c r="BH618" s="375"/>
      <c r="BI618" s="373">
        <f t="shared" si="36"/>
        <v>7.1249999999999994E-2</v>
      </c>
      <c r="BT618" s="355"/>
      <c r="BU618" s="355"/>
      <c r="BV618" s="355"/>
      <c r="BW618" s="355"/>
    </row>
    <row r="619" spans="1:75" x14ac:dyDescent="0.15">
      <c r="A619" s="356"/>
      <c r="B619" s="355"/>
      <c r="C619" s="355"/>
      <c r="D619" s="355"/>
      <c r="E619" s="355"/>
      <c r="F619" s="355"/>
      <c r="G619" s="355"/>
      <c r="O619" s="356"/>
      <c r="P619" s="355"/>
      <c r="Q619" s="355"/>
      <c r="R619" s="355"/>
      <c r="S619" s="355"/>
      <c r="T619" s="355"/>
      <c r="U619" s="355"/>
      <c r="V619" s="355"/>
      <c r="W619" s="355"/>
      <c r="AG619" s="355"/>
      <c r="AH619" s="355"/>
      <c r="AI619" s="355"/>
      <c r="AJ619" s="355"/>
      <c r="AK619" s="355"/>
      <c r="AL619" s="355"/>
      <c r="AM619" s="355"/>
      <c r="AU619" s="379">
        <v>62593</v>
      </c>
      <c r="AV619" s="375"/>
      <c r="AW619" s="375"/>
      <c r="AX619" s="375"/>
      <c r="AY619" s="375"/>
      <c r="AZ619" s="375"/>
      <c r="BA619" s="375"/>
      <c r="BB619" s="375"/>
      <c r="BC619" s="375"/>
      <c r="BD619" s="375"/>
      <c r="BE619" s="375"/>
      <c r="BF619" s="375">
        <v>7.1249999999999994E-2</v>
      </c>
      <c r="BG619" s="375"/>
      <c r="BH619" s="375"/>
      <c r="BI619" s="373">
        <f t="shared" si="36"/>
        <v>7.1249999999999994E-2</v>
      </c>
      <c r="BT619" s="355"/>
      <c r="BU619" s="355"/>
      <c r="BV619" s="355"/>
      <c r="BW619" s="355"/>
    </row>
    <row r="620" spans="1:75" x14ac:dyDescent="0.15">
      <c r="A620" s="356"/>
      <c r="B620" s="355"/>
      <c r="C620" s="355"/>
      <c r="D620" s="355"/>
      <c r="E620" s="355"/>
      <c r="F620" s="355"/>
      <c r="G620" s="355"/>
      <c r="O620" s="356"/>
      <c r="P620" s="355"/>
      <c r="Q620" s="355"/>
      <c r="R620" s="355"/>
      <c r="S620" s="355"/>
      <c r="T620" s="355"/>
      <c r="U620" s="355"/>
      <c r="V620" s="355"/>
      <c r="W620" s="355"/>
      <c r="AG620" s="355"/>
      <c r="AH620" s="355"/>
      <c r="AI620" s="355"/>
      <c r="AJ620" s="355"/>
      <c r="AK620" s="355"/>
      <c r="AL620" s="355"/>
      <c r="AM620" s="355"/>
      <c r="AU620" s="379">
        <v>62624</v>
      </c>
      <c r="AV620" s="375"/>
      <c r="AW620" s="375"/>
      <c r="AX620" s="375"/>
      <c r="AY620" s="375"/>
      <c r="AZ620" s="375"/>
      <c r="BA620" s="375"/>
      <c r="BB620" s="375"/>
      <c r="BC620" s="375"/>
      <c r="BD620" s="375"/>
      <c r="BE620" s="375"/>
      <c r="BF620" s="375">
        <v>7.1249999999999994E-2</v>
      </c>
      <c r="BG620" s="375"/>
      <c r="BH620" s="375"/>
      <c r="BI620" s="373">
        <f t="shared" si="36"/>
        <v>7.1249999999999994E-2</v>
      </c>
      <c r="BT620" s="355"/>
      <c r="BU620" s="355"/>
      <c r="BV620" s="355"/>
      <c r="BW620" s="355"/>
    </row>
    <row r="621" spans="1:75" x14ac:dyDescent="0.15">
      <c r="A621" s="356"/>
      <c r="B621" s="355"/>
      <c r="C621" s="355"/>
      <c r="D621" s="355"/>
      <c r="E621" s="355"/>
      <c r="F621" s="355"/>
      <c r="G621" s="355"/>
      <c r="O621" s="356"/>
      <c r="P621" s="355"/>
      <c r="Q621" s="355"/>
      <c r="R621" s="355"/>
      <c r="S621" s="355"/>
      <c r="T621" s="355"/>
      <c r="U621" s="355"/>
      <c r="V621" s="355"/>
      <c r="W621" s="355"/>
      <c r="AG621" s="355"/>
      <c r="AH621" s="355"/>
      <c r="AI621" s="355"/>
      <c r="AJ621" s="355"/>
      <c r="AK621" s="355"/>
      <c r="AL621" s="355"/>
      <c r="AM621" s="355"/>
      <c r="AU621" s="379">
        <v>62654</v>
      </c>
      <c r="AV621" s="375"/>
      <c r="AW621" s="375"/>
      <c r="AX621" s="375"/>
      <c r="AY621" s="375"/>
      <c r="AZ621" s="375"/>
      <c r="BA621" s="375"/>
      <c r="BB621" s="375"/>
      <c r="BC621" s="375"/>
      <c r="BD621" s="375"/>
      <c r="BE621" s="375"/>
      <c r="BF621" s="375">
        <v>7.1249999999999994E-2</v>
      </c>
      <c r="BG621" s="375"/>
      <c r="BH621" s="375"/>
      <c r="BI621" s="373">
        <f t="shared" si="36"/>
        <v>7.1249999999999994E-2</v>
      </c>
      <c r="BT621" s="355"/>
      <c r="BU621" s="355"/>
      <c r="BV621" s="355"/>
      <c r="BW621" s="355"/>
    </row>
    <row r="622" spans="1:75" x14ac:dyDescent="0.15">
      <c r="A622" s="356"/>
      <c r="B622" s="355"/>
      <c r="C622" s="355"/>
      <c r="D622" s="355"/>
      <c r="E622" s="355"/>
      <c r="F622" s="355"/>
      <c r="G622" s="355"/>
      <c r="O622" s="356"/>
      <c r="P622" s="355"/>
      <c r="Q622" s="355"/>
      <c r="R622" s="355"/>
      <c r="S622" s="355"/>
      <c r="T622" s="355"/>
      <c r="U622" s="355"/>
      <c r="V622" s="355"/>
      <c r="W622" s="355"/>
      <c r="AG622" s="355"/>
      <c r="AH622" s="355"/>
      <c r="AI622" s="355"/>
      <c r="AJ622" s="355"/>
      <c r="AK622" s="355"/>
      <c r="AL622" s="355"/>
      <c r="AM622" s="355"/>
      <c r="AU622" s="379">
        <v>62685</v>
      </c>
      <c r="AV622" s="375"/>
      <c r="AW622" s="375"/>
      <c r="AX622" s="375"/>
      <c r="AY622" s="375"/>
      <c r="AZ622" s="375"/>
      <c r="BA622" s="375"/>
      <c r="BB622" s="375"/>
      <c r="BC622" s="375"/>
      <c r="BD622" s="375"/>
      <c r="BE622" s="375"/>
      <c r="BF622" s="375">
        <v>7.1249999999999994E-2</v>
      </c>
      <c r="BG622" s="375"/>
      <c r="BH622" s="375"/>
      <c r="BI622" s="373">
        <f t="shared" si="36"/>
        <v>7.1249999999999994E-2</v>
      </c>
      <c r="BT622" s="355"/>
      <c r="BU622" s="355"/>
      <c r="BV622" s="355"/>
      <c r="BW622" s="355"/>
    </row>
    <row r="623" spans="1:75" x14ac:dyDescent="0.15">
      <c r="A623" s="356"/>
      <c r="B623" s="355"/>
      <c r="C623" s="355"/>
      <c r="D623" s="355"/>
      <c r="E623" s="355"/>
      <c r="F623" s="355"/>
      <c r="G623" s="355"/>
      <c r="O623" s="356"/>
      <c r="P623" s="355"/>
      <c r="Q623" s="355"/>
      <c r="R623" s="355"/>
      <c r="S623" s="355"/>
      <c r="T623" s="355"/>
      <c r="U623" s="355"/>
      <c r="V623" s="355"/>
      <c r="W623" s="355"/>
      <c r="AG623" s="355"/>
      <c r="AH623" s="355"/>
      <c r="AI623" s="355"/>
      <c r="AJ623" s="355"/>
      <c r="AK623" s="355"/>
      <c r="AL623" s="355"/>
      <c r="AM623" s="355"/>
      <c r="AU623" s="379">
        <v>62716</v>
      </c>
      <c r="AV623" s="375"/>
      <c r="AW623" s="375"/>
      <c r="AX623" s="375"/>
      <c r="AY623" s="375"/>
      <c r="AZ623" s="375"/>
      <c r="BA623" s="375"/>
      <c r="BB623" s="375"/>
      <c r="BC623" s="375"/>
      <c r="BD623" s="375"/>
      <c r="BE623" s="375"/>
      <c r="BF623" s="375">
        <v>7.1249999999999994E-2</v>
      </c>
      <c r="BG623" s="375"/>
      <c r="BH623" s="375"/>
      <c r="BI623" s="373">
        <f t="shared" si="36"/>
        <v>7.1249999999999994E-2</v>
      </c>
      <c r="BT623" s="355"/>
      <c r="BU623" s="355"/>
      <c r="BV623" s="355"/>
      <c r="BW623" s="355"/>
    </row>
    <row r="624" spans="1:75" x14ac:dyDescent="0.15">
      <c r="A624" s="356"/>
      <c r="B624" s="355"/>
      <c r="C624" s="355"/>
      <c r="D624" s="355"/>
      <c r="E624" s="355"/>
      <c r="F624" s="355"/>
      <c r="G624" s="355"/>
      <c r="O624" s="356"/>
      <c r="P624" s="355"/>
      <c r="Q624" s="355"/>
      <c r="R624" s="355"/>
      <c r="S624" s="355"/>
      <c r="T624" s="355"/>
      <c r="U624" s="355"/>
      <c r="V624" s="355"/>
      <c r="W624" s="355"/>
      <c r="AG624" s="355"/>
      <c r="AH624" s="355"/>
      <c r="AI624" s="355"/>
      <c r="AJ624" s="355"/>
      <c r="AK624" s="355"/>
      <c r="AL624" s="355"/>
      <c r="AM624" s="355"/>
      <c r="AU624" s="379">
        <v>62746</v>
      </c>
      <c r="AV624" s="375"/>
      <c r="AW624" s="375"/>
      <c r="AX624" s="375"/>
      <c r="AY624" s="375"/>
      <c r="AZ624" s="375"/>
      <c r="BA624" s="375"/>
      <c r="BB624" s="375"/>
      <c r="BC624" s="375"/>
      <c r="BD624" s="375"/>
      <c r="BE624" s="375"/>
      <c r="BF624" s="375">
        <v>7.1249999999999994E-2</v>
      </c>
      <c r="BG624" s="375"/>
      <c r="BH624" s="375"/>
      <c r="BI624" s="373">
        <f t="shared" si="36"/>
        <v>7.1249999999999994E-2</v>
      </c>
      <c r="BT624" s="355"/>
      <c r="BU624" s="355"/>
      <c r="BV624" s="355"/>
      <c r="BW624" s="355"/>
    </row>
    <row r="625" spans="1:75" x14ac:dyDescent="0.15">
      <c r="A625" s="356"/>
      <c r="B625" s="355"/>
      <c r="C625" s="355"/>
      <c r="D625" s="355"/>
      <c r="E625" s="355"/>
      <c r="F625" s="355"/>
      <c r="G625" s="355"/>
      <c r="O625" s="356"/>
      <c r="P625" s="355"/>
      <c r="Q625" s="355"/>
      <c r="R625" s="355"/>
      <c r="S625" s="355"/>
      <c r="T625" s="355"/>
      <c r="U625" s="355"/>
      <c r="V625" s="355"/>
      <c r="W625" s="355"/>
      <c r="AG625" s="355"/>
      <c r="AH625" s="355"/>
      <c r="AI625" s="355"/>
      <c r="AJ625" s="355"/>
      <c r="AK625" s="355"/>
      <c r="AL625" s="355"/>
      <c r="AM625" s="355"/>
      <c r="AU625" s="379">
        <v>62777</v>
      </c>
      <c r="AV625" s="375"/>
      <c r="AW625" s="375"/>
      <c r="AX625" s="375"/>
      <c r="AY625" s="375"/>
      <c r="AZ625" s="375"/>
      <c r="BA625" s="375"/>
      <c r="BB625" s="375"/>
      <c r="BC625" s="375"/>
      <c r="BD625" s="375"/>
      <c r="BE625" s="375"/>
      <c r="BF625" s="375">
        <v>7.1249999999999994E-2</v>
      </c>
      <c r="BG625" s="375"/>
      <c r="BH625" s="375"/>
      <c r="BI625" s="373">
        <f t="shared" si="36"/>
        <v>7.1249999999999994E-2</v>
      </c>
      <c r="BT625" s="355"/>
      <c r="BU625" s="355"/>
      <c r="BV625" s="355"/>
      <c r="BW625" s="355"/>
    </row>
    <row r="626" spans="1:75" x14ac:dyDescent="0.15">
      <c r="A626" s="356"/>
      <c r="B626" s="355"/>
      <c r="C626" s="355"/>
      <c r="D626" s="355"/>
      <c r="E626" s="355"/>
      <c r="F626" s="355"/>
      <c r="G626" s="355"/>
      <c r="O626" s="356"/>
      <c r="P626" s="355"/>
      <c r="Q626" s="355"/>
      <c r="R626" s="355"/>
      <c r="S626" s="355"/>
      <c r="T626" s="355"/>
      <c r="U626" s="355"/>
      <c r="V626" s="355"/>
      <c r="W626" s="355"/>
      <c r="AG626" s="355"/>
      <c r="AH626" s="355"/>
      <c r="AI626" s="355"/>
      <c r="AJ626" s="355"/>
      <c r="AK626" s="355"/>
      <c r="AL626" s="355"/>
      <c r="AM626" s="355"/>
      <c r="AU626" s="379">
        <v>62807</v>
      </c>
      <c r="AV626" s="375"/>
      <c r="AW626" s="375"/>
      <c r="AX626" s="375"/>
      <c r="AY626" s="375"/>
      <c r="AZ626" s="375"/>
      <c r="BA626" s="375"/>
      <c r="BB626" s="375"/>
      <c r="BC626" s="375"/>
      <c r="BD626" s="375"/>
      <c r="BE626" s="375"/>
      <c r="BF626" s="375">
        <v>7.1249999999999994E-2</v>
      </c>
      <c r="BG626" s="375"/>
      <c r="BH626" s="375"/>
      <c r="BI626" s="373">
        <f t="shared" si="36"/>
        <v>7.1249999999999994E-2</v>
      </c>
      <c r="BT626" s="355"/>
      <c r="BU626" s="355"/>
      <c r="BV626" s="355"/>
      <c r="BW626" s="355"/>
    </row>
    <row r="627" spans="1:75" x14ac:dyDescent="0.15">
      <c r="A627" s="356"/>
      <c r="B627" s="355"/>
      <c r="C627" s="355"/>
      <c r="D627" s="355"/>
      <c r="E627" s="355"/>
      <c r="F627" s="355"/>
      <c r="G627" s="355"/>
      <c r="O627" s="356"/>
      <c r="P627" s="355"/>
      <c r="Q627" s="355"/>
      <c r="R627" s="355"/>
      <c r="S627" s="355"/>
      <c r="T627" s="355"/>
      <c r="U627" s="355"/>
      <c r="V627" s="355"/>
      <c r="W627" s="355"/>
      <c r="AG627" s="355"/>
      <c r="AH627" s="355"/>
      <c r="AI627" s="355"/>
      <c r="AJ627" s="355"/>
      <c r="AK627" s="355"/>
      <c r="AL627" s="355"/>
      <c r="AM627" s="355"/>
      <c r="AU627" s="379">
        <v>62838</v>
      </c>
      <c r="AV627" s="375"/>
      <c r="AW627" s="375"/>
      <c r="AX627" s="375"/>
      <c r="AY627" s="375"/>
      <c r="AZ627" s="375"/>
      <c r="BA627" s="375"/>
      <c r="BB627" s="375"/>
      <c r="BC627" s="375"/>
      <c r="BD627" s="375"/>
      <c r="BE627" s="375"/>
      <c r="BF627" s="375">
        <v>7.1249999999999994E-2</v>
      </c>
      <c r="BG627" s="375"/>
      <c r="BH627" s="375"/>
      <c r="BI627" s="373">
        <f t="shared" si="36"/>
        <v>7.1249999999999994E-2</v>
      </c>
      <c r="BT627" s="355"/>
      <c r="BU627" s="355"/>
      <c r="BV627" s="355"/>
      <c r="BW627" s="355"/>
    </row>
    <row r="628" spans="1:75" x14ac:dyDescent="0.15">
      <c r="A628" s="356"/>
      <c r="B628" s="355"/>
      <c r="C628" s="355"/>
      <c r="D628" s="355"/>
      <c r="E628" s="355"/>
      <c r="F628" s="355"/>
      <c r="G628" s="355"/>
      <c r="O628" s="356"/>
      <c r="P628" s="355"/>
      <c r="Q628" s="355"/>
      <c r="R628" s="355"/>
      <c r="S628" s="355"/>
      <c r="T628" s="355"/>
      <c r="U628" s="355"/>
      <c r="V628" s="355"/>
      <c r="W628" s="355"/>
      <c r="AG628" s="355"/>
      <c r="AH628" s="355"/>
      <c r="AI628" s="355"/>
      <c r="AJ628" s="355"/>
      <c r="AK628" s="355"/>
      <c r="AL628" s="355"/>
      <c r="AM628" s="355"/>
      <c r="AU628" s="379">
        <v>62869</v>
      </c>
      <c r="AV628" s="375"/>
      <c r="AW628" s="375"/>
      <c r="AX628" s="375"/>
      <c r="AY628" s="375"/>
      <c r="AZ628" s="375"/>
      <c r="BA628" s="375"/>
      <c r="BB628" s="375"/>
      <c r="BC628" s="375"/>
      <c r="BD628" s="375"/>
      <c r="BE628" s="375"/>
      <c r="BF628" s="375">
        <v>7.1249999999999994E-2</v>
      </c>
      <c r="BG628" s="375"/>
      <c r="BH628" s="375"/>
      <c r="BI628" s="373">
        <f t="shared" si="36"/>
        <v>7.1249999999999994E-2</v>
      </c>
      <c r="BT628" s="355"/>
      <c r="BU628" s="355"/>
      <c r="BV628" s="355"/>
      <c r="BW628" s="355"/>
    </row>
    <row r="629" spans="1:75" x14ac:dyDescent="0.15">
      <c r="A629" s="356"/>
      <c r="B629" s="355"/>
      <c r="C629" s="355"/>
      <c r="D629" s="355"/>
      <c r="E629" s="355"/>
      <c r="F629" s="355"/>
      <c r="G629" s="355"/>
      <c r="O629" s="356"/>
      <c r="P629" s="355"/>
      <c r="Q629" s="355"/>
      <c r="R629" s="355"/>
      <c r="S629" s="355"/>
      <c r="T629" s="355"/>
      <c r="U629" s="355"/>
      <c r="V629" s="355"/>
      <c r="W629" s="355"/>
      <c r="AG629" s="355"/>
      <c r="AH629" s="355"/>
      <c r="AI629" s="355"/>
      <c r="AJ629" s="355"/>
      <c r="AK629" s="355"/>
      <c r="AL629" s="355"/>
      <c r="AM629" s="355"/>
      <c r="AU629" s="379">
        <v>62898</v>
      </c>
      <c r="AV629" s="375"/>
      <c r="AW629" s="375"/>
      <c r="AX629" s="375"/>
      <c r="AY629" s="375"/>
      <c r="AZ629" s="375"/>
      <c r="BA629" s="375"/>
      <c r="BB629" s="375"/>
      <c r="BC629" s="375"/>
      <c r="BD629" s="375"/>
      <c r="BE629" s="375"/>
      <c r="BF629" s="375">
        <v>7.1249999999999994E-2</v>
      </c>
      <c r="BG629" s="375"/>
      <c r="BH629" s="375"/>
      <c r="BI629" s="373">
        <f t="shared" si="36"/>
        <v>7.1249999999999994E-2</v>
      </c>
      <c r="BT629" s="355"/>
      <c r="BU629" s="355"/>
      <c r="BV629" s="355"/>
      <c r="BW629" s="355"/>
    </row>
    <row r="630" spans="1:75" x14ac:dyDescent="0.15">
      <c r="A630" s="356"/>
      <c r="B630" s="355"/>
      <c r="C630" s="355"/>
      <c r="D630" s="355"/>
      <c r="E630" s="355"/>
      <c r="F630" s="355"/>
      <c r="G630" s="355"/>
      <c r="O630" s="356"/>
      <c r="P630" s="355"/>
      <c r="Q630" s="355"/>
      <c r="R630" s="355"/>
      <c r="S630" s="355"/>
      <c r="T630" s="355"/>
      <c r="U630" s="355"/>
      <c r="V630" s="355"/>
      <c r="W630" s="355"/>
      <c r="AG630" s="355"/>
      <c r="AH630" s="355"/>
      <c r="AI630" s="355"/>
      <c r="AJ630" s="355"/>
      <c r="AK630" s="355"/>
      <c r="AL630" s="355"/>
      <c r="AM630" s="355"/>
      <c r="AU630" s="379">
        <v>62929</v>
      </c>
      <c r="AV630" s="375"/>
      <c r="AW630" s="375"/>
      <c r="AX630" s="375"/>
      <c r="AY630" s="375"/>
      <c r="AZ630" s="375"/>
      <c r="BA630" s="375"/>
      <c r="BB630" s="375"/>
      <c r="BC630" s="375"/>
      <c r="BD630" s="375"/>
      <c r="BE630" s="375"/>
      <c r="BF630" s="375">
        <v>7.1249999999999994E-2</v>
      </c>
      <c r="BG630" s="375"/>
      <c r="BH630" s="375"/>
      <c r="BI630" s="373">
        <f t="shared" si="36"/>
        <v>7.1249999999999994E-2</v>
      </c>
      <c r="BT630" s="355"/>
      <c r="BU630" s="355"/>
      <c r="BV630" s="355"/>
      <c r="BW630" s="355"/>
    </row>
    <row r="631" spans="1:75" x14ac:dyDescent="0.15">
      <c r="A631" s="356"/>
      <c r="B631" s="355"/>
      <c r="C631" s="355"/>
      <c r="D631" s="355"/>
      <c r="E631" s="355"/>
      <c r="F631" s="355"/>
      <c r="G631" s="355"/>
      <c r="O631" s="356"/>
      <c r="P631" s="355"/>
      <c r="Q631" s="355"/>
      <c r="R631" s="355"/>
      <c r="S631" s="355"/>
      <c r="T631" s="355"/>
      <c r="U631" s="355"/>
      <c r="V631" s="355"/>
      <c r="W631" s="355"/>
      <c r="AG631" s="355"/>
      <c r="AH631" s="355"/>
      <c r="AI631" s="355"/>
      <c r="AJ631" s="355"/>
      <c r="AK631" s="355"/>
      <c r="AL631" s="355"/>
      <c r="AM631" s="355"/>
      <c r="AU631" s="379">
        <v>62959</v>
      </c>
      <c r="AV631" s="375"/>
      <c r="AW631" s="375"/>
      <c r="AX631" s="375"/>
      <c r="AY631" s="375"/>
      <c r="AZ631" s="375"/>
      <c r="BA631" s="375"/>
      <c r="BB631" s="375"/>
      <c r="BC631" s="375"/>
      <c r="BD631" s="375"/>
      <c r="BE631" s="375"/>
      <c r="BF631" s="375">
        <v>7.1249999999999994E-2</v>
      </c>
      <c r="BG631" s="375"/>
      <c r="BH631" s="375"/>
      <c r="BI631" s="373">
        <f t="shared" si="36"/>
        <v>7.1249999999999994E-2</v>
      </c>
      <c r="BT631" s="355"/>
      <c r="BU631" s="355"/>
      <c r="BV631" s="355"/>
      <c r="BW631" s="355"/>
    </row>
    <row r="632" spans="1:75" x14ac:dyDescent="0.15">
      <c r="A632" s="356"/>
      <c r="B632" s="355"/>
      <c r="C632" s="355"/>
      <c r="D632" s="355"/>
      <c r="E632" s="355"/>
      <c r="F632" s="355"/>
      <c r="G632" s="355"/>
      <c r="O632" s="356"/>
      <c r="P632" s="355"/>
      <c r="Q632" s="355"/>
      <c r="R632" s="355"/>
      <c r="S632" s="355"/>
      <c r="T632" s="355"/>
      <c r="U632" s="355"/>
      <c r="V632" s="355"/>
      <c r="W632" s="355"/>
      <c r="AG632" s="355"/>
      <c r="AH632" s="355"/>
      <c r="AI632" s="355"/>
      <c r="AJ632" s="355"/>
      <c r="AK632" s="355"/>
      <c r="AL632" s="355"/>
      <c r="AM632" s="355"/>
      <c r="AU632" s="379">
        <v>62990</v>
      </c>
      <c r="AV632" s="375"/>
      <c r="AW632" s="375"/>
      <c r="AX632" s="375"/>
      <c r="AY632" s="375"/>
      <c r="AZ632" s="375"/>
      <c r="BA632" s="375"/>
      <c r="BB632" s="375"/>
      <c r="BC632" s="375"/>
      <c r="BD632" s="375"/>
      <c r="BE632" s="375"/>
      <c r="BF632" s="375">
        <v>7.1249999999999994E-2</v>
      </c>
      <c r="BG632" s="375"/>
      <c r="BH632" s="375"/>
      <c r="BI632" s="373">
        <f t="shared" si="36"/>
        <v>7.1249999999999994E-2</v>
      </c>
      <c r="BT632" s="355"/>
      <c r="BU632" s="355"/>
      <c r="BV632" s="355"/>
      <c r="BW632" s="355"/>
    </row>
    <row r="633" spans="1:75" x14ac:dyDescent="0.15">
      <c r="A633" s="356"/>
      <c r="B633" s="355"/>
      <c r="C633" s="355"/>
      <c r="D633" s="355"/>
      <c r="E633" s="355"/>
      <c r="F633" s="355"/>
      <c r="G633" s="355"/>
      <c r="O633" s="356"/>
      <c r="P633" s="355"/>
      <c r="Q633" s="355"/>
      <c r="R633" s="355"/>
      <c r="S633" s="355"/>
      <c r="T633" s="355"/>
      <c r="U633" s="355"/>
      <c r="V633" s="355"/>
      <c r="W633" s="355"/>
      <c r="AG633" s="355"/>
      <c r="AH633" s="355"/>
      <c r="AI633" s="355"/>
      <c r="AJ633" s="355"/>
      <c r="AK633" s="355"/>
      <c r="AL633" s="355"/>
      <c r="AM633" s="355"/>
      <c r="AU633" s="379">
        <v>63020</v>
      </c>
      <c r="AV633" s="375"/>
      <c r="AW633" s="375"/>
      <c r="AX633" s="375"/>
      <c r="AY633" s="375"/>
      <c r="AZ633" s="375"/>
      <c r="BA633" s="375"/>
      <c r="BB633" s="375"/>
      <c r="BC633" s="375"/>
      <c r="BD633" s="375"/>
      <c r="BE633" s="375"/>
      <c r="BF633" s="375">
        <v>7.1249999999999994E-2</v>
      </c>
      <c r="BG633" s="375"/>
      <c r="BH633" s="375"/>
      <c r="BI633" s="373">
        <f t="shared" si="36"/>
        <v>7.1249999999999994E-2</v>
      </c>
      <c r="BT633" s="355"/>
      <c r="BU633" s="355"/>
      <c r="BV633" s="355"/>
      <c r="BW633" s="355"/>
    </row>
    <row r="634" spans="1:75" x14ac:dyDescent="0.15">
      <c r="A634" s="356"/>
      <c r="B634" s="355"/>
      <c r="C634" s="355"/>
      <c r="D634" s="355"/>
      <c r="E634" s="355"/>
      <c r="F634" s="355"/>
      <c r="G634" s="355"/>
      <c r="O634" s="356"/>
      <c r="P634" s="355"/>
      <c r="Q634" s="355"/>
      <c r="R634" s="355"/>
      <c r="S634" s="355"/>
      <c r="T634" s="355"/>
      <c r="U634" s="355"/>
      <c r="V634" s="355"/>
      <c r="W634" s="355"/>
      <c r="AG634" s="355"/>
      <c r="AH634" s="355"/>
      <c r="AI634" s="355"/>
      <c r="AJ634" s="355"/>
      <c r="AK634" s="355"/>
      <c r="AL634" s="355"/>
      <c r="AM634" s="355"/>
      <c r="AU634" s="379">
        <v>63051</v>
      </c>
      <c r="AV634" s="375"/>
      <c r="AW634" s="375"/>
      <c r="AX634" s="375"/>
      <c r="AY634" s="375"/>
      <c r="AZ634" s="375"/>
      <c r="BA634" s="375"/>
      <c r="BB634" s="375"/>
      <c r="BC634" s="375"/>
      <c r="BD634" s="375"/>
      <c r="BE634" s="375"/>
      <c r="BF634" s="375">
        <v>7.1249999999999994E-2</v>
      </c>
      <c r="BG634" s="375"/>
      <c r="BH634" s="375"/>
      <c r="BI634" s="373">
        <f t="shared" si="36"/>
        <v>7.1249999999999994E-2</v>
      </c>
      <c r="BT634" s="355"/>
      <c r="BU634" s="355"/>
      <c r="BV634" s="355"/>
      <c r="BW634" s="355"/>
    </row>
    <row r="635" spans="1:75" x14ac:dyDescent="0.15">
      <c r="A635" s="356"/>
      <c r="B635" s="355"/>
      <c r="C635" s="355"/>
      <c r="D635" s="355"/>
      <c r="E635" s="355"/>
      <c r="F635" s="355"/>
      <c r="G635" s="355"/>
      <c r="O635" s="356"/>
      <c r="P635" s="355"/>
      <c r="Q635" s="355"/>
      <c r="R635" s="355"/>
      <c r="S635" s="355"/>
      <c r="T635" s="355"/>
      <c r="U635" s="355"/>
      <c r="V635" s="355"/>
      <c r="W635" s="355"/>
      <c r="AG635" s="355"/>
      <c r="AH635" s="355"/>
      <c r="AI635" s="355"/>
      <c r="AJ635" s="355"/>
      <c r="AK635" s="355"/>
      <c r="AL635" s="355"/>
      <c r="AM635" s="355"/>
      <c r="AU635" s="379">
        <v>63082</v>
      </c>
      <c r="AV635" s="375"/>
      <c r="AW635" s="375"/>
      <c r="AX635" s="375"/>
      <c r="AY635" s="375"/>
      <c r="AZ635" s="375"/>
      <c r="BA635" s="375"/>
      <c r="BB635" s="375"/>
      <c r="BC635" s="375"/>
      <c r="BD635" s="375"/>
      <c r="BE635" s="375"/>
      <c r="BF635" s="375">
        <v>7.1249999999999994E-2</v>
      </c>
      <c r="BG635" s="375"/>
      <c r="BH635" s="375"/>
      <c r="BI635" s="373">
        <f t="shared" si="36"/>
        <v>7.1249999999999994E-2</v>
      </c>
      <c r="BT635" s="355"/>
      <c r="BU635" s="355"/>
      <c r="BV635" s="355"/>
      <c r="BW635" s="355"/>
    </row>
    <row r="636" spans="1:75" x14ac:dyDescent="0.15">
      <c r="A636" s="356"/>
      <c r="B636" s="355"/>
      <c r="C636" s="355"/>
      <c r="D636" s="355"/>
      <c r="E636" s="355"/>
      <c r="F636" s="355"/>
      <c r="G636" s="355"/>
      <c r="O636" s="356"/>
      <c r="P636" s="355"/>
      <c r="Q636" s="355"/>
      <c r="R636" s="355"/>
      <c r="S636" s="355"/>
      <c r="T636" s="355"/>
      <c r="U636" s="355"/>
      <c r="V636" s="355"/>
      <c r="W636" s="355"/>
      <c r="AG636" s="355"/>
      <c r="AH636" s="355"/>
      <c r="AI636" s="355"/>
      <c r="AJ636" s="355"/>
      <c r="AK636" s="355"/>
      <c r="AL636" s="355"/>
      <c r="AM636" s="355"/>
      <c r="AU636" s="379">
        <v>63112</v>
      </c>
      <c r="AV636" s="375"/>
      <c r="AW636" s="375"/>
      <c r="AX636" s="375"/>
      <c r="AY636" s="375"/>
      <c r="AZ636" s="375"/>
      <c r="BA636" s="375"/>
      <c r="BB636" s="375"/>
      <c r="BC636" s="375"/>
      <c r="BD636" s="375"/>
      <c r="BE636" s="375"/>
      <c r="BF636" s="375">
        <v>7.1249999999999994E-2</v>
      </c>
      <c r="BG636" s="375"/>
      <c r="BH636" s="375"/>
      <c r="BI636" s="373">
        <f t="shared" si="36"/>
        <v>7.1249999999999994E-2</v>
      </c>
      <c r="BT636" s="355"/>
      <c r="BU636" s="355"/>
      <c r="BV636" s="355"/>
      <c r="BW636" s="355"/>
    </row>
    <row r="637" spans="1:75" x14ac:dyDescent="0.15">
      <c r="A637" s="356"/>
      <c r="B637" s="355"/>
      <c r="C637" s="355"/>
      <c r="D637" s="355"/>
      <c r="E637" s="355"/>
      <c r="F637" s="355"/>
      <c r="G637" s="355"/>
      <c r="O637" s="356"/>
      <c r="P637" s="355"/>
      <c r="Q637" s="355"/>
      <c r="R637" s="355"/>
      <c r="S637" s="355"/>
      <c r="T637" s="355"/>
      <c r="U637" s="355"/>
      <c r="V637" s="355"/>
      <c r="W637" s="355"/>
      <c r="AG637" s="355"/>
      <c r="AH637" s="355"/>
      <c r="AI637" s="355"/>
      <c r="AJ637" s="355"/>
      <c r="AK637" s="355"/>
      <c r="AL637" s="355"/>
      <c r="AM637" s="355"/>
      <c r="AU637" s="379">
        <v>63143</v>
      </c>
      <c r="AV637" s="375"/>
      <c r="AW637" s="375"/>
      <c r="AX637" s="375"/>
      <c r="AY637" s="375"/>
      <c r="AZ637" s="375"/>
      <c r="BA637" s="375"/>
      <c r="BB637" s="375"/>
      <c r="BC637" s="375"/>
      <c r="BD637" s="375"/>
      <c r="BE637" s="375"/>
      <c r="BF637" s="375">
        <v>7.1249999999999994E-2</v>
      </c>
      <c r="BG637" s="375"/>
      <c r="BH637" s="375"/>
      <c r="BI637" s="373">
        <f t="shared" si="36"/>
        <v>7.1249999999999994E-2</v>
      </c>
      <c r="BT637" s="355"/>
      <c r="BU637" s="355"/>
      <c r="BV637" s="355"/>
      <c r="BW637" s="355"/>
    </row>
    <row r="638" spans="1:75" x14ac:dyDescent="0.15">
      <c r="A638" s="356"/>
      <c r="B638" s="355"/>
      <c r="C638" s="355"/>
      <c r="D638" s="355"/>
      <c r="E638" s="355"/>
      <c r="F638" s="355"/>
      <c r="G638" s="355"/>
      <c r="O638" s="356"/>
      <c r="P638" s="355"/>
      <c r="Q638" s="355"/>
      <c r="R638" s="355"/>
      <c r="S638" s="355"/>
      <c r="T638" s="355"/>
      <c r="U638" s="355"/>
      <c r="V638" s="355"/>
      <c r="W638" s="355"/>
      <c r="AG638" s="355"/>
      <c r="AH638" s="355"/>
      <c r="AI638" s="355"/>
      <c r="AJ638" s="355"/>
      <c r="AK638" s="355"/>
      <c r="AL638" s="355"/>
      <c r="AM638" s="355"/>
      <c r="AU638" s="379">
        <v>63173</v>
      </c>
      <c r="AV638" s="375"/>
      <c r="AW638" s="375"/>
      <c r="AX638" s="375"/>
      <c r="AY638" s="375"/>
      <c r="AZ638" s="375"/>
      <c r="BA638" s="375"/>
      <c r="BB638" s="375"/>
      <c r="BC638" s="375"/>
      <c r="BD638" s="375"/>
      <c r="BE638" s="375"/>
      <c r="BF638" s="375">
        <v>7.1249999999999994E-2</v>
      </c>
      <c r="BG638" s="375"/>
      <c r="BH638" s="375"/>
      <c r="BI638" s="373">
        <f t="shared" si="36"/>
        <v>7.1249999999999994E-2</v>
      </c>
      <c r="BT638" s="355"/>
      <c r="BU638" s="355"/>
      <c r="BV638" s="355"/>
      <c r="BW638" s="355"/>
    </row>
    <row r="639" spans="1:75" x14ac:dyDescent="0.15">
      <c r="A639" s="356"/>
      <c r="B639" s="355"/>
      <c r="C639" s="355"/>
      <c r="D639" s="355"/>
      <c r="E639" s="355"/>
      <c r="F639" s="355"/>
      <c r="G639" s="355"/>
      <c r="O639" s="356"/>
      <c r="P639" s="355"/>
      <c r="Q639" s="355"/>
      <c r="R639" s="355"/>
      <c r="S639" s="355"/>
      <c r="T639" s="355"/>
      <c r="U639" s="355"/>
      <c r="V639" s="355"/>
      <c r="W639" s="355"/>
      <c r="AG639" s="355"/>
      <c r="AH639" s="355"/>
      <c r="AI639" s="355"/>
      <c r="AJ639" s="355"/>
      <c r="AK639" s="355"/>
      <c r="AL639" s="355"/>
      <c r="AM639" s="355"/>
      <c r="AU639" s="379">
        <v>63204</v>
      </c>
      <c r="AV639" s="375"/>
      <c r="AW639" s="375"/>
      <c r="AX639" s="375"/>
      <c r="AY639" s="375"/>
      <c r="AZ639" s="375"/>
      <c r="BA639" s="375"/>
      <c r="BB639" s="375"/>
      <c r="BC639" s="375"/>
      <c r="BD639" s="375"/>
      <c r="BE639" s="375"/>
      <c r="BF639" s="375">
        <v>7.1249999999999994E-2</v>
      </c>
      <c r="BG639" s="375"/>
      <c r="BH639" s="375"/>
      <c r="BI639" s="373">
        <f t="shared" si="36"/>
        <v>7.1249999999999994E-2</v>
      </c>
      <c r="BT639" s="355"/>
      <c r="BU639" s="355"/>
      <c r="BV639" s="355"/>
      <c r="BW639" s="355"/>
    </row>
    <row r="640" spans="1:75" x14ac:dyDescent="0.15">
      <c r="A640" s="356"/>
      <c r="B640" s="355"/>
      <c r="C640" s="355"/>
      <c r="D640" s="355"/>
      <c r="E640" s="355"/>
      <c r="F640" s="355"/>
      <c r="G640" s="355"/>
      <c r="O640" s="356"/>
      <c r="P640" s="355"/>
      <c r="Q640" s="355"/>
      <c r="R640" s="355"/>
      <c r="S640" s="355"/>
      <c r="T640" s="355"/>
      <c r="U640" s="355"/>
      <c r="V640" s="355"/>
      <c r="W640" s="355"/>
      <c r="AG640" s="355"/>
      <c r="AH640" s="355"/>
      <c r="AI640" s="355"/>
      <c r="AJ640" s="355"/>
      <c r="AK640" s="355"/>
      <c r="AL640" s="355"/>
      <c r="AM640" s="355"/>
      <c r="AU640" s="379">
        <v>63235</v>
      </c>
      <c r="AV640" s="375"/>
      <c r="AW640" s="375"/>
      <c r="AX640" s="375"/>
      <c r="AY640" s="375"/>
      <c r="AZ640" s="375"/>
      <c r="BA640" s="375"/>
      <c r="BB640" s="375"/>
      <c r="BC640" s="375"/>
      <c r="BD640" s="375"/>
      <c r="BE640" s="375"/>
      <c r="BF640" s="375">
        <v>7.1249999999999994E-2</v>
      </c>
      <c r="BG640" s="375"/>
      <c r="BH640" s="375"/>
      <c r="BI640" s="373">
        <f t="shared" si="36"/>
        <v>7.1249999999999994E-2</v>
      </c>
      <c r="BT640" s="355"/>
      <c r="BU640" s="355"/>
      <c r="BV640" s="355"/>
      <c r="BW640" s="355"/>
    </row>
    <row r="641" spans="1:75" x14ac:dyDescent="0.15">
      <c r="A641" s="356"/>
      <c r="B641" s="355"/>
      <c r="C641" s="355"/>
      <c r="D641" s="355"/>
      <c r="E641" s="355"/>
      <c r="F641" s="355"/>
      <c r="G641" s="355"/>
      <c r="O641" s="356"/>
      <c r="P641" s="355"/>
      <c r="Q641" s="355"/>
      <c r="R641" s="355"/>
      <c r="S641" s="355"/>
      <c r="T641" s="355"/>
      <c r="U641" s="355"/>
      <c r="V641" s="355"/>
      <c r="W641" s="355"/>
      <c r="AG641" s="355"/>
      <c r="AH641" s="355"/>
      <c r="AI641" s="355"/>
      <c r="AJ641" s="355"/>
      <c r="AK641" s="355"/>
      <c r="AL641" s="355"/>
      <c r="AM641" s="355"/>
      <c r="AU641" s="379">
        <v>63263</v>
      </c>
      <c r="AV641" s="375"/>
      <c r="AW641" s="375"/>
      <c r="AX641" s="375"/>
      <c r="AY641" s="375"/>
      <c r="AZ641" s="375"/>
      <c r="BA641" s="375"/>
      <c r="BB641" s="375"/>
      <c r="BC641" s="375"/>
      <c r="BD641" s="375"/>
      <c r="BE641" s="375"/>
      <c r="BF641" s="375">
        <v>7.1249999999999994E-2</v>
      </c>
      <c r="BG641" s="375"/>
      <c r="BH641" s="375"/>
      <c r="BI641" s="373">
        <f t="shared" si="36"/>
        <v>7.1249999999999994E-2</v>
      </c>
      <c r="BT641" s="355"/>
      <c r="BU641" s="355"/>
      <c r="BV641" s="355"/>
      <c r="BW641" s="355"/>
    </row>
    <row r="642" spans="1:75" x14ac:dyDescent="0.15">
      <c r="A642" s="356"/>
      <c r="B642" s="355"/>
      <c r="C642" s="355"/>
      <c r="D642" s="355"/>
      <c r="E642" s="355"/>
      <c r="F642" s="355"/>
      <c r="G642" s="355"/>
      <c r="O642" s="356"/>
      <c r="P642" s="355"/>
      <c r="Q642" s="355"/>
      <c r="R642" s="355"/>
      <c r="S642" s="355"/>
      <c r="T642" s="355"/>
      <c r="U642" s="355"/>
      <c r="V642" s="355"/>
      <c r="W642" s="355"/>
      <c r="AG642" s="355"/>
      <c r="AH642" s="355"/>
      <c r="AI642" s="355"/>
      <c r="AJ642" s="355"/>
      <c r="AK642" s="355"/>
      <c r="AL642" s="355"/>
      <c r="AM642" s="355"/>
      <c r="AU642" s="379">
        <v>63294</v>
      </c>
      <c r="AV642" s="375"/>
      <c r="AW642" s="375"/>
      <c r="AX642" s="375"/>
      <c r="AY642" s="375"/>
      <c r="AZ642" s="375"/>
      <c r="BA642" s="375"/>
      <c r="BB642" s="375"/>
      <c r="BC642" s="375"/>
      <c r="BD642" s="375"/>
      <c r="BE642" s="375"/>
      <c r="BF642" s="375">
        <v>7.1249999999999994E-2</v>
      </c>
      <c r="BG642" s="375"/>
      <c r="BH642" s="375"/>
      <c r="BI642" s="373">
        <f t="shared" si="36"/>
        <v>7.1249999999999994E-2</v>
      </c>
      <c r="BT642" s="355"/>
      <c r="BU642" s="355"/>
      <c r="BV642" s="355"/>
      <c r="BW642" s="355"/>
    </row>
    <row r="643" spans="1:75" x14ac:dyDescent="0.15">
      <c r="A643" s="356"/>
      <c r="B643" s="355"/>
      <c r="C643" s="355"/>
      <c r="D643" s="355"/>
      <c r="E643" s="355"/>
      <c r="F643" s="355"/>
      <c r="G643" s="355"/>
      <c r="O643" s="356"/>
      <c r="P643" s="355"/>
      <c r="Q643" s="355"/>
      <c r="R643" s="355"/>
      <c r="S643" s="355"/>
      <c r="T643" s="355"/>
      <c r="U643" s="355"/>
      <c r="V643" s="355"/>
      <c r="W643" s="355"/>
      <c r="AG643" s="355"/>
      <c r="AH643" s="355"/>
      <c r="AI643" s="355"/>
      <c r="AJ643" s="355"/>
      <c r="AK643" s="355"/>
      <c r="AL643" s="355"/>
      <c r="AM643" s="355"/>
      <c r="AU643" s="379">
        <v>63324</v>
      </c>
      <c r="AV643" s="375"/>
      <c r="AW643" s="375"/>
      <c r="AX643" s="375"/>
      <c r="AY643" s="375"/>
      <c r="AZ643" s="375"/>
      <c r="BA643" s="375"/>
      <c r="BB643" s="375"/>
      <c r="BC643" s="375"/>
      <c r="BD643" s="375"/>
      <c r="BE643" s="375"/>
      <c r="BF643" s="375">
        <v>7.1249999999999994E-2</v>
      </c>
      <c r="BG643" s="375"/>
      <c r="BH643" s="375"/>
      <c r="BI643" s="373">
        <f t="shared" si="36"/>
        <v>7.1249999999999994E-2</v>
      </c>
      <c r="BT643" s="355"/>
      <c r="BU643" s="355"/>
      <c r="BV643" s="355"/>
      <c r="BW643" s="355"/>
    </row>
    <row r="644" spans="1:75" x14ac:dyDescent="0.15">
      <c r="A644" s="356"/>
      <c r="B644" s="355"/>
      <c r="C644" s="355"/>
      <c r="D644" s="355"/>
      <c r="E644" s="355"/>
      <c r="F644" s="355"/>
      <c r="G644" s="355"/>
      <c r="O644" s="356"/>
      <c r="P644" s="355"/>
      <c r="Q644" s="355"/>
      <c r="R644" s="355"/>
      <c r="S644" s="355"/>
      <c r="T644" s="355"/>
      <c r="U644" s="355"/>
      <c r="V644" s="355"/>
      <c r="W644" s="355"/>
      <c r="AG644" s="355"/>
      <c r="AH644" s="355"/>
      <c r="AI644" s="355"/>
      <c r="AJ644" s="355"/>
      <c r="AK644" s="355"/>
      <c r="AL644" s="355"/>
      <c r="AM644" s="355"/>
      <c r="AU644" s="379">
        <v>63355</v>
      </c>
      <c r="AV644" s="375"/>
      <c r="AW644" s="375"/>
      <c r="AX644" s="375"/>
      <c r="AY644" s="375"/>
      <c r="AZ644" s="375"/>
      <c r="BA644" s="375"/>
      <c r="BB644" s="375"/>
      <c r="BC644" s="375"/>
      <c r="BD644" s="375"/>
      <c r="BE644" s="375"/>
      <c r="BF644" s="375">
        <v>7.1249999999999994E-2</v>
      </c>
      <c r="BG644" s="375"/>
      <c r="BH644" s="375"/>
      <c r="BI644" s="373">
        <f t="shared" si="36"/>
        <v>7.1249999999999994E-2</v>
      </c>
      <c r="BT644" s="355"/>
      <c r="BU644" s="355"/>
      <c r="BV644" s="355"/>
      <c r="BW644" s="355"/>
    </row>
    <row r="645" spans="1:75" x14ac:dyDescent="0.15">
      <c r="A645" s="356"/>
      <c r="B645" s="355"/>
      <c r="C645" s="355"/>
      <c r="D645" s="355"/>
      <c r="E645" s="355"/>
      <c r="F645" s="355"/>
      <c r="G645" s="355"/>
      <c r="O645" s="356"/>
      <c r="P645" s="355"/>
      <c r="Q645" s="355"/>
      <c r="R645" s="355"/>
      <c r="S645" s="355"/>
      <c r="T645" s="355"/>
      <c r="U645" s="355"/>
      <c r="V645" s="355"/>
      <c r="W645" s="355"/>
      <c r="AG645" s="355"/>
      <c r="AH645" s="355"/>
      <c r="AI645" s="355"/>
      <c r="AJ645" s="355"/>
      <c r="AK645" s="355"/>
      <c r="AL645" s="355"/>
      <c r="AM645" s="355"/>
      <c r="AU645" s="379">
        <v>63385</v>
      </c>
      <c r="AV645" s="375"/>
      <c r="AW645" s="375"/>
      <c r="AX645" s="375"/>
      <c r="AY645" s="375"/>
      <c r="AZ645" s="375"/>
      <c r="BA645" s="375"/>
      <c r="BB645" s="375"/>
      <c r="BC645" s="375"/>
      <c r="BD645" s="375"/>
      <c r="BE645" s="375"/>
      <c r="BF645" s="375">
        <v>7.1249999999999994E-2</v>
      </c>
      <c r="BG645" s="375"/>
      <c r="BH645" s="375"/>
      <c r="BI645" s="373">
        <f t="shared" si="36"/>
        <v>7.1249999999999994E-2</v>
      </c>
      <c r="BT645" s="355"/>
      <c r="BU645" s="355"/>
      <c r="BV645" s="355"/>
      <c r="BW645" s="355"/>
    </row>
    <row r="646" spans="1:75" x14ac:dyDescent="0.15">
      <c r="A646" s="356"/>
      <c r="B646" s="355"/>
      <c r="C646" s="355"/>
      <c r="D646" s="355"/>
      <c r="E646" s="355"/>
      <c r="F646" s="355"/>
      <c r="G646" s="355"/>
      <c r="O646" s="356"/>
      <c r="P646" s="355"/>
      <c r="Q646" s="355"/>
      <c r="R646" s="355"/>
      <c r="S646" s="355"/>
      <c r="T646" s="355"/>
      <c r="U646" s="355"/>
      <c r="V646" s="355"/>
      <c r="W646" s="355"/>
      <c r="AG646" s="355"/>
      <c r="AH646" s="355"/>
      <c r="AI646" s="355"/>
      <c r="AJ646" s="355"/>
      <c r="AK646" s="355"/>
      <c r="AL646" s="355"/>
      <c r="AM646" s="355"/>
      <c r="AU646" s="379">
        <v>63416</v>
      </c>
      <c r="AV646" s="375"/>
      <c r="AW646" s="375"/>
      <c r="AX646" s="375"/>
      <c r="AY646" s="375"/>
      <c r="AZ646" s="375"/>
      <c r="BA646" s="375"/>
      <c r="BB646" s="375"/>
      <c r="BC646" s="375"/>
      <c r="BD646" s="375"/>
      <c r="BE646" s="375"/>
      <c r="BF646" s="375">
        <v>7.1249999999999994E-2</v>
      </c>
      <c r="BG646" s="375"/>
      <c r="BH646" s="375"/>
      <c r="BI646" s="373">
        <f t="shared" si="36"/>
        <v>7.1249999999999994E-2</v>
      </c>
      <c r="BT646" s="355"/>
      <c r="BU646" s="355"/>
      <c r="BV646" s="355"/>
      <c r="BW646" s="355"/>
    </row>
    <row r="647" spans="1:75" x14ac:dyDescent="0.15">
      <c r="A647" s="356"/>
      <c r="B647" s="355"/>
      <c r="C647" s="355"/>
      <c r="D647" s="355"/>
      <c r="E647" s="355"/>
      <c r="F647" s="355"/>
      <c r="G647" s="355"/>
      <c r="O647" s="356"/>
      <c r="P647" s="355"/>
      <c r="Q647" s="355"/>
      <c r="R647" s="355"/>
      <c r="S647" s="355"/>
      <c r="T647" s="355"/>
      <c r="U647" s="355"/>
      <c r="V647" s="355"/>
      <c r="W647" s="355"/>
      <c r="AG647" s="355"/>
      <c r="AH647" s="355"/>
      <c r="AI647" s="355"/>
      <c r="AJ647" s="355"/>
      <c r="AK647" s="355"/>
      <c r="AL647" s="355"/>
      <c r="AM647" s="355"/>
      <c r="AU647" s="379">
        <v>63447</v>
      </c>
      <c r="AV647" s="375"/>
      <c r="AW647" s="375"/>
      <c r="AX647" s="375"/>
      <c r="AY647" s="375"/>
      <c r="AZ647" s="375"/>
      <c r="BA647" s="375"/>
      <c r="BB647" s="375"/>
      <c r="BC647" s="375"/>
      <c r="BD647" s="375"/>
      <c r="BE647" s="375"/>
      <c r="BF647" s="375">
        <v>7.1249999999999994E-2</v>
      </c>
      <c r="BG647" s="375"/>
      <c r="BH647" s="375"/>
      <c r="BI647" s="373">
        <f t="shared" ref="BI647:BI710" si="37">+AVERAGE(AV647:BH647)</f>
        <v>7.1249999999999994E-2</v>
      </c>
      <c r="BT647" s="355"/>
      <c r="BU647" s="355"/>
      <c r="BV647" s="355"/>
      <c r="BW647" s="355"/>
    </row>
    <row r="648" spans="1:75" x14ac:dyDescent="0.15">
      <c r="A648" s="356"/>
      <c r="B648" s="355"/>
      <c r="C648" s="355"/>
      <c r="D648" s="355"/>
      <c r="E648" s="355"/>
      <c r="F648" s="355"/>
      <c r="G648" s="355"/>
      <c r="O648" s="356"/>
      <c r="P648" s="355"/>
      <c r="Q648" s="355"/>
      <c r="R648" s="355"/>
      <c r="S648" s="355"/>
      <c r="T648" s="355"/>
      <c r="U648" s="355"/>
      <c r="V648" s="355"/>
      <c r="W648" s="355"/>
      <c r="AG648" s="355"/>
      <c r="AH648" s="355"/>
      <c r="AI648" s="355"/>
      <c r="AJ648" s="355"/>
      <c r="AK648" s="355"/>
      <c r="AL648" s="355"/>
      <c r="AM648" s="355"/>
      <c r="AU648" s="379">
        <v>63477</v>
      </c>
      <c r="AV648" s="375"/>
      <c r="AW648" s="375"/>
      <c r="AX648" s="375"/>
      <c r="AY648" s="375"/>
      <c r="AZ648" s="375"/>
      <c r="BA648" s="375"/>
      <c r="BB648" s="375"/>
      <c r="BC648" s="375"/>
      <c r="BD648" s="375"/>
      <c r="BE648" s="375"/>
      <c r="BF648" s="375">
        <v>7.1249999999999994E-2</v>
      </c>
      <c r="BG648" s="375"/>
      <c r="BH648" s="375"/>
      <c r="BI648" s="373">
        <f t="shared" si="37"/>
        <v>7.1249999999999994E-2</v>
      </c>
      <c r="BT648" s="355"/>
      <c r="BU648" s="355"/>
      <c r="BV648" s="355"/>
      <c r="BW648" s="355"/>
    </row>
    <row r="649" spans="1:75" x14ac:dyDescent="0.15">
      <c r="A649" s="356"/>
      <c r="B649" s="355"/>
      <c r="C649" s="355"/>
      <c r="D649" s="355"/>
      <c r="E649" s="355"/>
      <c r="F649" s="355"/>
      <c r="G649" s="355"/>
      <c r="O649" s="356"/>
      <c r="P649" s="355"/>
      <c r="Q649" s="355"/>
      <c r="R649" s="355"/>
      <c r="S649" s="355"/>
      <c r="T649" s="355"/>
      <c r="U649" s="355"/>
      <c r="V649" s="355"/>
      <c r="W649" s="355"/>
      <c r="AG649" s="355"/>
      <c r="AH649" s="355"/>
      <c r="AI649" s="355"/>
      <c r="AJ649" s="355"/>
      <c r="AK649" s="355"/>
      <c r="AL649" s="355"/>
      <c r="AM649" s="355"/>
      <c r="AU649" s="379">
        <v>63508</v>
      </c>
      <c r="AV649" s="375"/>
      <c r="AW649" s="375"/>
      <c r="AX649" s="375"/>
      <c r="AY649" s="375"/>
      <c r="AZ649" s="375"/>
      <c r="BA649" s="375"/>
      <c r="BB649" s="375"/>
      <c r="BC649" s="375"/>
      <c r="BD649" s="375"/>
      <c r="BE649" s="375"/>
      <c r="BF649" s="375">
        <v>7.1249999999999994E-2</v>
      </c>
      <c r="BG649" s="375"/>
      <c r="BH649" s="375"/>
      <c r="BI649" s="373">
        <f t="shared" si="37"/>
        <v>7.1249999999999994E-2</v>
      </c>
      <c r="BT649" s="355"/>
      <c r="BU649" s="355"/>
      <c r="BV649" s="355"/>
      <c r="BW649" s="355"/>
    </row>
    <row r="650" spans="1:75" x14ac:dyDescent="0.15">
      <c r="A650" s="356"/>
      <c r="B650" s="355"/>
      <c r="C650" s="355"/>
      <c r="D650" s="355"/>
      <c r="E650" s="355"/>
      <c r="F650" s="355"/>
      <c r="G650" s="355"/>
      <c r="O650" s="356"/>
      <c r="P650" s="355"/>
      <c r="Q650" s="355"/>
      <c r="R650" s="355"/>
      <c r="S650" s="355"/>
      <c r="T650" s="355"/>
      <c r="U650" s="355"/>
      <c r="V650" s="355"/>
      <c r="W650" s="355"/>
      <c r="AG650" s="355"/>
      <c r="AH650" s="355"/>
      <c r="AI650" s="355"/>
      <c r="AJ650" s="355"/>
      <c r="AK650" s="355"/>
      <c r="AL650" s="355"/>
      <c r="AM650" s="355"/>
      <c r="AU650" s="379">
        <v>63538</v>
      </c>
      <c r="AV650" s="375"/>
      <c r="AW650" s="375"/>
      <c r="AX650" s="375"/>
      <c r="AY650" s="375"/>
      <c r="AZ650" s="375"/>
      <c r="BA650" s="375"/>
      <c r="BB650" s="375"/>
      <c r="BC650" s="375"/>
      <c r="BD650" s="375"/>
      <c r="BE650" s="375"/>
      <c r="BF650" s="375">
        <v>7.1249999999999994E-2</v>
      </c>
      <c r="BG650" s="375"/>
      <c r="BH650" s="375"/>
      <c r="BI650" s="373">
        <f t="shared" si="37"/>
        <v>7.1249999999999994E-2</v>
      </c>
      <c r="BT650" s="355"/>
      <c r="BU650" s="355"/>
      <c r="BV650" s="355"/>
      <c r="BW650" s="355"/>
    </row>
    <row r="651" spans="1:75" x14ac:dyDescent="0.15">
      <c r="A651" s="356"/>
      <c r="B651" s="355"/>
      <c r="C651" s="355"/>
      <c r="D651" s="355"/>
      <c r="E651" s="355"/>
      <c r="F651" s="355"/>
      <c r="G651" s="355"/>
      <c r="O651" s="356"/>
      <c r="P651" s="355"/>
      <c r="Q651" s="355"/>
      <c r="R651" s="355"/>
      <c r="S651" s="355"/>
      <c r="T651" s="355"/>
      <c r="U651" s="355"/>
      <c r="V651" s="355"/>
      <c r="W651" s="355"/>
      <c r="AG651" s="355"/>
      <c r="AH651" s="355"/>
      <c r="AI651" s="355"/>
      <c r="AJ651" s="355"/>
      <c r="AK651" s="355"/>
      <c r="AL651" s="355"/>
      <c r="AM651" s="355"/>
      <c r="AU651" s="379">
        <v>63569</v>
      </c>
      <c r="AV651" s="375"/>
      <c r="AW651" s="375"/>
      <c r="AX651" s="375"/>
      <c r="AY651" s="375"/>
      <c r="AZ651" s="375"/>
      <c r="BA651" s="375"/>
      <c r="BB651" s="375"/>
      <c r="BC651" s="375"/>
      <c r="BD651" s="375"/>
      <c r="BE651" s="375"/>
      <c r="BF651" s="375">
        <v>7.1249999999999994E-2</v>
      </c>
      <c r="BG651" s="375"/>
      <c r="BH651" s="375"/>
      <c r="BI651" s="373">
        <f t="shared" si="37"/>
        <v>7.1249999999999994E-2</v>
      </c>
      <c r="BT651" s="355"/>
      <c r="BU651" s="355"/>
      <c r="BV651" s="355"/>
      <c r="BW651" s="355"/>
    </row>
    <row r="652" spans="1:75" x14ac:dyDescent="0.15">
      <c r="A652" s="356"/>
      <c r="B652" s="355"/>
      <c r="C652" s="355"/>
      <c r="D652" s="355"/>
      <c r="E652" s="355"/>
      <c r="F652" s="355"/>
      <c r="G652" s="355"/>
      <c r="O652" s="356"/>
      <c r="P652" s="355"/>
      <c r="Q652" s="355"/>
      <c r="R652" s="355"/>
      <c r="S652" s="355"/>
      <c r="T652" s="355"/>
      <c r="U652" s="355"/>
      <c r="V652" s="355"/>
      <c r="W652" s="355"/>
      <c r="AG652" s="355"/>
      <c r="AH652" s="355"/>
      <c r="AI652" s="355"/>
      <c r="AJ652" s="355"/>
      <c r="AK652" s="355"/>
      <c r="AL652" s="355"/>
      <c r="AM652" s="355"/>
      <c r="AU652" s="379">
        <v>63600</v>
      </c>
      <c r="AV652" s="375"/>
      <c r="AW652" s="375"/>
      <c r="AX652" s="375"/>
      <c r="AY652" s="375"/>
      <c r="AZ652" s="375"/>
      <c r="BA652" s="375"/>
      <c r="BB652" s="375"/>
      <c r="BC652" s="375"/>
      <c r="BD652" s="375"/>
      <c r="BE652" s="375"/>
      <c r="BF652" s="375">
        <v>7.1249999999999994E-2</v>
      </c>
      <c r="BG652" s="375"/>
      <c r="BH652" s="375"/>
      <c r="BI652" s="373">
        <f t="shared" si="37"/>
        <v>7.1249999999999994E-2</v>
      </c>
      <c r="BT652" s="355"/>
      <c r="BU652" s="355"/>
      <c r="BV652" s="355"/>
      <c r="BW652" s="355"/>
    </row>
    <row r="653" spans="1:75" x14ac:dyDescent="0.15">
      <c r="A653" s="356"/>
      <c r="B653" s="355"/>
      <c r="C653" s="355"/>
      <c r="D653" s="355"/>
      <c r="E653" s="355"/>
      <c r="F653" s="355"/>
      <c r="G653" s="355"/>
      <c r="O653" s="356"/>
      <c r="P653" s="355"/>
      <c r="Q653" s="355"/>
      <c r="R653" s="355"/>
      <c r="S653" s="355"/>
      <c r="T653" s="355"/>
      <c r="U653" s="355"/>
      <c r="V653" s="355"/>
      <c r="W653" s="355"/>
      <c r="AG653" s="355"/>
      <c r="AH653" s="355"/>
      <c r="AI653" s="355"/>
      <c r="AJ653" s="355"/>
      <c r="AK653" s="355"/>
      <c r="AL653" s="355"/>
      <c r="AM653" s="355"/>
      <c r="AU653" s="379">
        <v>63628</v>
      </c>
      <c r="AV653" s="375"/>
      <c r="AW653" s="375"/>
      <c r="AX653" s="375"/>
      <c r="AY653" s="375"/>
      <c r="AZ653" s="375"/>
      <c r="BA653" s="375"/>
      <c r="BB653" s="375"/>
      <c r="BC653" s="375"/>
      <c r="BD653" s="375"/>
      <c r="BE653" s="375"/>
      <c r="BF653" s="375">
        <v>7.1249999999999994E-2</v>
      </c>
      <c r="BG653" s="375"/>
      <c r="BH653" s="375"/>
      <c r="BI653" s="373">
        <f t="shared" si="37"/>
        <v>7.1249999999999994E-2</v>
      </c>
      <c r="BT653" s="355"/>
      <c r="BU653" s="355"/>
      <c r="BV653" s="355"/>
      <c r="BW653" s="355"/>
    </row>
    <row r="654" spans="1:75" x14ac:dyDescent="0.15">
      <c r="A654" s="356"/>
      <c r="B654" s="355"/>
      <c r="C654" s="355"/>
      <c r="D654" s="355"/>
      <c r="E654" s="355"/>
      <c r="F654" s="355"/>
      <c r="G654" s="355"/>
      <c r="O654" s="356"/>
      <c r="P654" s="355"/>
      <c r="Q654" s="355"/>
      <c r="R654" s="355"/>
      <c r="S654" s="355"/>
      <c r="T654" s="355"/>
      <c r="U654" s="355"/>
      <c r="V654" s="355"/>
      <c r="W654" s="355"/>
      <c r="AG654" s="355"/>
      <c r="AH654" s="355"/>
      <c r="AI654" s="355"/>
      <c r="AJ654" s="355"/>
      <c r="AK654" s="355"/>
      <c r="AL654" s="355"/>
      <c r="AM654" s="355"/>
      <c r="AU654" s="379">
        <v>63659</v>
      </c>
      <c r="AV654" s="375"/>
      <c r="AW654" s="375"/>
      <c r="AX654" s="375"/>
      <c r="AY654" s="375"/>
      <c r="AZ654" s="375"/>
      <c r="BA654" s="375"/>
      <c r="BB654" s="375"/>
      <c r="BC654" s="375"/>
      <c r="BD654" s="375"/>
      <c r="BE654" s="375"/>
      <c r="BF654" s="375">
        <v>7.1249999999999994E-2</v>
      </c>
      <c r="BG654" s="375"/>
      <c r="BH654" s="375"/>
      <c r="BI654" s="373">
        <f t="shared" si="37"/>
        <v>7.1249999999999994E-2</v>
      </c>
      <c r="BT654" s="355"/>
      <c r="BU654" s="355"/>
      <c r="BV654" s="355"/>
      <c r="BW654" s="355"/>
    </row>
    <row r="655" spans="1:75" x14ac:dyDescent="0.15">
      <c r="A655" s="356"/>
      <c r="B655" s="355"/>
      <c r="C655" s="355"/>
      <c r="D655" s="355"/>
      <c r="E655" s="355"/>
      <c r="F655" s="355"/>
      <c r="G655" s="355"/>
      <c r="O655" s="356"/>
      <c r="P655" s="355"/>
      <c r="Q655" s="355"/>
      <c r="R655" s="355"/>
      <c r="S655" s="355"/>
      <c r="T655" s="355"/>
      <c r="U655" s="355"/>
      <c r="V655" s="355"/>
      <c r="W655" s="355"/>
      <c r="AG655" s="355"/>
      <c r="AH655" s="355"/>
      <c r="AI655" s="355"/>
      <c r="AJ655" s="355"/>
      <c r="AK655" s="355"/>
      <c r="AL655" s="355"/>
      <c r="AM655" s="355"/>
      <c r="AU655" s="379">
        <v>63689</v>
      </c>
      <c r="AV655" s="375"/>
      <c r="AW655" s="375"/>
      <c r="AX655" s="375"/>
      <c r="AY655" s="375"/>
      <c r="AZ655" s="375"/>
      <c r="BA655" s="375"/>
      <c r="BB655" s="375"/>
      <c r="BC655" s="375"/>
      <c r="BD655" s="375"/>
      <c r="BE655" s="375"/>
      <c r="BF655" s="375">
        <v>7.1249999999999994E-2</v>
      </c>
      <c r="BG655" s="375"/>
      <c r="BH655" s="375"/>
      <c r="BI655" s="373">
        <f t="shared" si="37"/>
        <v>7.1249999999999994E-2</v>
      </c>
      <c r="BT655" s="355"/>
      <c r="BU655" s="355"/>
      <c r="BV655" s="355"/>
      <c r="BW655" s="355"/>
    </row>
    <row r="656" spans="1:75" x14ac:dyDescent="0.15">
      <c r="A656" s="356"/>
      <c r="B656" s="355"/>
      <c r="C656" s="355"/>
      <c r="D656" s="355"/>
      <c r="E656" s="355"/>
      <c r="F656" s="355"/>
      <c r="G656" s="355"/>
      <c r="O656" s="356"/>
      <c r="P656" s="355"/>
      <c r="Q656" s="355"/>
      <c r="R656" s="355"/>
      <c r="S656" s="355"/>
      <c r="T656" s="355"/>
      <c r="U656" s="355"/>
      <c r="V656" s="355"/>
      <c r="W656" s="355"/>
      <c r="AG656" s="355"/>
      <c r="AH656" s="355"/>
      <c r="AI656" s="355"/>
      <c r="AJ656" s="355"/>
      <c r="AK656" s="355"/>
      <c r="AL656" s="355"/>
      <c r="AM656" s="355"/>
      <c r="AU656" s="379">
        <v>63720</v>
      </c>
      <c r="AV656" s="375"/>
      <c r="AW656" s="375"/>
      <c r="AX656" s="375"/>
      <c r="AY656" s="375"/>
      <c r="AZ656" s="375"/>
      <c r="BA656" s="375"/>
      <c r="BB656" s="375"/>
      <c r="BC656" s="375"/>
      <c r="BD656" s="375"/>
      <c r="BE656" s="375"/>
      <c r="BF656" s="375">
        <v>7.1249999999999994E-2</v>
      </c>
      <c r="BG656" s="375"/>
      <c r="BH656" s="375"/>
      <c r="BI656" s="373">
        <f t="shared" si="37"/>
        <v>7.1249999999999994E-2</v>
      </c>
      <c r="BT656" s="355"/>
      <c r="BU656" s="355"/>
      <c r="BV656" s="355"/>
      <c r="BW656" s="355"/>
    </row>
    <row r="657" spans="1:75" x14ac:dyDescent="0.15">
      <c r="A657" s="356"/>
      <c r="B657" s="355"/>
      <c r="C657" s="355"/>
      <c r="D657" s="355"/>
      <c r="E657" s="355"/>
      <c r="F657" s="355"/>
      <c r="G657" s="355"/>
      <c r="O657" s="356"/>
      <c r="P657" s="355"/>
      <c r="Q657" s="355"/>
      <c r="R657" s="355"/>
      <c r="S657" s="355"/>
      <c r="T657" s="355"/>
      <c r="U657" s="355"/>
      <c r="V657" s="355"/>
      <c r="W657" s="355"/>
      <c r="AG657" s="355"/>
      <c r="AH657" s="355"/>
      <c r="AI657" s="355"/>
      <c r="AJ657" s="355"/>
      <c r="AK657" s="355"/>
      <c r="AL657" s="355"/>
      <c r="AM657" s="355"/>
      <c r="AU657" s="379">
        <v>63750</v>
      </c>
      <c r="AV657" s="375"/>
      <c r="AW657" s="375"/>
      <c r="AX657" s="375"/>
      <c r="AY657" s="375"/>
      <c r="AZ657" s="375"/>
      <c r="BA657" s="375"/>
      <c r="BB657" s="375"/>
      <c r="BC657" s="375"/>
      <c r="BD657" s="375"/>
      <c r="BE657" s="375"/>
      <c r="BF657" s="375">
        <v>7.1249999999999994E-2</v>
      </c>
      <c r="BG657" s="375"/>
      <c r="BH657" s="375"/>
      <c r="BI657" s="373">
        <f t="shared" si="37"/>
        <v>7.1249999999999994E-2</v>
      </c>
      <c r="BT657" s="355"/>
      <c r="BU657" s="355"/>
      <c r="BV657" s="355"/>
      <c r="BW657" s="355"/>
    </row>
    <row r="658" spans="1:75" x14ac:dyDescent="0.15">
      <c r="A658" s="356"/>
      <c r="B658" s="355"/>
      <c r="C658" s="355"/>
      <c r="D658" s="355"/>
      <c r="E658" s="355"/>
      <c r="F658" s="355"/>
      <c r="G658" s="355"/>
      <c r="O658" s="356"/>
      <c r="P658" s="355"/>
      <c r="Q658" s="355"/>
      <c r="R658" s="355"/>
      <c r="S658" s="355"/>
      <c r="T658" s="355"/>
      <c r="U658" s="355"/>
      <c r="V658" s="355"/>
      <c r="W658" s="355"/>
      <c r="AG658" s="355"/>
      <c r="AH658" s="355"/>
      <c r="AI658" s="355"/>
      <c r="AJ658" s="355"/>
      <c r="AK658" s="355"/>
      <c r="AL658" s="355"/>
      <c r="AM658" s="355"/>
      <c r="AU658" s="379">
        <v>63781</v>
      </c>
      <c r="AV658" s="375"/>
      <c r="AW658" s="375"/>
      <c r="AX658" s="375"/>
      <c r="AY658" s="375"/>
      <c r="AZ658" s="375"/>
      <c r="BA658" s="375"/>
      <c r="BB658" s="375"/>
      <c r="BC658" s="375"/>
      <c r="BD658" s="375"/>
      <c r="BE658" s="375"/>
      <c r="BF658" s="375">
        <v>7.1249999999999994E-2</v>
      </c>
      <c r="BG658" s="375"/>
      <c r="BH658" s="375"/>
      <c r="BI658" s="373">
        <f t="shared" si="37"/>
        <v>7.1249999999999994E-2</v>
      </c>
      <c r="BT658" s="355"/>
      <c r="BU658" s="355"/>
      <c r="BV658" s="355"/>
      <c r="BW658" s="355"/>
    </row>
    <row r="659" spans="1:75" x14ac:dyDescent="0.15">
      <c r="A659" s="356"/>
      <c r="B659" s="355"/>
      <c r="C659" s="355"/>
      <c r="D659" s="355"/>
      <c r="E659" s="355"/>
      <c r="F659" s="355"/>
      <c r="G659" s="355"/>
      <c r="O659" s="356"/>
      <c r="P659" s="355"/>
      <c r="Q659" s="355"/>
      <c r="R659" s="355"/>
      <c r="S659" s="355"/>
      <c r="T659" s="355"/>
      <c r="U659" s="355"/>
      <c r="V659" s="355"/>
      <c r="W659" s="355"/>
      <c r="AG659" s="355"/>
      <c r="AH659" s="355"/>
      <c r="AI659" s="355"/>
      <c r="AJ659" s="355"/>
      <c r="AK659" s="355"/>
      <c r="AL659" s="355"/>
      <c r="AM659" s="355"/>
      <c r="AU659" s="379">
        <v>63812</v>
      </c>
      <c r="AV659" s="375"/>
      <c r="AW659" s="375"/>
      <c r="AX659" s="375"/>
      <c r="AY659" s="375"/>
      <c r="AZ659" s="375"/>
      <c r="BA659" s="375"/>
      <c r="BB659" s="375"/>
      <c r="BC659" s="375"/>
      <c r="BD659" s="375"/>
      <c r="BE659" s="375"/>
      <c r="BF659" s="375">
        <v>7.1249999999999994E-2</v>
      </c>
      <c r="BG659" s="375"/>
      <c r="BH659" s="375"/>
      <c r="BI659" s="373">
        <f t="shared" si="37"/>
        <v>7.1249999999999994E-2</v>
      </c>
      <c r="BT659" s="355"/>
      <c r="BU659" s="355"/>
      <c r="BV659" s="355"/>
      <c r="BW659" s="355"/>
    </row>
    <row r="660" spans="1:75" x14ac:dyDescent="0.15">
      <c r="A660" s="356"/>
      <c r="B660" s="355"/>
      <c r="C660" s="355"/>
      <c r="D660" s="355"/>
      <c r="E660" s="355"/>
      <c r="F660" s="355"/>
      <c r="G660" s="355"/>
      <c r="O660" s="356"/>
      <c r="P660" s="355"/>
      <c r="Q660" s="355"/>
      <c r="R660" s="355"/>
      <c r="S660" s="355"/>
      <c r="T660" s="355"/>
      <c r="U660" s="355"/>
      <c r="V660" s="355"/>
      <c r="W660" s="355"/>
      <c r="AG660" s="355"/>
      <c r="AH660" s="355"/>
      <c r="AI660" s="355"/>
      <c r="AJ660" s="355"/>
      <c r="AK660" s="355"/>
      <c r="AL660" s="355"/>
      <c r="AM660" s="355"/>
      <c r="AU660" s="379">
        <v>63842</v>
      </c>
      <c r="AV660" s="375"/>
      <c r="AW660" s="375"/>
      <c r="AX660" s="375"/>
      <c r="AY660" s="375"/>
      <c r="AZ660" s="375"/>
      <c r="BA660" s="375"/>
      <c r="BB660" s="375"/>
      <c r="BC660" s="375"/>
      <c r="BD660" s="375"/>
      <c r="BE660" s="375"/>
      <c r="BF660" s="375">
        <v>7.1249999999999994E-2</v>
      </c>
      <c r="BG660" s="375"/>
      <c r="BH660" s="375"/>
      <c r="BI660" s="373">
        <f t="shared" si="37"/>
        <v>7.1249999999999994E-2</v>
      </c>
      <c r="BT660" s="355"/>
      <c r="BU660" s="355"/>
      <c r="BV660" s="355"/>
      <c r="BW660" s="355"/>
    </row>
    <row r="661" spans="1:75" x14ac:dyDescent="0.15">
      <c r="A661" s="356"/>
      <c r="B661" s="355"/>
      <c r="C661" s="355"/>
      <c r="D661" s="355"/>
      <c r="E661" s="355"/>
      <c r="F661" s="355"/>
      <c r="G661" s="355"/>
      <c r="O661" s="356"/>
      <c r="P661" s="355"/>
      <c r="Q661" s="355"/>
      <c r="R661" s="355"/>
      <c r="S661" s="355"/>
      <c r="T661" s="355"/>
      <c r="U661" s="355"/>
      <c r="V661" s="355"/>
      <c r="W661" s="355"/>
      <c r="AG661" s="355"/>
      <c r="AH661" s="355"/>
      <c r="AI661" s="355"/>
      <c r="AJ661" s="355"/>
      <c r="AK661" s="355"/>
      <c r="AL661" s="355"/>
      <c r="AM661" s="355"/>
      <c r="AU661" s="379">
        <v>63873</v>
      </c>
      <c r="AV661" s="375"/>
      <c r="AW661" s="375"/>
      <c r="AX661" s="375"/>
      <c r="AY661" s="375"/>
      <c r="AZ661" s="375"/>
      <c r="BA661" s="375"/>
      <c r="BB661" s="375"/>
      <c r="BC661" s="375"/>
      <c r="BD661" s="375"/>
      <c r="BE661" s="375"/>
      <c r="BF661" s="375">
        <v>7.1249999999999994E-2</v>
      </c>
      <c r="BG661" s="375"/>
      <c r="BH661" s="375"/>
      <c r="BI661" s="373">
        <f t="shared" si="37"/>
        <v>7.1249999999999994E-2</v>
      </c>
      <c r="BT661" s="355"/>
      <c r="BU661" s="355"/>
      <c r="BV661" s="355"/>
      <c r="BW661" s="355"/>
    </row>
    <row r="662" spans="1:75" x14ac:dyDescent="0.15">
      <c r="A662" s="356"/>
      <c r="B662" s="355"/>
      <c r="C662" s="355"/>
      <c r="D662" s="355"/>
      <c r="E662" s="355"/>
      <c r="F662" s="355"/>
      <c r="G662" s="355"/>
      <c r="O662" s="356"/>
      <c r="P662" s="355"/>
      <c r="Q662" s="355"/>
      <c r="R662" s="355"/>
      <c r="S662" s="355"/>
      <c r="T662" s="355"/>
      <c r="U662" s="355"/>
      <c r="V662" s="355"/>
      <c r="W662" s="355"/>
      <c r="AG662" s="355"/>
      <c r="AH662" s="355"/>
      <c r="AI662" s="355"/>
      <c r="AJ662" s="355"/>
      <c r="AK662" s="355"/>
      <c r="AL662" s="355"/>
      <c r="AM662" s="355"/>
      <c r="AU662" s="379">
        <v>63903</v>
      </c>
      <c r="AV662" s="375"/>
      <c r="AW662" s="375"/>
      <c r="AX662" s="375"/>
      <c r="AY662" s="375"/>
      <c r="AZ662" s="375"/>
      <c r="BA662" s="375"/>
      <c r="BB662" s="375"/>
      <c r="BC662" s="375"/>
      <c r="BD662" s="375"/>
      <c r="BE662" s="375"/>
      <c r="BF662" s="375">
        <v>7.1249999999999994E-2</v>
      </c>
      <c r="BG662" s="375"/>
      <c r="BH662" s="375"/>
      <c r="BI662" s="373">
        <f t="shared" si="37"/>
        <v>7.1249999999999994E-2</v>
      </c>
      <c r="BT662" s="355"/>
      <c r="BU662" s="355"/>
      <c r="BV662" s="355"/>
      <c r="BW662" s="355"/>
    </row>
    <row r="663" spans="1:75" x14ac:dyDescent="0.15">
      <c r="A663" s="356"/>
      <c r="B663" s="355"/>
      <c r="C663" s="355"/>
      <c r="D663" s="355"/>
      <c r="E663" s="355"/>
      <c r="F663" s="355"/>
      <c r="G663" s="355"/>
      <c r="O663" s="356"/>
      <c r="P663" s="355"/>
      <c r="Q663" s="355"/>
      <c r="R663" s="355"/>
      <c r="S663" s="355"/>
      <c r="T663" s="355"/>
      <c r="U663" s="355"/>
      <c r="V663" s="355"/>
      <c r="W663" s="355"/>
      <c r="AG663" s="355"/>
      <c r="AH663" s="355"/>
      <c r="AI663" s="355"/>
      <c r="AJ663" s="355"/>
      <c r="AK663" s="355"/>
      <c r="AL663" s="355"/>
      <c r="AM663" s="355"/>
      <c r="AU663" s="379">
        <v>63934</v>
      </c>
      <c r="AV663" s="375"/>
      <c r="AW663" s="375"/>
      <c r="AX663" s="375"/>
      <c r="AY663" s="375"/>
      <c r="AZ663" s="375"/>
      <c r="BA663" s="375"/>
      <c r="BB663" s="375"/>
      <c r="BC663" s="375"/>
      <c r="BD663" s="375"/>
      <c r="BE663" s="375"/>
      <c r="BF663" s="375">
        <v>7.1249999999999994E-2</v>
      </c>
      <c r="BG663" s="375"/>
      <c r="BH663" s="375"/>
      <c r="BI663" s="373">
        <f t="shared" si="37"/>
        <v>7.1249999999999994E-2</v>
      </c>
      <c r="BT663" s="355"/>
      <c r="BU663" s="355"/>
      <c r="BV663" s="355"/>
      <c r="BW663" s="355"/>
    </row>
    <row r="664" spans="1:75" x14ac:dyDescent="0.15">
      <c r="A664" s="356"/>
      <c r="B664" s="355"/>
      <c r="C664" s="355"/>
      <c r="D664" s="355"/>
      <c r="E664" s="355"/>
      <c r="F664" s="355"/>
      <c r="G664" s="355"/>
      <c r="O664" s="356"/>
      <c r="P664" s="355"/>
      <c r="Q664" s="355"/>
      <c r="R664" s="355"/>
      <c r="S664" s="355"/>
      <c r="T664" s="355"/>
      <c r="U664" s="355"/>
      <c r="V664" s="355"/>
      <c r="W664" s="355"/>
      <c r="AG664" s="355"/>
      <c r="AH664" s="355"/>
      <c r="AI664" s="355"/>
      <c r="AJ664" s="355"/>
      <c r="AK664" s="355"/>
      <c r="AL664" s="355"/>
      <c r="AM664" s="355"/>
      <c r="AU664" s="379">
        <v>63965</v>
      </c>
      <c r="AV664" s="375"/>
      <c r="AW664" s="375"/>
      <c r="AX664" s="375"/>
      <c r="AY664" s="375"/>
      <c r="AZ664" s="375"/>
      <c r="BA664" s="375"/>
      <c r="BB664" s="375"/>
      <c r="BC664" s="375"/>
      <c r="BD664" s="375"/>
      <c r="BE664" s="375"/>
      <c r="BF664" s="375">
        <v>7.1249999999999994E-2</v>
      </c>
      <c r="BG664" s="375"/>
      <c r="BH664" s="375"/>
      <c r="BI664" s="373">
        <f t="shared" si="37"/>
        <v>7.1249999999999994E-2</v>
      </c>
      <c r="BT664" s="355"/>
      <c r="BU664" s="355"/>
      <c r="BV664" s="355"/>
      <c r="BW664" s="355"/>
    </row>
    <row r="665" spans="1:75" x14ac:dyDescent="0.15">
      <c r="A665" s="356"/>
      <c r="B665" s="355"/>
      <c r="C665" s="355"/>
      <c r="D665" s="355"/>
      <c r="E665" s="355"/>
      <c r="F665" s="355"/>
      <c r="G665" s="355"/>
      <c r="O665" s="356"/>
      <c r="P665" s="355"/>
      <c r="Q665" s="355"/>
      <c r="R665" s="355"/>
      <c r="S665" s="355"/>
      <c r="T665" s="355"/>
      <c r="U665" s="355"/>
      <c r="V665" s="355"/>
      <c r="W665" s="355"/>
      <c r="AG665" s="355"/>
      <c r="AH665" s="355"/>
      <c r="AI665" s="355"/>
      <c r="AJ665" s="355"/>
      <c r="AK665" s="355"/>
      <c r="AL665" s="355"/>
      <c r="AM665" s="355"/>
      <c r="AU665" s="379">
        <v>63993</v>
      </c>
      <c r="AV665" s="375"/>
      <c r="AW665" s="375"/>
      <c r="AX665" s="375"/>
      <c r="AY665" s="375"/>
      <c r="AZ665" s="375"/>
      <c r="BA665" s="375"/>
      <c r="BB665" s="375"/>
      <c r="BC665" s="375"/>
      <c r="BD665" s="375"/>
      <c r="BE665" s="375"/>
      <c r="BF665" s="375">
        <v>7.1249999999999994E-2</v>
      </c>
      <c r="BG665" s="375"/>
      <c r="BH665" s="375"/>
      <c r="BI665" s="373">
        <f t="shared" si="37"/>
        <v>7.1249999999999994E-2</v>
      </c>
      <c r="BT665" s="355"/>
      <c r="BU665" s="355"/>
      <c r="BV665" s="355"/>
      <c r="BW665" s="355"/>
    </row>
    <row r="666" spans="1:75" x14ac:dyDescent="0.15">
      <c r="A666" s="356"/>
      <c r="B666" s="355"/>
      <c r="C666" s="355"/>
      <c r="D666" s="355"/>
      <c r="E666" s="355"/>
      <c r="F666" s="355"/>
      <c r="G666" s="355"/>
      <c r="O666" s="356"/>
      <c r="P666" s="355"/>
      <c r="Q666" s="355"/>
      <c r="R666" s="355"/>
      <c r="S666" s="355"/>
      <c r="T666" s="355"/>
      <c r="U666" s="355"/>
      <c r="V666" s="355"/>
      <c r="W666" s="355"/>
      <c r="AG666" s="355"/>
      <c r="AH666" s="355"/>
      <c r="AI666" s="355"/>
      <c r="AJ666" s="355"/>
      <c r="AK666" s="355"/>
      <c r="AL666" s="355"/>
      <c r="AM666" s="355"/>
      <c r="AU666" s="379">
        <v>64024</v>
      </c>
      <c r="AV666" s="375"/>
      <c r="AW666" s="375"/>
      <c r="AX666" s="375"/>
      <c r="AY666" s="375"/>
      <c r="AZ666" s="375"/>
      <c r="BA666" s="375"/>
      <c r="BB666" s="375"/>
      <c r="BC666" s="375"/>
      <c r="BD666" s="375"/>
      <c r="BE666" s="375"/>
      <c r="BF666" s="375">
        <v>7.1249999999999994E-2</v>
      </c>
      <c r="BG666" s="375"/>
      <c r="BH666" s="375"/>
      <c r="BI666" s="373">
        <f t="shared" si="37"/>
        <v>7.1249999999999994E-2</v>
      </c>
      <c r="BT666" s="355"/>
      <c r="BU666" s="355"/>
      <c r="BV666" s="355"/>
      <c r="BW666" s="355"/>
    </row>
    <row r="667" spans="1:75" x14ac:dyDescent="0.15">
      <c r="A667" s="356"/>
      <c r="B667" s="355"/>
      <c r="C667" s="355"/>
      <c r="D667" s="355"/>
      <c r="E667" s="355"/>
      <c r="F667" s="355"/>
      <c r="G667" s="355"/>
      <c r="O667" s="356"/>
      <c r="P667" s="355"/>
      <c r="Q667" s="355"/>
      <c r="R667" s="355"/>
      <c r="S667" s="355"/>
      <c r="T667" s="355"/>
      <c r="U667" s="355"/>
      <c r="V667" s="355"/>
      <c r="W667" s="355"/>
      <c r="AG667" s="355"/>
      <c r="AH667" s="355"/>
      <c r="AI667" s="355"/>
      <c r="AJ667" s="355"/>
      <c r="AK667" s="355"/>
      <c r="AL667" s="355"/>
      <c r="AM667" s="355"/>
      <c r="AU667" s="379">
        <v>64054</v>
      </c>
      <c r="AV667" s="375"/>
      <c r="AW667" s="375"/>
      <c r="AX667" s="375"/>
      <c r="AY667" s="375"/>
      <c r="AZ667" s="375"/>
      <c r="BA667" s="375"/>
      <c r="BB667" s="375"/>
      <c r="BC667" s="375"/>
      <c r="BD667" s="375"/>
      <c r="BE667" s="375"/>
      <c r="BF667" s="375">
        <v>7.1249999999999994E-2</v>
      </c>
      <c r="BG667" s="375"/>
      <c r="BH667" s="375"/>
      <c r="BI667" s="373">
        <f t="shared" si="37"/>
        <v>7.1249999999999994E-2</v>
      </c>
      <c r="BT667" s="355"/>
      <c r="BU667" s="355"/>
      <c r="BV667" s="355"/>
      <c r="BW667" s="355"/>
    </row>
    <row r="668" spans="1:75" x14ac:dyDescent="0.15">
      <c r="A668" s="356"/>
      <c r="B668" s="355"/>
      <c r="C668" s="355"/>
      <c r="D668" s="355"/>
      <c r="E668" s="355"/>
      <c r="F668" s="355"/>
      <c r="G668" s="355"/>
      <c r="O668" s="356"/>
      <c r="P668" s="355"/>
      <c r="Q668" s="355"/>
      <c r="R668" s="355"/>
      <c r="S668" s="355"/>
      <c r="T668" s="355"/>
      <c r="U668" s="355"/>
      <c r="V668" s="355"/>
      <c r="W668" s="355"/>
      <c r="AG668" s="355"/>
      <c r="AH668" s="355"/>
      <c r="AI668" s="355"/>
      <c r="AJ668" s="355"/>
      <c r="AK668" s="355"/>
      <c r="AL668" s="355"/>
      <c r="AM668" s="355"/>
      <c r="AU668" s="379">
        <v>64085</v>
      </c>
      <c r="AV668" s="375"/>
      <c r="AW668" s="375"/>
      <c r="AX668" s="375"/>
      <c r="AY668" s="375"/>
      <c r="AZ668" s="375"/>
      <c r="BA668" s="375"/>
      <c r="BB668" s="375"/>
      <c r="BC668" s="375"/>
      <c r="BD668" s="375"/>
      <c r="BE668" s="375"/>
      <c r="BF668" s="375">
        <v>7.1249999999999994E-2</v>
      </c>
      <c r="BG668" s="375"/>
      <c r="BH668" s="375"/>
      <c r="BI668" s="373">
        <f t="shared" si="37"/>
        <v>7.1249999999999994E-2</v>
      </c>
      <c r="BT668" s="355"/>
      <c r="BU668" s="355"/>
      <c r="BV668" s="355"/>
      <c r="BW668" s="355"/>
    </row>
    <row r="669" spans="1:75" x14ac:dyDescent="0.15">
      <c r="A669" s="356"/>
      <c r="B669" s="355"/>
      <c r="C669" s="355"/>
      <c r="D669" s="355"/>
      <c r="E669" s="355"/>
      <c r="F669" s="355"/>
      <c r="G669" s="355"/>
      <c r="O669" s="356"/>
      <c r="P669" s="355"/>
      <c r="Q669" s="355"/>
      <c r="R669" s="355"/>
      <c r="S669" s="355"/>
      <c r="T669" s="355"/>
      <c r="U669" s="355"/>
      <c r="V669" s="355"/>
      <c r="W669" s="355"/>
      <c r="AG669" s="355"/>
      <c r="AH669" s="355"/>
      <c r="AI669" s="355"/>
      <c r="AJ669" s="355"/>
      <c r="AK669" s="355"/>
      <c r="AL669" s="355"/>
      <c r="AM669" s="355"/>
      <c r="AU669" s="379">
        <v>64115</v>
      </c>
      <c r="AV669" s="375"/>
      <c r="AW669" s="375"/>
      <c r="AX669" s="375"/>
      <c r="AY669" s="375"/>
      <c r="AZ669" s="375"/>
      <c r="BA669" s="375"/>
      <c r="BB669" s="375"/>
      <c r="BC669" s="375"/>
      <c r="BD669" s="375"/>
      <c r="BE669" s="375"/>
      <c r="BF669" s="375">
        <v>7.1249999999999994E-2</v>
      </c>
      <c r="BG669" s="375"/>
      <c r="BH669" s="375"/>
      <c r="BI669" s="373">
        <f t="shared" si="37"/>
        <v>7.1249999999999994E-2</v>
      </c>
      <c r="BT669" s="355"/>
      <c r="BU669" s="355"/>
      <c r="BV669" s="355"/>
      <c r="BW669" s="355"/>
    </row>
    <row r="670" spans="1:75" x14ac:dyDescent="0.15">
      <c r="A670" s="356"/>
      <c r="B670" s="355"/>
      <c r="C670" s="355"/>
      <c r="D670" s="355"/>
      <c r="E670" s="355"/>
      <c r="F670" s="355"/>
      <c r="G670" s="355"/>
      <c r="O670" s="356"/>
      <c r="P670" s="355"/>
      <c r="Q670" s="355"/>
      <c r="R670" s="355"/>
      <c r="S670" s="355"/>
      <c r="T670" s="355"/>
      <c r="U670" s="355"/>
      <c r="V670" s="355"/>
      <c r="W670" s="355"/>
      <c r="AG670" s="355"/>
      <c r="AH670" s="355"/>
      <c r="AI670" s="355"/>
      <c r="AJ670" s="355"/>
      <c r="AK670" s="355"/>
      <c r="AL670" s="355"/>
      <c r="AM670" s="355"/>
      <c r="AU670" s="379">
        <v>64146</v>
      </c>
      <c r="AV670" s="375"/>
      <c r="AW670" s="375"/>
      <c r="AX670" s="375"/>
      <c r="AY670" s="375"/>
      <c r="AZ670" s="375"/>
      <c r="BA670" s="375"/>
      <c r="BB670" s="375"/>
      <c r="BC670" s="375"/>
      <c r="BD670" s="375"/>
      <c r="BE670" s="375"/>
      <c r="BF670" s="375">
        <v>7.1249999999999994E-2</v>
      </c>
      <c r="BG670" s="375"/>
      <c r="BH670" s="375"/>
      <c r="BI670" s="373">
        <f t="shared" si="37"/>
        <v>7.1249999999999994E-2</v>
      </c>
      <c r="BT670" s="355"/>
      <c r="BU670" s="355"/>
      <c r="BV670" s="355"/>
      <c r="BW670" s="355"/>
    </row>
    <row r="671" spans="1:75" x14ac:dyDescent="0.15">
      <c r="A671" s="356"/>
      <c r="B671" s="355"/>
      <c r="C671" s="355"/>
      <c r="D671" s="355"/>
      <c r="E671" s="355"/>
      <c r="F671" s="355"/>
      <c r="G671" s="355"/>
      <c r="O671" s="356"/>
      <c r="P671" s="355"/>
      <c r="Q671" s="355"/>
      <c r="R671" s="355"/>
      <c r="S671" s="355"/>
      <c r="T671" s="355"/>
      <c r="U671" s="355"/>
      <c r="V671" s="355"/>
      <c r="W671" s="355"/>
      <c r="AG671" s="355"/>
      <c r="AH671" s="355"/>
      <c r="AI671" s="355"/>
      <c r="AJ671" s="355"/>
      <c r="AK671" s="355"/>
      <c r="AL671" s="355"/>
      <c r="AM671" s="355"/>
      <c r="AU671" s="379">
        <v>64177</v>
      </c>
      <c r="AV671" s="375"/>
      <c r="AW671" s="375"/>
      <c r="AX671" s="375"/>
      <c r="AY671" s="375"/>
      <c r="AZ671" s="375"/>
      <c r="BA671" s="375"/>
      <c r="BB671" s="375"/>
      <c r="BC671" s="375"/>
      <c r="BD671" s="375"/>
      <c r="BE671" s="375"/>
      <c r="BF671" s="375">
        <v>7.1249999999999994E-2</v>
      </c>
      <c r="BG671" s="375"/>
      <c r="BH671" s="375"/>
      <c r="BI671" s="373">
        <f t="shared" si="37"/>
        <v>7.1249999999999994E-2</v>
      </c>
      <c r="BT671" s="355"/>
      <c r="BU671" s="355"/>
      <c r="BV671" s="355"/>
      <c r="BW671" s="355"/>
    </row>
    <row r="672" spans="1:75" x14ac:dyDescent="0.15">
      <c r="A672" s="356"/>
      <c r="B672" s="355"/>
      <c r="C672" s="355"/>
      <c r="D672" s="355"/>
      <c r="E672" s="355"/>
      <c r="F672" s="355"/>
      <c r="G672" s="355"/>
      <c r="O672" s="356"/>
      <c r="P672" s="355"/>
      <c r="Q672" s="355"/>
      <c r="R672" s="355"/>
      <c r="S672" s="355"/>
      <c r="T672" s="355"/>
      <c r="U672" s="355"/>
      <c r="V672" s="355"/>
      <c r="W672" s="355"/>
      <c r="AG672" s="355"/>
      <c r="AH672" s="355"/>
      <c r="AI672" s="355"/>
      <c r="AJ672" s="355"/>
      <c r="AK672" s="355"/>
      <c r="AL672" s="355"/>
      <c r="AM672" s="355"/>
      <c r="AU672" s="379">
        <v>64207</v>
      </c>
      <c r="AV672" s="375"/>
      <c r="AW672" s="375"/>
      <c r="AX672" s="375"/>
      <c r="AY672" s="375"/>
      <c r="AZ672" s="375"/>
      <c r="BA672" s="375"/>
      <c r="BB672" s="375"/>
      <c r="BC672" s="375"/>
      <c r="BD672" s="375"/>
      <c r="BE672" s="375"/>
      <c r="BF672" s="375">
        <v>7.1249999999999994E-2</v>
      </c>
      <c r="BG672" s="375"/>
      <c r="BH672" s="375"/>
      <c r="BI672" s="373">
        <f t="shared" si="37"/>
        <v>7.1249999999999994E-2</v>
      </c>
      <c r="BT672" s="355"/>
      <c r="BU672" s="355"/>
      <c r="BV672" s="355"/>
      <c r="BW672" s="355"/>
    </row>
    <row r="673" spans="1:75" x14ac:dyDescent="0.15">
      <c r="A673" s="356"/>
      <c r="B673" s="355"/>
      <c r="C673" s="355"/>
      <c r="D673" s="355"/>
      <c r="E673" s="355"/>
      <c r="F673" s="355"/>
      <c r="G673" s="355"/>
      <c r="O673" s="356"/>
      <c r="P673" s="355"/>
      <c r="Q673" s="355"/>
      <c r="R673" s="355"/>
      <c r="S673" s="355"/>
      <c r="T673" s="355"/>
      <c r="U673" s="355"/>
      <c r="V673" s="355"/>
      <c r="W673" s="355"/>
      <c r="AG673" s="355"/>
      <c r="AH673" s="355"/>
      <c r="AI673" s="355"/>
      <c r="AJ673" s="355"/>
      <c r="AK673" s="355"/>
      <c r="AL673" s="355"/>
      <c r="AM673" s="355"/>
      <c r="AU673" s="379">
        <v>64238</v>
      </c>
      <c r="AV673" s="375"/>
      <c r="AW673" s="375"/>
      <c r="AX673" s="375"/>
      <c r="AY673" s="375"/>
      <c r="AZ673" s="375"/>
      <c r="BA673" s="375"/>
      <c r="BB673" s="375"/>
      <c r="BC673" s="375"/>
      <c r="BD673" s="375"/>
      <c r="BE673" s="375"/>
      <c r="BF673" s="375">
        <v>7.1249999999999994E-2</v>
      </c>
      <c r="BG673" s="375"/>
      <c r="BH673" s="375"/>
      <c r="BI673" s="373">
        <f t="shared" si="37"/>
        <v>7.1249999999999994E-2</v>
      </c>
      <c r="BT673" s="355"/>
      <c r="BU673" s="355"/>
      <c r="BV673" s="355"/>
      <c r="BW673" s="355"/>
    </row>
    <row r="674" spans="1:75" x14ac:dyDescent="0.15">
      <c r="A674" s="356"/>
      <c r="B674" s="355"/>
      <c r="C674" s="355"/>
      <c r="D674" s="355"/>
      <c r="E674" s="355"/>
      <c r="F674" s="355"/>
      <c r="G674" s="355"/>
      <c r="O674" s="356"/>
      <c r="P674" s="355"/>
      <c r="Q674" s="355"/>
      <c r="R674" s="355"/>
      <c r="S674" s="355"/>
      <c r="T674" s="355"/>
      <c r="U674" s="355"/>
      <c r="V674" s="355"/>
      <c r="W674" s="355"/>
      <c r="AG674" s="355"/>
      <c r="AH674" s="355"/>
      <c r="AI674" s="355"/>
      <c r="AJ674" s="355"/>
      <c r="AK674" s="355"/>
      <c r="AL674" s="355"/>
      <c r="AM674" s="355"/>
      <c r="AU674" s="379">
        <v>64268</v>
      </c>
      <c r="AV674" s="375"/>
      <c r="AW674" s="375"/>
      <c r="AX674" s="375"/>
      <c r="AY674" s="375"/>
      <c r="AZ674" s="375"/>
      <c r="BA674" s="375"/>
      <c r="BB674" s="375"/>
      <c r="BC674" s="375"/>
      <c r="BD674" s="375"/>
      <c r="BE674" s="375"/>
      <c r="BF674" s="375">
        <v>7.1249999999999994E-2</v>
      </c>
      <c r="BG674" s="375"/>
      <c r="BH674" s="375"/>
      <c r="BI674" s="373">
        <f t="shared" si="37"/>
        <v>7.1249999999999994E-2</v>
      </c>
      <c r="BT674" s="355"/>
      <c r="BU674" s="355"/>
      <c r="BV674" s="355"/>
      <c r="BW674" s="355"/>
    </row>
    <row r="675" spans="1:75" x14ac:dyDescent="0.15">
      <c r="A675" s="356"/>
      <c r="B675" s="355"/>
      <c r="C675" s="355"/>
      <c r="D675" s="355"/>
      <c r="E675" s="355"/>
      <c r="F675" s="355"/>
      <c r="G675" s="355"/>
      <c r="O675" s="356"/>
      <c r="P675" s="355"/>
      <c r="Q675" s="355"/>
      <c r="R675" s="355"/>
      <c r="S675" s="355"/>
      <c r="T675" s="355"/>
      <c r="U675" s="355"/>
      <c r="V675" s="355"/>
      <c r="W675" s="355"/>
      <c r="AG675" s="355"/>
      <c r="AH675" s="355"/>
      <c r="AI675" s="355"/>
      <c r="AJ675" s="355"/>
      <c r="AK675" s="355"/>
      <c r="AL675" s="355"/>
      <c r="AM675" s="355"/>
      <c r="AU675" s="379">
        <v>64299</v>
      </c>
      <c r="AV675" s="375"/>
      <c r="AW675" s="375"/>
      <c r="AX675" s="375"/>
      <c r="AY675" s="375"/>
      <c r="AZ675" s="375"/>
      <c r="BA675" s="375"/>
      <c r="BB675" s="375"/>
      <c r="BC675" s="375"/>
      <c r="BD675" s="375"/>
      <c r="BE675" s="375"/>
      <c r="BF675" s="375">
        <v>7.1249999999999994E-2</v>
      </c>
      <c r="BG675" s="375"/>
      <c r="BH675" s="375"/>
      <c r="BI675" s="373">
        <f t="shared" si="37"/>
        <v>7.1249999999999994E-2</v>
      </c>
      <c r="BT675" s="355"/>
      <c r="BU675" s="355"/>
      <c r="BV675" s="355"/>
      <c r="BW675" s="355"/>
    </row>
    <row r="676" spans="1:75" x14ac:dyDescent="0.15">
      <c r="A676" s="356"/>
      <c r="B676" s="355"/>
      <c r="C676" s="355"/>
      <c r="D676" s="355"/>
      <c r="E676" s="355"/>
      <c r="F676" s="355"/>
      <c r="G676" s="355"/>
      <c r="O676" s="356"/>
      <c r="P676" s="355"/>
      <c r="Q676" s="355"/>
      <c r="R676" s="355"/>
      <c r="S676" s="355"/>
      <c r="T676" s="355"/>
      <c r="U676" s="355"/>
      <c r="V676" s="355"/>
      <c r="W676" s="355"/>
      <c r="AG676" s="355"/>
      <c r="AH676" s="355"/>
      <c r="AI676" s="355"/>
      <c r="AJ676" s="355"/>
      <c r="AK676" s="355"/>
      <c r="AL676" s="355"/>
      <c r="AM676" s="355"/>
      <c r="AU676" s="379">
        <v>64330</v>
      </c>
      <c r="AV676" s="375"/>
      <c r="AW676" s="375"/>
      <c r="AX676" s="375"/>
      <c r="AY676" s="375"/>
      <c r="AZ676" s="375"/>
      <c r="BA676" s="375"/>
      <c r="BB676" s="375"/>
      <c r="BC676" s="375"/>
      <c r="BD676" s="375"/>
      <c r="BE676" s="375"/>
      <c r="BF676" s="375">
        <v>7.1249999999999994E-2</v>
      </c>
      <c r="BG676" s="375"/>
      <c r="BH676" s="375"/>
      <c r="BI676" s="373">
        <f t="shared" si="37"/>
        <v>7.1249999999999994E-2</v>
      </c>
      <c r="BT676" s="355"/>
      <c r="BU676" s="355"/>
      <c r="BV676" s="355"/>
      <c r="BW676" s="355"/>
    </row>
    <row r="677" spans="1:75" x14ac:dyDescent="0.15">
      <c r="A677" s="356"/>
      <c r="B677" s="355"/>
      <c r="C677" s="355"/>
      <c r="D677" s="355"/>
      <c r="E677" s="355"/>
      <c r="F677" s="355"/>
      <c r="G677" s="355"/>
      <c r="O677" s="356"/>
      <c r="P677" s="355"/>
      <c r="Q677" s="355"/>
      <c r="R677" s="355"/>
      <c r="S677" s="355"/>
      <c r="T677" s="355"/>
      <c r="U677" s="355"/>
      <c r="V677" s="355"/>
      <c r="W677" s="355"/>
      <c r="AG677" s="355"/>
      <c r="AH677" s="355"/>
      <c r="AI677" s="355"/>
      <c r="AJ677" s="355"/>
      <c r="AK677" s="355"/>
      <c r="AL677" s="355"/>
      <c r="AM677" s="355"/>
      <c r="AU677" s="379">
        <v>64359</v>
      </c>
      <c r="AV677" s="375"/>
      <c r="AW677" s="375"/>
      <c r="AX677" s="375"/>
      <c r="AY677" s="375"/>
      <c r="AZ677" s="375"/>
      <c r="BA677" s="375"/>
      <c r="BB677" s="375"/>
      <c r="BC677" s="375"/>
      <c r="BD677" s="375"/>
      <c r="BE677" s="375"/>
      <c r="BF677" s="375">
        <v>7.1249999999999994E-2</v>
      </c>
      <c r="BG677" s="375"/>
      <c r="BH677" s="375"/>
      <c r="BI677" s="373">
        <f t="shared" si="37"/>
        <v>7.1249999999999994E-2</v>
      </c>
      <c r="BT677" s="355"/>
      <c r="BU677" s="355"/>
      <c r="BV677" s="355"/>
      <c r="BW677" s="355"/>
    </row>
    <row r="678" spans="1:75" x14ac:dyDescent="0.15">
      <c r="A678" s="356"/>
      <c r="B678" s="355"/>
      <c r="C678" s="355"/>
      <c r="D678" s="355"/>
      <c r="E678" s="355"/>
      <c r="F678" s="355"/>
      <c r="G678" s="355"/>
      <c r="O678" s="356"/>
      <c r="P678" s="355"/>
      <c r="Q678" s="355"/>
      <c r="R678" s="355"/>
      <c r="S678" s="355"/>
      <c r="T678" s="355"/>
      <c r="U678" s="355"/>
      <c r="V678" s="355"/>
      <c r="W678" s="355"/>
      <c r="AG678" s="355"/>
      <c r="AH678" s="355"/>
      <c r="AI678" s="355"/>
      <c r="AJ678" s="355"/>
      <c r="AK678" s="355"/>
      <c r="AL678" s="355"/>
      <c r="AM678" s="355"/>
      <c r="AU678" s="379">
        <v>64390</v>
      </c>
      <c r="AV678" s="375"/>
      <c r="AW678" s="375"/>
      <c r="AX678" s="375"/>
      <c r="AY678" s="375"/>
      <c r="AZ678" s="375"/>
      <c r="BA678" s="375"/>
      <c r="BB678" s="375"/>
      <c r="BC678" s="375"/>
      <c r="BD678" s="375"/>
      <c r="BE678" s="375"/>
      <c r="BF678" s="375">
        <v>7.1249999999999994E-2</v>
      </c>
      <c r="BG678" s="375"/>
      <c r="BH678" s="375"/>
      <c r="BI678" s="373">
        <f t="shared" si="37"/>
        <v>7.1249999999999994E-2</v>
      </c>
      <c r="BT678" s="355"/>
      <c r="BU678" s="355"/>
      <c r="BV678" s="355"/>
      <c r="BW678" s="355"/>
    </row>
    <row r="679" spans="1:75" x14ac:dyDescent="0.15">
      <c r="A679" s="356"/>
      <c r="B679" s="355"/>
      <c r="C679" s="355"/>
      <c r="D679" s="355"/>
      <c r="E679" s="355"/>
      <c r="F679" s="355"/>
      <c r="G679" s="355"/>
      <c r="O679" s="356"/>
      <c r="P679" s="355"/>
      <c r="Q679" s="355"/>
      <c r="R679" s="355"/>
      <c r="S679" s="355"/>
      <c r="T679" s="355"/>
      <c r="U679" s="355"/>
      <c r="V679" s="355"/>
      <c r="W679" s="355"/>
      <c r="AG679" s="355"/>
      <c r="AH679" s="355"/>
      <c r="AI679" s="355"/>
      <c r="AJ679" s="355"/>
      <c r="AK679" s="355"/>
      <c r="AL679" s="355"/>
      <c r="AM679" s="355"/>
      <c r="AU679" s="379">
        <v>64420</v>
      </c>
      <c r="AV679" s="375"/>
      <c r="AW679" s="375"/>
      <c r="AX679" s="375"/>
      <c r="AY679" s="375"/>
      <c r="AZ679" s="375"/>
      <c r="BA679" s="375"/>
      <c r="BB679" s="375"/>
      <c r="BC679" s="375"/>
      <c r="BD679" s="375"/>
      <c r="BE679" s="375"/>
      <c r="BF679" s="375">
        <v>7.1249999999999994E-2</v>
      </c>
      <c r="BG679" s="375"/>
      <c r="BH679" s="375"/>
      <c r="BI679" s="373">
        <f t="shared" si="37"/>
        <v>7.1249999999999994E-2</v>
      </c>
      <c r="BT679" s="355"/>
      <c r="BU679" s="355"/>
      <c r="BV679" s="355"/>
      <c r="BW679" s="355"/>
    </row>
    <row r="680" spans="1:75" x14ac:dyDescent="0.15">
      <c r="A680" s="356"/>
      <c r="B680" s="355"/>
      <c r="C680" s="355"/>
      <c r="D680" s="355"/>
      <c r="E680" s="355"/>
      <c r="F680" s="355"/>
      <c r="G680" s="355"/>
      <c r="O680" s="356"/>
      <c r="P680" s="355"/>
      <c r="Q680" s="355"/>
      <c r="R680" s="355"/>
      <c r="S680" s="355"/>
      <c r="T680" s="355"/>
      <c r="U680" s="355"/>
      <c r="V680" s="355"/>
      <c r="W680" s="355"/>
      <c r="AG680" s="355"/>
      <c r="AH680" s="355"/>
      <c r="AI680" s="355"/>
      <c r="AJ680" s="355"/>
      <c r="AK680" s="355"/>
      <c r="AL680" s="355"/>
      <c r="AM680" s="355"/>
      <c r="AU680" s="379">
        <v>64451</v>
      </c>
      <c r="AV680" s="375"/>
      <c r="AW680" s="375"/>
      <c r="AX680" s="375"/>
      <c r="AY680" s="375"/>
      <c r="AZ680" s="375"/>
      <c r="BA680" s="375"/>
      <c r="BB680" s="375"/>
      <c r="BC680" s="375"/>
      <c r="BD680" s="375"/>
      <c r="BE680" s="375"/>
      <c r="BF680" s="375">
        <v>7.1249999999999994E-2</v>
      </c>
      <c r="BG680" s="375"/>
      <c r="BH680" s="375"/>
      <c r="BI680" s="373">
        <f t="shared" si="37"/>
        <v>7.1249999999999994E-2</v>
      </c>
      <c r="BT680" s="355"/>
      <c r="BU680" s="355"/>
      <c r="BV680" s="355"/>
      <c r="BW680" s="355"/>
    </row>
    <row r="681" spans="1:75" x14ac:dyDescent="0.15">
      <c r="A681" s="356"/>
      <c r="B681" s="355"/>
      <c r="C681" s="355"/>
      <c r="D681" s="355"/>
      <c r="E681" s="355"/>
      <c r="F681" s="355"/>
      <c r="G681" s="355"/>
      <c r="O681" s="356"/>
      <c r="P681" s="355"/>
      <c r="Q681" s="355"/>
      <c r="R681" s="355"/>
      <c r="S681" s="355"/>
      <c r="T681" s="355"/>
      <c r="U681" s="355"/>
      <c r="V681" s="355"/>
      <c r="W681" s="355"/>
      <c r="AG681" s="355"/>
      <c r="AH681" s="355"/>
      <c r="AI681" s="355"/>
      <c r="AJ681" s="355"/>
      <c r="AK681" s="355"/>
      <c r="AL681" s="355"/>
      <c r="AM681" s="355"/>
      <c r="AU681" s="379">
        <v>64481</v>
      </c>
      <c r="AV681" s="375"/>
      <c r="AW681" s="375"/>
      <c r="AX681" s="375"/>
      <c r="AY681" s="375"/>
      <c r="AZ681" s="375"/>
      <c r="BA681" s="375"/>
      <c r="BB681" s="375"/>
      <c r="BC681" s="375"/>
      <c r="BD681" s="375"/>
      <c r="BE681" s="375"/>
      <c r="BF681" s="375">
        <v>7.1249999999999994E-2</v>
      </c>
      <c r="BG681" s="375"/>
      <c r="BH681" s="375"/>
      <c r="BI681" s="373">
        <f t="shared" si="37"/>
        <v>7.1249999999999994E-2</v>
      </c>
      <c r="BT681" s="355"/>
      <c r="BU681" s="355"/>
      <c r="BV681" s="355"/>
      <c r="BW681" s="355"/>
    </row>
    <row r="682" spans="1:75" x14ac:dyDescent="0.15">
      <c r="A682" s="356"/>
      <c r="B682" s="355"/>
      <c r="C682" s="355"/>
      <c r="D682" s="355"/>
      <c r="E682" s="355"/>
      <c r="F682" s="355"/>
      <c r="G682" s="355"/>
      <c r="O682" s="356"/>
      <c r="P682" s="355"/>
      <c r="Q682" s="355"/>
      <c r="R682" s="355"/>
      <c r="S682" s="355"/>
      <c r="T682" s="355"/>
      <c r="U682" s="355"/>
      <c r="V682" s="355"/>
      <c r="W682" s="355"/>
      <c r="AG682" s="355"/>
      <c r="AH682" s="355"/>
      <c r="AI682" s="355"/>
      <c r="AJ682" s="355"/>
      <c r="AK682" s="355"/>
      <c r="AL682" s="355"/>
      <c r="AM682" s="355"/>
      <c r="AU682" s="379">
        <v>64512</v>
      </c>
      <c r="AV682" s="375"/>
      <c r="AW682" s="375"/>
      <c r="AX682" s="375"/>
      <c r="AY682" s="375"/>
      <c r="AZ682" s="375"/>
      <c r="BA682" s="375"/>
      <c r="BB682" s="375"/>
      <c r="BC682" s="375"/>
      <c r="BD682" s="375"/>
      <c r="BE682" s="375"/>
      <c r="BF682" s="375">
        <v>7.1249999999999994E-2</v>
      </c>
      <c r="BG682" s="375"/>
      <c r="BH682" s="375"/>
      <c r="BI682" s="373">
        <f t="shared" si="37"/>
        <v>7.1249999999999994E-2</v>
      </c>
      <c r="BT682" s="355"/>
      <c r="BU682" s="355"/>
      <c r="BV682" s="355"/>
      <c r="BW682" s="355"/>
    </row>
    <row r="683" spans="1:75" x14ac:dyDescent="0.15">
      <c r="A683" s="356"/>
      <c r="B683" s="355"/>
      <c r="C683" s="355"/>
      <c r="D683" s="355"/>
      <c r="E683" s="355"/>
      <c r="F683" s="355"/>
      <c r="G683" s="355"/>
      <c r="O683" s="356"/>
      <c r="P683" s="355"/>
      <c r="Q683" s="355"/>
      <c r="R683" s="355"/>
      <c r="S683" s="355"/>
      <c r="T683" s="355"/>
      <c r="U683" s="355"/>
      <c r="V683" s="355"/>
      <c r="W683" s="355"/>
      <c r="AG683" s="355"/>
      <c r="AH683" s="355"/>
      <c r="AI683" s="355"/>
      <c r="AJ683" s="355"/>
      <c r="AK683" s="355"/>
      <c r="AL683" s="355"/>
      <c r="AM683" s="355"/>
      <c r="AU683" s="379">
        <v>64543</v>
      </c>
      <c r="AV683" s="375"/>
      <c r="AW683" s="375"/>
      <c r="AX683" s="375"/>
      <c r="AY683" s="375"/>
      <c r="AZ683" s="375"/>
      <c r="BA683" s="375"/>
      <c r="BB683" s="375"/>
      <c r="BC683" s="375"/>
      <c r="BD683" s="375"/>
      <c r="BE683" s="375"/>
      <c r="BF683" s="375">
        <v>7.1249999999999994E-2</v>
      </c>
      <c r="BG683" s="375"/>
      <c r="BH683" s="375"/>
      <c r="BI683" s="373">
        <f t="shared" si="37"/>
        <v>7.1249999999999994E-2</v>
      </c>
      <c r="BT683" s="355"/>
      <c r="BU683" s="355"/>
      <c r="BV683" s="355"/>
      <c r="BW683" s="355"/>
    </row>
    <row r="684" spans="1:75" x14ac:dyDescent="0.15">
      <c r="A684" s="356"/>
      <c r="B684" s="355"/>
      <c r="C684" s="355"/>
      <c r="D684" s="355"/>
      <c r="E684" s="355"/>
      <c r="F684" s="355"/>
      <c r="G684" s="355"/>
      <c r="O684" s="356"/>
      <c r="P684" s="355"/>
      <c r="Q684" s="355"/>
      <c r="R684" s="355"/>
      <c r="S684" s="355"/>
      <c r="T684" s="355"/>
      <c r="U684" s="355"/>
      <c r="V684" s="355"/>
      <c r="W684" s="355"/>
      <c r="AG684" s="355"/>
      <c r="AH684" s="355"/>
      <c r="AI684" s="355"/>
      <c r="AJ684" s="355"/>
      <c r="AK684" s="355"/>
      <c r="AL684" s="355"/>
      <c r="AM684" s="355"/>
      <c r="AU684" s="379">
        <v>64573</v>
      </c>
      <c r="AV684" s="375"/>
      <c r="AW684" s="375"/>
      <c r="AX684" s="375"/>
      <c r="AY684" s="375"/>
      <c r="AZ684" s="375"/>
      <c r="BA684" s="375"/>
      <c r="BB684" s="375"/>
      <c r="BC684" s="375"/>
      <c r="BD684" s="375"/>
      <c r="BE684" s="375"/>
      <c r="BF684" s="375">
        <v>7.1249999999999994E-2</v>
      </c>
      <c r="BG684" s="375"/>
      <c r="BH684" s="375"/>
      <c r="BI684" s="373">
        <f t="shared" si="37"/>
        <v>7.1249999999999994E-2</v>
      </c>
      <c r="BT684" s="355"/>
      <c r="BU684" s="355"/>
      <c r="BV684" s="355"/>
      <c r="BW684" s="355"/>
    </row>
    <row r="685" spans="1:75" x14ac:dyDescent="0.15">
      <c r="A685" s="356"/>
      <c r="B685" s="355"/>
      <c r="C685" s="355"/>
      <c r="D685" s="355"/>
      <c r="E685" s="355"/>
      <c r="F685" s="355"/>
      <c r="G685" s="355"/>
      <c r="O685" s="356"/>
      <c r="P685" s="355"/>
      <c r="Q685" s="355"/>
      <c r="R685" s="355"/>
      <c r="S685" s="355"/>
      <c r="T685" s="355"/>
      <c r="U685" s="355"/>
      <c r="V685" s="355"/>
      <c r="W685" s="355"/>
      <c r="AG685" s="355"/>
      <c r="AH685" s="355"/>
      <c r="AI685" s="355"/>
      <c r="AJ685" s="355"/>
      <c r="AK685" s="355"/>
      <c r="AL685" s="355"/>
      <c r="AM685" s="355"/>
      <c r="AU685" s="379">
        <v>64604</v>
      </c>
      <c r="AV685" s="375"/>
      <c r="AW685" s="375"/>
      <c r="AX685" s="375"/>
      <c r="AY685" s="375"/>
      <c r="AZ685" s="375"/>
      <c r="BA685" s="375"/>
      <c r="BB685" s="375"/>
      <c r="BC685" s="375"/>
      <c r="BD685" s="375"/>
      <c r="BE685" s="375"/>
      <c r="BF685" s="375">
        <v>7.1249999999999994E-2</v>
      </c>
      <c r="BG685" s="375"/>
      <c r="BH685" s="375"/>
      <c r="BI685" s="373">
        <f t="shared" si="37"/>
        <v>7.1249999999999994E-2</v>
      </c>
      <c r="BT685" s="355"/>
      <c r="BU685" s="355"/>
      <c r="BV685" s="355"/>
      <c r="BW685" s="355"/>
    </row>
    <row r="686" spans="1:75" x14ac:dyDescent="0.15">
      <c r="A686" s="356"/>
      <c r="B686" s="355"/>
      <c r="C686" s="355"/>
      <c r="D686" s="355"/>
      <c r="E686" s="355"/>
      <c r="F686" s="355"/>
      <c r="G686" s="355"/>
      <c r="O686" s="356"/>
      <c r="P686" s="355"/>
      <c r="Q686" s="355"/>
      <c r="R686" s="355"/>
      <c r="S686" s="355"/>
      <c r="T686" s="355"/>
      <c r="U686" s="355"/>
      <c r="V686" s="355"/>
      <c r="W686" s="355"/>
      <c r="AG686" s="355"/>
      <c r="AH686" s="355"/>
      <c r="AI686" s="355"/>
      <c r="AJ686" s="355"/>
      <c r="AK686" s="355"/>
      <c r="AL686" s="355"/>
      <c r="AM686" s="355"/>
      <c r="AU686" s="379">
        <v>64634</v>
      </c>
      <c r="AV686" s="375"/>
      <c r="AW686" s="375"/>
      <c r="AX686" s="375"/>
      <c r="AY686" s="375"/>
      <c r="AZ686" s="375"/>
      <c r="BA686" s="375"/>
      <c r="BB686" s="375"/>
      <c r="BC686" s="375"/>
      <c r="BD686" s="375"/>
      <c r="BE686" s="375"/>
      <c r="BF686" s="375">
        <v>7.1249999999999994E-2</v>
      </c>
      <c r="BG686" s="375"/>
      <c r="BH686" s="375"/>
      <c r="BI686" s="373">
        <f t="shared" si="37"/>
        <v>7.1249999999999994E-2</v>
      </c>
      <c r="BT686" s="355"/>
      <c r="BU686" s="355"/>
      <c r="BV686" s="355"/>
      <c r="BW686" s="355"/>
    </row>
    <row r="687" spans="1:75" x14ac:dyDescent="0.15">
      <c r="A687" s="356"/>
      <c r="B687" s="355"/>
      <c r="C687" s="355"/>
      <c r="D687" s="355"/>
      <c r="E687" s="355"/>
      <c r="F687" s="355"/>
      <c r="G687" s="355"/>
      <c r="O687" s="356"/>
      <c r="P687" s="355"/>
      <c r="Q687" s="355"/>
      <c r="R687" s="355"/>
      <c r="S687" s="355"/>
      <c r="T687" s="355"/>
      <c r="U687" s="355"/>
      <c r="V687" s="355"/>
      <c r="W687" s="355"/>
      <c r="AG687" s="355"/>
      <c r="AH687" s="355"/>
      <c r="AI687" s="355"/>
      <c r="AJ687" s="355"/>
      <c r="AK687" s="355"/>
      <c r="AL687" s="355"/>
      <c r="AM687" s="355"/>
      <c r="AU687" s="379">
        <v>64665</v>
      </c>
      <c r="AV687" s="375"/>
      <c r="AW687" s="375"/>
      <c r="AX687" s="375"/>
      <c r="AY687" s="375"/>
      <c r="AZ687" s="375"/>
      <c r="BA687" s="375"/>
      <c r="BB687" s="375"/>
      <c r="BC687" s="375"/>
      <c r="BD687" s="375"/>
      <c r="BE687" s="375"/>
      <c r="BF687" s="375">
        <v>7.1249999999999994E-2</v>
      </c>
      <c r="BG687" s="375"/>
      <c r="BH687" s="375"/>
      <c r="BI687" s="373">
        <f t="shared" si="37"/>
        <v>7.1249999999999994E-2</v>
      </c>
      <c r="BT687" s="355"/>
      <c r="BU687" s="355"/>
      <c r="BV687" s="355"/>
      <c r="BW687" s="355"/>
    </row>
    <row r="688" spans="1:75" x14ac:dyDescent="0.15">
      <c r="A688" s="356"/>
      <c r="B688" s="355"/>
      <c r="C688" s="355"/>
      <c r="D688" s="355"/>
      <c r="E688" s="355"/>
      <c r="F688" s="355"/>
      <c r="G688" s="355"/>
      <c r="O688" s="356"/>
      <c r="P688" s="355"/>
      <c r="Q688" s="355"/>
      <c r="R688" s="355"/>
      <c r="S688" s="355"/>
      <c r="T688" s="355"/>
      <c r="U688" s="355"/>
      <c r="V688" s="355"/>
      <c r="W688" s="355"/>
      <c r="AG688" s="355"/>
      <c r="AH688" s="355"/>
      <c r="AI688" s="355"/>
      <c r="AJ688" s="355"/>
      <c r="AK688" s="355"/>
      <c r="AL688" s="355"/>
      <c r="AM688" s="355"/>
      <c r="AU688" s="379">
        <v>64696</v>
      </c>
      <c r="AV688" s="375"/>
      <c r="AW688" s="375"/>
      <c r="AX688" s="375"/>
      <c r="AY688" s="375"/>
      <c r="AZ688" s="375"/>
      <c r="BA688" s="375"/>
      <c r="BB688" s="375"/>
      <c r="BC688" s="375"/>
      <c r="BD688" s="375"/>
      <c r="BE688" s="375"/>
      <c r="BF688" s="375">
        <v>7.1249999999999994E-2</v>
      </c>
      <c r="BG688" s="375"/>
      <c r="BH688" s="375"/>
      <c r="BI688" s="373">
        <f t="shared" si="37"/>
        <v>7.1249999999999994E-2</v>
      </c>
      <c r="BT688" s="355"/>
      <c r="BU688" s="355"/>
      <c r="BV688" s="355"/>
      <c r="BW688" s="355"/>
    </row>
    <row r="689" spans="1:75" x14ac:dyDescent="0.15">
      <c r="A689" s="356"/>
      <c r="B689" s="355"/>
      <c r="C689" s="355"/>
      <c r="D689" s="355"/>
      <c r="E689" s="355"/>
      <c r="F689" s="355"/>
      <c r="G689" s="355"/>
      <c r="O689" s="356"/>
      <c r="P689" s="355"/>
      <c r="Q689" s="355"/>
      <c r="R689" s="355"/>
      <c r="S689" s="355"/>
      <c r="T689" s="355"/>
      <c r="U689" s="355"/>
      <c r="V689" s="355"/>
      <c r="W689" s="355"/>
      <c r="AG689" s="355"/>
      <c r="AH689" s="355"/>
      <c r="AI689" s="355"/>
      <c r="AJ689" s="355"/>
      <c r="AK689" s="355"/>
      <c r="AL689" s="355"/>
      <c r="AM689" s="355"/>
      <c r="AU689" s="379">
        <v>64724</v>
      </c>
      <c r="AV689" s="375"/>
      <c r="AW689" s="375"/>
      <c r="AX689" s="375"/>
      <c r="AY689" s="375"/>
      <c r="AZ689" s="375"/>
      <c r="BA689" s="375"/>
      <c r="BB689" s="375"/>
      <c r="BC689" s="375"/>
      <c r="BD689" s="375"/>
      <c r="BE689" s="375"/>
      <c r="BF689" s="375">
        <v>7.1249999999999994E-2</v>
      </c>
      <c r="BG689" s="375"/>
      <c r="BH689" s="375"/>
      <c r="BI689" s="373">
        <f t="shared" si="37"/>
        <v>7.1249999999999994E-2</v>
      </c>
      <c r="BT689" s="355"/>
      <c r="BU689" s="355"/>
      <c r="BV689" s="355"/>
      <c r="BW689" s="355"/>
    </row>
    <row r="690" spans="1:75" x14ac:dyDescent="0.15">
      <c r="A690" s="356"/>
      <c r="B690" s="355"/>
      <c r="C690" s="355"/>
      <c r="D690" s="355"/>
      <c r="E690" s="355"/>
      <c r="F690" s="355"/>
      <c r="G690" s="355"/>
      <c r="O690" s="356"/>
      <c r="P690" s="355"/>
      <c r="Q690" s="355"/>
      <c r="R690" s="355"/>
      <c r="S690" s="355"/>
      <c r="T690" s="355"/>
      <c r="U690" s="355"/>
      <c r="V690" s="355"/>
      <c r="W690" s="355"/>
      <c r="AG690" s="355"/>
      <c r="AH690" s="355"/>
      <c r="AI690" s="355"/>
      <c r="AJ690" s="355"/>
      <c r="AK690" s="355"/>
      <c r="AL690" s="355"/>
      <c r="AM690" s="355"/>
      <c r="AU690" s="379">
        <v>64755</v>
      </c>
      <c r="AV690" s="375"/>
      <c r="AW690" s="375"/>
      <c r="AX690" s="375"/>
      <c r="AY690" s="375"/>
      <c r="AZ690" s="375"/>
      <c r="BA690" s="375"/>
      <c r="BB690" s="375"/>
      <c r="BC690" s="375"/>
      <c r="BD690" s="375"/>
      <c r="BE690" s="375"/>
      <c r="BF690" s="375">
        <v>7.1249999999999994E-2</v>
      </c>
      <c r="BG690" s="375"/>
      <c r="BH690" s="375"/>
      <c r="BI690" s="373">
        <f t="shared" si="37"/>
        <v>7.1249999999999994E-2</v>
      </c>
      <c r="BT690" s="355"/>
      <c r="BU690" s="355"/>
      <c r="BV690" s="355"/>
      <c r="BW690" s="355"/>
    </row>
    <row r="691" spans="1:75" x14ac:dyDescent="0.15">
      <c r="A691" s="356"/>
      <c r="B691" s="355"/>
      <c r="C691" s="355"/>
      <c r="D691" s="355"/>
      <c r="E691" s="355"/>
      <c r="F691" s="355"/>
      <c r="G691" s="355"/>
      <c r="O691" s="356"/>
      <c r="P691" s="355"/>
      <c r="Q691" s="355"/>
      <c r="R691" s="355"/>
      <c r="S691" s="355"/>
      <c r="T691" s="355"/>
      <c r="U691" s="355"/>
      <c r="V691" s="355"/>
      <c r="W691" s="355"/>
      <c r="AG691" s="355"/>
      <c r="AH691" s="355"/>
      <c r="AI691" s="355"/>
      <c r="AJ691" s="355"/>
      <c r="AK691" s="355"/>
      <c r="AL691" s="355"/>
      <c r="AM691" s="355"/>
      <c r="AU691" s="379">
        <v>64785</v>
      </c>
      <c r="AV691" s="375"/>
      <c r="AW691" s="375"/>
      <c r="AX691" s="375"/>
      <c r="AY691" s="375"/>
      <c r="AZ691" s="375"/>
      <c r="BA691" s="375"/>
      <c r="BB691" s="375"/>
      <c r="BC691" s="375"/>
      <c r="BD691" s="375"/>
      <c r="BE691" s="375"/>
      <c r="BF691" s="375">
        <v>7.1249999999999994E-2</v>
      </c>
      <c r="BG691" s="375"/>
      <c r="BH691" s="375"/>
      <c r="BI691" s="373">
        <f t="shared" si="37"/>
        <v>7.1249999999999994E-2</v>
      </c>
      <c r="BT691" s="355"/>
      <c r="BU691" s="355"/>
      <c r="BV691" s="355"/>
      <c r="BW691" s="355"/>
    </row>
    <row r="692" spans="1:75" x14ac:dyDescent="0.15">
      <c r="A692" s="356"/>
      <c r="B692" s="355"/>
      <c r="C692" s="355"/>
      <c r="D692" s="355"/>
      <c r="E692" s="355"/>
      <c r="F692" s="355"/>
      <c r="G692" s="355"/>
      <c r="O692" s="356"/>
      <c r="P692" s="355"/>
      <c r="Q692" s="355"/>
      <c r="R692" s="355"/>
      <c r="S692" s="355"/>
      <c r="T692" s="355"/>
      <c r="U692" s="355"/>
      <c r="V692" s="355"/>
      <c r="W692" s="355"/>
      <c r="AG692" s="355"/>
      <c r="AH692" s="355"/>
      <c r="AI692" s="355"/>
      <c r="AJ692" s="355"/>
      <c r="AK692" s="355"/>
      <c r="AL692" s="355"/>
      <c r="AM692" s="355"/>
      <c r="AU692" s="379">
        <v>64816</v>
      </c>
      <c r="AV692" s="375"/>
      <c r="AW692" s="375"/>
      <c r="AX692" s="375"/>
      <c r="AY692" s="375"/>
      <c r="AZ692" s="375"/>
      <c r="BA692" s="375"/>
      <c r="BB692" s="375"/>
      <c r="BC692" s="375"/>
      <c r="BD692" s="375"/>
      <c r="BE692" s="375"/>
      <c r="BF692" s="375">
        <v>7.1249999999999994E-2</v>
      </c>
      <c r="BG692" s="375"/>
      <c r="BH692" s="375"/>
      <c r="BI692" s="373">
        <f t="shared" si="37"/>
        <v>7.1249999999999994E-2</v>
      </c>
      <c r="BT692" s="355"/>
      <c r="BU692" s="355"/>
      <c r="BV692" s="355"/>
      <c r="BW692" s="355"/>
    </row>
    <row r="693" spans="1:75" x14ac:dyDescent="0.15">
      <c r="A693" s="356"/>
      <c r="B693" s="355"/>
      <c r="C693" s="355"/>
      <c r="D693" s="355"/>
      <c r="E693" s="355"/>
      <c r="F693" s="355"/>
      <c r="G693" s="355"/>
      <c r="O693" s="356"/>
      <c r="P693" s="355"/>
      <c r="Q693" s="355"/>
      <c r="R693" s="355"/>
      <c r="S693" s="355"/>
      <c r="T693" s="355"/>
      <c r="U693" s="355"/>
      <c r="V693" s="355"/>
      <c r="W693" s="355"/>
      <c r="AG693" s="355"/>
      <c r="AH693" s="355"/>
      <c r="AI693" s="355"/>
      <c r="AJ693" s="355"/>
      <c r="AK693" s="355"/>
      <c r="AL693" s="355"/>
      <c r="AM693" s="355"/>
      <c r="AU693" s="379">
        <v>64846</v>
      </c>
      <c r="AV693" s="375"/>
      <c r="AW693" s="375"/>
      <c r="AX693" s="375"/>
      <c r="AY693" s="375"/>
      <c r="AZ693" s="375"/>
      <c r="BA693" s="375"/>
      <c r="BB693" s="375"/>
      <c r="BC693" s="375"/>
      <c r="BD693" s="375"/>
      <c r="BE693" s="375"/>
      <c r="BF693" s="375">
        <v>7.1249999999999994E-2</v>
      </c>
      <c r="BG693" s="375"/>
      <c r="BH693" s="375"/>
      <c r="BI693" s="373">
        <f t="shared" si="37"/>
        <v>7.1249999999999994E-2</v>
      </c>
      <c r="BT693" s="355"/>
      <c r="BU693" s="355"/>
      <c r="BV693" s="355"/>
      <c r="BW693" s="355"/>
    </row>
    <row r="694" spans="1:75" x14ac:dyDescent="0.15">
      <c r="A694" s="356"/>
      <c r="B694" s="355"/>
      <c r="C694" s="355"/>
      <c r="D694" s="355"/>
      <c r="E694" s="355"/>
      <c r="F694" s="355"/>
      <c r="G694" s="355"/>
      <c r="O694" s="356"/>
      <c r="P694" s="355"/>
      <c r="Q694" s="355"/>
      <c r="R694" s="355"/>
      <c r="S694" s="355"/>
      <c r="T694" s="355"/>
      <c r="U694" s="355"/>
      <c r="V694" s="355"/>
      <c r="W694" s="355"/>
      <c r="AG694" s="355"/>
      <c r="AH694" s="355"/>
      <c r="AI694" s="355"/>
      <c r="AJ694" s="355"/>
      <c r="AK694" s="355"/>
      <c r="AL694" s="355"/>
      <c r="AM694" s="355"/>
      <c r="AU694" s="379">
        <v>64877</v>
      </c>
      <c r="AV694" s="375"/>
      <c r="AW694" s="375"/>
      <c r="AX694" s="375"/>
      <c r="AY694" s="375"/>
      <c r="AZ694" s="375"/>
      <c r="BA694" s="375"/>
      <c r="BB694" s="375"/>
      <c r="BC694" s="375"/>
      <c r="BD694" s="375"/>
      <c r="BE694" s="375"/>
      <c r="BF694" s="375">
        <v>7.1249999999999994E-2</v>
      </c>
      <c r="BG694" s="375"/>
      <c r="BH694" s="375"/>
      <c r="BI694" s="373">
        <f t="shared" si="37"/>
        <v>7.1249999999999994E-2</v>
      </c>
      <c r="BT694" s="355"/>
      <c r="BU694" s="355"/>
      <c r="BV694" s="355"/>
      <c r="BW694" s="355"/>
    </row>
    <row r="695" spans="1:75" x14ac:dyDescent="0.15">
      <c r="A695" s="356"/>
      <c r="B695" s="355"/>
      <c r="C695" s="355"/>
      <c r="D695" s="355"/>
      <c r="E695" s="355"/>
      <c r="F695" s="355"/>
      <c r="G695" s="355"/>
      <c r="O695" s="356"/>
      <c r="P695" s="355"/>
      <c r="Q695" s="355"/>
      <c r="R695" s="355"/>
      <c r="S695" s="355"/>
      <c r="T695" s="355"/>
      <c r="U695" s="355"/>
      <c r="V695" s="355"/>
      <c r="W695" s="355"/>
      <c r="AG695" s="355"/>
      <c r="AH695" s="355"/>
      <c r="AI695" s="355"/>
      <c r="AJ695" s="355"/>
      <c r="AK695" s="355"/>
      <c r="AL695" s="355"/>
      <c r="AM695" s="355"/>
      <c r="AU695" s="379">
        <v>64908</v>
      </c>
      <c r="AV695" s="375"/>
      <c r="AW695" s="375"/>
      <c r="AX695" s="375"/>
      <c r="AY695" s="375"/>
      <c r="AZ695" s="375"/>
      <c r="BA695" s="375"/>
      <c r="BB695" s="375"/>
      <c r="BC695" s="375"/>
      <c r="BD695" s="375"/>
      <c r="BE695" s="375"/>
      <c r="BF695" s="375">
        <v>7.1249999999999994E-2</v>
      </c>
      <c r="BG695" s="375"/>
      <c r="BH695" s="375"/>
      <c r="BI695" s="373">
        <f t="shared" si="37"/>
        <v>7.1249999999999994E-2</v>
      </c>
      <c r="BT695" s="355"/>
      <c r="BU695" s="355"/>
      <c r="BV695" s="355"/>
      <c r="BW695" s="355"/>
    </row>
    <row r="696" spans="1:75" x14ac:dyDescent="0.15">
      <c r="A696" s="356"/>
      <c r="B696" s="355"/>
      <c r="C696" s="355"/>
      <c r="D696" s="355"/>
      <c r="E696" s="355"/>
      <c r="F696" s="355"/>
      <c r="G696" s="355"/>
      <c r="O696" s="356"/>
      <c r="P696" s="355"/>
      <c r="Q696" s="355"/>
      <c r="R696" s="355"/>
      <c r="S696" s="355"/>
      <c r="T696" s="355"/>
      <c r="U696" s="355"/>
      <c r="V696" s="355"/>
      <c r="W696" s="355"/>
      <c r="AG696" s="355"/>
      <c r="AH696" s="355"/>
      <c r="AI696" s="355"/>
      <c r="AJ696" s="355"/>
      <c r="AK696" s="355"/>
      <c r="AL696" s="355"/>
      <c r="AM696" s="355"/>
      <c r="AU696" s="379">
        <v>64938</v>
      </c>
      <c r="AV696" s="375"/>
      <c r="AW696" s="375"/>
      <c r="AX696" s="375"/>
      <c r="AY696" s="375"/>
      <c r="AZ696" s="375"/>
      <c r="BA696" s="375"/>
      <c r="BB696" s="375"/>
      <c r="BC696" s="375"/>
      <c r="BD696" s="375"/>
      <c r="BE696" s="375"/>
      <c r="BF696" s="375">
        <v>7.1249999999999994E-2</v>
      </c>
      <c r="BG696" s="375"/>
      <c r="BH696" s="375"/>
      <c r="BI696" s="373">
        <f t="shared" si="37"/>
        <v>7.1249999999999994E-2</v>
      </c>
      <c r="BT696" s="355"/>
      <c r="BU696" s="355"/>
      <c r="BV696" s="355"/>
      <c r="BW696" s="355"/>
    </row>
    <row r="697" spans="1:75" x14ac:dyDescent="0.15">
      <c r="A697" s="356"/>
      <c r="B697" s="355"/>
      <c r="C697" s="355"/>
      <c r="D697" s="355"/>
      <c r="E697" s="355"/>
      <c r="F697" s="355"/>
      <c r="G697" s="355"/>
      <c r="O697" s="356"/>
      <c r="P697" s="355"/>
      <c r="Q697" s="355"/>
      <c r="R697" s="355"/>
      <c r="S697" s="355"/>
      <c r="T697" s="355"/>
      <c r="U697" s="355"/>
      <c r="V697" s="355"/>
      <c r="W697" s="355"/>
      <c r="AG697" s="355"/>
      <c r="AH697" s="355"/>
      <c r="AI697" s="355"/>
      <c r="AJ697" s="355"/>
      <c r="AK697" s="355"/>
      <c r="AL697" s="355"/>
      <c r="AM697" s="355"/>
      <c r="AU697" s="379">
        <v>64969</v>
      </c>
      <c r="AV697" s="375"/>
      <c r="AW697" s="375"/>
      <c r="AX697" s="375"/>
      <c r="AY697" s="375"/>
      <c r="AZ697" s="375"/>
      <c r="BA697" s="375"/>
      <c r="BB697" s="375"/>
      <c r="BC697" s="375"/>
      <c r="BD697" s="375"/>
      <c r="BE697" s="375"/>
      <c r="BF697" s="375">
        <v>7.1249999999999994E-2</v>
      </c>
      <c r="BG697" s="375"/>
      <c r="BH697" s="375"/>
      <c r="BI697" s="373">
        <f t="shared" si="37"/>
        <v>7.1249999999999994E-2</v>
      </c>
      <c r="BT697" s="355"/>
      <c r="BU697" s="355"/>
      <c r="BV697" s="355"/>
      <c r="BW697" s="355"/>
    </row>
    <row r="698" spans="1:75" x14ac:dyDescent="0.15">
      <c r="A698" s="356"/>
      <c r="B698" s="355"/>
      <c r="C698" s="355"/>
      <c r="D698" s="355"/>
      <c r="E698" s="355"/>
      <c r="F698" s="355"/>
      <c r="G698" s="355"/>
      <c r="O698" s="356"/>
      <c r="P698" s="355"/>
      <c r="Q698" s="355"/>
      <c r="R698" s="355"/>
      <c r="S698" s="355"/>
      <c r="T698" s="355"/>
      <c r="U698" s="355"/>
      <c r="V698" s="355"/>
      <c r="W698" s="355"/>
      <c r="AG698" s="355"/>
      <c r="AH698" s="355"/>
      <c r="AI698" s="355"/>
      <c r="AJ698" s="355"/>
      <c r="AK698" s="355"/>
      <c r="AL698" s="355"/>
      <c r="AM698" s="355"/>
      <c r="AU698" s="379">
        <v>64999</v>
      </c>
      <c r="AV698" s="375"/>
      <c r="AW698" s="375"/>
      <c r="AX698" s="375"/>
      <c r="AY698" s="375"/>
      <c r="AZ698" s="375"/>
      <c r="BA698" s="375"/>
      <c r="BB698" s="375"/>
      <c r="BC698" s="375"/>
      <c r="BD698" s="375"/>
      <c r="BE698" s="375"/>
      <c r="BF698" s="375">
        <v>7.1249999999999994E-2</v>
      </c>
      <c r="BG698" s="375"/>
      <c r="BH698" s="375"/>
      <c r="BI698" s="373">
        <f t="shared" si="37"/>
        <v>7.1249999999999994E-2</v>
      </c>
      <c r="BT698" s="355"/>
      <c r="BU698" s="355"/>
      <c r="BV698" s="355"/>
      <c r="BW698" s="355"/>
    </row>
    <row r="699" spans="1:75" x14ac:dyDescent="0.15">
      <c r="A699" s="356"/>
      <c r="B699" s="355"/>
      <c r="C699" s="355"/>
      <c r="D699" s="355"/>
      <c r="E699" s="355"/>
      <c r="F699" s="355"/>
      <c r="G699" s="355"/>
      <c r="O699" s="356"/>
      <c r="P699" s="355"/>
      <c r="Q699" s="355"/>
      <c r="R699" s="355"/>
      <c r="S699" s="355"/>
      <c r="T699" s="355"/>
      <c r="U699" s="355"/>
      <c r="V699" s="355"/>
      <c r="W699" s="355"/>
      <c r="AG699" s="355"/>
      <c r="AH699" s="355"/>
      <c r="AI699" s="355"/>
      <c r="AJ699" s="355"/>
      <c r="AK699" s="355"/>
      <c r="AL699" s="355"/>
      <c r="AM699" s="355"/>
      <c r="AU699" s="379">
        <v>65030</v>
      </c>
      <c r="AV699" s="375"/>
      <c r="AW699" s="375"/>
      <c r="AX699" s="375"/>
      <c r="AY699" s="375"/>
      <c r="AZ699" s="375"/>
      <c r="BA699" s="375"/>
      <c r="BB699" s="375"/>
      <c r="BC699" s="375"/>
      <c r="BD699" s="375"/>
      <c r="BE699" s="375"/>
      <c r="BF699" s="375">
        <v>7.1249999999999994E-2</v>
      </c>
      <c r="BG699" s="375"/>
      <c r="BH699" s="375"/>
      <c r="BI699" s="373">
        <f t="shared" si="37"/>
        <v>7.1249999999999994E-2</v>
      </c>
      <c r="BT699" s="355"/>
      <c r="BU699" s="355"/>
      <c r="BV699" s="355"/>
      <c r="BW699" s="355"/>
    </row>
    <row r="700" spans="1:75" x14ac:dyDescent="0.15">
      <c r="A700" s="356"/>
      <c r="B700" s="355"/>
      <c r="C700" s="355"/>
      <c r="D700" s="355"/>
      <c r="E700" s="355"/>
      <c r="F700" s="355"/>
      <c r="G700" s="355"/>
      <c r="O700" s="356"/>
      <c r="P700" s="355"/>
      <c r="Q700" s="355"/>
      <c r="R700" s="355"/>
      <c r="S700" s="355"/>
      <c r="T700" s="355"/>
      <c r="U700" s="355"/>
      <c r="V700" s="355"/>
      <c r="W700" s="355"/>
      <c r="AG700" s="355"/>
      <c r="AH700" s="355"/>
      <c r="AI700" s="355"/>
      <c r="AJ700" s="355"/>
      <c r="AK700" s="355"/>
      <c r="AL700" s="355"/>
      <c r="AM700" s="355"/>
      <c r="AU700" s="379">
        <v>65061</v>
      </c>
      <c r="AV700" s="375"/>
      <c r="AW700" s="375"/>
      <c r="AX700" s="375"/>
      <c r="AY700" s="375"/>
      <c r="AZ700" s="375"/>
      <c r="BA700" s="375"/>
      <c r="BB700" s="375"/>
      <c r="BC700" s="375"/>
      <c r="BD700" s="375"/>
      <c r="BE700" s="375"/>
      <c r="BF700" s="375">
        <v>7.1249999999999994E-2</v>
      </c>
      <c r="BG700" s="375"/>
      <c r="BH700" s="375"/>
      <c r="BI700" s="373">
        <f t="shared" si="37"/>
        <v>7.1249999999999994E-2</v>
      </c>
      <c r="BT700" s="355"/>
      <c r="BU700" s="355"/>
      <c r="BV700" s="355"/>
      <c r="BW700" s="355"/>
    </row>
    <row r="701" spans="1:75" x14ac:dyDescent="0.15">
      <c r="A701" s="356"/>
      <c r="B701" s="355"/>
      <c r="C701" s="355"/>
      <c r="D701" s="355"/>
      <c r="E701" s="355"/>
      <c r="F701" s="355"/>
      <c r="G701" s="355"/>
      <c r="O701" s="356"/>
      <c r="P701" s="355"/>
      <c r="Q701" s="355"/>
      <c r="R701" s="355"/>
      <c r="S701" s="355"/>
      <c r="T701" s="355"/>
      <c r="U701" s="355"/>
      <c r="V701" s="355"/>
      <c r="W701" s="355"/>
      <c r="AG701" s="355"/>
      <c r="AH701" s="355"/>
      <c r="AI701" s="355"/>
      <c r="AJ701" s="355"/>
      <c r="AK701" s="355"/>
      <c r="AL701" s="355"/>
      <c r="AM701" s="355"/>
      <c r="AU701" s="379">
        <v>65089</v>
      </c>
      <c r="AV701" s="375"/>
      <c r="AW701" s="375"/>
      <c r="AX701" s="375"/>
      <c r="AY701" s="375"/>
      <c r="AZ701" s="375"/>
      <c r="BA701" s="375"/>
      <c r="BB701" s="375"/>
      <c r="BC701" s="375"/>
      <c r="BD701" s="375"/>
      <c r="BE701" s="375"/>
      <c r="BF701" s="375">
        <v>7.1249999999999994E-2</v>
      </c>
      <c r="BG701" s="375"/>
      <c r="BH701" s="375"/>
      <c r="BI701" s="373">
        <f t="shared" si="37"/>
        <v>7.1249999999999994E-2</v>
      </c>
      <c r="BT701" s="355"/>
      <c r="BU701" s="355"/>
      <c r="BV701" s="355"/>
      <c r="BW701" s="355"/>
    </row>
    <row r="702" spans="1:75" x14ac:dyDescent="0.15">
      <c r="A702" s="356"/>
      <c r="B702" s="355"/>
      <c r="C702" s="355"/>
      <c r="D702" s="355"/>
      <c r="E702" s="355"/>
      <c r="F702" s="355"/>
      <c r="G702" s="355"/>
      <c r="O702" s="356"/>
      <c r="P702" s="355"/>
      <c r="Q702" s="355"/>
      <c r="R702" s="355"/>
      <c r="S702" s="355"/>
      <c r="T702" s="355"/>
      <c r="U702" s="355"/>
      <c r="V702" s="355"/>
      <c r="W702" s="355"/>
      <c r="AG702" s="355"/>
      <c r="AH702" s="355"/>
      <c r="AI702" s="355"/>
      <c r="AJ702" s="355"/>
      <c r="AK702" s="355"/>
      <c r="AL702" s="355"/>
      <c r="AM702" s="355"/>
      <c r="AU702" s="379">
        <v>65120</v>
      </c>
      <c r="AV702" s="375"/>
      <c r="AW702" s="375"/>
      <c r="AX702" s="375"/>
      <c r="AY702" s="375"/>
      <c r="AZ702" s="375"/>
      <c r="BA702" s="375"/>
      <c r="BB702" s="375"/>
      <c r="BC702" s="375"/>
      <c r="BD702" s="375"/>
      <c r="BE702" s="375"/>
      <c r="BF702" s="375">
        <v>7.1249999999999994E-2</v>
      </c>
      <c r="BG702" s="375"/>
      <c r="BH702" s="375"/>
      <c r="BI702" s="373">
        <f t="shared" si="37"/>
        <v>7.1249999999999994E-2</v>
      </c>
      <c r="BT702" s="355"/>
      <c r="BU702" s="355"/>
      <c r="BV702" s="355"/>
      <c r="BW702" s="355"/>
    </row>
    <row r="703" spans="1:75" x14ac:dyDescent="0.15">
      <c r="A703" s="356"/>
      <c r="B703" s="355"/>
      <c r="C703" s="355"/>
      <c r="D703" s="355"/>
      <c r="E703" s="355"/>
      <c r="F703" s="355"/>
      <c r="G703" s="355"/>
      <c r="O703" s="356"/>
      <c r="P703" s="355"/>
      <c r="Q703" s="355"/>
      <c r="R703" s="355"/>
      <c r="S703" s="355"/>
      <c r="T703" s="355"/>
      <c r="U703" s="355"/>
      <c r="V703" s="355"/>
      <c r="W703" s="355"/>
      <c r="AG703" s="355"/>
      <c r="AH703" s="355"/>
      <c r="AI703" s="355"/>
      <c r="AJ703" s="355"/>
      <c r="AK703" s="355"/>
      <c r="AL703" s="355"/>
      <c r="AM703" s="355"/>
      <c r="AU703" s="379">
        <v>65150</v>
      </c>
      <c r="AV703" s="375"/>
      <c r="AW703" s="375"/>
      <c r="AX703" s="375"/>
      <c r="AY703" s="375"/>
      <c r="AZ703" s="375"/>
      <c r="BA703" s="375"/>
      <c r="BB703" s="375"/>
      <c r="BC703" s="375"/>
      <c r="BD703" s="375"/>
      <c r="BE703" s="375"/>
      <c r="BF703" s="375">
        <v>7.1249999999999994E-2</v>
      </c>
      <c r="BG703" s="375"/>
      <c r="BH703" s="375"/>
      <c r="BI703" s="373">
        <f t="shared" si="37"/>
        <v>7.1249999999999994E-2</v>
      </c>
      <c r="BT703" s="355"/>
      <c r="BU703" s="355"/>
      <c r="BV703" s="355"/>
      <c r="BW703" s="355"/>
    </row>
    <row r="704" spans="1:75" x14ac:dyDescent="0.15">
      <c r="A704" s="356"/>
      <c r="B704" s="355"/>
      <c r="C704" s="355"/>
      <c r="D704" s="355"/>
      <c r="E704" s="355"/>
      <c r="F704" s="355"/>
      <c r="G704" s="355"/>
      <c r="O704" s="356"/>
      <c r="P704" s="355"/>
      <c r="Q704" s="355"/>
      <c r="R704" s="355"/>
      <c r="S704" s="355"/>
      <c r="T704" s="355"/>
      <c r="U704" s="355"/>
      <c r="V704" s="355"/>
      <c r="W704" s="355"/>
      <c r="AG704" s="355"/>
      <c r="AH704" s="355"/>
      <c r="AI704" s="355"/>
      <c r="AJ704" s="355"/>
      <c r="AK704" s="355"/>
      <c r="AL704" s="355"/>
      <c r="AM704" s="355"/>
      <c r="AU704" s="379">
        <v>65181</v>
      </c>
      <c r="AV704" s="375"/>
      <c r="AW704" s="375"/>
      <c r="AX704" s="375"/>
      <c r="AY704" s="375"/>
      <c r="AZ704" s="375"/>
      <c r="BA704" s="375"/>
      <c r="BB704" s="375"/>
      <c r="BC704" s="375"/>
      <c r="BD704" s="375"/>
      <c r="BE704" s="375"/>
      <c r="BF704" s="375">
        <v>7.1249999999999994E-2</v>
      </c>
      <c r="BG704" s="375"/>
      <c r="BH704" s="375"/>
      <c r="BI704" s="373">
        <f t="shared" si="37"/>
        <v>7.1249999999999994E-2</v>
      </c>
      <c r="BT704" s="355"/>
      <c r="BU704" s="355"/>
      <c r="BV704" s="355"/>
      <c r="BW704" s="355"/>
    </row>
    <row r="705" spans="1:75" x14ac:dyDescent="0.15">
      <c r="A705" s="356"/>
      <c r="B705" s="355"/>
      <c r="C705" s="355"/>
      <c r="D705" s="355"/>
      <c r="E705" s="355"/>
      <c r="F705" s="355"/>
      <c r="G705" s="355"/>
      <c r="O705" s="356"/>
      <c r="P705" s="355"/>
      <c r="Q705" s="355"/>
      <c r="R705" s="355"/>
      <c r="S705" s="355"/>
      <c r="T705" s="355"/>
      <c r="U705" s="355"/>
      <c r="V705" s="355"/>
      <c r="W705" s="355"/>
      <c r="AG705" s="355"/>
      <c r="AH705" s="355"/>
      <c r="AI705" s="355"/>
      <c r="AJ705" s="355"/>
      <c r="AK705" s="355"/>
      <c r="AL705" s="355"/>
      <c r="AM705" s="355"/>
      <c r="AU705" s="379">
        <v>65211</v>
      </c>
      <c r="AV705" s="375"/>
      <c r="AW705" s="375"/>
      <c r="AX705" s="375"/>
      <c r="AY705" s="375"/>
      <c r="AZ705" s="375"/>
      <c r="BA705" s="375"/>
      <c r="BB705" s="375"/>
      <c r="BC705" s="375"/>
      <c r="BD705" s="375"/>
      <c r="BE705" s="375"/>
      <c r="BF705" s="375">
        <v>7.1249999999999994E-2</v>
      </c>
      <c r="BG705" s="375"/>
      <c r="BH705" s="375"/>
      <c r="BI705" s="373">
        <f t="shared" si="37"/>
        <v>7.1249999999999994E-2</v>
      </c>
      <c r="BT705" s="355"/>
      <c r="BU705" s="355"/>
      <c r="BV705" s="355"/>
      <c r="BW705" s="355"/>
    </row>
    <row r="706" spans="1:75" x14ac:dyDescent="0.15">
      <c r="A706" s="356"/>
      <c r="B706" s="355"/>
      <c r="C706" s="355"/>
      <c r="D706" s="355"/>
      <c r="E706" s="355"/>
      <c r="F706" s="355"/>
      <c r="G706" s="355"/>
      <c r="O706" s="356"/>
      <c r="P706" s="355"/>
      <c r="Q706" s="355"/>
      <c r="R706" s="355"/>
      <c r="S706" s="355"/>
      <c r="T706" s="355"/>
      <c r="U706" s="355"/>
      <c r="V706" s="355"/>
      <c r="W706" s="355"/>
      <c r="AG706" s="355"/>
      <c r="AH706" s="355"/>
      <c r="AI706" s="355"/>
      <c r="AJ706" s="355"/>
      <c r="AK706" s="355"/>
      <c r="AL706" s="355"/>
      <c r="AM706" s="355"/>
      <c r="AU706" s="379">
        <v>65242</v>
      </c>
      <c r="AV706" s="375"/>
      <c r="AW706" s="375"/>
      <c r="AX706" s="375"/>
      <c r="AY706" s="375"/>
      <c r="AZ706" s="375"/>
      <c r="BA706" s="375"/>
      <c r="BB706" s="375"/>
      <c r="BC706" s="375"/>
      <c r="BD706" s="375"/>
      <c r="BE706" s="375"/>
      <c r="BF706" s="375">
        <v>7.1249999999999994E-2</v>
      </c>
      <c r="BG706" s="375"/>
      <c r="BH706" s="375"/>
      <c r="BI706" s="373">
        <f t="shared" si="37"/>
        <v>7.1249999999999994E-2</v>
      </c>
      <c r="BT706" s="355"/>
      <c r="BU706" s="355"/>
      <c r="BV706" s="355"/>
      <c r="BW706" s="355"/>
    </row>
    <row r="707" spans="1:75" x14ac:dyDescent="0.15">
      <c r="A707" s="356"/>
      <c r="B707" s="355"/>
      <c r="C707" s="355"/>
      <c r="D707" s="355"/>
      <c r="E707" s="355"/>
      <c r="F707" s="355"/>
      <c r="G707" s="355"/>
      <c r="O707" s="356"/>
      <c r="P707" s="355"/>
      <c r="Q707" s="355"/>
      <c r="R707" s="355"/>
      <c r="S707" s="355"/>
      <c r="T707" s="355"/>
      <c r="U707" s="355"/>
      <c r="V707" s="355"/>
      <c r="W707" s="355"/>
      <c r="AG707" s="355"/>
      <c r="AH707" s="355"/>
      <c r="AI707" s="355"/>
      <c r="AJ707" s="355"/>
      <c r="AK707" s="355"/>
      <c r="AL707" s="355"/>
      <c r="AM707" s="355"/>
      <c r="AU707" s="379">
        <v>65273</v>
      </c>
      <c r="AV707" s="375"/>
      <c r="AW707" s="375"/>
      <c r="AX707" s="375"/>
      <c r="AY707" s="375"/>
      <c r="AZ707" s="375"/>
      <c r="BA707" s="375"/>
      <c r="BB707" s="375"/>
      <c r="BC707" s="375"/>
      <c r="BD707" s="375"/>
      <c r="BE707" s="375"/>
      <c r="BF707" s="375">
        <v>7.1249999999999994E-2</v>
      </c>
      <c r="BG707" s="375"/>
      <c r="BH707" s="375"/>
      <c r="BI707" s="373">
        <f t="shared" si="37"/>
        <v>7.1249999999999994E-2</v>
      </c>
      <c r="BT707" s="355"/>
      <c r="BU707" s="355"/>
      <c r="BV707" s="355"/>
      <c r="BW707" s="355"/>
    </row>
    <row r="708" spans="1:75" x14ac:dyDescent="0.15">
      <c r="A708" s="356"/>
      <c r="B708" s="355"/>
      <c r="C708" s="355"/>
      <c r="D708" s="355"/>
      <c r="E708" s="355"/>
      <c r="F708" s="355"/>
      <c r="G708" s="355"/>
      <c r="O708" s="356"/>
      <c r="P708" s="355"/>
      <c r="Q708" s="355"/>
      <c r="R708" s="355"/>
      <c r="S708" s="355"/>
      <c r="T708" s="355"/>
      <c r="U708" s="355"/>
      <c r="V708" s="355"/>
      <c r="W708" s="355"/>
      <c r="AG708" s="355"/>
      <c r="AH708" s="355"/>
      <c r="AI708" s="355"/>
      <c r="AJ708" s="355"/>
      <c r="AK708" s="355"/>
      <c r="AL708" s="355"/>
      <c r="AM708" s="355"/>
      <c r="AU708" s="379">
        <v>65303</v>
      </c>
      <c r="AV708" s="375"/>
      <c r="AW708" s="375"/>
      <c r="AX708" s="375"/>
      <c r="AY708" s="375"/>
      <c r="AZ708" s="375"/>
      <c r="BA708" s="375"/>
      <c r="BB708" s="375"/>
      <c r="BC708" s="375"/>
      <c r="BD708" s="375"/>
      <c r="BE708" s="375"/>
      <c r="BF708" s="375">
        <v>7.1249999999999994E-2</v>
      </c>
      <c r="BG708" s="375"/>
      <c r="BH708" s="375"/>
      <c r="BI708" s="373">
        <f t="shared" si="37"/>
        <v>7.1249999999999994E-2</v>
      </c>
      <c r="BT708" s="355"/>
      <c r="BU708" s="355"/>
      <c r="BV708" s="355"/>
      <c r="BW708" s="355"/>
    </row>
    <row r="709" spans="1:75" x14ac:dyDescent="0.15">
      <c r="A709" s="356"/>
      <c r="B709" s="355"/>
      <c r="C709" s="355"/>
      <c r="D709" s="355"/>
      <c r="E709" s="355"/>
      <c r="F709" s="355"/>
      <c r="G709" s="355"/>
      <c r="O709" s="356"/>
      <c r="P709" s="355"/>
      <c r="Q709" s="355"/>
      <c r="R709" s="355"/>
      <c r="S709" s="355"/>
      <c r="T709" s="355"/>
      <c r="U709" s="355"/>
      <c r="V709" s="355"/>
      <c r="W709" s="355"/>
      <c r="AG709" s="355"/>
      <c r="AH709" s="355"/>
      <c r="AI709" s="355"/>
      <c r="AJ709" s="355"/>
      <c r="AK709" s="355"/>
      <c r="AL709" s="355"/>
      <c r="AM709" s="355"/>
      <c r="AU709" s="379">
        <v>65334</v>
      </c>
      <c r="AV709" s="375"/>
      <c r="AW709" s="375"/>
      <c r="AX709" s="375"/>
      <c r="AY709" s="375"/>
      <c r="AZ709" s="375"/>
      <c r="BA709" s="375"/>
      <c r="BB709" s="375"/>
      <c r="BC709" s="375"/>
      <c r="BD709" s="375"/>
      <c r="BE709" s="375"/>
      <c r="BF709" s="375">
        <v>7.1249999999999994E-2</v>
      </c>
      <c r="BG709" s="375"/>
      <c r="BH709" s="375"/>
      <c r="BI709" s="373">
        <f t="shared" si="37"/>
        <v>7.1249999999999994E-2</v>
      </c>
      <c r="BT709" s="355"/>
      <c r="BU709" s="355"/>
      <c r="BV709" s="355"/>
      <c r="BW709" s="355"/>
    </row>
    <row r="710" spans="1:75" x14ac:dyDescent="0.15">
      <c r="A710" s="356"/>
      <c r="B710" s="355"/>
      <c r="C710" s="355"/>
      <c r="D710" s="355"/>
      <c r="E710" s="355"/>
      <c r="F710" s="355"/>
      <c r="G710" s="355"/>
      <c r="O710" s="356"/>
      <c r="P710" s="355"/>
      <c r="Q710" s="355"/>
      <c r="R710" s="355"/>
      <c r="S710" s="355"/>
      <c r="T710" s="355"/>
      <c r="U710" s="355"/>
      <c r="V710" s="355"/>
      <c r="W710" s="355"/>
      <c r="AG710" s="355"/>
      <c r="AH710" s="355"/>
      <c r="AI710" s="355"/>
      <c r="AJ710" s="355"/>
      <c r="AK710" s="355"/>
      <c r="AL710" s="355"/>
      <c r="AM710" s="355"/>
      <c r="AU710" s="379">
        <v>65364</v>
      </c>
      <c r="AV710" s="375"/>
      <c r="AW710" s="375"/>
      <c r="AX710" s="375"/>
      <c r="AY710" s="375"/>
      <c r="AZ710" s="375"/>
      <c r="BA710" s="375"/>
      <c r="BB710" s="375"/>
      <c r="BC710" s="375"/>
      <c r="BD710" s="375"/>
      <c r="BE710" s="375"/>
      <c r="BF710" s="375">
        <v>7.1249999999999994E-2</v>
      </c>
      <c r="BG710" s="375"/>
      <c r="BH710" s="375"/>
      <c r="BI710" s="373">
        <f t="shared" si="37"/>
        <v>7.1249999999999994E-2</v>
      </c>
      <c r="BT710" s="355"/>
      <c r="BU710" s="355"/>
      <c r="BV710" s="355"/>
      <c r="BW710" s="355"/>
    </row>
    <row r="711" spans="1:75" x14ac:dyDescent="0.15">
      <c r="A711" s="356"/>
      <c r="B711" s="355"/>
      <c r="C711" s="355"/>
      <c r="D711" s="355"/>
      <c r="E711" s="355"/>
      <c r="F711" s="355"/>
      <c r="G711" s="355"/>
      <c r="O711" s="356"/>
      <c r="P711" s="355"/>
      <c r="Q711" s="355"/>
      <c r="R711" s="355"/>
      <c r="S711" s="355"/>
      <c r="T711" s="355"/>
      <c r="U711" s="355"/>
      <c r="V711" s="355"/>
      <c r="W711" s="355"/>
      <c r="AG711" s="355"/>
      <c r="AH711" s="355"/>
      <c r="AI711" s="355"/>
      <c r="AJ711" s="355"/>
      <c r="AK711" s="355"/>
      <c r="AL711" s="355"/>
      <c r="AM711" s="355"/>
      <c r="AU711" s="379">
        <v>65395</v>
      </c>
      <c r="AV711" s="375"/>
      <c r="AW711" s="375"/>
      <c r="AX711" s="375"/>
      <c r="AY711" s="375"/>
      <c r="AZ711" s="375"/>
      <c r="BA711" s="375"/>
      <c r="BB711" s="375"/>
      <c r="BC711" s="375"/>
      <c r="BD711" s="375"/>
      <c r="BE711" s="375"/>
      <c r="BF711" s="375">
        <v>7.1249999999999994E-2</v>
      </c>
      <c r="BG711" s="375"/>
      <c r="BH711" s="375"/>
      <c r="BI711" s="373">
        <f t="shared" ref="BI711:BI774" si="38">+AVERAGE(AV711:BH711)</f>
        <v>7.1249999999999994E-2</v>
      </c>
      <c r="BT711" s="355"/>
      <c r="BU711" s="355"/>
      <c r="BV711" s="355"/>
      <c r="BW711" s="355"/>
    </row>
    <row r="712" spans="1:75" x14ac:dyDescent="0.15">
      <c r="A712" s="356"/>
      <c r="B712" s="355"/>
      <c r="C712" s="355"/>
      <c r="D712" s="355"/>
      <c r="E712" s="355"/>
      <c r="F712" s="355"/>
      <c r="G712" s="355"/>
      <c r="O712" s="356"/>
      <c r="P712" s="355"/>
      <c r="Q712" s="355"/>
      <c r="R712" s="355"/>
      <c r="S712" s="355"/>
      <c r="T712" s="355"/>
      <c r="U712" s="355"/>
      <c r="V712" s="355"/>
      <c r="W712" s="355"/>
      <c r="AG712" s="355"/>
      <c r="AH712" s="355"/>
      <c r="AI712" s="355"/>
      <c r="AJ712" s="355"/>
      <c r="AK712" s="355"/>
      <c r="AL712" s="355"/>
      <c r="AM712" s="355"/>
      <c r="AU712" s="379">
        <v>65426</v>
      </c>
      <c r="AV712" s="375"/>
      <c r="AW712" s="375"/>
      <c r="AX712" s="375"/>
      <c r="AY712" s="375"/>
      <c r="AZ712" s="375"/>
      <c r="BA712" s="375"/>
      <c r="BB712" s="375"/>
      <c r="BC712" s="375"/>
      <c r="BD712" s="375"/>
      <c r="BE712" s="375"/>
      <c r="BF712" s="375">
        <v>7.1249999999999994E-2</v>
      </c>
      <c r="BG712" s="375"/>
      <c r="BH712" s="375"/>
      <c r="BI712" s="373">
        <f t="shared" si="38"/>
        <v>7.1249999999999994E-2</v>
      </c>
      <c r="BT712" s="355"/>
      <c r="BU712" s="355"/>
      <c r="BV712" s="355"/>
      <c r="BW712" s="355"/>
    </row>
    <row r="713" spans="1:75" x14ac:dyDescent="0.15">
      <c r="A713" s="356"/>
      <c r="B713" s="355"/>
      <c r="C713" s="355"/>
      <c r="D713" s="355"/>
      <c r="E713" s="355"/>
      <c r="F713" s="355"/>
      <c r="G713" s="355"/>
      <c r="O713" s="356"/>
      <c r="P713" s="355"/>
      <c r="Q713" s="355"/>
      <c r="R713" s="355"/>
      <c r="S713" s="355"/>
      <c r="T713" s="355"/>
      <c r="U713" s="355"/>
      <c r="V713" s="355"/>
      <c r="W713" s="355"/>
      <c r="AG713" s="355"/>
      <c r="AH713" s="355"/>
      <c r="AI713" s="355"/>
      <c r="AJ713" s="355"/>
      <c r="AK713" s="355"/>
      <c r="AL713" s="355"/>
      <c r="AM713" s="355"/>
      <c r="AU713" s="379">
        <v>65454</v>
      </c>
      <c r="AV713" s="375"/>
      <c r="AW713" s="375"/>
      <c r="AX713" s="375"/>
      <c r="AY713" s="375"/>
      <c r="AZ713" s="375"/>
      <c r="BA713" s="375"/>
      <c r="BB713" s="375"/>
      <c r="BC713" s="375"/>
      <c r="BD713" s="375"/>
      <c r="BE713" s="375"/>
      <c r="BF713" s="375">
        <v>7.1249999999999994E-2</v>
      </c>
      <c r="BG713" s="375"/>
      <c r="BH713" s="375"/>
      <c r="BI713" s="373">
        <f t="shared" si="38"/>
        <v>7.1249999999999994E-2</v>
      </c>
      <c r="BT713" s="355"/>
      <c r="BU713" s="355"/>
      <c r="BV713" s="355"/>
      <c r="BW713" s="355"/>
    </row>
    <row r="714" spans="1:75" x14ac:dyDescent="0.15">
      <c r="A714" s="356"/>
      <c r="B714" s="355"/>
      <c r="C714" s="355"/>
      <c r="D714" s="355"/>
      <c r="E714" s="355"/>
      <c r="F714" s="355"/>
      <c r="G714" s="355"/>
      <c r="O714" s="356"/>
      <c r="P714" s="355"/>
      <c r="Q714" s="355"/>
      <c r="R714" s="355"/>
      <c r="S714" s="355"/>
      <c r="T714" s="355"/>
      <c r="U714" s="355"/>
      <c r="V714" s="355"/>
      <c r="W714" s="355"/>
      <c r="AG714" s="355"/>
      <c r="AH714" s="355"/>
      <c r="AI714" s="355"/>
      <c r="AJ714" s="355"/>
      <c r="AK714" s="355"/>
      <c r="AL714" s="355"/>
      <c r="AM714" s="355"/>
      <c r="AU714" s="379">
        <v>65485</v>
      </c>
      <c r="AV714" s="375"/>
      <c r="AW714" s="375"/>
      <c r="AX714" s="375"/>
      <c r="AY714" s="375"/>
      <c r="AZ714" s="375"/>
      <c r="BA714" s="375"/>
      <c r="BB714" s="375"/>
      <c r="BC714" s="375"/>
      <c r="BD714" s="375"/>
      <c r="BE714" s="375"/>
      <c r="BF714" s="375">
        <v>7.1249999999999994E-2</v>
      </c>
      <c r="BG714" s="375"/>
      <c r="BH714" s="375"/>
      <c r="BI714" s="373">
        <f t="shared" si="38"/>
        <v>7.1249999999999994E-2</v>
      </c>
      <c r="BT714" s="355"/>
      <c r="BU714" s="355"/>
      <c r="BV714" s="355"/>
      <c r="BW714" s="355"/>
    </row>
    <row r="715" spans="1:75" x14ac:dyDescent="0.15">
      <c r="A715" s="356"/>
      <c r="B715" s="355"/>
      <c r="C715" s="355"/>
      <c r="D715" s="355"/>
      <c r="E715" s="355"/>
      <c r="F715" s="355"/>
      <c r="G715" s="355"/>
      <c r="O715" s="356"/>
      <c r="P715" s="355"/>
      <c r="Q715" s="355"/>
      <c r="R715" s="355"/>
      <c r="S715" s="355"/>
      <c r="T715" s="355"/>
      <c r="U715" s="355"/>
      <c r="V715" s="355"/>
      <c r="W715" s="355"/>
      <c r="AG715" s="355"/>
      <c r="AH715" s="355"/>
      <c r="AI715" s="355"/>
      <c r="AJ715" s="355"/>
      <c r="AK715" s="355"/>
      <c r="AL715" s="355"/>
      <c r="AM715" s="355"/>
      <c r="AU715" s="379">
        <v>65515</v>
      </c>
      <c r="AV715" s="375"/>
      <c r="AW715" s="375"/>
      <c r="AX715" s="375"/>
      <c r="AY715" s="375"/>
      <c r="AZ715" s="375"/>
      <c r="BA715" s="375"/>
      <c r="BB715" s="375"/>
      <c r="BC715" s="375"/>
      <c r="BD715" s="375"/>
      <c r="BE715" s="375"/>
      <c r="BF715" s="375">
        <v>7.1249999999999994E-2</v>
      </c>
      <c r="BG715" s="375"/>
      <c r="BH715" s="375"/>
      <c r="BI715" s="373">
        <f t="shared" si="38"/>
        <v>7.1249999999999994E-2</v>
      </c>
      <c r="BT715" s="355"/>
      <c r="BU715" s="355"/>
      <c r="BV715" s="355"/>
      <c r="BW715" s="355"/>
    </row>
    <row r="716" spans="1:75" x14ac:dyDescent="0.15">
      <c r="A716" s="356"/>
      <c r="B716" s="355"/>
      <c r="C716" s="355"/>
      <c r="D716" s="355"/>
      <c r="E716" s="355"/>
      <c r="F716" s="355"/>
      <c r="G716" s="355"/>
      <c r="O716" s="356"/>
      <c r="P716" s="355"/>
      <c r="Q716" s="355"/>
      <c r="R716" s="355"/>
      <c r="S716" s="355"/>
      <c r="T716" s="355"/>
      <c r="U716" s="355"/>
      <c r="V716" s="355"/>
      <c r="W716" s="355"/>
      <c r="AG716" s="355"/>
      <c r="AH716" s="355"/>
      <c r="AI716" s="355"/>
      <c r="AJ716" s="355"/>
      <c r="AK716" s="355"/>
      <c r="AL716" s="355"/>
      <c r="AM716" s="355"/>
      <c r="AU716" s="379">
        <v>65546</v>
      </c>
      <c r="AV716" s="375"/>
      <c r="AW716" s="375"/>
      <c r="AX716" s="375"/>
      <c r="AY716" s="375"/>
      <c r="AZ716" s="375"/>
      <c r="BA716" s="375"/>
      <c r="BB716" s="375"/>
      <c r="BC716" s="375"/>
      <c r="BD716" s="375"/>
      <c r="BE716" s="375"/>
      <c r="BF716" s="375">
        <v>7.1249999999999994E-2</v>
      </c>
      <c r="BG716" s="375"/>
      <c r="BH716" s="375"/>
      <c r="BI716" s="373">
        <f t="shared" si="38"/>
        <v>7.1249999999999994E-2</v>
      </c>
      <c r="BT716" s="355"/>
      <c r="BU716" s="355"/>
      <c r="BV716" s="355"/>
      <c r="BW716" s="355"/>
    </row>
    <row r="717" spans="1:75" x14ac:dyDescent="0.15">
      <c r="A717" s="356"/>
      <c r="B717" s="355"/>
      <c r="C717" s="355"/>
      <c r="D717" s="355"/>
      <c r="E717" s="355"/>
      <c r="F717" s="355"/>
      <c r="G717" s="355"/>
      <c r="O717" s="356"/>
      <c r="P717" s="355"/>
      <c r="Q717" s="355"/>
      <c r="R717" s="355"/>
      <c r="S717" s="355"/>
      <c r="T717" s="355"/>
      <c r="U717" s="355"/>
      <c r="V717" s="355"/>
      <c r="W717" s="355"/>
      <c r="AG717" s="355"/>
      <c r="AH717" s="355"/>
      <c r="AI717" s="355"/>
      <c r="AJ717" s="355"/>
      <c r="AK717" s="355"/>
      <c r="AL717" s="355"/>
      <c r="AM717" s="355"/>
      <c r="AU717" s="379">
        <v>65576</v>
      </c>
      <c r="AV717" s="375"/>
      <c r="AW717" s="375"/>
      <c r="AX717" s="375"/>
      <c r="AY717" s="375"/>
      <c r="AZ717" s="375"/>
      <c r="BA717" s="375"/>
      <c r="BB717" s="375"/>
      <c r="BC717" s="375"/>
      <c r="BD717" s="375"/>
      <c r="BE717" s="375"/>
      <c r="BF717" s="375">
        <v>7.1249999999999994E-2</v>
      </c>
      <c r="BG717" s="375"/>
      <c r="BH717" s="375"/>
      <c r="BI717" s="373">
        <f t="shared" si="38"/>
        <v>7.1249999999999994E-2</v>
      </c>
      <c r="BT717" s="355"/>
      <c r="BU717" s="355"/>
      <c r="BV717" s="355"/>
      <c r="BW717" s="355"/>
    </row>
    <row r="718" spans="1:75" x14ac:dyDescent="0.15">
      <c r="A718" s="356"/>
      <c r="B718" s="355"/>
      <c r="C718" s="355"/>
      <c r="D718" s="355"/>
      <c r="E718" s="355"/>
      <c r="F718" s="355"/>
      <c r="G718" s="355"/>
      <c r="O718" s="356"/>
      <c r="P718" s="355"/>
      <c r="Q718" s="355"/>
      <c r="R718" s="355"/>
      <c r="S718" s="355"/>
      <c r="T718" s="355"/>
      <c r="U718" s="355"/>
      <c r="V718" s="355"/>
      <c r="W718" s="355"/>
      <c r="AG718" s="355"/>
      <c r="AH718" s="355"/>
      <c r="AI718" s="355"/>
      <c r="AJ718" s="355"/>
      <c r="AK718" s="355"/>
      <c r="AL718" s="355"/>
      <c r="AM718" s="355"/>
      <c r="AU718" s="379">
        <v>65607</v>
      </c>
      <c r="AV718" s="375"/>
      <c r="AW718" s="375"/>
      <c r="AX718" s="375"/>
      <c r="AY718" s="375"/>
      <c r="AZ718" s="375"/>
      <c r="BA718" s="375"/>
      <c r="BB718" s="375"/>
      <c r="BC718" s="375"/>
      <c r="BD718" s="375"/>
      <c r="BE718" s="375"/>
      <c r="BF718" s="375">
        <v>7.1249999999999994E-2</v>
      </c>
      <c r="BG718" s="375"/>
      <c r="BH718" s="375"/>
      <c r="BI718" s="373">
        <f t="shared" si="38"/>
        <v>7.1249999999999994E-2</v>
      </c>
      <c r="BT718" s="355"/>
      <c r="BU718" s="355"/>
      <c r="BV718" s="355"/>
      <c r="BW718" s="355"/>
    </row>
    <row r="719" spans="1:75" x14ac:dyDescent="0.15">
      <c r="A719" s="356"/>
      <c r="B719" s="355"/>
      <c r="C719" s="355"/>
      <c r="D719" s="355"/>
      <c r="E719" s="355"/>
      <c r="F719" s="355"/>
      <c r="G719" s="355"/>
      <c r="O719" s="356"/>
      <c r="P719" s="355"/>
      <c r="Q719" s="355"/>
      <c r="R719" s="355"/>
      <c r="S719" s="355"/>
      <c r="T719" s="355"/>
      <c r="U719" s="355"/>
      <c r="V719" s="355"/>
      <c r="W719" s="355"/>
      <c r="AG719" s="355"/>
      <c r="AH719" s="355"/>
      <c r="AI719" s="355"/>
      <c r="AJ719" s="355"/>
      <c r="AK719" s="355"/>
      <c r="AL719" s="355"/>
      <c r="AM719" s="355"/>
      <c r="AU719" s="379">
        <v>65638</v>
      </c>
      <c r="AV719" s="375"/>
      <c r="AW719" s="375"/>
      <c r="AX719" s="375"/>
      <c r="AY719" s="375"/>
      <c r="AZ719" s="375"/>
      <c r="BA719" s="375"/>
      <c r="BB719" s="375"/>
      <c r="BC719" s="375"/>
      <c r="BD719" s="375"/>
      <c r="BE719" s="375"/>
      <c r="BF719" s="375">
        <v>7.1249999999999994E-2</v>
      </c>
      <c r="BG719" s="375"/>
      <c r="BH719" s="375"/>
      <c r="BI719" s="373">
        <f t="shared" si="38"/>
        <v>7.1249999999999994E-2</v>
      </c>
      <c r="BT719" s="355"/>
      <c r="BU719" s="355"/>
      <c r="BV719" s="355"/>
      <c r="BW719" s="355"/>
    </row>
    <row r="720" spans="1:75" x14ac:dyDescent="0.15">
      <c r="A720" s="356"/>
      <c r="B720" s="355"/>
      <c r="C720" s="355"/>
      <c r="D720" s="355"/>
      <c r="E720" s="355"/>
      <c r="F720" s="355"/>
      <c r="G720" s="355"/>
      <c r="O720" s="356"/>
      <c r="P720" s="355"/>
      <c r="Q720" s="355"/>
      <c r="R720" s="355"/>
      <c r="S720" s="355"/>
      <c r="T720" s="355"/>
      <c r="U720" s="355"/>
      <c r="V720" s="355"/>
      <c r="W720" s="355"/>
      <c r="AG720" s="355"/>
      <c r="AH720" s="355"/>
      <c r="AI720" s="355"/>
      <c r="AJ720" s="355"/>
      <c r="AK720" s="355"/>
      <c r="AL720" s="355"/>
      <c r="AM720" s="355"/>
      <c r="AU720" s="379">
        <v>65668</v>
      </c>
      <c r="AV720" s="375"/>
      <c r="AW720" s="375"/>
      <c r="AX720" s="375"/>
      <c r="AY720" s="375"/>
      <c r="AZ720" s="375"/>
      <c r="BA720" s="375"/>
      <c r="BB720" s="375"/>
      <c r="BC720" s="375"/>
      <c r="BD720" s="375"/>
      <c r="BE720" s="375"/>
      <c r="BF720" s="375">
        <v>7.1249999999999994E-2</v>
      </c>
      <c r="BG720" s="375"/>
      <c r="BH720" s="375"/>
      <c r="BI720" s="373">
        <f t="shared" si="38"/>
        <v>7.1249999999999994E-2</v>
      </c>
      <c r="BT720" s="355"/>
      <c r="BU720" s="355"/>
      <c r="BV720" s="355"/>
      <c r="BW720" s="355"/>
    </row>
    <row r="721" spans="1:75" x14ac:dyDescent="0.15">
      <c r="A721" s="356"/>
      <c r="B721" s="355"/>
      <c r="C721" s="355"/>
      <c r="D721" s="355"/>
      <c r="E721" s="355"/>
      <c r="F721" s="355"/>
      <c r="G721" s="355"/>
      <c r="O721" s="356"/>
      <c r="P721" s="355"/>
      <c r="Q721" s="355"/>
      <c r="R721" s="355"/>
      <c r="S721" s="355"/>
      <c r="T721" s="355"/>
      <c r="U721" s="355"/>
      <c r="V721" s="355"/>
      <c r="W721" s="355"/>
      <c r="AG721" s="355"/>
      <c r="AH721" s="355"/>
      <c r="AI721" s="355"/>
      <c r="AJ721" s="355"/>
      <c r="AK721" s="355"/>
      <c r="AL721" s="355"/>
      <c r="AM721" s="355"/>
      <c r="AU721" s="379">
        <v>65699</v>
      </c>
      <c r="AV721" s="375"/>
      <c r="AW721" s="375"/>
      <c r="AX721" s="375"/>
      <c r="AY721" s="375"/>
      <c r="AZ721" s="375"/>
      <c r="BA721" s="375"/>
      <c r="BB721" s="375"/>
      <c r="BC721" s="375"/>
      <c r="BD721" s="375"/>
      <c r="BE721" s="375"/>
      <c r="BF721" s="375">
        <v>7.1249999999999994E-2</v>
      </c>
      <c r="BG721" s="375"/>
      <c r="BH721" s="375"/>
      <c r="BI721" s="373">
        <f t="shared" si="38"/>
        <v>7.1249999999999994E-2</v>
      </c>
      <c r="BT721" s="355"/>
      <c r="BU721" s="355"/>
      <c r="BV721" s="355"/>
      <c r="BW721" s="355"/>
    </row>
    <row r="722" spans="1:75" x14ac:dyDescent="0.15">
      <c r="A722" s="356"/>
      <c r="B722" s="355"/>
      <c r="C722" s="355"/>
      <c r="D722" s="355"/>
      <c r="E722" s="355"/>
      <c r="F722" s="355"/>
      <c r="G722" s="355"/>
      <c r="O722" s="356"/>
      <c r="P722" s="355"/>
      <c r="Q722" s="355"/>
      <c r="R722" s="355"/>
      <c r="S722" s="355"/>
      <c r="T722" s="355"/>
      <c r="U722" s="355"/>
      <c r="V722" s="355"/>
      <c r="W722" s="355"/>
      <c r="AG722" s="355"/>
      <c r="AH722" s="355"/>
      <c r="AI722" s="355"/>
      <c r="AJ722" s="355"/>
      <c r="AK722" s="355"/>
      <c r="AL722" s="355"/>
      <c r="AM722" s="355"/>
      <c r="AU722" s="379">
        <v>65729</v>
      </c>
      <c r="AV722" s="375"/>
      <c r="AW722" s="375"/>
      <c r="AX722" s="375"/>
      <c r="AY722" s="375"/>
      <c r="AZ722" s="375"/>
      <c r="BA722" s="375"/>
      <c r="BB722" s="375"/>
      <c r="BC722" s="375"/>
      <c r="BD722" s="375"/>
      <c r="BE722" s="375"/>
      <c r="BF722" s="375">
        <v>7.1249999999999994E-2</v>
      </c>
      <c r="BG722" s="375"/>
      <c r="BH722" s="375"/>
      <c r="BI722" s="373">
        <f t="shared" si="38"/>
        <v>7.1249999999999994E-2</v>
      </c>
      <c r="BT722" s="355"/>
      <c r="BU722" s="355"/>
      <c r="BV722" s="355"/>
      <c r="BW722" s="355"/>
    </row>
    <row r="723" spans="1:75" x14ac:dyDescent="0.15">
      <c r="A723" s="356"/>
      <c r="B723" s="355"/>
      <c r="C723" s="355"/>
      <c r="D723" s="355"/>
      <c r="E723" s="355"/>
      <c r="F723" s="355"/>
      <c r="G723" s="355"/>
      <c r="O723" s="356"/>
      <c r="P723" s="355"/>
      <c r="Q723" s="355"/>
      <c r="R723" s="355"/>
      <c r="S723" s="355"/>
      <c r="T723" s="355"/>
      <c r="U723" s="355"/>
      <c r="V723" s="355"/>
      <c r="W723" s="355"/>
      <c r="AG723" s="355"/>
      <c r="AH723" s="355"/>
      <c r="AI723" s="355"/>
      <c r="AJ723" s="355"/>
      <c r="AK723" s="355"/>
      <c r="AL723" s="355"/>
      <c r="AM723" s="355"/>
      <c r="AU723" s="379">
        <v>65760</v>
      </c>
      <c r="AV723" s="375"/>
      <c r="AW723" s="375"/>
      <c r="AX723" s="375"/>
      <c r="AY723" s="375"/>
      <c r="AZ723" s="375"/>
      <c r="BA723" s="375"/>
      <c r="BB723" s="375"/>
      <c r="BC723" s="375"/>
      <c r="BD723" s="375"/>
      <c r="BE723" s="375"/>
      <c r="BF723" s="375">
        <v>7.1249999999999994E-2</v>
      </c>
      <c r="BG723" s="375"/>
      <c r="BH723" s="375"/>
      <c r="BI723" s="373">
        <f t="shared" si="38"/>
        <v>7.1249999999999994E-2</v>
      </c>
      <c r="BT723" s="355"/>
      <c r="BU723" s="355"/>
      <c r="BV723" s="355"/>
      <c r="BW723" s="355"/>
    </row>
    <row r="724" spans="1:75" x14ac:dyDescent="0.15">
      <c r="A724" s="356"/>
      <c r="B724" s="355"/>
      <c r="C724" s="355"/>
      <c r="D724" s="355"/>
      <c r="E724" s="355"/>
      <c r="F724" s="355"/>
      <c r="G724" s="355"/>
      <c r="O724" s="356"/>
      <c r="P724" s="355"/>
      <c r="Q724" s="355"/>
      <c r="R724" s="355"/>
      <c r="S724" s="355"/>
      <c r="T724" s="355"/>
      <c r="U724" s="355"/>
      <c r="V724" s="355"/>
      <c r="W724" s="355"/>
      <c r="AG724" s="355"/>
      <c r="AH724" s="355"/>
      <c r="AI724" s="355"/>
      <c r="AJ724" s="355"/>
      <c r="AK724" s="355"/>
      <c r="AL724" s="355"/>
      <c r="AM724" s="355"/>
      <c r="AU724" s="379">
        <v>65791</v>
      </c>
      <c r="AV724" s="375"/>
      <c r="AW724" s="375"/>
      <c r="AX724" s="375"/>
      <c r="AY724" s="375"/>
      <c r="AZ724" s="375"/>
      <c r="BA724" s="375"/>
      <c r="BB724" s="375"/>
      <c r="BC724" s="375"/>
      <c r="BD724" s="375"/>
      <c r="BE724" s="375"/>
      <c r="BF724" s="375">
        <v>7.1249999999999994E-2</v>
      </c>
      <c r="BG724" s="375"/>
      <c r="BH724" s="375"/>
      <c r="BI724" s="373">
        <f t="shared" si="38"/>
        <v>7.1249999999999994E-2</v>
      </c>
      <c r="BT724" s="355"/>
      <c r="BU724" s="355"/>
      <c r="BV724" s="355"/>
      <c r="BW724" s="355"/>
    </row>
    <row r="725" spans="1:75" x14ac:dyDescent="0.15">
      <c r="A725" s="356"/>
      <c r="B725" s="355"/>
      <c r="C725" s="355"/>
      <c r="D725" s="355"/>
      <c r="E725" s="355"/>
      <c r="F725" s="355"/>
      <c r="G725" s="355"/>
      <c r="O725" s="356"/>
      <c r="P725" s="355"/>
      <c r="Q725" s="355"/>
      <c r="R725" s="355"/>
      <c r="S725" s="355"/>
      <c r="T725" s="355"/>
      <c r="U725" s="355"/>
      <c r="V725" s="355"/>
      <c r="W725" s="355"/>
      <c r="AG725" s="355"/>
      <c r="AH725" s="355"/>
      <c r="AI725" s="355"/>
      <c r="AJ725" s="355"/>
      <c r="AK725" s="355"/>
      <c r="AL725" s="355"/>
      <c r="AM725" s="355"/>
      <c r="AU725" s="379">
        <v>65820</v>
      </c>
      <c r="AV725" s="375"/>
      <c r="AW725" s="375"/>
      <c r="AX725" s="375"/>
      <c r="AY725" s="375"/>
      <c r="AZ725" s="375"/>
      <c r="BA725" s="375"/>
      <c r="BB725" s="375"/>
      <c r="BC725" s="375"/>
      <c r="BD725" s="375"/>
      <c r="BE725" s="375"/>
      <c r="BF725" s="375">
        <v>7.1249999999999994E-2</v>
      </c>
      <c r="BG725" s="375"/>
      <c r="BH725" s="375"/>
      <c r="BI725" s="373">
        <f t="shared" si="38"/>
        <v>7.1249999999999994E-2</v>
      </c>
      <c r="BT725" s="355"/>
      <c r="BU725" s="355"/>
      <c r="BV725" s="355"/>
      <c r="BW725" s="355"/>
    </row>
    <row r="726" spans="1:75" x14ac:dyDescent="0.15">
      <c r="A726" s="356"/>
      <c r="B726" s="355"/>
      <c r="C726" s="355"/>
      <c r="D726" s="355"/>
      <c r="E726" s="355"/>
      <c r="F726" s="355"/>
      <c r="G726" s="355"/>
      <c r="O726" s="356"/>
      <c r="P726" s="355"/>
      <c r="Q726" s="355"/>
      <c r="R726" s="355"/>
      <c r="S726" s="355"/>
      <c r="T726" s="355"/>
      <c r="U726" s="355"/>
      <c r="V726" s="355"/>
      <c r="W726" s="355"/>
      <c r="AG726" s="355"/>
      <c r="AH726" s="355"/>
      <c r="AI726" s="355"/>
      <c r="AJ726" s="355"/>
      <c r="AK726" s="355"/>
      <c r="AL726" s="355"/>
      <c r="AM726" s="355"/>
      <c r="AU726" s="379">
        <v>65851</v>
      </c>
      <c r="AV726" s="375"/>
      <c r="AW726" s="375"/>
      <c r="AX726" s="375"/>
      <c r="AY726" s="375"/>
      <c r="AZ726" s="375"/>
      <c r="BA726" s="375"/>
      <c r="BB726" s="375"/>
      <c r="BC726" s="375"/>
      <c r="BD726" s="375"/>
      <c r="BE726" s="375"/>
      <c r="BF726" s="375">
        <v>7.1249999999999994E-2</v>
      </c>
      <c r="BG726" s="375"/>
      <c r="BH726" s="375"/>
      <c r="BI726" s="373">
        <f t="shared" si="38"/>
        <v>7.1249999999999994E-2</v>
      </c>
      <c r="BT726" s="355"/>
      <c r="BU726" s="355"/>
      <c r="BV726" s="355"/>
      <c r="BW726" s="355"/>
    </row>
    <row r="727" spans="1:75" x14ac:dyDescent="0.15">
      <c r="A727" s="356"/>
      <c r="B727" s="355"/>
      <c r="C727" s="355"/>
      <c r="D727" s="355"/>
      <c r="E727" s="355"/>
      <c r="F727" s="355"/>
      <c r="G727" s="355"/>
      <c r="O727" s="356"/>
      <c r="P727" s="355"/>
      <c r="Q727" s="355"/>
      <c r="R727" s="355"/>
      <c r="S727" s="355"/>
      <c r="T727" s="355"/>
      <c r="U727" s="355"/>
      <c r="V727" s="355"/>
      <c r="W727" s="355"/>
      <c r="AG727" s="355"/>
      <c r="AH727" s="355"/>
      <c r="AI727" s="355"/>
      <c r="AJ727" s="355"/>
      <c r="AK727" s="355"/>
      <c r="AL727" s="355"/>
      <c r="AM727" s="355"/>
      <c r="AU727" s="379">
        <v>65881</v>
      </c>
      <c r="AV727" s="375"/>
      <c r="AW727" s="375"/>
      <c r="AX727" s="375"/>
      <c r="AY727" s="375"/>
      <c r="AZ727" s="375"/>
      <c r="BA727" s="375"/>
      <c r="BB727" s="375"/>
      <c r="BC727" s="375"/>
      <c r="BD727" s="375"/>
      <c r="BE727" s="375"/>
      <c r="BF727" s="375">
        <v>7.1249999999999994E-2</v>
      </c>
      <c r="BG727" s="375"/>
      <c r="BH727" s="375"/>
      <c r="BI727" s="373">
        <f t="shared" si="38"/>
        <v>7.1249999999999994E-2</v>
      </c>
      <c r="BT727" s="355"/>
      <c r="BU727" s="355"/>
      <c r="BV727" s="355"/>
      <c r="BW727" s="355"/>
    </row>
    <row r="728" spans="1:75" x14ac:dyDescent="0.15">
      <c r="A728" s="356"/>
      <c r="B728" s="355"/>
      <c r="C728" s="355"/>
      <c r="D728" s="355"/>
      <c r="E728" s="355"/>
      <c r="F728" s="355"/>
      <c r="G728" s="355"/>
      <c r="O728" s="356"/>
      <c r="P728" s="355"/>
      <c r="Q728" s="355"/>
      <c r="R728" s="355"/>
      <c r="S728" s="355"/>
      <c r="T728" s="355"/>
      <c r="U728" s="355"/>
      <c r="V728" s="355"/>
      <c r="W728" s="355"/>
      <c r="AG728" s="355"/>
      <c r="AH728" s="355"/>
      <c r="AI728" s="355"/>
      <c r="AJ728" s="355"/>
      <c r="AK728" s="355"/>
      <c r="AL728" s="355"/>
      <c r="AM728" s="355"/>
      <c r="AU728" s="379">
        <v>65912</v>
      </c>
      <c r="AV728" s="375"/>
      <c r="AW728" s="375"/>
      <c r="AX728" s="375"/>
      <c r="AY728" s="375"/>
      <c r="AZ728" s="375"/>
      <c r="BA728" s="375"/>
      <c r="BB728" s="375"/>
      <c r="BC728" s="375"/>
      <c r="BD728" s="375"/>
      <c r="BE728" s="375"/>
      <c r="BF728" s="375">
        <v>7.1249999999999994E-2</v>
      </c>
      <c r="BG728" s="375"/>
      <c r="BH728" s="375"/>
      <c r="BI728" s="373">
        <f t="shared" si="38"/>
        <v>7.1249999999999994E-2</v>
      </c>
      <c r="BT728" s="355"/>
      <c r="BU728" s="355"/>
      <c r="BV728" s="355"/>
      <c r="BW728" s="355"/>
    </row>
    <row r="729" spans="1:75" x14ac:dyDescent="0.15">
      <c r="A729" s="356"/>
      <c r="B729" s="355"/>
      <c r="C729" s="355"/>
      <c r="D729" s="355"/>
      <c r="E729" s="355"/>
      <c r="F729" s="355"/>
      <c r="G729" s="355"/>
      <c r="O729" s="356"/>
      <c r="P729" s="355"/>
      <c r="Q729" s="355"/>
      <c r="R729" s="355"/>
      <c r="S729" s="355"/>
      <c r="T729" s="355"/>
      <c r="U729" s="355"/>
      <c r="V729" s="355"/>
      <c r="W729" s="355"/>
      <c r="AG729" s="355"/>
      <c r="AH729" s="355"/>
      <c r="AI729" s="355"/>
      <c r="AJ729" s="355"/>
      <c r="AK729" s="355"/>
      <c r="AL729" s="355"/>
      <c r="AM729" s="355"/>
      <c r="AU729" s="379">
        <v>65942</v>
      </c>
      <c r="AV729" s="375"/>
      <c r="AW729" s="375"/>
      <c r="AX729" s="375"/>
      <c r="AY729" s="375"/>
      <c r="AZ729" s="375"/>
      <c r="BA729" s="375"/>
      <c r="BB729" s="375"/>
      <c r="BC729" s="375"/>
      <c r="BD729" s="375"/>
      <c r="BE729" s="375"/>
      <c r="BF729" s="375">
        <v>7.1249999999999994E-2</v>
      </c>
      <c r="BG729" s="375"/>
      <c r="BH729" s="375"/>
      <c r="BI729" s="373">
        <f t="shared" si="38"/>
        <v>7.1249999999999994E-2</v>
      </c>
      <c r="BT729" s="355"/>
      <c r="BU729" s="355"/>
      <c r="BV729" s="355"/>
      <c r="BW729" s="355"/>
    </row>
    <row r="730" spans="1:75" x14ac:dyDescent="0.15">
      <c r="A730" s="356"/>
      <c r="B730" s="355"/>
      <c r="C730" s="355"/>
      <c r="D730" s="355"/>
      <c r="E730" s="355"/>
      <c r="F730" s="355"/>
      <c r="G730" s="355"/>
      <c r="O730" s="356"/>
      <c r="P730" s="355"/>
      <c r="Q730" s="355"/>
      <c r="R730" s="355"/>
      <c r="S730" s="355"/>
      <c r="T730" s="355"/>
      <c r="U730" s="355"/>
      <c r="V730" s="355"/>
      <c r="W730" s="355"/>
      <c r="AG730" s="355"/>
      <c r="AH730" s="355"/>
      <c r="AI730" s="355"/>
      <c r="AJ730" s="355"/>
      <c r="AK730" s="355"/>
      <c r="AL730" s="355"/>
      <c r="AM730" s="355"/>
      <c r="AU730" s="379">
        <v>65973</v>
      </c>
      <c r="AV730" s="375"/>
      <c r="AW730" s="375"/>
      <c r="AX730" s="375"/>
      <c r="AY730" s="375"/>
      <c r="AZ730" s="375"/>
      <c r="BA730" s="375"/>
      <c r="BB730" s="375"/>
      <c r="BC730" s="375"/>
      <c r="BD730" s="375"/>
      <c r="BE730" s="375"/>
      <c r="BF730" s="375">
        <v>7.1249999999999994E-2</v>
      </c>
      <c r="BG730" s="375"/>
      <c r="BH730" s="375"/>
      <c r="BI730" s="373">
        <f t="shared" si="38"/>
        <v>7.1249999999999994E-2</v>
      </c>
      <c r="BT730" s="355"/>
      <c r="BU730" s="355"/>
      <c r="BV730" s="355"/>
      <c r="BW730" s="355"/>
    </row>
    <row r="731" spans="1:75" x14ac:dyDescent="0.15">
      <c r="A731" s="356"/>
      <c r="B731" s="355"/>
      <c r="C731" s="355"/>
      <c r="D731" s="355"/>
      <c r="E731" s="355"/>
      <c r="F731" s="355"/>
      <c r="G731" s="355"/>
      <c r="O731" s="356"/>
      <c r="P731" s="355"/>
      <c r="Q731" s="355"/>
      <c r="R731" s="355"/>
      <c r="S731" s="355"/>
      <c r="T731" s="355"/>
      <c r="U731" s="355"/>
      <c r="V731" s="355"/>
      <c r="W731" s="355"/>
      <c r="AG731" s="355"/>
      <c r="AH731" s="355"/>
      <c r="AI731" s="355"/>
      <c r="AJ731" s="355"/>
      <c r="AK731" s="355"/>
      <c r="AL731" s="355"/>
      <c r="AM731" s="355"/>
      <c r="AU731" s="379">
        <v>66004</v>
      </c>
      <c r="AV731" s="375"/>
      <c r="AW731" s="375"/>
      <c r="AX731" s="375"/>
      <c r="AY731" s="375"/>
      <c r="AZ731" s="375"/>
      <c r="BA731" s="375"/>
      <c r="BB731" s="375"/>
      <c r="BC731" s="375"/>
      <c r="BD731" s="375"/>
      <c r="BE731" s="375"/>
      <c r="BF731" s="375">
        <v>7.1249999999999994E-2</v>
      </c>
      <c r="BG731" s="375"/>
      <c r="BH731" s="375"/>
      <c r="BI731" s="373">
        <f t="shared" si="38"/>
        <v>7.1249999999999994E-2</v>
      </c>
      <c r="BT731" s="355"/>
      <c r="BU731" s="355"/>
      <c r="BV731" s="355"/>
      <c r="BW731" s="355"/>
    </row>
    <row r="732" spans="1:75" x14ac:dyDescent="0.15">
      <c r="A732" s="356"/>
      <c r="B732" s="355"/>
      <c r="C732" s="355"/>
      <c r="D732" s="355"/>
      <c r="E732" s="355"/>
      <c r="F732" s="355"/>
      <c r="G732" s="355"/>
      <c r="O732" s="356"/>
      <c r="P732" s="355"/>
      <c r="Q732" s="355"/>
      <c r="R732" s="355"/>
      <c r="S732" s="355"/>
      <c r="T732" s="355"/>
      <c r="U732" s="355"/>
      <c r="V732" s="355"/>
      <c r="W732" s="355"/>
      <c r="AG732" s="355"/>
      <c r="AH732" s="355"/>
      <c r="AI732" s="355"/>
      <c r="AJ732" s="355"/>
      <c r="AK732" s="355"/>
      <c r="AL732" s="355"/>
      <c r="AM732" s="355"/>
      <c r="AU732" s="379">
        <v>66034</v>
      </c>
      <c r="AV732" s="375"/>
      <c r="AW732" s="375"/>
      <c r="AX732" s="375"/>
      <c r="AY732" s="375"/>
      <c r="AZ732" s="375"/>
      <c r="BA732" s="375"/>
      <c r="BB732" s="375"/>
      <c r="BC732" s="375"/>
      <c r="BD732" s="375"/>
      <c r="BE732" s="375"/>
      <c r="BF732" s="375">
        <v>7.1249999999999994E-2</v>
      </c>
      <c r="BG732" s="375"/>
      <c r="BH732" s="375"/>
      <c r="BI732" s="373">
        <f t="shared" si="38"/>
        <v>7.1249999999999994E-2</v>
      </c>
      <c r="BT732" s="355"/>
      <c r="BU732" s="355"/>
      <c r="BV732" s="355"/>
      <c r="BW732" s="355"/>
    </row>
    <row r="733" spans="1:75" x14ac:dyDescent="0.15">
      <c r="A733" s="356"/>
      <c r="B733" s="355"/>
      <c r="C733" s="355"/>
      <c r="D733" s="355"/>
      <c r="E733" s="355"/>
      <c r="F733" s="355"/>
      <c r="G733" s="355"/>
      <c r="O733" s="356"/>
      <c r="P733" s="355"/>
      <c r="Q733" s="355"/>
      <c r="R733" s="355"/>
      <c r="S733" s="355"/>
      <c r="T733" s="355"/>
      <c r="U733" s="355"/>
      <c r="V733" s="355"/>
      <c r="W733" s="355"/>
      <c r="AG733" s="355"/>
      <c r="AH733" s="355"/>
      <c r="AI733" s="355"/>
      <c r="AJ733" s="355"/>
      <c r="AK733" s="355"/>
      <c r="AL733" s="355"/>
      <c r="AM733" s="355"/>
      <c r="AU733" s="379">
        <v>66065</v>
      </c>
      <c r="AV733" s="375"/>
      <c r="AW733" s="375"/>
      <c r="AX733" s="375"/>
      <c r="AY733" s="375"/>
      <c r="AZ733" s="375"/>
      <c r="BA733" s="375"/>
      <c r="BB733" s="375"/>
      <c r="BC733" s="375"/>
      <c r="BD733" s="375"/>
      <c r="BE733" s="375"/>
      <c r="BF733" s="375">
        <v>7.1249999999999994E-2</v>
      </c>
      <c r="BG733" s="375"/>
      <c r="BH733" s="375"/>
      <c r="BI733" s="373">
        <f t="shared" si="38"/>
        <v>7.1249999999999994E-2</v>
      </c>
      <c r="BT733" s="355"/>
      <c r="BU733" s="355"/>
      <c r="BV733" s="355"/>
      <c r="BW733" s="355"/>
    </row>
    <row r="734" spans="1:75" x14ac:dyDescent="0.15">
      <c r="A734" s="356"/>
      <c r="B734" s="355"/>
      <c r="C734" s="355"/>
      <c r="D734" s="355"/>
      <c r="E734" s="355"/>
      <c r="F734" s="355"/>
      <c r="G734" s="355"/>
      <c r="O734" s="356"/>
      <c r="P734" s="355"/>
      <c r="Q734" s="355"/>
      <c r="R734" s="355"/>
      <c r="S734" s="355"/>
      <c r="T734" s="355"/>
      <c r="U734" s="355"/>
      <c r="V734" s="355"/>
      <c r="W734" s="355"/>
      <c r="AG734" s="355"/>
      <c r="AH734" s="355"/>
      <c r="AI734" s="355"/>
      <c r="AJ734" s="355"/>
      <c r="AK734" s="355"/>
      <c r="AL734" s="355"/>
      <c r="AM734" s="355"/>
      <c r="AU734" s="379">
        <v>66095</v>
      </c>
      <c r="AV734" s="375"/>
      <c r="AW734" s="375"/>
      <c r="AX734" s="375"/>
      <c r="AY734" s="375"/>
      <c r="AZ734" s="375"/>
      <c r="BA734" s="375"/>
      <c r="BB734" s="375"/>
      <c r="BC734" s="375"/>
      <c r="BD734" s="375"/>
      <c r="BE734" s="375"/>
      <c r="BF734" s="375">
        <v>7.1249999999999994E-2</v>
      </c>
      <c r="BG734" s="375"/>
      <c r="BH734" s="375"/>
      <c r="BI734" s="373">
        <f t="shared" si="38"/>
        <v>7.1249999999999994E-2</v>
      </c>
      <c r="BT734" s="355"/>
      <c r="BU734" s="355"/>
      <c r="BV734" s="355"/>
      <c r="BW734" s="355"/>
    </row>
    <row r="735" spans="1:75" x14ac:dyDescent="0.15">
      <c r="A735" s="356"/>
      <c r="B735" s="355"/>
      <c r="C735" s="355"/>
      <c r="D735" s="355"/>
      <c r="E735" s="355"/>
      <c r="F735" s="355"/>
      <c r="G735" s="355"/>
      <c r="O735" s="356"/>
      <c r="P735" s="355"/>
      <c r="Q735" s="355"/>
      <c r="R735" s="355"/>
      <c r="S735" s="355"/>
      <c r="T735" s="355"/>
      <c r="U735" s="355"/>
      <c r="V735" s="355"/>
      <c r="W735" s="355"/>
      <c r="AG735" s="355"/>
      <c r="AH735" s="355"/>
      <c r="AI735" s="355"/>
      <c r="AJ735" s="355"/>
      <c r="AK735" s="355"/>
      <c r="AL735" s="355"/>
      <c r="AM735" s="355"/>
      <c r="AU735" s="379">
        <v>66126</v>
      </c>
      <c r="AV735" s="375"/>
      <c r="AW735" s="375"/>
      <c r="AX735" s="375"/>
      <c r="AY735" s="375"/>
      <c r="AZ735" s="375"/>
      <c r="BA735" s="375"/>
      <c r="BB735" s="375"/>
      <c r="BC735" s="375"/>
      <c r="BD735" s="375"/>
      <c r="BE735" s="375"/>
      <c r="BF735" s="375">
        <v>7.1249999999999994E-2</v>
      </c>
      <c r="BG735" s="375"/>
      <c r="BH735" s="375"/>
      <c r="BI735" s="373">
        <f t="shared" si="38"/>
        <v>7.1249999999999994E-2</v>
      </c>
      <c r="BT735" s="355"/>
      <c r="BU735" s="355"/>
      <c r="BV735" s="355"/>
      <c r="BW735" s="355"/>
    </row>
    <row r="736" spans="1:75" x14ac:dyDescent="0.15">
      <c r="A736" s="356"/>
      <c r="B736" s="355"/>
      <c r="C736" s="355"/>
      <c r="D736" s="355"/>
      <c r="E736" s="355"/>
      <c r="F736" s="355"/>
      <c r="G736" s="355"/>
      <c r="O736" s="356"/>
      <c r="P736" s="355"/>
      <c r="Q736" s="355"/>
      <c r="R736" s="355"/>
      <c r="S736" s="355"/>
      <c r="T736" s="355"/>
      <c r="U736" s="355"/>
      <c r="V736" s="355"/>
      <c r="W736" s="355"/>
      <c r="AG736" s="355"/>
      <c r="AH736" s="355"/>
      <c r="AI736" s="355"/>
      <c r="AJ736" s="355"/>
      <c r="AK736" s="355"/>
      <c r="AL736" s="355"/>
      <c r="AM736" s="355"/>
      <c r="AU736" s="379">
        <v>66157</v>
      </c>
      <c r="AV736" s="375"/>
      <c r="AW736" s="375"/>
      <c r="AX736" s="375"/>
      <c r="AY736" s="375"/>
      <c r="AZ736" s="375"/>
      <c r="BA736" s="375"/>
      <c r="BB736" s="375"/>
      <c r="BC736" s="375"/>
      <c r="BD736" s="375"/>
      <c r="BE736" s="375"/>
      <c r="BF736" s="375">
        <v>7.1249999999999994E-2</v>
      </c>
      <c r="BG736" s="375"/>
      <c r="BH736" s="375"/>
      <c r="BI736" s="373">
        <f t="shared" si="38"/>
        <v>7.1249999999999994E-2</v>
      </c>
      <c r="BT736" s="355"/>
      <c r="BU736" s="355"/>
      <c r="BV736" s="355"/>
      <c r="BW736" s="355"/>
    </row>
    <row r="737" spans="1:75" x14ac:dyDescent="0.15">
      <c r="A737" s="356"/>
      <c r="B737" s="355"/>
      <c r="C737" s="355"/>
      <c r="D737" s="355"/>
      <c r="E737" s="355"/>
      <c r="F737" s="355"/>
      <c r="G737" s="355"/>
      <c r="O737" s="356"/>
      <c r="P737" s="355"/>
      <c r="Q737" s="355"/>
      <c r="R737" s="355"/>
      <c r="S737" s="355"/>
      <c r="T737" s="355"/>
      <c r="U737" s="355"/>
      <c r="V737" s="355"/>
      <c r="W737" s="355"/>
      <c r="AG737" s="355"/>
      <c r="AH737" s="355"/>
      <c r="AI737" s="355"/>
      <c r="AJ737" s="355"/>
      <c r="AK737" s="355"/>
      <c r="AL737" s="355"/>
      <c r="AM737" s="355"/>
      <c r="AU737" s="379">
        <v>66185</v>
      </c>
      <c r="AV737" s="375"/>
      <c r="AW737" s="375"/>
      <c r="AX737" s="375"/>
      <c r="AY737" s="375"/>
      <c r="AZ737" s="375"/>
      <c r="BA737" s="375"/>
      <c r="BB737" s="375"/>
      <c r="BC737" s="375"/>
      <c r="BD737" s="375"/>
      <c r="BE737" s="375"/>
      <c r="BF737" s="375">
        <v>7.1249999999999994E-2</v>
      </c>
      <c r="BG737" s="375"/>
      <c r="BH737" s="375"/>
      <c r="BI737" s="373">
        <f t="shared" si="38"/>
        <v>7.1249999999999994E-2</v>
      </c>
      <c r="BT737" s="355"/>
      <c r="BU737" s="355"/>
      <c r="BV737" s="355"/>
      <c r="BW737" s="355"/>
    </row>
    <row r="738" spans="1:75" x14ac:dyDescent="0.15">
      <c r="A738" s="356"/>
      <c r="B738" s="355"/>
      <c r="C738" s="355"/>
      <c r="D738" s="355"/>
      <c r="E738" s="355"/>
      <c r="F738" s="355"/>
      <c r="G738" s="355"/>
      <c r="O738" s="356"/>
      <c r="P738" s="355"/>
      <c r="Q738" s="355"/>
      <c r="R738" s="355"/>
      <c r="S738" s="355"/>
      <c r="T738" s="355"/>
      <c r="U738" s="355"/>
      <c r="V738" s="355"/>
      <c r="W738" s="355"/>
      <c r="AG738" s="355"/>
      <c r="AH738" s="355"/>
      <c r="AI738" s="355"/>
      <c r="AJ738" s="355"/>
      <c r="AK738" s="355"/>
      <c r="AL738" s="355"/>
      <c r="AM738" s="355"/>
      <c r="AU738" s="379">
        <v>66216</v>
      </c>
      <c r="AV738" s="375"/>
      <c r="AW738" s="375"/>
      <c r="AX738" s="375"/>
      <c r="AY738" s="375"/>
      <c r="AZ738" s="375"/>
      <c r="BA738" s="375"/>
      <c r="BB738" s="375"/>
      <c r="BC738" s="375"/>
      <c r="BD738" s="375"/>
      <c r="BE738" s="375"/>
      <c r="BF738" s="375">
        <v>7.1249999999999994E-2</v>
      </c>
      <c r="BG738" s="375"/>
      <c r="BH738" s="375"/>
      <c r="BI738" s="373">
        <f t="shared" si="38"/>
        <v>7.1249999999999994E-2</v>
      </c>
      <c r="BT738" s="355"/>
      <c r="BU738" s="355"/>
      <c r="BV738" s="355"/>
      <c r="BW738" s="355"/>
    </row>
    <row r="739" spans="1:75" x14ac:dyDescent="0.15">
      <c r="A739" s="356"/>
      <c r="B739" s="355"/>
      <c r="C739" s="355"/>
      <c r="D739" s="355"/>
      <c r="E739" s="355"/>
      <c r="F739" s="355"/>
      <c r="G739" s="355"/>
      <c r="O739" s="356"/>
      <c r="P739" s="355"/>
      <c r="Q739" s="355"/>
      <c r="R739" s="355"/>
      <c r="S739" s="355"/>
      <c r="T739" s="355"/>
      <c r="U739" s="355"/>
      <c r="V739" s="355"/>
      <c r="W739" s="355"/>
      <c r="AG739" s="355"/>
      <c r="AH739" s="355"/>
      <c r="AI739" s="355"/>
      <c r="AJ739" s="355"/>
      <c r="AK739" s="355"/>
      <c r="AL739" s="355"/>
      <c r="AM739" s="355"/>
      <c r="AU739" s="379">
        <v>66246</v>
      </c>
      <c r="AV739" s="375"/>
      <c r="AW739" s="375"/>
      <c r="AX739" s="375"/>
      <c r="AY739" s="375"/>
      <c r="AZ739" s="375"/>
      <c r="BA739" s="375"/>
      <c r="BB739" s="375"/>
      <c r="BC739" s="375"/>
      <c r="BD739" s="375"/>
      <c r="BE739" s="375"/>
      <c r="BF739" s="375">
        <v>7.1249999999999994E-2</v>
      </c>
      <c r="BG739" s="375"/>
      <c r="BH739" s="375"/>
      <c r="BI739" s="373">
        <f t="shared" si="38"/>
        <v>7.1249999999999994E-2</v>
      </c>
      <c r="BT739" s="355"/>
      <c r="BU739" s="355"/>
      <c r="BV739" s="355"/>
      <c r="BW739" s="355"/>
    </row>
    <row r="740" spans="1:75" x14ac:dyDescent="0.15">
      <c r="A740" s="356"/>
      <c r="B740" s="355"/>
      <c r="C740" s="355"/>
      <c r="D740" s="355"/>
      <c r="E740" s="355"/>
      <c r="F740" s="355"/>
      <c r="G740" s="355"/>
      <c r="O740" s="356"/>
      <c r="P740" s="355"/>
      <c r="Q740" s="355"/>
      <c r="R740" s="355"/>
      <c r="S740" s="355"/>
      <c r="T740" s="355"/>
      <c r="U740" s="355"/>
      <c r="V740" s="355"/>
      <c r="W740" s="355"/>
      <c r="AG740" s="355"/>
      <c r="AH740" s="355"/>
      <c r="AI740" s="355"/>
      <c r="AJ740" s="355"/>
      <c r="AK740" s="355"/>
      <c r="AL740" s="355"/>
      <c r="AM740" s="355"/>
      <c r="AU740" s="379">
        <v>66277</v>
      </c>
      <c r="AV740" s="375"/>
      <c r="AW740" s="375"/>
      <c r="AX740" s="375"/>
      <c r="AY740" s="375"/>
      <c r="AZ740" s="375"/>
      <c r="BA740" s="375"/>
      <c r="BB740" s="375"/>
      <c r="BC740" s="375"/>
      <c r="BD740" s="375"/>
      <c r="BE740" s="375"/>
      <c r="BF740" s="375">
        <v>7.1249999999999994E-2</v>
      </c>
      <c r="BG740" s="375"/>
      <c r="BH740" s="375"/>
      <c r="BI740" s="373">
        <f t="shared" si="38"/>
        <v>7.1249999999999994E-2</v>
      </c>
      <c r="BT740" s="355"/>
      <c r="BU740" s="355"/>
      <c r="BV740" s="355"/>
      <c r="BW740" s="355"/>
    </row>
    <row r="741" spans="1:75" x14ac:dyDescent="0.15">
      <c r="A741" s="356"/>
      <c r="B741" s="355"/>
      <c r="C741" s="355"/>
      <c r="D741" s="355"/>
      <c r="E741" s="355"/>
      <c r="F741" s="355"/>
      <c r="G741" s="355"/>
      <c r="O741" s="356"/>
      <c r="P741" s="355"/>
      <c r="Q741" s="355"/>
      <c r="R741" s="355"/>
      <c r="S741" s="355"/>
      <c r="T741" s="355"/>
      <c r="U741" s="355"/>
      <c r="V741" s="355"/>
      <c r="W741" s="355"/>
      <c r="AG741" s="355"/>
      <c r="AH741" s="355"/>
      <c r="AI741" s="355"/>
      <c r="AJ741" s="355"/>
      <c r="AK741" s="355"/>
      <c r="AL741" s="355"/>
      <c r="AM741" s="355"/>
      <c r="AU741" s="379">
        <v>66307</v>
      </c>
      <c r="AV741" s="375"/>
      <c r="AW741" s="375"/>
      <c r="AX741" s="375"/>
      <c r="AY741" s="375"/>
      <c r="AZ741" s="375"/>
      <c r="BA741" s="375"/>
      <c r="BB741" s="375"/>
      <c r="BC741" s="375"/>
      <c r="BD741" s="375"/>
      <c r="BE741" s="375"/>
      <c r="BF741" s="375">
        <v>7.1249999999999994E-2</v>
      </c>
      <c r="BG741" s="375"/>
      <c r="BH741" s="375"/>
      <c r="BI741" s="373">
        <f t="shared" si="38"/>
        <v>7.1249999999999994E-2</v>
      </c>
      <c r="BT741" s="355"/>
      <c r="BU741" s="355"/>
      <c r="BV741" s="355"/>
      <c r="BW741" s="355"/>
    </row>
    <row r="742" spans="1:75" x14ac:dyDescent="0.15">
      <c r="A742" s="356"/>
      <c r="B742" s="355"/>
      <c r="C742" s="355"/>
      <c r="D742" s="355"/>
      <c r="E742" s="355"/>
      <c r="F742" s="355"/>
      <c r="G742" s="355"/>
      <c r="O742" s="356"/>
      <c r="P742" s="355"/>
      <c r="Q742" s="355"/>
      <c r="R742" s="355"/>
      <c r="S742" s="355"/>
      <c r="T742" s="355"/>
      <c r="U742" s="355"/>
      <c r="V742" s="355"/>
      <c r="W742" s="355"/>
      <c r="AG742" s="355"/>
      <c r="AH742" s="355"/>
      <c r="AI742" s="355"/>
      <c r="AJ742" s="355"/>
      <c r="AK742" s="355"/>
      <c r="AL742" s="355"/>
      <c r="AM742" s="355"/>
      <c r="AU742" s="379">
        <v>66338</v>
      </c>
      <c r="AV742" s="375"/>
      <c r="AW742" s="375"/>
      <c r="AX742" s="375"/>
      <c r="AY742" s="375"/>
      <c r="AZ742" s="375"/>
      <c r="BA742" s="375"/>
      <c r="BB742" s="375"/>
      <c r="BC742" s="375"/>
      <c r="BD742" s="375"/>
      <c r="BE742" s="375"/>
      <c r="BF742" s="375">
        <v>7.1249999999999994E-2</v>
      </c>
      <c r="BG742" s="375"/>
      <c r="BH742" s="375"/>
      <c r="BI742" s="373">
        <f t="shared" si="38"/>
        <v>7.1249999999999994E-2</v>
      </c>
      <c r="BT742" s="355"/>
      <c r="BU742" s="355"/>
      <c r="BV742" s="355"/>
      <c r="BW742" s="355"/>
    </row>
    <row r="743" spans="1:75" x14ac:dyDescent="0.15">
      <c r="A743" s="356"/>
      <c r="B743" s="355"/>
      <c r="C743" s="355"/>
      <c r="D743" s="355"/>
      <c r="E743" s="355"/>
      <c r="F743" s="355"/>
      <c r="G743" s="355"/>
      <c r="O743" s="356"/>
      <c r="P743" s="355"/>
      <c r="Q743" s="355"/>
      <c r="R743" s="355"/>
      <c r="S743" s="355"/>
      <c r="T743" s="355"/>
      <c r="U743" s="355"/>
      <c r="V743" s="355"/>
      <c r="W743" s="355"/>
      <c r="AG743" s="355"/>
      <c r="AH743" s="355"/>
      <c r="AI743" s="355"/>
      <c r="AJ743" s="355"/>
      <c r="AK743" s="355"/>
      <c r="AL743" s="355"/>
      <c r="AM743" s="355"/>
      <c r="AU743" s="379">
        <v>66369</v>
      </c>
      <c r="AV743" s="375"/>
      <c r="AW743" s="375"/>
      <c r="AX743" s="375"/>
      <c r="AY743" s="375"/>
      <c r="AZ743" s="375"/>
      <c r="BA743" s="375"/>
      <c r="BB743" s="375"/>
      <c r="BC743" s="375"/>
      <c r="BD743" s="375"/>
      <c r="BE743" s="375"/>
      <c r="BF743" s="375">
        <v>7.1249999999999994E-2</v>
      </c>
      <c r="BG743" s="375"/>
      <c r="BH743" s="375"/>
      <c r="BI743" s="373">
        <f t="shared" si="38"/>
        <v>7.1249999999999994E-2</v>
      </c>
      <c r="BT743" s="355"/>
      <c r="BU743" s="355"/>
      <c r="BV743" s="355"/>
      <c r="BW743" s="355"/>
    </row>
    <row r="744" spans="1:75" x14ac:dyDescent="0.15">
      <c r="A744" s="356"/>
      <c r="B744" s="355"/>
      <c r="C744" s="355"/>
      <c r="D744" s="355"/>
      <c r="E744" s="355"/>
      <c r="F744" s="355"/>
      <c r="G744" s="355"/>
      <c r="O744" s="356"/>
      <c r="P744" s="355"/>
      <c r="Q744" s="355"/>
      <c r="R744" s="355"/>
      <c r="S744" s="355"/>
      <c r="T744" s="355"/>
      <c r="U744" s="355"/>
      <c r="V744" s="355"/>
      <c r="W744" s="355"/>
      <c r="AG744" s="355"/>
      <c r="AH744" s="355"/>
      <c r="AI744" s="355"/>
      <c r="AJ744" s="355"/>
      <c r="AK744" s="355"/>
      <c r="AL744" s="355"/>
      <c r="AM744" s="355"/>
      <c r="AU744" s="379">
        <v>66399</v>
      </c>
      <c r="AV744" s="375"/>
      <c r="AW744" s="375"/>
      <c r="AX744" s="375"/>
      <c r="AY744" s="375"/>
      <c r="AZ744" s="375"/>
      <c r="BA744" s="375"/>
      <c r="BB744" s="375"/>
      <c r="BC744" s="375"/>
      <c r="BD744" s="375"/>
      <c r="BE744" s="375"/>
      <c r="BF744" s="375">
        <v>7.1249999999999994E-2</v>
      </c>
      <c r="BG744" s="375"/>
      <c r="BH744" s="375"/>
      <c r="BI744" s="373">
        <f t="shared" si="38"/>
        <v>7.1249999999999994E-2</v>
      </c>
      <c r="BT744" s="355"/>
      <c r="BU744" s="355"/>
      <c r="BV744" s="355"/>
      <c r="BW744" s="355"/>
    </row>
    <row r="745" spans="1:75" x14ac:dyDescent="0.15">
      <c r="A745" s="356"/>
      <c r="B745" s="355"/>
      <c r="C745" s="355"/>
      <c r="D745" s="355"/>
      <c r="E745" s="355"/>
      <c r="F745" s="355"/>
      <c r="G745" s="355"/>
      <c r="O745" s="356"/>
      <c r="P745" s="355"/>
      <c r="Q745" s="355"/>
      <c r="R745" s="355"/>
      <c r="S745" s="355"/>
      <c r="T745" s="355"/>
      <c r="U745" s="355"/>
      <c r="V745" s="355"/>
      <c r="W745" s="355"/>
      <c r="AG745" s="355"/>
      <c r="AH745" s="355"/>
      <c r="AI745" s="355"/>
      <c r="AJ745" s="355"/>
      <c r="AK745" s="355"/>
      <c r="AL745" s="355"/>
      <c r="AM745" s="355"/>
      <c r="AU745" s="379">
        <v>66430</v>
      </c>
      <c r="AV745" s="375"/>
      <c r="AW745" s="375"/>
      <c r="AX745" s="375"/>
      <c r="AY745" s="375"/>
      <c r="AZ745" s="375"/>
      <c r="BA745" s="375"/>
      <c r="BB745" s="375"/>
      <c r="BC745" s="375"/>
      <c r="BD745" s="375"/>
      <c r="BE745" s="375"/>
      <c r="BF745" s="375">
        <v>7.1249999999999994E-2</v>
      </c>
      <c r="BG745" s="375"/>
      <c r="BH745" s="375"/>
      <c r="BI745" s="373">
        <f t="shared" si="38"/>
        <v>7.1249999999999994E-2</v>
      </c>
      <c r="BT745" s="355"/>
      <c r="BU745" s="355"/>
      <c r="BV745" s="355"/>
      <c r="BW745" s="355"/>
    </row>
    <row r="746" spans="1:75" x14ac:dyDescent="0.15">
      <c r="A746" s="356"/>
      <c r="B746" s="355"/>
      <c r="C746" s="355"/>
      <c r="D746" s="355"/>
      <c r="E746" s="355"/>
      <c r="F746" s="355"/>
      <c r="G746" s="355"/>
      <c r="O746" s="356"/>
      <c r="P746" s="355"/>
      <c r="Q746" s="355"/>
      <c r="R746" s="355"/>
      <c r="S746" s="355"/>
      <c r="T746" s="355"/>
      <c r="U746" s="355"/>
      <c r="V746" s="355"/>
      <c r="W746" s="355"/>
      <c r="AG746" s="355"/>
      <c r="AH746" s="355"/>
      <c r="AI746" s="355"/>
      <c r="AJ746" s="355"/>
      <c r="AK746" s="355"/>
      <c r="AL746" s="355"/>
      <c r="AM746" s="355"/>
      <c r="AU746" s="379">
        <v>66460</v>
      </c>
      <c r="AV746" s="375"/>
      <c r="AW746" s="375"/>
      <c r="AX746" s="375"/>
      <c r="AY746" s="375"/>
      <c r="AZ746" s="375"/>
      <c r="BA746" s="375"/>
      <c r="BB746" s="375"/>
      <c r="BC746" s="375"/>
      <c r="BD746" s="375"/>
      <c r="BE746" s="375"/>
      <c r="BF746" s="375">
        <v>7.1249999999999994E-2</v>
      </c>
      <c r="BG746" s="375"/>
      <c r="BH746" s="375"/>
      <c r="BI746" s="373">
        <f t="shared" si="38"/>
        <v>7.1249999999999994E-2</v>
      </c>
      <c r="BT746" s="355"/>
      <c r="BU746" s="355"/>
      <c r="BV746" s="355"/>
      <c r="BW746" s="355"/>
    </row>
    <row r="747" spans="1:75" x14ac:dyDescent="0.15">
      <c r="A747" s="356"/>
      <c r="B747" s="355"/>
      <c r="C747" s="355"/>
      <c r="D747" s="355"/>
      <c r="E747" s="355"/>
      <c r="F747" s="355"/>
      <c r="G747" s="355"/>
      <c r="O747" s="356"/>
      <c r="P747" s="355"/>
      <c r="Q747" s="355"/>
      <c r="R747" s="355"/>
      <c r="S747" s="355"/>
      <c r="T747" s="355"/>
      <c r="U747" s="355"/>
      <c r="V747" s="355"/>
      <c r="W747" s="355"/>
      <c r="AG747" s="355"/>
      <c r="AH747" s="355"/>
      <c r="AI747" s="355"/>
      <c r="AJ747" s="355"/>
      <c r="AK747" s="355"/>
      <c r="AL747" s="355"/>
      <c r="AM747" s="355"/>
      <c r="AU747" s="379">
        <v>66491</v>
      </c>
      <c r="AV747" s="375"/>
      <c r="AW747" s="375"/>
      <c r="AX747" s="375"/>
      <c r="AY747" s="375"/>
      <c r="AZ747" s="375"/>
      <c r="BA747" s="375"/>
      <c r="BB747" s="375"/>
      <c r="BC747" s="375"/>
      <c r="BD747" s="375"/>
      <c r="BE747" s="375"/>
      <c r="BF747" s="375">
        <v>7.1249999999999994E-2</v>
      </c>
      <c r="BG747" s="375"/>
      <c r="BH747" s="375"/>
      <c r="BI747" s="373">
        <f t="shared" si="38"/>
        <v>7.1249999999999994E-2</v>
      </c>
      <c r="BT747" s="355"/>
      <c r="BU747" s="355"/>
      <c r="BV747" s="355"/>
      <c r="BW747" s="355"/>
    </row>
    <row r="748" spans="1:75" x14ac:dyDescent="0.15">
      <c r="A748" s="356"/>
      <c r="B748" s="355"/>
      <c r="C748" s="355"/>
      <c r="D748" s="355"/>
      <c r="E748" s="355"/>
      <c r="F748" s="355"/>
      <c r="G748" s="355"/>
      <c r="O748" s="356"/>
      <c r="P748" s="355"/>
      <c r="Q748" s="355"/>
      <c r="R748" s="355"/>
      <c r="S748" s="355"/>
      <c r="T748" s="355"/>
      <c r="U748" s="355"/>
      <c r="V748" s="355"/>
      <c r="W748" s="355"/>
      <c r="AG748" s="355"/>
      <c r="AH748" s="355"/>
      <c r="AI748" s="355"/>
      <c r="AJ748" s="355"/>
      <c r="AK748" s="355"/>
      <c r="AL748" s="355"/>
      <c r="AM748" s="355"/>
      <c r="AU748" s="379">
        <v>66522</v>
      </c>
      <c r="AV748" s="375"/>
      <c r="AW748" s="375"/>
      <c r="AX748" s="375"/>
      <c r="AY748" s="375"/>
      <c r="AZ748" s="375"/>
      <c r="BA748" s="375"/>
      <c r="BB748" s="375"/>
      <c r="BC748" s="375"/>
      <c r="BD748" s="375"/>
      <c r="BE748" s="375"/>
      <c r="BF748" s="375">
        <v>7.1249999999999994E-2</v>
      </c>
      <c r="BG748" s="375"/>
      <c r="BH748" s="375"/>
      <c r="BI748" s="373">
        <f t="shared" si="38"/>
        <v>7.1249999999999994E-2</v>
      </c>
      <c r="BT748" s="355"/>
      <c r="BU748" s="355"/>
      <c r="BV748" s="355"/>
      <c r="BW748" s="355"/>
    </row>
    <row r="749" spans="1:75" x14ac:dyDescent="0.15">
      <c r="A749" s="356"/>
      <c r="B749" s="355"/>
      <c r="C749" s="355"/>
      <c r="D749" s="355"/>
      <c r="E749" s="355"/>
      <c r="F749" s="355"/>
      <c r="G749" s="355"/>
      <c r="O749" s="356"/>
      <c r="P749" s="355"/>
      <c r="Q749" s="355"/>
      <c r="R749" s="355"/>
      <c r="S749" s="355"/>
      <c r="T749" s="355"/>
      <c r="U749" s="355"/>
      <c r="V749" s="355"/>
      <c r="W749" s="355"/>
      <c r="AG749" s="355"/>
      <c r="AH749" s="355"/>
      <c r="AI749" s="355"/>
      <c r="AJ749" s="355"/>
      <c r="AK749" s="355"/>
      <c r="AL749" s="355"/>
      <c r="AM749" s="355"/>
      <c r="AU749" s="379">
        <v>66550</v>
      </c>
      <c r="AV749" s="375"/>
      <c r="AW749" s="375"/>
      <c r="AX749" s="375"/>
      <c r="AY749" s="375"/>
      <c r="AZ749" s="375"/>
      <c r="BA749" s="375"/>
      <c r="BB749" s="375"/>
      <c r="BC749" s="375"/>
      <c r="BD749" s="375"/>
      <c r="BE749" s="375"/>
      <c r="BF749" s="375">
        <v>7.1249999999999994E-2</v>
      </c>
      <c r="BG749" s="375"/>
      <c r="BH749" s="375"/>
      <c r="BI749" s="373">
        <f t="shared" si="38"/>
        <v>7.1249999999999994E-2</v>
      </c>
      <c r="BT749" s="355"/>
      <c r="BU749" s="355"/>
      <c r="BV749" s="355"/>
      <c r="BW749" s="355"/>
    </row>
    <row r="750" spans="1:75" x14ac:dyDescent="0.15">
      <c r="A750" s="356"/>
      <c r="B750" s="355"/>
      <c r="C750" s="355"/>
      <c r="D750" s="355"/>
      <c r="E750" s="355"/>
      <c r="F750" s="355"/>
      <c r="G750" s="355"/>
      <c r="O750" s="356"/>
      <c r="P750" s="355"/>
      <c r="Q750" s="355"/>
      <c r="R750" s="355"/>
      <c r="S750" s="355"/>
      <c r="T750" s="355"/>
      <c r="U750" s="355"/>
      <c r="V750" s="355"/>
      <c r="W750" s="355"/>
      <c r="AG750" s="355"/>
      <c r="AH750" s="355"/>
      <c r="AI750" s="355"/>
      <c r="AJ750" s="355"/>
      <c r="AK750" s="355"/>
      <c r="AL750" s="355"/>
      <c r="AM750" s="355"/>
      <c r="AU750" s="379">
        <v>66581</v>
      </c>
      <c r="AV750" s="375"/>
      <c r="AW750" s="375"/>
      <c r="AX750" s="375"/>
      <c r="AY750" s="375"/>
      <c r="AZ750" s="375"/>
      <c r="BA750" s="375"/>
      <c r="BB750" s="375"/>
      <c r="BC750" s="375"/>
      <c r="BD750" s="375"/>
      <c r="BE750" s="375"/>
      <c r="BF750" s="375">
        <v>7.1249999999999994E-2</v>
      </c>
      <c r="BG750" s="375"/>
      <c r="BH750" s="375"/>
      <c r="BI750" s="373">
        <f t="shared" si="38"/>
        <v>7.1249999999999994E-2</v>
      </c>
      <c r="BT750" s="355"/>
      <c r="BU750" s="355"/>
      <c r="BV750" s="355"/>
      <c r="BW750" s="355"/>
    </row>
    <row r="751" spans="1:75" x14ac:dyDescent="0.15">
      <c r="A751" s="356"/>
      <c r="B751" s="355"/>
      <c r="C751" s="355"/>
      <c r="D751" s="355"/>
      <c r="E751" s="355"/>
      <c r="F751" s="355"/>
      <c r="G751" s="355"/>
      <c r="O751" s="356"/>
      <c r="P751" s="355"/>
      <c r="Q751" s="355"/>
      <c r="R751" s="355"/>
      <c r="S751" s="355"/>
      <c r="T751" s="355"/>
      <c r="U751" s="355"/>
      <c r="V751" s="355"/>
      <c r="W751" s="355"/>
      <c r="AG751" s="355"/>
      <c r="AH751" s="355"/>
      <c r="AI751" s="355"/>
      <c r="AJ751" s="355"/>
      <c r="AK751" s="355"/>
      <c r="AL751" s="355"/>
      <c r="AM751" s="355"/>
      <c r="AU751" s="379">
        <v>66611</v>
      </c>
      <c r="AV751" s="375"/>
      <c r="AW751" s="375"/>
      <c r="AX751" s="375"/>
      <c r="AY751" s="375"/>
      <c r="AZ751" s="375"/>
      <c r="BA751" s="375"/>
      <c r="BB751" s="375"/>
      <c r="BC751" s="375"/>
      <c r="BD751" s="375"/>
      <c r="BE751" s="375"/>
      <c r="BF751" s="375">
        <v>7.1249999999999994E-2</v>
      </c>
      <c r="BG751" s="375"/>
      <c r="BH751" s="375"/>
      <c r="BI751" s="373">
        <f t="shared" si="38"/>
        <v>7.1249999999999994E-2</v>
      </c>
      <c r="BT751" s="355"/>
      <c r="BU751" s="355"/>
      <c r="BV751" s="355"/>
      <c r="BW751" s="355"/>
    </row>
    <row r="752" spans="1:75" x14ac:dyDescent="0.15">
      <c r="A752" s="356"/>
      <c r="B752" s="355"/>
      <c r="C752" s="355"/>
      <c r="D752" s="355"/>
      <c r="E752" s="355"/>
      <c r="F752" s="355"/>
      <c r="G752" s="355"/>
      <c r="O752" s="356"/>
      <c r="P752" s="355"/>
      <c r="Q752" s="355"/>
      <c r="R752" s="355"/>
      <c r="S752" s="355"/>
      <c r="T752" s="355"/>
      <c r="U752" s="355"/>
      <c r="V752" s="355"/>
      <c r="W752" s="355"/>
      <c r="AG752" s="355"/>
      <c r="AH752" s="355"/>
      <c r="AI752" s="355"/>
      <c r="AJ752" s="355"/>
      <c r="AK752" s="355"/>
      <c r="AL752" s="355"/>
      <c r="AM752" s="355"/>
      <c r="AU752" s="379">
        <v>66642</v>
      </c>
      <c r="AV752" s="375"/>
      <c r="AW752" s="375"/>
      <c r="AX752" s="375"/>
      <c r="AY752" s="375"/>
      <c r="AZ752" s="375"/>
      <c r="BA752" s="375"/>
      <c r="BB752" s="375"/>
      <c r="BC752" s="375"/>
      <c r="BD752" s="375"/>
      <c r="BE752" s="375"/>
      <c r="BF752" s="375">
        <v>7.1249999999999994E-2</v>
      </c>
      <c r="BG752" s="375"/>
      <c r="BH752" s="375"/>
      <c r="BI752" s="373">
        <f t="shared" si="38"/>
        <v>7.1249999999999994E-2</v>
      </c>
      <c r="BT752" s="355"/>
      <c r="BU752" s="355"/>
      <c r="BV752" s="355"/>
      <c r="BW752" s="355"/>
    </row>
    <row r="753" spans="1:75" x14ac:dyDescent="0.15">
      <c r="A753" s="356"/>
      <c r="B753" s="355"/>
      <c r="C753" s="355"/>
      <c r="D753" s="355"/>
      <c r="E753" s="355"/>
      <c r="F753" s="355"/>
      <c r="G753" s="355"/>
      <c r="O753" s="356"/>
      <c r="P753" s="355"/>
      <c r="Q753" s="355"/>
      <c r="R753" s="355"/>
      <c r="S753" s="355"/>
      <c r="T753" s="355"/>
      <c r="U753" s="355"/>
      <c r="V753" s="355"/>
      <c r="W753" s="355"/>
      <c r="AG753" s="355"/>
      <c r="AH753" s="355"/>
      <c r="AI753" s="355"/>
      <c r="AJ753" s="355"/>
      <c r="AK753" s="355"/>
      <c r="AL753" s="355"/>
      <c r="AM753" s="355"/>
      <c r="AU753" s="379">
        <v>66672</v>
      </c>
      <c r="AV753" s="375"/>
      <c r="AW753" s="375"/>
      <c r="AX753" s="375"/>
      <c r="AY753" s="375"/>
      <c r="AZ753" s="375"/>
      <c r="BA753" s="375"/>
      <c r="BB753" s="375"/>
      <c r="BC753" s="375"/>
      <c r="BD753" s="375"/>
      <c r="BE753" s="375"/>
      <c r="BF753" s="375">
        <v>7.1249999999999994E-2</v>
      </c>
      <c r="BG753" s="375"/>
      <c r="BH753" s="375"/>
      <c r="BI753" s="373">
        <f t="shared" si="38"/>
        <v>7.1249999999999994E-2</v>
      </c>
      <c r="BT753" s="355"/>
      <c r="BU753" s="355"/>
      <c r="BV753" s="355"/>
      <c r="BW753" s="355"/>
    </row>
    <row r="754" spans="1:75" x14ac:dyDescent="0.15">
      <c r="A754" s="356"/>
      <c r="B754" s="355"/>
      <c r="C754" s="355"/>
      <c r="D754" s="355"/>
      <c r="E754" s="355"/>
      <c r="F754" s="355"/>
      <c r="G754" s="355"/>
      <c r="O754" s="356"/>
      <c r="P754" s="355"/>
      <c r="Q754" s="355"/>
      <c r="R754" s="355"/>
      <c r="S754" s="355"/>
      <c r="T754" s="355"/>
      <c r="U754" s="355"/>
      <c r="V754" s="355"/>
      <c r="W754" s="355"/>
      <c r="AG754" s="355"/>
      <c r="AH754" s="355"/>
      <c r="AI754" s="355"/>
      <c r="AJ754" s="355"/>
      <c r="AK754" s="355"/>
      <c r="AL754" s="355"/>
      <c r="AM754" s="355"/>
      <c r="AU754" s="379">
        <v>66703</v>
      </c>
      <c r="AV754" s="375"/>
      <c r="AW754" s="375"/>
      <c r="AX754" s="375"/>
      <c r="AY754" s="375"/>
      <c r="AZ754" s="375"/>
      <c r="BA754" s="375"/>
      <c r="BB754" s="375"/>
      <c r="BC754" s="375"/>
      <c r="BD754" s="375"/>
      <c r="BE754" s="375"/>
      <c r="BF754" s="375">
        <v>7.1249999999999994E-2</v>
      </c>
      <c r="BG754" s="375"/>
      <c r="BH754" s="375"/>
      <c r="BI754" s="373">
        <f t="shared" si="38"/>
        <v>7.1249999999999994E-2</v>
      </c>
      <c r="BT754" s="355"/>
      <c r="BU754" s="355"/>
      <c r="BV754" s="355"/>
      <c r="BW754" s="355"/>
    </row>
    <row r="755" spans="1:75" x14ac:dyDescent="0.15">
      <c r="A755" s="356"/>
      <c r="B755" s="355"/>
      <c r="C755" s="355"/>
      <c r="D755" s="355"/>
      <c r="E755" s="355"/>
      <c r="F755" s="355"/>
      <c r="G755" s="355"/>
      <c r="O755" s="356"/>
      <c r="P755" s="355"/>
      <c r="Q755" s="355"/>
      <c r="R755" s="355"/>
      <c r="S755" s="355"/>
      <c r="T755" s="355"/>
      <c r="U755" s="355"/>
      <c r="V755" s="355"/>
      <c r="W755" s="355"/>
      <c r="AG755" s="355"/>
      <c r="AH755" s="355"/>
      <c r="AI755" s="355"/>
      <c r="AJ755" s="355"/>
      <c r="AK755" s="355"/>
      <c r="AL755" s="355"/>
      <c r="AM755" s="355"/>
      <c r="AU755" s="379">
        <v>66734</v>
      </c>
      <c r="AV755" s="375"/>
      <c r="AW755" s="375"/>
      <c r="AX755" s="375"/>
      <c r="AY755" s="375"/>
      <c r="AZ755" s="375"/>
      <c r="BA755" s="375"/>
      <c r="BB755" s="375"/>
      <c r="BC755" s="375"/>
      <c r="BD755" s="375"/>
      <c r="BE755" s="375"/>
      <c r="BF755" s="375">
        <v>7.1249999999999994E-2</v>
      </c>
      <c r="BG755" s="375"/>
      <c r="BH755" s="375"/>
      <c r="BI755" s="373">
        <f t="shared" si="38"/>
        <v>7.1249999999999994E-2</v>
      </c>
      <c r="BT755" s="355"/>
      <c r="BU755" s="355"/>
      <c r="BV755" s="355"/>
      <c r="BW755" s="355"/>
    </row>
    <row r="756" spans="1:75" x14ac:dyDescent="0.15">
      <c r="A756" s="356"/>
      <c r="B756" s="355"/>
      <c r="C756" s="355"/>
      <c r="D756" s="355"/>
      <c r="E756" s="355"/>
      <c r="F756" s="355"/>
      <c r="G756" s="355"/>
      <c r="O756" s="356"/>
      <c r="P756" s="355"/>
      <c r="Q756" s="355"/>
      <c r="R756" s="355"/>
      <c r="S756" s="355"/>
      <c r="T756" s="355"/>
      <c r="U756" s="355"/>
      <c r="V756" s="355"/>
      <c r="W756" s="355"/>
      <c r="AG756" s="355"/>
      <c r="AH756" s="355"/>
      <c r="AI756" s="355"/>
      <c r="AJ756" s="355"/>
      <c r="AK756" s="355"/>
      <c r="AL756" s="355"/>
      <c r="AM756" s="355"/>
      <c r="AU756" s="379">
        <v>66764</v>
      </c>
      <c r="AV756" s="375"/>
      <c r="AW756" s="375"/>
      <c r="AX756" s="375"/>
      <c r="AY756" s="375"/>
      <c r="AZ756" s="375"/>
      <c r="BA756" s="375"/>
      <c r="BB756" s="375"/>
      <c r="BC756" s="375"/>
      <c r="BD756" s="375"/>
      <c r="BE756" s="375"/>
      <c r="BF756" s="375">
        <v>7.1249999999999994E-2</v>
      </c>
      <c r="BG756" s="375"/>
      <c r="BH756" s="375"/>
      <c r="BI756" s="373">
        <f t="shared" si="38"/>
        <v>7.1249999999999994E-2</v>
      </c>
      <c r="BT756" s="355"/>
      <c r="BU756" s="355"/>
      <c r="BV756" s="355"/>
      <c r="BW756" s="355"/>
    </row>
    <row r="757" spans="1:75" x14ac:dyDescent="0.15">
      <c r="A757" s="356"/>
      <c r="B757" s="355"/>
      <c r="C757" s="355"/>
      <c r="D757" s="355"/>
      <c r="E757" s="355"/>
      <c r="F757" s="355"/>
      <c r="G757" s="355"/>
      <c r="O757" s="356"/>
      <c r="P757" s="355"/>
      <c r="Q757" s="355"/>
      <c r="R757" s="355"/>
      <c r="S757" s="355"/>
      <c r="T757" s="355"/>
      <c r="U757" s="355"/>
      <c r="V757" s="355"/>
      <c r="W757" s="355"/>
      <c r="AG757" s="355"/>
      <c r="AH757" s="355"/>
      <c r="AI757" s="355"/>
      <c r="AJ757" s="355"/>
      <c r="AK757" s="355"/>
      <c r="AL757" s="355"/>
      <c r="AM757" s="355"/>
      <c r="AU757" s="379">
        <v>66795</v>
      </c>
      <c r="AV757" s="375"/>
      <c r="AW757" s="375"/>
      <c r="AX757" s="375"/>
      <c r="AY757" s="375"/>
      <c r="AZ757" s="375"/>
      <c r="BA757" s="375"/>
      <c r="BB757" s="375"/>
      <c r="BC757" s="375"/>
      <c r="BD757" s="375"/>
      <c r="BE757" s="375"/>
      <c r="BF757" s="375">
        <v>7.1249999999999994E-2</v>
      </c>
      <c r="BG757" s="375"/>
      <c r="BH757" s="375"/>
      <c r="BI757" s="373">
        <f t="shared" si="38"/>
        <v>7.1249999999999994E-2</v>
      </c>
      <c r="BT757" s="355"/>
      <c r="BU757" s="355"/>
      <c r="BV757" s="355"/>
      <c r="BW757" s="355"/>
    </row>
    <row r="758" spans="1:75" x14ac:dyDescent="0.15">
      <c r="A758" s="356"/>
      <c r="B758" s="355"/>
      <c r="C758" s="355"/>
      <c r="D758" s="355"/>
      <c r="E758" s="355"/>
      <c r="F758" s="355"/>
      <c r="G758" s="355"/>
      <c r="O758" s="356"/>
      <c r="P758" s="355"/>
      <c r="Q758" s="355"/>
      <c r="R758" s="355"/>
      <c r="S758" s="355"/>
      <c r="T758" s="355"/>
      <c r="U758" s="355"/>
      <c r="V758" s="355"/>
      <c r="W758" s="355"/>
      <c r="AG758" s="355"/>
      <c r="AH758" s="355"/>
      <c r="AI758" s="355"/>
      <c r="AJ758" s="355"/>
      <c r="AK758" s="355"/>
      <c r="AL758" s="355"/>
      <c r="AM758" s="355"/>
      <c r="AU758" s="379">
        <v>66825</v>
      </c>
      <c r="AV758" s="375"/>
      <c r="AW758" s="375"/>
      <c r="AX758" s="375"/>
      <c r="AY758" s="375"/>
      <c r="AZ758" s="375"/>
      <c r="BA758" s="375"/>
      <c r="BB758" s="375"/>
      <c r="BC758" s="375"/>
      <c r="BD758" s="375"/>
      <c r="BE758" s="375"/>
      <c r="BF758" s="375">
        <v>7.1249999999999994E-2</v>
      </c>
      <c r="BG758" s="375"/>
      <c r="BH758" s="375"/>
      <c r="BI758" s="373">
        <f t="shared" si="38"/>
        <v>7.1249999999999994E-2</v>
      </c>
      <c r="BT758" s="355"/>
      <c r="BU758" s="355"/>
      <c r="BV758" s="355"/>
      <c r="BW758" s="355"/>
    </row>
    <row r="759" spans="1:75" x14ac:dyDescent="0.15">
      <c r="A759" s="356"/>
      <c r="B759" s="355"/>
      <c r="C759" s="355"/>
      <c r="D759" s="355"/>
      <c r="E759" s="355"/>
      <c r="F759" s="355"/>
      <c r="G759" s="355"/>
      <c r="O759" s="356"/>
      <c r="P759" s="355"/>
      <c r="Q759" s="355"/>
      <c r="R759" s="355"/>
      <c r="S759" s="355"/>
      <c r="T759" s="355"/>
      <c r="U759" s="355"/>
      <c r="V759" s="355"/>
      <c r="W759" s="355"/>
      <c r="AG759" s="355"/>
      <c r="AH759" s="355"/>
      <c r="AI759" s="355"/>
      <c r="AJ759" s="355"/>
      <c r="AK759" s="355"/>
      <c r="AL759" s="355"/>
      <c r="AM759" s="355"/>
      <c r="AU759" s="379">
        <v>66856</v>
      </c>
      <c r="AV759" s="375"/>
      <c r="AW759" s="375"/>
      <c r="AX759" s="375"/>
      <c r="AY759" s="375"/>
      <c r="AZ759" s="375"/>
      <c r="BA759" s="375"/>
      <c r="BB759" s="375"/>
      <c r="BC759" s="375"/>
      <c r="BD759" s="375"/>
      <c r="BE759" s="375"/>
      <c r="BF759" s="375">
        <v>7.1249999999999994E-2</v>
      </c>
      <c r="BG759" s="375"/>
      <c r="BH759" s="375"/>
      <c r="BI759" s="373">
        <f t="shared" si="38"/>
        <v>7.1249999999999994E-2</v>
      </c>
      <c r="BT759" s="355"/>
      <c r="BU759" s="355"/>
      <c r="BV759" s="355"/>
      <c r="BW759" s="355"/>
    </row>
    <row r="760" spans="1:75" x14ac:dyDescent="0.15">
      <c r="A760" s="356"/>
      <c r="B760" s="355"/>
      <c r="C760" s="355"/>
      <c r="D760" s="355"/>
      <c r="E760" s="355"/>
      <c r="F760" s="355"/>
      <c r="G760" s="355"/>
      <c r="O760" s="356"/>
      <c r="P760" s="355"/>
      <c r="Q760" s="355"/>
      <c r="R760" s="355"/>
      <c r="S760" s="355"/>
      <c r="T760" s="355"/>
      <c r="U760" s="355"/>
      <c r="V760" s="355"/>
      <c r="W760" s="355"/>
      <c r="AG760" s="355"/>
      <c r="AH760" s="355"/>
      <c r="AI760" s="355"/>
      <c r="AJ760" s="355"/>
      <c r="AK760" s="355"/>
      <c r="AL760" s="355"/>
      <c r="AM760" s="355"/>
      <c r="AU760" s="379">
        <v>66887</v>
      </c>
      <c r="AV760" s="375"/>
      <c r="AW760" s="375"/>
      <c r="AX760" s="375"/>
      <c r="AY760" s="375"/>
      <c r="AZ760" s="375"/>
      <c r="BA760" s="375"/>
      <c r="BB760" s="375"/>
      <c r="BC760" s="375"/>
      <c r="BD760" s="375"/>
      <c r="BE760" s="375"/>
      <c r="BF760" s="375">
        <v>7.1249999999999994E-2</v>
      </c>
      <c r="BG760" s="375"/>
      <c r="BH760" s="375"/>
      <c r="BI760" s="373">
        <f t="shared" si="38"/>
        <v>7.1249999999999994E-2</v>
      </c>
      <c r="BT760" s="355"/>
      <c r="BU760" s="355"/>
      <c r="BV760" s="355"/>
      <c r="BW760" s="355"/>
    </row>
    <row r="761" spans="1:75" x14ac:dyDescent="0.15">
      <c r="A761" s="356"/>
      <c r="B761" s="355"/>
      <c r="C761" s="355"/>
      <c r="D761" s="355"/>
      <c r="E761" s="355"/>
      <c r="F761" s="355"/>
      <c r="G761" s="355"/>
      <c r="O761" s="356"/>
      <c r="P761" s="355"/>
      <c r="Q761" s="355"/>
      <c r="R761" s="355"/>
      <c r="S761" s="355"/>
      <c r="T761" s="355"/>
      <c r="U761" s="355"/>
      <c r="V761" s="355"/>
      <c r="W761" s="355"/>
      <c r="AG761" s="355"/>
      <c r="AH761" s="355"/>
      <c r="AI761" s="355"/>
      <c r="AJ761" s="355"/>
      <c r="AK761" s="355"/>
      <c r="AL761" s="355"/>
      <c r="AM761" s="355"/>
      <c r="AU761" s="379">
        <v>66915</v>
      </c>
      <c r="AV761" s="375"/>
      <c r="AW761" s="375"/>
      <c r="AX761" s="375"/>
      <c r="AY761" s="375"/>
      <c r="AZ761" s="375"/>
      <c r="BA761" s="375"/>
      <c r="BB761" s="375"/>
      <c r="BC761" s="375"/>
      <c r="BD761" s="375"/>
      <c r="BE761" s="375"/>
      <c r="BF761" s="375">
        <v>7.1249999999999994E-2</v>
      </c>
      <c r="BG761" s="375"/>
      <c r="BH761" s="375"/>
      <c r="BI761" s="373">
        <f t="shared" si="38"/>
        <v>7.1249999999999994E-2</v>
      </c>
      <c r="BT761" s="355"/>
      <c r="BU761" s="355"/>
      <c r="BV761" s="355"/>
      <c r="BW761" s="355"/>
    </row>
    <row r="762" spans="1:75" x14ac:dyDescent="0.15">
      <c r="A762" s="356"/>
      <c r="B762" s="355"/>
      <c r="C762" s="355"/>
      <c r="D762" s="355"/>
      <c r="E762" s="355"/>
      <c r="F762" s="355"/>
      <c r="G762" s="355"/>
      <c r="O762" s="356"/>
      <c r="P762" s="355"/>
      <c r="Q762" s="355"/>
      <c r="R762" s="355"/>
      <c r="S762" s="355"/>
      <c r="T762" s="355"/>
      <c r="U762" s="355"/>
      <c r="V762" s="355"/>
      <c r="W762" s="355"/>
      <c r="AG762" s="355"/>
      <c r="AH762" s="355"/>
      <c r="AI762" s="355"/>
      <c r="AJ762" s="355"/>
      <c r="AK762" s="355"/>
      <c r="AL762" s="355"/>
      <c r="AM762" s="355"/>
      <c r="AU762" s="379">
        <v>66946</v>
      </c>
      <c r="AV762" s="375"/>
      <c r="AW762" s="375"/>
      <c r="AX762" s="375"/>
      <c r="AY762" s="375"/>
      <c r="AZ762" s="375"/>
      <c r="BA762" s="375"/>
      <c r="BB762" s="375"/>
      <c r="BC762" s="375"/>
      <c r="BD762" s="375"/>
      <c r="BE762" s="375"/>
      <c r="BF762" s="375">
        <v>7.1249999999999994E-2</v>
      </c>
      <c r="BG762" s="375"/>
      <c r="BH762" s="375"/>
      <c r="BI762" s="373">
        <f t="shared" si="38"/>
        <v>7.1249999999999994E-2</v>
      </c>
      <c r="BT762" s="355"/>
      <c r="BU762" s="355"/>
      <c r="BV762" s="355"/>
      <c r="BW762" s="355"/>
    </row>
    <row r="763" spans="1:75" x14ac:dyDescent="0.15">
      <c r="A763" s="356"/>
      <c r="B763" s="355"/>
      <c r="C763" s="355"/>
      <c r="D763" s="355"/>
      <c r="E763" s="355"/>
      <c r="F763" s="355"/>
      <c r="G763" s="355"/>
      <c r="O763" s="356"/>
      <c r="P763" s="355"/>
      <c r="Q763" s="355"/>
      <c r="R763" s="355"/>
      <c r="S763" s="355"/>
      <c r="T763" s="355"/>
      <c r="U763" s="355"/>
      <c r="V763" s="355"/>
      <c r="W763" s="355"/>
      <c r="AG763" s="355"/>
      <c r="AH763" s="355"/>
      <c r="AI763" s="355"/>
      <c r="AJ763" s="355"/>
      <c r="AK763" s="355"/>
      <c r="AL763" s="355"/>
      <c r="AM763" s="355"/>
      <c r="AU763" s="379">
        <v>66976</v>
      </c>
      <c r="AV763" s="375"/>
      <c r="AW763" s="375"/>
      <c r="AX763" s="375"/>
      <c r="AY763" s="375"/>
      <c r="AZ763" s="375"/>
      <c r="BA763" s="375"/>
      <c r="BB763" s="375"/>
      <c r="BC763" s="375"/>
      <c r="BD763" s="375"/>
      <c r="BE763" s="375"/>
      <c r="BF763" s="375">
        <v>7.1249999999999994E-2</v>
      </c>
      <c r="BG763" s="375"/>
      <c r="BH763" s="375"/>
      <c r="BI763" s="373">
        <f t="shared" si="38"/>
        <v>7.1249999999999994E-2</v>
      </c>
      <c r="BT763" s="355"/>
      <c r="BU763" s="355"/>
      <c r="BV763" s="355"/>
      <c r="BW763" s="355"/>
    </row>
    <row r="764" spans="1:75" x14ac:dyDescent="0.15">
      <c r="A764" s="356"/>
      <c r="B764" s="355"/>
      <c r="C764" s="355"/>
      <c r="D764" s="355"/>
      <c r="E764" s="355"/>
      <c r="F764" s="355"/>
      <c r="G764" s="355"/>
      <c r="O764" s="356"/>
      <c r="P764" s="355"/>
      <c r="Q764" s="355"/>
      <c r="R764" s="355"/>
      <c r="S764" s="355"/>
      <c r="T764" s="355"/>
      <c r="U764" s="355"/>
      <c r="V764" s="355"/>
      <c r="W764" s="355"/>
      <c r="AG764" s="355"/>
      <c r="AH764" s="355"/>
      <c r="AI764" s="355"/>
      <c r="AJ764" s="355"/>
      <c r="AK764" s="355"/>
      <c r="AL764" s="355"/>
      <c r="AM764" s="355"/>
      <c r="AU764" s="379">
        <v>67007</v>
      </c>
      <c r="AV764" s="375"/>
      <c r="AW764" s="375"/>
      <c r="AX764" s="375"/>
      <c r="AY764" s="375"/>
      <c r="AZ764" s="375"/>
      <c r="BA764" s="375"/>
      <c r="BB764" s="375"/>
      <c r="BC764" s="375"/>
      <c r="BD764" s="375"/>
      <c r="BE764" s="375"/>
      <c r="BF764" s="375">
        <v>7.1249999999999994E-2</v>
      </c>
      <c r="BG764" s="375"/>
      <c r="BH764" s="375"/>
      <c r="BI764" s="373">
        <f t="shared" si="38"/>
        <v>7.1249999999999994E-2</v>
      </c>
      <c r="BT764" s="355"/>
      <c r="BU764" s="355"/>
      <c r="BV764" s="355"/>
      <c r="BW764" s="355"/>
    </row>
    <row r="765" spans="1:75" x14ac:dyDescent="0.15">
      <c r="A765" s="356"/>
      <c r="B765" s="355"/>
      <c r="C765" s="355"/>
      <c r="D765" s="355"/>
      <c r="E765" s="355"/>
      <c r="F765" s="355"/>
      <c r="G765" s="355"/>
      <c r="O765" s="356"/>
      <c r="P765" s="355"/>
      <c r="Q765" s="355"/>
      <c r="R765" s="355"/>
      <c r="S765" s="355"/>
      <c r="T765" s="355"/>
      <c r="U765" s="355"/>
      <c r="V765" s="355"/>
      <c r="W765" s="355"/>
      <c r="AG765" s="355"/>
      <c r="AH765" s="355"/>
      <c r="AI765" s="355"/>
      <c r="AJ765" s="355"/>
      <c r="AK765" s="355"/>
      <c r="AL765" s="355"/>
      <c r="AM765" s="355"/>
      <c r="AU765" s="379">
        <v>67037</v>
      </c>
      <c r="AV765" s="375"/>
      <c r="AW765" s="375"/>
      <c r="AX765" s="375"/>
      <c r="AY765" s="375"/>
      <c r="AZ765" s="375"/>
      <c r="BA765" s="375"/>
      <c r="BB765" s="375"/>
      <c r="BC765" s="375"/>
      <c r="BD765" s="375"/>
      <c r="BE765" s="375"/>
      <c r="BF765" s="375">
        <v>7.1249999999999994E-2</v>
      </c>
      <c r="BG765" s="375"/>
      <c r="BH765" s="375"/>
      <c r="BI765" s="373">
        <f t="shared" si="38"/>
        <v>7.1249999999999994E-2</v>
      </c>
      <c r="BT765" s="355"/>
      <c r="BU765" s="355"/>
      <c r="BV765" s="355"/>
      <c r="BW765" s="355"/>
    </row>
    <row r="766" spans="1:75" x14ac:dyDescent="0.15">
      <c r="A766" s="356"/>
      <c r="B766" s="355"/>
      <c r="C766" s="355"/>
      <c r="D766" s="355"/>
      <c r="E766" s="355"/>
      <c r="F766" s="355"/>
      <c r="G766" s="355"/>
      <c r="O766" s="356"/>
      <c r="P766" s="355"/>
      <c r="Q766" s="355"/>
      <c r="R766" s="355"/>
      <c r="S766" s="355"/>
      <c r="T766" s="355"/>
      <c r="U766" s="355"/>
      <c r="V766" s="355"/>
      <c r="W766" s="355"/>
      <c r="AG766" s="355"/>
      <c r="AH766" s="355"/>
      <c r="AI766" s="355"/>
      <c r="AJ766" s="355"/>
      <c r="AK766" s="355"/>
      <c r="AL766" s="355"/>
      <c r="AM766" s="355"/>
      <c r="AU766" s="379">
        <v>67068</v>
      </c>
      <c r="AV766" s="375"/>
      <c r="AW766" s="375"/>
      <c r="AX766" s="375"/>
      <c r="AY766" s="375"/>
      <c r="AZ766" s="375"/>
      <c r="BA766" s="375"/>
      <c r="BB766" s="375"/>
      <c r="BC766" s="375"/>
      <c r="BD766" s="375"/>
      <c r="BE766" s="375"/>
      <c r="BF766" s="375">
        <v>7.1249999999999994E-2</v>
      </c>
      <c r="BG766" s="375"/>
      <c r="BH766" s="375"/>
      <c r="BI766" s="373">
        <f t="shared" si="38"/>
        <v>7.1249999999999994E-2</v>
      </c>
      <c r="BT766" s="355"/>
      <c r="BU766" s="355"/>
      <c r="BV766" s="355"/>
      <c r="BW766" s="355"/>
    </row>
    <row r="767" spans="1:75" x14ac:dyDescent="0.15">
      <c r="A767" s="356"/>
      <c r="B767" s="355"/>
      <c r="C767" s="355"/>
      <c r="D767" s="355"/>
      <c r="E767" s="355"/>
      <c r="F767" s="355"/>
      <c r="G767" s="355"/>
      <c r="O767" s="356"/>
      <c r="P767" s="355"/>
      <c r="Q767" s="355"/>
      <c r="R767" s="355"/>
      <c r="S767" s="355"/>
      <c r="T767" s="355"/>
      <c r="U767" s="355"/>
      <c r="V767" s="355"/>
      <c r="W767" s="355"/>
      <c r="AG767" s="355"/>
      <c r="AH767" s="355"/>
      <c r="AI767" s="355"/>
      <c r="AJ767" s="355"/>
      <c r="AK767" s="355"/>
      <c r="AL767" s="355"/>
      <c r="AM767" s="355"/>
      <c r="AU767" s="379">
        <v>67099</v>
      </c>
      <c r="AV767" s="375"/>
      <c r="AW767" s="375"/>
      <c r="AX767" s="375"/>
      <c r="AY767" s="375"/>
      <c r="AZ767" s="375"/>
      <c r="BA767" s="375"/>
      <c r="BB767" s="375"/>
      <c r="BC767" s="375"/>
      <c r="BD767" s="375"/>
      <c r="BE767" s="375"/>
      <c r="BF767" s="375">
        <v>7.1249999999999994E-2</v>
      </c>
      <c r="BG767" s="375"/>
      <c r="BH767" s="375"/>
      <c r="BI767" s="373">
        <f t="shared" si="38"/>
        <v>7.1249999999999994E-2</v>
      </c>
      <c r="BT767" s="355"/>
      <c r="BU767" s="355"/>
      <c r="BV767" s="355"/>
      <c r="BW767" s="355"/>
    </row>
    <row r="768" spans="1:75" x14ac:dyDescent="0.15">
      <c r="A768" s="356"/>
      <c r="B768" s="355"/>
      <c r="C768" s="355"/>
      <c r="D768" s="355"/>
      <c r="E768" s="355"/>
      <c r="F768" s="355"/>
      <c r="G768" s="355"/>
      <c r="O768" s="356"/>
      <c r="P768" s="355"/>
      <c r="Q768" s="355"/>
      <c r="R768" s="355"/>
      <c r="S768" s="355"/>
      <c r="T768" s="355"/>
      <c r="U768" s="355"/>
      <c r="V768" s="355"/>
      <c r="W768" s="355"/>
      <c r="AG768" s="355"/>
      <c r="AH768" s="355"/>
      <c r="AI768" s="355"/>
      <c r="AJ768" s="355"/>
      <c r="AK768" s="355"/>
      <c r="AL768" s="355"/>
      <c r="AM768" s="355"/>
      <c r="AU768" s="379">
        <v>67129</v>
      </c>
      <c r="AV768" s="375"/>
      <c r="AW768" s="375"/>
      <c r="AX768" s="375"/>
      <c r="AY768" s="375"/>
      <c r="AZ768" s="375"/>
      <c r="BA768" s="375"/>
      <c r="BB768" s="375"/>
      <c r="BC768" s="375"/>
      <c r="BD768" s="375"/>
      <c r="BE768" s="375"/>
      <c r="BF768" s="375">
        <v>7.1249999999999994E-2</v>
      </c>
      <c r="BG768" s="375"/>
      <c r="BH768" s="375"/>
      <c r="BI768" s="373">
        <f t="shared" si="38"/>
        <v>7.1249999999999994E-2</v>
      </c>
      <c r="BT768" s="355"/>
      <c r="BU768" s="355"/>
      <c r="BV768" s="355"/>
      <c r="BW768" s="355"/>
    </row>
    <row r="769" spans="1:75" x14ac:dyDescent="0.15">
      <c r="A769" s="356"/>
      <c r="B769" s="355"/>
      <c r="C769" s="355"/>
      <c r="D769" s="355"/>
      <c r="E769" s="355"/>
      <c r="F769" s="355"/>
      <c r="G769" s="355"/>
      <c r="O769" s="356"/>
      <c r="P769" s="355"/>
      <c r="Q769" s="355"/>
      <c r="R769" s="355"/>
      <c r="S769" s="355"/>
      <c r="T769" s="355"/>
      <c r="U769" s="355"/>
      <c r="V769" s="355"/>
      <c r="W769" s="355"/>
      <c r="AG769" s="355"/>
      <c r="AH769" s="355"/>
      <c r="AI769" s="355"/>
      <c r="AJ769" s="355"/>
      <c r="AK769" s="355"/>
      <c r="AL769" s="355"/>
      <c r="AM769" s="355"/>
      <c r="AU769" s="379">
        <v>67160</v>
      </c>
      <c r="AV769" s="375"/>
      <c r="AW769" s="375"/>
      <c r="AX769" s="375"/>
      <c r="AY769" s="375"/>
      <c r="AZ769" s="375"/>
      <c r="BA769" s="375"/>
      <c r="BB769" s="375"/>
      <c r="BC769" s="375"/>
      <c r="BD769" s="375"/>
      <c r="BE769" s="375"/>
      <c r="BF769" s="375">
        <v>7.1249999999999994E-2</v>
      </c>
      <c r="BG769" s="375"/>
      <c r="BH769" s="375"/>
      <c r="BI769" s="373">
        <f t="shared" si="38"/>
        <v>7.1249999999999994E-2</v>
      </c>
      <c r="BT769" s="355"/>
      <c r="BU769" s="355"/>
      <c r="BV769" s="355"/>
      <c r="BW769" s="355"/>
    </row>
    <row r="770" spans="1:75" x14ac:dyDescent="0.15">
      <c r="A770" s="356"/>
      <c r="B770" s="355"/>
      <c r="C770" s="355"/>
      <c r="D770" s="355"/>
      <c r="E770" s="355"/>
      <c r="F770" s="355"/>
      <c r="G770" s="355"/>
      <c r="O770" s="356"/>
      <c r="P770" s="355"/>
      <c r="Q770" s="355"/>
      <c r="R770" s="355"/>
      <c r="S770" s="355"/>
      <c r="T770" s="355"/>
      <c r="U770" s="355"/>
      <c r="V770" s="355"/>
      <c r="W770" s="355"/>
      <c r="AG770" s="355"/>
      <c r="AH770" s="355"/>
      <c r="AI770" s="355"/>
      <c r="AJ770" s="355"/>
      <c r="AK770" s="355"/>
      <c r="AL770" s="355"/>
      <c r="AM770" s="355"/>
      <c r="AU770" s="379">
        <v>67190</v>
      </c>
      <c r="AV770" s="375"/>
      <c r="AW770" s="375"/>
      <c r="AX770" s="375"/>
      <c r="AY770" s="375"/>
      <c r="AZ770" s="375"/>
      <c r="BA770" s="375"/>
      <c r="BB770" s="375"/>
      <c r="BC770" s="375"/>
      <c r="BD770" s="375"/>
      <c r="BE770" s="375"/>
      <c r="BF770" s="375">
        <v>7.1249999999999994E-2</v>
      </c>
      <c r="BG770" s="375"/>
      <c r="BH770" s="375"/>
      <c r="BI770" s="373">
        <f t="shared" si="38"/>
        <v>7.1249999999999994E-2</v>
      </c>
      <c r="BT770" s="355"/>
      <c r="BU770" s="355"/>
      <c r="BV770" s="355"/>
      <c r="BW770" s="355"/>
    </row>
    <row r="771" spans="1:75" x14ac:dyDescent="0.15">
      <c r="A771" s="356"/>
      <c r="B771" s="355"/>
      <c r="C771" s="355"/>
      <c r="D771" s="355"/>
      <c r="E771" s="355"/>
      <c r="F771" s="355"/>
      <c r="G771" s="355"/>
      <c r="O771" s="356"/>
      <c r="P771" s="355"/>
      <c r="Q771" s="355"/>
      <c r="R771" s="355"/>
      <c r="S771" s="355"/>
      <c r="T771" s="355"/>
      <c r="U771" s="355"/>
      <c r="V771" s="355"/>
      <c r="W771" s="355"/>
      <c r="AG771" s="355"/>
      <c r="AH771" s="355"/>
      <c r="AI771" s="355"/>
      <c r="AJ771" s="355"/>
      <c r="AK771" s="355"/>
      <c r="AL771" s="355"/>
      <c r="AM771" s="355"/>
      <c r="AU771" s="379">
        <v>67221</v>
      </c>
      <c r="AV771" s="375"/>
      <c r="AW771" s="375"/>
      <c r="AX771" s="375"/>
      <c r="AY771" s="375"/>
      <c r="AZ771" s="375"/>
      <c r="BA771" s="375"/>
      <c r="BB771" s="375"/>
      <c r="BC771" s="375"/>
      <c r="BD771" s="375"/>
      <c r="BE771" s="375"/>
      <c r="BF771" s="375">
        <v>7.1249999999999994E-2</v>
      </c>
      <c r="BG771" s="375"/>
      <c r="BH771" s="375"/>
      <c r="BI771" s="373">
        <f t="shared" si="38"/>
        <v>7.1249999999999994E-2</v>
      </c>
      <c r="BT771" s="355"/>
      <c r="BU771" s="355"/>
      <c r="BV771" s="355"/>
      <c r="BW771" s="355"/>
    </row>
    <row r="772" spans="1:75" x14ac:dyDescent="0.15">
      <c r="A772" s="356"/>
      <c r="B772" s="355"/>
      <c r="C772" s="355"/>
      <c r="D772" s="355"/>
      <c r="E772" s="355"/>
      <c r="F772" s="355"/>
      <c r="G772" s="355"/>
      <c r="O772" s="356"/>
      <c r="P772" s="355"/>
      <c r="Q772" s="355"/>
      <c r="R772" s="355"/>
      <c r="S772" s="355"/>
      <c r="T772" s="355"/>
      <c r="U772" s="355"/>
      <c r="V772" s="355"/>
      <c r="W772" s="355"/>
      <c r="AG772" s="355"/>
      <c r="AH772" s="355"/>
      <c r="AI772" s="355"/>
      <c r="AJ772" s="355"/>
      <c r="AK772" s="355"/>
      <c r="AL772" s="355"/>
      <c r="AM772" s="355"/>
      <c r="AU772" s="379">
        <v>67252</v>
      </c>
      <c r="AV772" s="375"/>
      <c r="AW772" s="375"/>
      <c r="AX772" s="375"/>
      <c r="AY772" s="375"/>
      <c r="AZ772" s="375"/>
      <c r="BA772" s="375"/>
      <c r="BB772" s="375"/>
      <c r="BC772" s="375"/>
      <c r="BD772" s="375"/>
      <c r="BE772" s="375"/>
      <c r="BF772" s="375">
        <v>7.1249999999999994E-2</v>
      </c>
      <c r="BG772" s="375"/>
      <c r="BH772" s="375"/>
      <c r="BI772" s="373">
        <f t="shared" si="38"/>
        <v>7.1249999999999994E-2</v>
      </c>
      <c r="BT772" s="355"/>
      <c r="BU772" s="355"/>
      <c r="BV772" s="355"/>
      <c r="BW772" s="355"/>
    </row>
    <row r="773" spans="1:75" x14ac:dyDescent="0.15">
      <c r="A773" s="356"/>
      <c r="B773" s="355"/>
      <c r="C773" s="355"/>
      <c r="D773" s="355"/>
      <c r="E773" s="355"/>
      <c r="F773" s="355"/>
      <c r="G773" s="355"/>
      <c r="O773" s="356"/>
      <c r="P773" s="355"/>
      <c r="Q773" s="355"/>
      <c r="R773" s="355"/>
      <c r="S773" s="355"/>
      <c r="T773" s="355"/>
      <c r="U773" s="355"/>
      <c r="V773" s="355"/>
      <c r="W773" s="355"/>
      <c r="AG773" s="355"/>
      <c r="AH773" s="355"/>
      <c r="AI773" s="355"/>
      <c r="AJ773" s="355"/>
      <c r="AK773" s="355"/>
      <c r="AL773" s="355"/>
      <c r="AM773" s="355"/>
      <c r="AU773" s="379">
        <v>67281</v>
      </c>
      <c r="AV773" s="375"/>
      <c r="AW773" s="375"/>
      <c r="AX773" s="375"/>
      <c r="AY773" s="375"/>
      <c r="AZ773" s="375"/>
      <c r="BA773" s="375"/>
      <c r="BB773" s="375"/>
      <c r="BC773" s="375"/>
      <c r="BD773" s="375"/>
      <c r="BE773" s="375"/>
      <c r="BF773" s="375">
        <v>7.1249999999999994E-2</v>
      </c>
      <c r="BG773" s="375"/>
      <c r="BH773" s="375"/>
      <c r="BI773" s="373">
        <f t="shared" si="38"/>
        <v>7.1249999999999994E-2</v>
      </c>
      <c r="BT773" s="355"/>
      <c r="BU773" s="355"/>
      <c r="BV773" s="355"/>
      <c r="BW773" s="355"/>
    </row>
    <row r="774" spans="1:75" x14ac:dyDescent="0.15">
      <c r="A774" s="356"/>
      <c r="B774" s="355"/>
      <c r="C774" s="355"/>
      <c r="D774" s="355"/>
      <c r="E774" s="355"/>
      <c r="F774" s="355"/>
      <c r="G774" s="355"/>
      <c r="O774" s="356"/>
      <c r="P774" s="355"/>
      <c r="Q774" s="355"/>
      <c r="R774" s="355"/>
      <c r="S774" s="355"/>
      <c r="T774" s="355"/>
      <c r="U774" s="355"/>
      <c r="V774" s="355"/>
      <c r="W774" s="355"/>
      <c r="AG774" s="355"/>
      <c r="AH774" s="355"/>
      <c r="AI774" s="355"/>
      <c r="AJ774" s="355"/>
      <c r="AK774" s="355"/>
      <c r="AL774" s="355"/>
      <c r="AM774" s="355"/>
      <c r="AU774" s="379">
        <v>67312</v>
      </c>
      <c r="AV774" s="375"/>
      <c r="AW774" s="375"/>
      <c r="AX774" s="375"/>
      <c r="AY774" s="375"/>
      <c r="AZ774" s="375"/>
      <c r="BA774" s="375"/>
      <c r="BB774" s="375"/>
      <c r="BC774" s="375"/>
      <c r="BD774" s="375"/>
      <c r="BE774" s="375"/>
      <c r="BF774" s="375">
        <v>7.1249999999999994E-2</v>
      </c>
      <c r="BG774" s="375"/>
      <c r="BH774" s="375"/>
      <c r="BI774" s="373">
        <f t="shared" si="38"/>
        <v>7.1249999999999994E-2</v>
      </c>
      <c r="BT774" s="355"/>
      <c r="BU774" s="355"/>
      <c r="BV774" s="355"/>
      <c r="BW774" s="355"/>
    </row>
    <row r="775" spans="1:75" x14ac:dyDescent="0.15">
      <c r="A775" s="356"/>
      <c r="B775" s="355"/>
      <c r="C775" s="355"/>
      <c r="D775" s="355"/>
      <c r="E775" s="355"/>
      <c r="F775" s="355"/>
      <c r="G775" s="355"/>
      <c r="O775" s="356"/>
      <c r="P775" s="355"/>
      <c r="Q775" s="355"/>
      <c r="R775" s="355"/>
      <c r="S775" s="355"/>
      <c r="T775" s="355"/>
      <c r="U775" s="355"/>
      <c r="V775" s="355"/>
      <c r="W775" s="355"/>
      <c r="AG775" s="355"/>
      <c r="AH775" s="355"/>
      <c r="AI775" s="355"/>
      <c r="AJ775" s="355"/>
      <c r="AK775" s="355"/>
      <c r="AL775" s="355"/>
      <c r="AM775" s="355"/>
      <c r="AU775" s="379">
        <v>67342</v>
      </c>
      <c r="AV775" s="375"/>
      <c r="AW775" s="375"/>
      <c r="AX775" s="375"/>
      <c r="AY775" s="375"/>
      <c r="AZ775" s="375"/>
      <c r="BA775" s="375"/>
      <c r="BB775" s="375"/>
      <c r="BC775" s="375"/>
      <c r="BD775" s="375"/>
      <c r="BE775" s="375"/>
      <c r="BF775" s="375">
        <v>7.1249999999999994E-2</v>
      </c>
      <c r="BG775" s="375"/>
      <c r="BH775" s="375"/>
      <c r="BI775" s="373">
        <f t="shared" ref="BI775:BI838" si="39">+AVERAGE(AV775:BH775)</f>
        <v>7.1249999999999994E-2</v>
      </c>
      <c r="BT775" s="355"/>
      <c r="BU775" s="355"/>
      <c r="BV775" s="355"/>
      <c r="BW775" s="355"/>
    </row>
    <row r="776" spans="1:75" x14ac:dyDescent="0.15">
      <c r="A776" s="356"/>
      <c r="B776" s="355"/>
      <c r="C776" s="355"/>
      <c r="D776" s="355"/>
      <c r="E776" s="355"/>
      <c r="F776" s="355"/>
      <c r="G776" s="355"/>
      <c r="O776" s="356"/>
      <c r="P776" s="355"/>
      <c r="Q776" s="355"/>
      <c r="R776" s="355"/>
      <c r="S776" s="355"/>
      <c r="T776" s="355"/>
      <c r="U776" s="355"/>
      <c r="V776" s="355"/>
      <c r="W776" s="355"/>
      <c r="AG776" s="355"/>
      <c r="AH776" s="355"/>
      <c r="AI776" s="355"/>
      <c r="AJ776" s="355"/>
      <c r="AK776" s="355"/>
      <c r="AL776" s="355"/>
      <c r="AM776" s="355"/>
      <c r="AU776" s="379">
        <v>67373</v>
      </c>
      <c r="AV776" s="375"/>
      <c r="AW776" s="375"/>
      <c r="AX776" s="375"/>
      <c r="AY776" s="375"/>
      <c r="AZ776" s="375"/>
      <c r="BA776" s="375"/>
      <c r="BB776" s="375"/>
      <c r="BC776" s="375"/>
      <c r="BD776" s="375"/>
      <c r="BE776" s="375"/>
      <c r="BF776" s="375">
        <v>7.1249999999999994E-2</v>
      </c>
      <c r="BG776" s="375"/>
      <c r="BH776" s="375"/>
      <c r="BI776" s="373">
        <f t="shared" si="39"/>
        <v>7.1249999999999994E-2</v>
      </c>
      <c r="BT776" s="355"/>
      <c r="BU776" s="355"/>
      <c r="BV776" s="355"/>
      <c r="BW776" s="355"/>
    </row>
    <row r="777" spans="1:75" x14ac:dyDescent="0.15">
      <c r="A777" s="356"/>
      <c r="B777" s="355"/>
      <c r="C777" s="355"/>
      <c r="D777" s="355"/>
      <c r="E777" s="355"/>
      <c r="F777" s="355"/>
      <c r="G777" s="355"/>
      <c r="O777" s="356"/>
      <c r="P777" s="355"/>
      <c r="Q777" s="355"/>
      <c r="R777" s="355"/>
      <c r="S777" s="355"/>
      <c r="T777" s="355"/>
      <c r="U777" s="355"/>
      <c r="V777" s="355"/>
      <c r="W777" s="355"/>
      <c r="AG777" s="355"/>
      <c r="AH777" s="355"/>
      <c r="AI777" s="355"/>
      <c r="AJ777" s="355"/>
      <c r="AK777" s="355"/>
      <c r="AL777" s="355"/>
      <c r="AM777" s="355"/>
      <c r="AU777" s="379">
        <v>67403</v>
      </c>
      <c r="AV777" s="375"/>
      <c r="AW777" s="375"/>
      <c r="AX777" s="375"/>
      <c r="AY777" s="375"/>
      <c r="AZ777" s="375"/>
      <c r="BA777" s="375"/>
      <c r="BB777" s="375"/>
      <c r="BC777" s="375"/>
      <c r="BD777" s="375"/>
      <c r="BE777" s="375"/>
      <c r="BF777" s="375">
        <v>7.1249999999999994E-2</v>
      </c>
      <c r="BG777" s="375"/>
      <c r="BH777" s="375"/>
      <c r="BI777" s="373">
        <f t="shared" si="39"/>
        <v>7.1249999999999994E-2</v>
      </c>
      <c r="BT777" s="355"/>
      <c r="BU777" s="355"/>
      <c r="BV777" s="355"/>
      <c r="BW777" s="355"/>
    </row>
    <row r="778" spans="1:75" x14ac:dyDescent="0.15">
      <c r="A778" s="356"/>
      <c r="B778" s="355"/>
      <c r="C778" s="355"/>
      <c r="D778" s="355"/>
      <c r="E778" s="355"/>
      <c r="F778" s="355"/>
      <c r="G778" s="355"/>
      <c r="O778" s="356"/>
      <c r="P778" s="355"/>
      <c r="Q778" s="355"/>
      <c r="R778" s="355"/>
      <c r="S778" s="355"/>
      <c r="T778" s="355"/>
      <c r="U778" s="355"/>
      <c r="V778" s="355"/>
      <c r="W778" s="355"/>
      <c r="AG778" s="355"/>
      <c r="AH778" s="355"/>
      <c r="AI778" s="355"/>
      <c r="AJ778" s="355"/>
      <c r="AK778" s="355"/>
      <c r="AL778" s="355"/>
      <c r="AM778" s="355"/>
      <c r="AU778" s="379">
        <v>67434</v>
      </c>
      <c r="AV778" s="375"/>
      <c r="AW778" s="375"/>
      <c r="AX778" s="375"/>
      <c r="AY778" s="375"/>
      <c r="AZ778" s="375"/>
      <c r="BA778" s="375"/>
      <c r="BB778" s="375"/>
      <c r="BC778" s="375"/>
      <c r="BD778" s="375"/>
      <c r="BE778" s="375"/>
      <c r="BF778" s="375">
        <v>7.1249999999999994E-2</v>
      </c>
      <c r="BG778" s="375"/>
      <c r="BH778" s="375"/>
      <c r="BI778" s="373">
        <f t="shared" si="39"/>
        <v>7.1249999999999994E-2</v>
      </c>
      <c r="BT778" s="355"/>
      <c r="BU778" s="355"/>
      <c r="BV778" s="355"/>
      <c r="BW778" s="355"/>
    </row>
    <row r="779" spans="1:75" x14ac:dyDescent="0.15">
      <c r="A779" s="356"/>
      <c r="B779" s="355"/>
      <c r="C779" s="355"/>
      <c r="D779" s="355"/>
      <c r="E779" s="355"/>
      <c r="F779" s="355"/>
      <c r="G779" s="355"/>
      <c r="O779" s="356"/>
      <c r="P779" s="355"/>
      <c r="Q779" s="355"/>
      <c r="R779" s="355"/>
      <c r="S779" s="355"/>
      <c r="T779" s="355"/>
      <c r="U779" s="355"/>
      <c r="V779" s="355"/>
      <c r="W779" s="355"/>
      <c r="AG779" s="355"/>
      <c r="AH779" s="355"/>
      <c r="AI779" s="355"/>
      <c r="AJ779" s="355"/>
      <c r="AK779" s="355"/>
      <c r="AL779" s="355"/>
      <c r="AM779" s="355"/>
      <c r="AU779" s="379">
        <v>67465</v>
      </c>
      <c r="AV779" s="375"/>
      <c r="AW779" s="375"/>
      <c r="AX779" s="375"/>
      <c r="AY779" s="375"/>
      <c r="AZ779" s="375"/>
      <c r="BA779" s="375"/>
      <c r="BB779" s="375"/>
      <c r="BC779" s="375"/>
      <c r="BD779" s="375"/>
      <c r="BE779" s="375"/>
      <c r="BF779" s="375">
        <v>7.1249999999999994E-2</v>
      </c>
      <c r="BG779" s="375"/>
      <c r="BH779" s="375"/>
      <c r="BI779" s="373">
        <f t="shared" si="39"/>
        <v>7.1249999999999994E-2</v>
      </c>
      <c r="BT779" s="355"/>
      <c r="BU779" s="355"/>
      <c r="BV779" s="355"/>
      <c r="BW779" s="355"/>
    </row>
    <row r="780" spans="1:75" x14ac:dyDescent="0.15">
      <c r="A780" s="356"/>
      <c r="B780" s="355"/>
      <c r="C780" s="355"/>
      <c r="D780" s="355"/>
      <c r="E780" s="355"/>
      <c r="F780" s="355"/>
      <c r="G780" s="355"/>
      <c r="O780" s="356"/>
      <c r="P780" s="355"/>
      <c r="Q780" s="355"/>
      <c r="R780" s="355"/>
      <c r="S780" s="355"/>
      <c r="T780" s="355"/>
      <c r="U780" s="355"/>
      <c r="V780" s="355"/>
      <c r="W780" s="355"/>
      <c r="AG780" s="355"/>
      <c r="AH780" s="355"/>
      <c r="AI780" s="355"/>
      <c r="AJ780" s="355"/>
      <c r="AK780" s="355"/>
      <c r="AL780" s="355"/>
      <c r="AM780" s="355"/>
      <c r="AU780" s="379">
        <v>67495</v>
      </c>
      <c r="AV780" s="375"/>
      <c r="AW780" s="375"/>
      <c r="AX780" s="375"/>
      <c r="AY780" s="375"/>
      <c r="AZ780" s="375"/>
      <c r="BA780" s="375"/>
      <c r="BB780" s="375"/>
      <c r="BC780" s="375"/>
      <c r="BD780" s="375"/>
      <c r="BE780" s="375"/>
      <c r="BF780" s="375">
        <v>7.1249999999999994E-2</v>
      </c>
      <c r="BG780" s="375"/>
      <c r="BH780" s="375"/>
      <c r="BI780" s="373">
        <f t="shared" si="39"/>
        <v>7.1249999999999994E-2</v>
      </c>
      <c r="BT780" s="355"/>
      <c r="BU780" s="355"/>
      <c r="BV780" s="355"/>
      <c r="BW780" s="355"/>
    </row>
    <row r="781" spans="1:75" x14ac:dyDescent="0.15">
      <c r="A781" s="356"/>
      <c r="B781" s="355"/>
      <c r="C781" s="355"/>
      <c r="D781" s="355"/>
      <c r="E781" s="355"/>
      <c r="F781" s="355"/>
      <c r="G781" s="355"/>
      <c r="O781" s="356"/>
      <c r="P781" s="355"/>
      <c r="Q781" s="355"/>
      <c r="R781" s="355"/>
      <c r="S781" s="355"/>
      <c r="T781" s="355"/>
      <c r="U781" s="355"/>
      <c r="V781" s="355"/>
      <c r="W781" s="355"/>
      <c r="AG781" s="355"/>
      <c r="AH781" s="355"/>
      <c r="AI781" s="355"/>
      <c r="AJ781" s="355"/>
      <c r="AK781" s="355"/>
      <c r="AL781" s="355"/>
      <c r="AM781" s="355"/>
      <c r="AU781" s="379">
        <v>67526</v>
      </c>
      <c r="AV781" s="375"/>
      <c r="AW781" s="375"/>
      <c r="AX781" s="375"/>
      <c r="AY781" s="375"/>
      <c r="AZ781" s="375"/>
      <c r="BA781" s="375"/>
      <c r="BB781" s="375"/>
      <c r="BC781" s="375"/>
      <c r="BD781" s="375"/>
      <c r="BE781" s="375"/>
      <c r="BF781" s="375">
        <v>7.1249999999999994E-2</v>
      </c>
      <c r="BG781" s="375"/>
      <c r="BH781" s="375"/>
      <c r="BI781" s="373">
        <f t="shared" si="39"/>
        <v>7.1249999999999994E-2</v>
      </c>
      <c r="BT781" s="355"/>
      <c r="BU781" s="355"/>
      <c r="BV781" s="355"/>
      <c r="BW781" s="355"/>
    </row>
    <row r="782" spans="1:75" x14ac:dyDescent="0.15">
      <c r="A782" s="356"/>
      <c r="B782" s="355"/>
      <c r="C782" s="355"/>
      <c r="D782" s="355"/>
      <c r="E782" s="355"/>
      <c r="F782" s="355"/>
      <c r="G782" s="355"/>
      <c r="O782" s="356"/>
      <c r="P782" s="355"/>
      <c r="Q782" s="355"/>
      <c r="R782" s="355"/>
      <c r="S782" s="355"/>
      <c r="T782" s="355"/>
      <c r="U782" s="355"/>
      <c r="V782" s="355"/>
      <c r="W782" s="355"/>
      <c r="AG782" s="355"/>
      <c r="AH782" s="355"/>
      <c r="AI782" s="355"/>
      <c r="AJ782" s="355"/>
      <c r="AK782" s="355"/>
      <c r="AL782" s="355"/>
      <c r="AM782" s="355"/>
      <c r="AU782" s="379">
        <v>67556</v>
      </c>
      <c r="AV782" s="375"/>
      <c r="AW782" s="375"/>
      <c r="AX782" s="375"/>
      <c r="AY782" s="375"/>
      <c r="AZ782" s="375"/>
      <c r="BA782" s="375"/>
      <c r="BB782" s="375"/>
      <c r="BC782" s="375"/>
      <c r="BD782" s="375"/>
      <c r="BE782" s="375"/>
      <c r="BF782" s="375">
        <v>7.1249999999999994E-2</v>
      </c>
      <c r="BG782" s="375"/>
      <c r="BH782" s="375"/>
      <c r="BI782" s="373">
        <f t="shared" si="39"/>
        <v>7.1249999999999994E-2</v>
      </c>
      <c r="BT782" s="355"/>
      <c r="BU782" s="355"/>
      <c r="BV782" s="355"/>
      <c r="BW782" s="355"/>
    </row>
    <row r="783" spans="1:75" x14ac:dyDescent="0.15">
      <c r="A783" s="356"/>
      <c r="B783" s="355"/>
      <c r="C783" s="355"/>
      <c r="D783" s="355"/>
      <c r="E783" s="355"/>
      <c r="F783" s="355"/>
      <c r="G783" s="355"/>
      <c r="O783" s="356"/>
      <c r="P783" s="355"/>
      <c r="Q783" s="355"/>
      <c r="R783" s="355"/>
      <c r="S783" s="355"/>
      <c r="T783" s="355"/>
      <c r="U783" s="355"/>
      <c r="V783" s="355"/>
      <c r="W783" s="355"/>
      <c r="AG783" s="355"/>
      <c r="AH783" s="355"/>
      <c r="AI783" s="355"/>
      <c r="AJ783" s="355"/>
      <c r="AK783" s="355"/>
      <c r="AL783" s="355"/>
      <c r="AM783" s="355"/>
      <c r="AU783" s="379">
        <v>67587</v>
      </c>
      <c r="AV783" s="375"/>
      <c r="AW783" s="375"/>
      <c r="AX783" s="375"/>
      <c r="AY783" s="375"/>
      <c r="AZ783" s="375"/>
      <c r="BA783" s="375"/>
      <c r="BB783" s="375"/>
      <c r="BC783" s="375"/>
      <c r="BD783" s="375"/>
      <c r="BE783" s="375"/>
      <c r="BF783" s="375">
        <v>7.1249999999999994E-2</v>
      </c>
      <c r="BG783" s="375"/>
      <c r="BH783" s="375"/>
      <c r="BI783" s="373">
        <f t="shared" si="39"/>
        <v>7.1249999999999994E-2</v>
      </c>
      <c r="BT783" s="355"/>
      <c r="BU783" s="355"/>
      <c r="BV783" s="355"/>
      <c r="BW783" s="355"/>
    </row>
    <row r="784" spans="1:75" x14ac:dyDescent="0.15">
      <c r="A784" s="356"/>
      <c r="B784" s="355"/>
      <c r="C784" s="355"/>
      <c r="D784" s="355"/>
      <c r="E784" s="355"/>
      <c r="F784" s="355"/>
      <c r="G784" s="355"/>
      <c r="O784" s="356"/>
      <c r="P784" s="355"/>
      <c r="Q784" s="355"/>
      <c r="R784" s="355"/>
      <c r="S784" s="355"/>
      <c r="T784" s="355"/>
      <c r="U784" s="355"/>
      <c r="V784" s="355"/>
      <c r="W784" s="355"/>
      <c r="AG784" s="355"/>
      <c r="AH784" s="355"/>
      <c r="AI784" s="355"/>
      <c r="AJ784" s="355"/>
      <c r="AK784" s="355"/>
      <c r="AL784" s="355"/>
      <c r="AM784" s="355"/>
      <c r="AU784" s="379">
        <v>67618</v>
      </c>
      <c r="AV784" s="375"/>
      <c r="AW784" s="375"/>
      <c r="AX784" s="375"/>
      <c r="AY784" s="375"/>
      <c r="AZ784" s="375"/>
      <c r="BA784" s="375"/>
      <c r="BB784" s="375"/>
      <c r="BC784" s="375"/>
      <c r="BD784" s="375"/>
      <c r="BE784" s="375"/>
      <c r="BF784" s="375">
        <v>7.1249999999999994E-2</v>
      </c>
      <c r="BG784" s="375"/>
      <c r="BH784" s="375"/>
      <c r="BI784" s="373">
        <f t="shared" si="39"/>
        <v>7.1249999999999994E-2</v>
      </c>
      <c r="BT784" s="355"/>
      <c r="BU784" s="355"/>
      <c r="BV784" s="355"/>
      <c r="BW784" s="355"/>
    </row>
    <row r="785" spans="1:75" x14ac:dyDescent="0.15">
      <c r="A785" s="356"/>
      <c r="B785" s="355"/>
      <c r="C785" s="355"/>
      <c r="D785" s="355"/>
      <c r="E785" s="355"/>
      <c r="F785" s="355"/>
      <c r="G785" s="355"/>
      <c r="O785" s="356"/>
      <c r="P785" s="355"/>
      <c r="Q785" s="355"/>
      <c r="R785" s="355"/>
      <c r="S785" s="355"/>
      <c r="T785" s="355"/>
      <c r="U785" s="355"/>
      <c r="V785" s="355"/>
      <c r="W785" s="355"/>
      <c r="AG785" s="355"/>
      <c r="AH785" s="355"/>
      <c r="AI785" s="355"/>
      <c r="AJ785" s="355"/>
      <c r="AK785" s="355"/>
      <c r="AL785" s="355"/>
      <c r="AM785" s="355"/>
      <c r="AU785" s="379">
        <v>67646</v>
      </c>
      <c r="AV785" s="375"/>
      <c r="AW785" s="375"/>
      <c r="AX785" s="375"/>
      <c r="AY785" s="375"/>
      <c r="AZ785" s="375"/>
      <c r="BA785" s="375"/>
      <c r="BB785" s="375"/>
      <c r="BC785" s="375"/>
      <c r="BD785" s="375"/>
      <c r="BE785" s="375"/>
      <c r="BF785" s="375">
        <v>7.1249999999999994E-2</v>
      </c>
      <c r="BG785" s="375"/>
      <c r="BH785" s="375"/>
      <c r="BI785" s="373">
        <f t="shared" si="39"/>
        <v>7.1249999999999994E-2</v>
      </c>
      <c r="BT785" s="355"/>
      <c r="BU785" s="355"/>
      <c r="BV785" s="355"/>
      <c r="BW785" s="355"/>
    </row>
    <row r="786" spans="1:75" x14ac:dyDescent="0.15">
      <c r="A786" s="356"/>
      <c r="B786" s="355"/>
      <c r="C786" s="355"/>
      <c r="D786" s="355"/>
      <c r="E786" s="355"/>
      <c r="F786" s="355"/>
      <c r="G786" s="355"/>
      <c r="O786" s="356"/>
      <c r="P786" s="355"/>
      <c r="Q786" s="355"/>
      <c r="R786" s="355"/>
      <c r="S786" s="355"/>
      <c r="T786" s="355"/>
      <c r="U786" s="355"/>
      <c r="V786" s="355"/>
      <c r="W786" s="355"/>
      <c r="AG786" s="355"/>
      <c r="AH786" s="355"/>
      <c r="AI786" s="355"/>
      <c r="AJ786" s="355"/>
      <c r="AK786" s="355"/>
      <c r="AL786" s="355"/>
      <c r="AM786" s="355"/>
      <c r="AU786" s="379">
        <v>67677</v>
      </c>
      <c r="AV786" s="375"/>
      <c r="AW786" s="375"/>
      <c r="AX786" s="375"/>
      <c r="AY786" s="375"/>
      <c r="AZ786" s="375"/>
      <c r="BA786" s="375"/>
      <c r="BB786" s="375"/>
      <c r="BC786" s="375"/>
      <c r="BD786" s="375"/>
      <c r="BE786" s="375"/>
      <c r="BF786" s="375">
        <v>7.1249999999999994E-2</v>
      </c>
      <c r="BG786" s="375"/>
      <c r="BH786" s="375"/>
      <c r="BI786" s="373">
        <f t="shared" si="39"/>
        <v>7.1249999999999994E-2</v>
      </c>
      <c r="BT786" s="355"/>
      <c r="BU786" s="355"/>
      <c r="BV786" s="355"/>
      <c r="BW786" s="355"/>
    </row>
    <row r="787" spans="1:75" x14ac:dyDescent="0.15">
      <c r="A787" s="356"/>
      <c r="B787" s="355"/>
      <c r="C787" s="355"/>
      <c r="D787" s="355"/>
      <c r="E787" s="355"/>
      <c r="F787" s="355"/>
      <c r="G787" s="355"/>
      <c r="O787" s="356"/>
      <c r="P787" s="355"/>
      <c r="Q787" s="355"/>
      <c r="R787" s="355"/>
      <c r="S787" s="355"/>
      <c r="T787" s="355"/>
      <c r="U787" s="355"/>
      <c r="V787" s="355"/>
      <c r="W787" s="355"/>
      <c r="AG787" s="355"/>
      <c r="AH787" s="355"/>
      <c r="AI787" s="355"/>
      <c r="AJ787" s="355"/>
      <c r="AK787" s="355"/>
      <c r="AL787" s="355"/>
      <c r="AM787" s="355"/>
      <c r="AU787" s="379">
        <v>67707</v>
      </c>
      <c r="AV787" s="375"/>
      <c r="AW787" s="375"/>
      <c r="AX787" s="375"/>
      <c r="AY787" s="375"/>
      <c r="AZ787" s="375"/>
      <c r="BA787" s="375"/>
      <c r="BB787" s="375"/>
      <c r="BC787" s="375"/>
      <c r="BD787" s="375"/>
      <c r="BE787" s="375"/>
      <c r="BF787" s="375">
        <v>7.1249999999999994E-2</v>
      </c>
      <c r="BG787" s="375"/>
      <c r="BH787" s="375"/>
      <c r="BI787" s="373">
        <f t="shared" si="39"/>
        <v>7.1249999999999994E-2</v>
      </c>
      <c r="BT787" s="355"/>
      <c r="BU787" s="355"/>
      <c r="BV787" s="355"/>
      <c r="BW787" s="355"/>
    </row>
    <row r="788" spans="1:75" x14ac:dyDescent="0.15">
      <c r="A788" s="356"/>
      <c r="B788" s="355"/>
      <c r="C788" s="355"/>
      <c r="D788" s="355"/>
      <c r="E788" s="355"/>
      <c r="F788" s="355"/>
      <c r="G788" s="355"/>
      <c r="O788" s="356"/>
      <c r="P788" s="355"/>
      <c r="Q788" s="355"/>
      <c r="R788" s="355"/>
      <c r="S788" s="355"/>
      <c r="T788" s="355"/>
      <c r="U788" s="355"/>
      <c r="V788" s="355"/>
      <c r="W788" s="355"/>
      <c r="AG788" s="355"/>
      <c r="AH788" s="355"/>
      <c r="AI788" s="355"/>
      <c r="AJ788" s="355"/>
      <c r="AK788" s="355"/>
      <c r="AL788" s="355"/>
      <c r="AM788" s="355"/>
      <c r="AU788" s="379">
        <v>67738</v>
      </c>
      <c r="AV788" s="375"/>
      <c r="AW788" s="375"/>
      <c r="AX788" s="375"/>
      <c r="AY788" s="375"/>
      <c r="AZ788" s="375"/>
      <c r="BA788" s="375"/>
      <c r="BB788" s="375"/>
      <c r="BC788" s="375"/>
      <c r="BD788" s="375"/>
      <c r="BE788" s="375"/>
      <c r="BF788" s="375">
        <v>7.1249999999999994E-2</v>
      </c>
      <c r="BG788" s="375"/>
      <c r="BH788" s="375"/>
      <c r="BI788" s="373">
        <f t="shared" si="39"/>
        <v>7.1249999999999994E-2</v>
      </c>
      <c r="BT788" s="355"/>
      <c r="BU788" s="355"/>
      <c r="BV788" s="355"/>
      <c r="BW788" s="355"/>
    </row>
    <row r="789" spans="1:75" x14ac:dyDescent="0.15">
      <c r="A789" s="356"/>
      <c r="B789" s="355"/>
      <c r="C789" s="355"/>
      <c r="D789" s="355"/>
      <c r="E789" s="355"/>
      <c r="F789" s="355"/>
      <c r="G789" s="355"/>
      <c r="O789" s="356"/>
      <c r="P789" s="355"/>
      <c r="Q789" s="355"/>
      <c r="R789" s="355"/>
      <c r="S789" s="355"/>
      <c r="T789" s="355"/>
      <c r="U789" s="355"/>
      <c r="V789" s="355"/>
      <c r="W789" s="355"/>
      <c r="AG789" s="355"/>
      <c r="AH789" s="355"/>
      <c r="AI789" s="355"/>
      <c r="AJ789" s="355"/>
      <c r="AK789" s="355"/>
      <c r="AL789" s="355"/>
      <c r="AM789" s="355"/>
      <c r="AU789" s="379">
        <v>67768</v>
      </c>
      <c r="AV789" s="375"/>
      <c r="AW789" s="375"/>
      <c r="AX789" s="375"/>
      <c r="AY789" s="375"/>
      <c r="AZ789" s="375"/>
      <c r="BA789" s="375"/>
      <c r="BB789" s="375"/>
      <c r="BC789" s="375"/>
      <c r="BD789" s="375"/>
      <c r="BE789" s="375"/>
      <c r="BF789" s="375">
        <v>7.1249999999999994E-2</v>
      </c>
      <c r="BG789" s="375"/>
      <c r="BH789" s="375"/>
      <c r="BI789" s="373">
        <f t="shared" si="39"/>
        <v>7.1249999999999994E-2</v>
      </c>
      <c r="BT789" s="355"/>
      <c r="BU789" s="355"/>
      <c r="BV789" s="355"/>
      <c r="BW789" s="355"/>
    </row>
    <row r="790" spans="1:75" x14ac:dyDescent="0.15">
      <c r="A790" s="356"/>
      <c r="B790" s="355"/>
      <c r="C790" s="355"/>
      <c r="D790" s="355"/>
      <c r="E790" s="355"/>
      <c r="F790" s="355"/>
      <c r="G790" s="355"/>
      <c r="O790" s="356"/>
      <c r="P790" s="355"/>
      <c r="Q790" s="355"/>
      <c r="R790" s="355"/>
      <c r="S790" s="355"/>
      <c r="T790" s="355"/>
      <c r="U790" s="355"/>
      <c r="V790" s="355"/>
      <c r="W790" s="355"/>
      <c r="AG790" s="355"/>
      <c r="AH790" s="355"/>
      <c r="AI790" s="355"/>
      <c r="AJ790" s="355"/>
      <c r="AK790" s="355"/>
      <c r="AL790" s="355"/>
      <c r="AM790" s="355"/>
      <c r="AU790" s="379">
        <v>67799</v>
      </c>
      <c r="AV790" s="375"/>
      <c r="AW790" s="375"/>
      <c r="AX790" s="375"/>
      <c r="AY790" s="375"/>
      <c r="AZ790" s="375"/>
      <c r="BA790" s="375"/>
      <c r="BB790" s="375"/>
      <c r="BC790" s="375"/>
      <c r="BD790" s="375"/>
      <c r="BE790" s="375"/>
      <c r="BF790" s="375">
        <v>7.1249999999999994E-2</v>
      </c>
      <c r="BG790" s="375"/>
      <c r="BH790" s="375"/>
      <c r="BI790" s="373">
        <f t="shared" si="39"/>
        <v>7.1249999999999994E-2</v>
      </c>
      <c r="BT790" s="355"/>
      <c r="BU790" s="355"/>
      <c r="BV790" s="355"/>
      <c r="BW790" s="355"/>
    </row>
    <row r="791" spans="1:75" x14ac:dyDescent="0.15">
      <c r="A791" s="356"/>
      <c r="B791" s="355"/>
      <c r="C791" s="355"/>
      <c r="D791" s="355"/>
      <c r="E791" s="355"/>
      <c r="F791" s="355"/>
      <c r="G791" s="355"/>
      <c r="O791" s="356"/>
      <c r="P791" s="355"/>
      <c r="Q791" s="355"/>
      <c r="R791" s="355"/>
      <c r="S791" s="355"/>
      <c r="T791" s="355"/>
      <c r="U791" s="355"/>
      <c r="V791" s="355"/>
      <c r="W791" s="355"/>
      <c r="AG791" s="355"/>
      <c r="AH791" s="355"/>
      <c r="AI791" s="355"/>
      <c r="AJ791" s="355"/>
      <c r="AK791" s="355"/>
      <c r="AL791" s="355"/>
      <c r="AM791" s="355"/>
      <c r="AU791" s="379">
        <v>67830</v>
      </c>
      <c r="AV791" s="375"/>
      <c r="AW791" s="375"/>
      <c r="AX791" s="375"/>
      <c r="AY791" s="375"/>
      <c r="AZ791" s="375"/>
      <c r="BA791" s="375"/>
      <c r="BB791" s="375"/>
      <c r="BC791" s="375"/>
      <c r="BD791" s="375"/>
      <c r="BE791" s="375"/>
      <c r="BF791" s="375">
        <v>7.1249999999999994E-2</v>
      </c>
      <c r="BG791" s="375"/>
      <c r="BH791" s="375"/>
      <c r="BI791" s="373">
        <f t="shared" si="39"/>
        <v>7.1249999999999994E-2</v>
      </c>
      <c r="BT791" s="355"/>
      <c r="BU791" s="355"/>
      <c r="BV791" s="355"/>
      <c r="BW791" s="355"/>
    </row>
    <row r="792" spans="1:75" x14ac:dyDescent="0.15">
      <c r="A792" s="356"/>
      <c r="B792" s="355"/>
      <c r="C792" s="355"/>
      <c r="D792" s="355"/>
      <c r="E792" s="355"/>
      <c r="F792" s="355"/>
      <c r="G792" s="355"/>
      <c r="O792" s="356"/>
      <c r="P792" s="355"/>
      <c r="Q792" s="355"/>
      <c r="R792" s="355"/>
      <c r="S792" s="355"/>
      <c r="T792" s="355"/>
      <c r="U792" s="355"/>
      <c r="V792" s="355"/>
      <c r="W792" s="355"/>
      <c r="AG792" s="355"/>
      <c r="AH792" s="355"/>
      <c r="AI792" s="355"/>
      <c r="AJ792" s="355"/>
      <c r="AK792" s="355"/>
      <c r="AL792" s="355"/>
      <c r="AM792" s="355"/>
      <c r="AU792" s="379">
        <v>67860</v>
      </c>
      <c r="AV792" s="375"/>
      <c r="AW792" s="375"/>
      <c r="AX792" s="375"/>
      <c r="AY792" s="375"/>
      <c r="AZ792" s="375"/>
      <c r="BA792" s="375"/>
      <c r="BB792" s="375"/>
      <c r="BC792" s="375"/>
      <c r="BD792" s="375"/>
      <c r="BE792" s="375"/>
      <c r="BF792" s="375">
        <v>7.1249999999999994E-2</v>
      </c>
      <c r="BG792" s="375"/>
      <c r="BH792" s="375"/>
      <c r="BI792" s="373">
        <f t="shared" si="39"/>
        <v>7.1249999999999994E-2</v>
      </c>
      <c r="BT792" s="355"/>
      <c r="BU792" s="355"/>
      <c r="BV792" s="355"/>
      <c r="BW792" s="355"/>
    </row>
    <row r="793" spans="1:75" x14ac:dyDescent="0.15">
      <c r="A793" s="356"/>
      <c r="B793" s="355"/>
      <c r="C793" s="355"/>
      <c r="D793" s="355"/>
      <c r="E793" s="355"/>
      <c r="F793" s="355"/>
      <c r="G793" s="355"/>
      <c r="O793" s="356"/>
      <c r="P793" s="355"/>
      <c r="Q793" s="355"/>
      <c r="R793" s="355"/>
      <c r="S793" s="355"/>
      <c r="T793" s="355"/>
      <c r="U793" s="355"/>
      <c r="V793" s="355"/>
      <c r="W793" s="355"/>
      <c r="AG793" s="355"/>
      <c r="AH793" s="355"/>
      <c r="AI793" s="355"/>
      <c r="AJ793" s="355"/>
      <c r="AK793" s="355"/>
      <c r="AL793" s="355"/>
      <c r="AM793" s="355"/>
      <c r="AU793" s="379">
        <v>67891</v>
      </c>
      <c r="AV793" s="375"/>
      <c r="AW793" s="375"/>
      <c r="AX793" s="375"/>
      <c r="AY793" s="375"/>
      <c r="AZ793" s="375"/>
      <c r="BA793" s="375"/>
      <c r="BB793" s="375"/>
      <c r="BC793" s="375"/>
      <c r="BD793" s="375"/>
      <c r="BE793" s="375"/>
      <c r="BF793" s="375">
        <v>7.1249999999999994E-2</v>
      </c>
      <c r="BG793" s="375"/>
      <c r="BH793" s="375"/>
      <c r="BI793" s="373">
        <f t="shared" si="39"/>
        <v>7.1249999999999994E-2</v>
      </c>
      <c r="BT793" s="355"/>
      <c r="BU793" s="355"/>
      <c r="BV793" s="355"/>
      <c r="BW793" s="355"/>
    </row>
    <row r="794" spans="1:75" x14ac:dyDescent="0.15">
      <c r="A794" s="356"/>
      <c r="B794" s="355"/>
      <c r="C794" s="355"/>
      <c r="D794" s="355"/>
      <c r="E794" s="355"/>
      <c r="F794" s="355"/>
      <c r="G794" s="355"/>
      <c r="O794" s="356"/>
      <c r="P794" s="355"/>
      <c r="Q794" s="355"/>
      <c r="R794" s="355"/>
      <c r="S794" s="355"/>
      <c r="T794" s="355"/>
      <c r="U794" s="355"/>
      <c r="V794" s="355"/>
      <c r="W794" s="355"/>
      <c r="AG794" s="355"/>
      <c r="AH794" s="355"/>
      <c r="AI794" s="355"/>
      <c r="AJ794" s="355"/>
      <c r="AK794" s="355"/>
      <c r="AL794" s="355"/>
      <c r="AM794" s="355"/>
      <c r="AU794" s="379">
        <v>67921</v>
      </c>
      <c r="AV794" s="375"/>
      <c r="AW794" s="375"/>
      <c r="AX794" s="375"/>
      <c r="AY794" s="375"/>
      <c r="AZ794" s="375"/>
      <c r="BA794" s="375"/>
      <c r="BB794" s="375"/>
      <c r="BC794" s="375"/>
      <c r="BD794" s="375"/>
      <c r="BE794" s="375"/>
      <c r="BF794" s="375">
        <v>7.1249999999999994E-2</v>
      </c>
      <c r="BG794" s="375"/>
      <c r="BH794" s="375"/>
      <c r="BI794" s="373">
        <f t="shared" si="39"/>
        <v>7.1249999999999994E-2</v>
      </c>
      <c r="BT794" s="355"/>
      <c r="BU794" s="355"/>
      <c r="BV794" s="355"/>
      <c r="BW794" s="355"/>
    </row>
    <row r="795" spans="1:75" x14ac:dyDescent="0.15">
      <c r="A795" s="356"/>
      <c r="B795" s="355"/>
      <c r="C795" s="355"/>
      <c r="D795" s="355"/>
      <c r="E795" s="355"/>
      <c r="F795" s="355"/>
      <c r="G795" s="355"/>
      <c r="O795" s="356"/>
      <c r="P795" s="355"/>
      <c r="Q795" s="355"/>
      <c r="R795" s="355"/>
      <c r="S795" s="355"/>
      <c r="T795" s="355"/>
      <c r="U795" s="355"/>
      <c r="V795" s="355"/>
      <c r="W795" s="355"/>
      <c r="AG795" s="355"/>
      <c r="AH795" s="355"/>
      <c r="AI795" s="355"/>
      <c r="AJ795" s="355"/>
      <c r="AK795" s="355"/>
      <c r="AL795" s="355"/>
      <c r="AM795" s="355"/>
      <c r="AU795" s="379">
        <v>67952</v>
      </c>
      <c r="AV795" s="375"/>
      <c r="AW795" s="375"/>
      <c r="AX795" s="375"/>
      <c r="AY795" s="375"/>
      <c r="AZ795" s="375"/>
      <c r="BA795" s="375"/>
      <c r="BB795" s="375"/>
      <c r="BC795" s="375"/>
      <c r="BD795" s="375"/>
      <c r="BE795" s="375"/>
      <c r="BF795" s="375">
        <v>7.1249999999999994E-2</v>
      </c>
      <c r="BG795" s="375"/>
      <c r="BH795" s="375"/>
      <c r="BI795" s="373">
        <f t="shared" si="39"/>
        <v>7.1249999999999994E-2</v>
      </c>
      <c r="BT795" s="355"/>
      <c r="BU795" s="355"/>
      <c r="BV795" s="355"/>
      <c r="BW795" s="355"/>
    </row>
    <row r="796" spans="1:75" x14ac:dyDescent="0.15">
      <c r="A796" s="356"/>
      <c r="B796" s="355"/>
      <c r="C796" s="355"/>
      <c r="D796" s="355"/>
      <c r="E796" s="355"/>
      <c r="F796" s="355"/>
      <c r="G796" s="355"/>
      <c r="O796" s="356"/>
      <c r="P796" s="355"/>
      <c r="Q796" s="355"/>
      <c r="R796" s="355"/>
      <c r="S796" s="355"/>
      <c r="T796" s="355"/>
      <c r="U796" s="355"/>
      <c r="V796" s="355"/>
      <c r="W796" s="355"/>
      <c r="AG796" s="355"/>
      <c r="AH796" s="355"/>
      <c r="AI796" s="355"/>
      <c r="AJ796" s="355"/>
      <c r="AK796" s="355"/>
      <c r="AL796" s="355"/>
      <c r="AM796" s="355"/>
      <c r="AU796" s="379">
        <v>67983</v>
      </c>
      <c r="AV796" s="375"/>
      <c r="AW796" s="375"/>
      <c r="AX796" s="375"/>
      <c r="AY796" s="375"/>
      <c r="AZ796" s="375"/>
      <c r="BA796" s="375"/>
      <c r="BB796" s="375"/>
      <c r="BC796" s="375"/>
      <c r="BD796" s="375"/>
      <c r="BE796" s="375"/>
      <c r="BF796" s="375">
        <v>7.1249999999999994E-2</v>
      </c>
      <c r="BG796" s="375"/>
      <c r="BH796" s="375"/>
      <c r="BI796" s="373">
        <f t="shared" si="39"/>
        <v>7.1249999999999994E-2</v>
      </c>
      <c r="BT796" s="355"/>
      <c r="BU796" s="355"/>
      <c r="BV796" s="355"/>
      <c r="BW796" s="355"/>
    </row>
    <row r="797" spans="1:75" x14ac:dyDescent="0.15">
      <c r="A797" s="356"/>
      <c r="B797" s="355"/>
      <c r="C797" s="355"/>
      <c r="D797" s="355"/>
      <c r="E797" s="355"/>
      <c r="F797" s="355"/>
      <c r="G797" s="355"/>
      <c r="O797" s="356"/>
      <c r="P797" s="355"/>
      <c r="Q797" s="355"/>
      <c r="R797" s="355"/>
      <c r="S797" s="355"/>
      <c r="T797" s="355"/>
      <c r="U797" s="355"/>
      <c r="V797" s="355"/>
      <c r="W797" s="355"/>
      <c r="AG797" s="355"/>
      <c r="AH797" s="355"/>
      <c r="AI797" s="355"/>
      <c r="AJ797" s="355"/>
      <c r="AK797" s="355"/>
      <c r="AL797" s="355"/>
      <c r="AM797" s="355"/>
      <c r="AU797" s="379">
        <v>68011</v>
      </c>
      <c r="AV797" s="375"/>
      <c r="AW797" s="375"/>
      <c r="AX797" s="375"/>
      <c r="AY797" s="375"/>
      <c r="AZ797" s="375"/>
      <c r="BA797" s="375"/>
      <c r="BB797" s="375"/>
      <c r="BC797" s="375"/>
      <c r="BD797" s="375"/>
      <c r="BE797" s="375"/>
      <c r="BF797" s="375">
        <v>7.1249999999999994E-2</v>
      </c>
      <c r="BG797" s="375"/>
      <c r="BH797" s="375"/>
      <c r="BI797" s="373">
        <f t="shared" si="39"/>
        <v>7.1249999999999994E-2</v>
      </c>
      <c r="BT797" s="355"/>
      <c r="BU797" s="355"/>
      <c r="BV797" s="355"/>
      <c r="BW797" s="355"/>
    </row>
    <row r="798" spans="1:75" x14ac:dyDescent="0.15">
      <c r="A798" s="356"/>
      <c r="B798" s="355"/>
      <c r="C798" s="355"/>
      <c r="D798" s="355"/>
      <c r="E798" s="355"/>
      <c r="F798" s="355"/>
      <c r="G798" s="355"/>
      <c r="O798" s="356"/>
      <c r="P798" s="355"/>
      <c r="Q798" s="355"/>
      <c r="R798" s="355"/>
      <c r="S798" s="355"/>
      <c r="T798" s="355"/>
      <c r="U798" s="355"/>
      <c r="V798" s="355"/>
      <c r="W798" s="355"/>
      <c r="AG798" s="355"/>
      <c r="AH798" s="355"/>
      <c r="AI798" s="355"/>
      <c r="AJ798" s="355"/>
      <c r="AK798" s="355"/>
      <c r="AL798" s="355"/>
      <c r="AM798" s="355"/>
      <c r="AU798" s="379">
        <v>68042</v>
      </c>
      <c r="AV798" s="375"/>
      <c r="AW798" s="375"/>
      <c r="AX798" s="375"/>
      <c r="AY798" s="375"/>
      <c r="AZ798" s="375"/>
      <c r="BA798" s="375"/>
      <c r="BB798" s="375"/>
      <c r="BC798" s="375"/>
      <c r="BD798" s="375"/>
      <c r="BE798" s="375"/>
      <c r="BF798" s="375">
        <v>7.1249999999999994E-2</v>
      </c>
      <c r="BG798" s="375"/>
      <c r="BH798" s="375"/>
      <c r="BI798" s="373">
        <f t="shared" si="39"/>
        <v>7.1249999999999994E-2</v>
      </c>
      <c r="BT798" s="355"/>
      <c r="BU798" s="355"/>
      <c r="BV798" s="355"/>
      <c r="BW798" s="355"/>
    </row>
    <row r="799" spans="1:75" x14ac:dyDescent="0.15">
      <c r="A799" s="356"/>
      <c r="B799" s="355"/>
      <c r="C799" s="355"/>
      <c r="D799" s="355"/>
      <c r="E799" s="355"/>
      <c r="F799" s="355"/>
      <c r="G799" s="355"/>
      <c r="O799" s="356"/>
      <c r="P799" s="355"/>
      <c r="Q799" s="355"/>
      <c r="R799" s="355"/>
      <c r="S799" s="355"/>
      <c r="T799" s="355"/>
      <c r="U799" s="355"/>
      <c r="V799" s="355"/>
      <c r="W799" s="355"/>
      <c r="AG799" s="355"/>
      <c r="AH799" s="355"/>
      <c r="AI799" s="355"/>
      <c r="AJ799" s="355"/>
      <c r="AK799" s="355"/>
      <c r="AL799" s="355"/>
      <c r="AM799" s="355"/>
      <c r="AU799" s="379">
        <v>68072</v>
      </c>
      <c r="AV799" s="375"/>
      <c r="AW799" s="375"/>
      <c r="AX799" s="375"/>
      <c r="AY799" s="375"/>
      <c r="AZ799" s="375"/>
      <c r="BA799" s="375"/>
      <c r="BB799" s="375"/>
      <c r="BC799" s="375"/>
      <c r="BD799" s="375"/>
      <c r="BE799" s="375"/>
      <c r="BF799" s="375">
        <v>7.1249999999999994E-2</v>
      </c>
      <c r="BG799" s="375"/>
      <c r="BH799" s="375"/>
      <c r="BI799" s="373">
        <f t="shared" si="39"/>
        <v>7.1249999999999994E-2</v>
      </c>
      <c r="BT799" s="355"/>
      <c r="BU799" s="355"/>
      <c r="BV799" s="355"/>
      <c r="BW799" s="355"/>
    </row>
    <row r="800" spans="1:75" x14ac:dyDescent="0.15">
      <c r="A800" s="356"/>
      <c r="B800" s="355"/>
      <c r="C800" s="355"/>
      <c r="D800" s="355"/>
      <c r="E800" s="355"/>
      <c r="F800" s="355"/>
      <c r="G800" s="355"/>
      <c r="O800" s="356"/>
      <c r="P800" s="355"/>
      <c r="Q800" s="355"/>
      <c r="R800" s="355"/>
      <c r="S800" s="355"/>
      <c r="T800" s="355"/>
      <c r="U800" s="355"/>
      <c r="V800" s="355"/>
      <c r="W800" s="355"/>
      <c r="AG800" s="355"/>
      <c r="AH800" s="355"/>
      <c r="AI800" s="355"/>
      <c r="AJ800" s="355"/>
      <c r="AK800" s="355"/>
      <c r="AL800" s="355"/>
      <c r="AM800" s="355"/>
      <c r="AU800" s="379">
        <v>68103</v>
      </c>
      <c r="AV800" s="375"/>
      <c r="AW800" s="375"/>
      <c r="AX800" s="375"/>
      <c r="AY800" s="375"/>
      <c r="AZ800" s="375"/>
      <c r="BA800" s="375"/>
      <c r="BB800" s="375"/>
      <c r="BC800" s="375"/>
      <c r="BD800" s="375"/>
      <c r="BE800" s="375"/>
      <c r="BF800" s="375">
        <v>7.1249999999999994E-2</v>
      </c>
      <c r="BG800" s="375"/>
      <c r="BH800" s="375"/>
      <c r="BI800" s="373">
        <f t="shared" si="39"/>
        <v>7.1249999999999994E-2</v>
      </c>
      <c r="BT800" s="355"/>
      <c r="BU800" s="355"/>
      <c r="BV800" s="355"/>
      <c r="BW800" s="355"/>
    </row>
    <row r="801" spans="1:75" x14ac:dyDescent="0.15">
      <c r="A801" s="356"/>
      <c r="B801" s="355"/>
      <c r="C801" s="355"/>
      <c r="D801" s="355"/>
      <c r="E801" s="355"/>
      <c r="F801" s="355"/>
      <c r="G801" s="355"/>
      <c r="O801" s="356"/>
      <c r="P801" s="355"/>
      <c r="Q801" s="355"/>
      <c r="R801" s="355"/>
      <c r="S801" s="355"/>
      <c r="T801" s="355"/>
      <c r="U801" s="355"/>
      <c r="V801" s="355"/>
      <c r="W801" s="355"/>
      <c r="AG801" s="355"/>
      <c r="AH801" s="355"/>
      <c r="AI801" s="355"/>
      <c r="AJ801" s="355"/>
      <c r="AK801" s="355"/>
      <c r="AL801" s="355"/>
      <c r="AM801" s="355"/>
      <c r="AU801" s="379">
        <v>68133</v>
      </c>
      <c r="AV801" s="375"/>
      <c r="AW801" s="375"/>
      <c r="AX801" s="375"/>
      <c r="AY801" s="375"/>
      <c r="AZ801" s="375"/>
      <c r="BA801" s="375"/>
      <c r="BB801" s="375"/>
      <c r="BC801" s="375"/>
      <c r="BD801" s="375"/>
      <c r="BE801" s="375"/>
      <c r="BF801" s="375">
        <v>7.1249999999999994E-2</v>
      </c>
      <c r="BG801" s="375"/>
      <c r="BH801" s="375"/>
      <c r="BI801" s="373">
        <f t="shared" si="39"/>
        <v>7.1249999999999994E-2</v>
      </c>
      <c r="BT801" s="355"/>
      <c r="BU801" s="355"/>
      <c r="BV801" s="355"/>
      <c r="BW801" s="355"/>
    </row>
    <row r="802" spans="1:75" x14ac:dyDescent="0.15">
      <c r="A802" s="356"/>
      <c r="B802" s="355"/>
      <c r="C802" s="355"/>
      <c r="D802" s="355"/>
      <c r="E802" s="355"/>
      <c r="F802" s="355"/>
      <c r="G802" s="355"/>
      <c r="O802" s="356"/>
      <c r="P802" s="355"/>
      <c r="Q802" s="355"/>
      <c r="R802" s="355"/>
      <c r="S802" s="355"/>
      <c r="T802" s="355"/>
      <c r="U802" s="355"/>
      <c r="V802" s="355"/>
      <c r="W802" s="355"/>
      <c r="AG802" s="355"/>
      <c r="AH802" s="355"/>
      <c r="AI802" s="355"/>
      <c r="AJ802" s="355"/>
      <c r="AK802" s="355"/>
      <c r="AL802" s="355"/>
      <c r="AM802" s="355"/>
      <c r="AU802" s="379">
        <v>68164</v>
      </c>
      <c r="AV802" s="375"/>
      <c r="AW802" s="375"/>
      <c r="AX802" s="375"/>
      <c r="AY802" s="375"/>
      <c r="AZ802" s="375"/>
      <c r="BA802" s="375"/>
      <c r="BB802" s="375"/>
      <c r="BC802" s="375"/>
      <c r="BD802" s="375"/>
      <c r="BE802" s="375"/>
      <c r="BF802" s="375">
        <v>7.1249999999999994E-2</v>
      </c>
      <c r="BG802" s="375"/>
      <c r="BH802" s="375"/>
      <c r="BI802" s="373">
        <f t="shared" si="39"/>
        <v>7.1249999999999994E-2</v>
      </c>
      <c r="BT802" s="355"/>
      <c r="BU802" s="355"/>
      <c r="BV802" s="355"/>
      <c r="BW802" s="355"/>
    </row>
    <row r="803" spans="1:75" x14ac:dyDescent="0.15">
      <c r="A803" s="356"/>
      <c r="B803" s="355"/>
      <c r="C803" s="355"/>
      <c r="D803" s="355"/>
      <c r="E803" s="355"/>
      <c r="F803" s="355"/>
      <c r="G803" s="355"/>
      <c r="O803" s="356"/>
      <c r="P803" s="355"/>
      <c r="Q803" s="355"/>
      <c r="R803" s="355"/>
      <c r="S803" s="355"/>
      <c r="T803" s="355"/>
      <c r="U803" s="355"/>
      <c r="V803" s="355"/>
      <c r="W803" s="355"/>
      <c r="AG803" s="355"/>
      <c r="AH803" s="355"/>
      <c r="AI803" s="355"/>
      <c r="AJ803" s="355"/>
      <c r="AK803" s="355"/>
      <c r="AL803" s="355"/>
      <c r="AM803" s="355"/>
      <c r="AU803" s="379">
        <v>68195</v>
      </c>
      <c r="AV803" s="375"/>
      <c r="AW803" s="375"/>
      <c r="AX803" s="375"/>
      <c r="AY803" s="375"/>
      <c r="AZ803" s="375"/>
      <c r="BA803" s="375"/>
      <c r="BB803" s="375"/>
      <c r="BC803" s="375"/>
      <c r="BD803" s="375"/>
      <c r="BE803" s="375"/>
      <c r="BF803" s="375">
        <v>7.1249999999999994E-2</v>
      </c>
      <c r="BG803" s="375"/>
      <c r="BH803" s="375"/>
      <c r="BI803" s="373">
        <f t="shared" si="39"/>
        <v>7.1249999999999994E-2</v>
      </c>
      <c r="BT803" s="355"/>
      <c r="BU803" s="355"/>
      <c r="BV803" s="355"/>
      <c r="BW803" s="355"/>
    </row>
    <row r="804" spans="1:75" x14ac:dyDescent="0.15">
      <c r="A804" s="356"/>
      <c r="B804" s="355"/>
      <c r="C804" s="355"/>
      <c r="D804" s="355"/>
      <c r="E804" s="355"/>
      <c r="F804" s="355"/>
      <c r="G804" s="355"/>
      <c r="O804" s="356"/>
      <c r="P804" s="355"/>
      <c r="Q804" s="355"/>
      <c r="R804" s="355"/>
      <c r="S804" s="355"/>
      <c r="T804" s="355"/>
      <c r="U804" s="355"/>
      <c r="V804" s="355"/>
      <c r="W804" s="355"/>
      <c r="AG804" s="355"/>
      <c r="AH804" s="355"/>
      <c r="AI804" s="355"/>
      <c r="AJ804" s="355"/>
      <c r="AK804" s="355"/>
      <c r="AL804" s="355"/>
      <c r="AM804" s="355"/>
      <c r="AU804" s="379">
        <v>68225</v>
      </c>
      <c r="AV804" s="375"/>
      <c r="AW804" s="375"/>
      <c r="AX804" s="375"/>
      <c r="AY804" s="375"/>
      <c r="AZ804" s="375"/>
      <c r="BA804" s="375"/>
      <c r="BB804" s="375"/>
      <c r="BC804" s="375"/>
      <c r="BD804" s="375"/>
      <c r="BE804" s="375"/>
      <c r="BF804" s="375">
        <v>7.1249999999999994E-2</v>
      </c>
      <c r="BG804" s="375"/>
      <c r="BH804" s="375"/>
      <c r="BI804" s="373">
        <f t="shared" si="39"/>
        <v>7.1249999999999994E-2</v>
      </c>
      <c r="BT804" s="355"/>
      <c r="BU804" s="355"/>
      <c r="BV804" s="355"/>
      <c r="BW804" s="355"/>
    </row>
    <row r="805" spans="1:75" x14ac:dyDescent="0.15">
      <c r="A805" s="356"/>
      <c r="B805" s="355"/>
      <c r="C805" s="355"/>
      <c r="D805" s="355"/>
      <c r="E805" s="355"/>
      <c r="F805" s="355"/>
      <c r="G805" s="355"/>
      <c r="O805" s="356"/>
      <c r="P805" s="355"/>
      <c r="Q805" s="355"/>
      <c r="R805" s="355"/>
      <c r="S805" s="355"/>
      <c r="T805" s="355"/>
      <c r="U805" s="355"/>
      <c r="V805" s="355"/>
      <c r="W805" s="355"/>
      <c r="AG805" s="355"/>
      <c r="AH805" s="355"/>
      <c r="AI805" s="355"/>
      <c r="AJ805" s="355"/>
      <c r="AK805" s="355"/>
      <c r="AL805" s="355"/>
      <c r="AM805" s="355"/>
      <c r="AU805" s="379">
        <v>68256</v>
      </c>
      <c r="AV805" s="375"/>
      <c r="AW805" s="375"/>
      <c r="AX805" s="375"/>
      <c r="AY805" s="375"/>
      <c r="AZ805" s="375"/>
      <c r="BA805" s="375"/>
      <c r="BB805" s="375"/>
      <c r="BC805" s="375"/>
      <c r="BD805" s="375"/>
      <c r="BE805" s="375"/>
      <c r="BF805" s="375">
        <v>7.1249999999999994E-2</v>
      </c>
      <c r="BG805" s="375"/>
      <c r="BH805" s="375"/>
      <c r="BI805" s="373">
        <f t="shared" si="39"/>
        <v>7.1249999999999994E-2</v>
      </c>
      <c r="BT805" s="355"/>
      <c r="BU805" s="355"/>
      <c r="BV805" s="355"/>
      <c r="BW805" s="355"/>
    </row>
    <row r="806" spans="1:75" x14ac:dyDescent="0.15">
      <c r="A806" s="356"/>
      <c r="B806" s="355"/>
      <c r="C806" s="355"/>
      <c r="D806" s="355"/>
      <c r="E806" s="355"/>
      <c r="F806" s="355"/>
      <c r="G806" s="355"/>
      <c r="O806" s="356"/>
      <c r="P806" s="355"/>
      <c r="Q806" s="355"/>
      <c r="R806" s="355"/>
      <c r="S806" s="355"/>
      <c r="T806" s="355"/>
      <c r="U806" s="355"/>
      <c r="V806" s="355"/>
      <c r="W806" s="355"/>
      <c r="AG806" s="355"/>
      <c r="AH806" s="355"/>
      <c r="AI806" s="355"/>
      <c r="AJ806" s="355"/>
      <c r="AK806" s="355"/>
      <c r="AL806" s="355"/>
      <c r="AM806" s="355"/>
      <c r="AU806" s="379">
        <v>68286</v>
      </c>
      <c r="AV806" s="375"/>
      <c r="AW806" s="375"/>
      <c r="AX806" s="375"/>
      <c r="AY806" s="375"/>
      <c r="AZ806" s="375"/>
      <c r="BA806" s="375"/>
      <c r="BB806" s="375"/>
      <c r="BC806" s="375"/>
      <c r="BD806" s="375"/>
      <c r="BE806" s="375"/>
      <c r="BF806" s="375">
        <v>7.1249999999999994E-2</v>
      </c>
      <c r="BG806" s="375"/>
      <c r="BH806" s="375"/>
      <c r="BI806" s="373">
        <f t="shared" si="39"/>
        <v>7.1249999999999994E-2</v>
      </c>
      <c r="BT806" s="355"/>
      <c r="BU806" s="355"/>
      <c r="BV806" s="355"/>
      <c r="BW806" s="355"/>
    </row>
    <row r="807" spans="1:75" x14ac:dyDescent="0.15">
      <c r="A807" s="356"/>
      <c r="B807" s="355"/>
      <c r="C807" s="355"/>
      <c r="D807" s="355"/>
      <c r="E807" s="355"/>
      <c r="F807" s="355"/>
      <c r="G807" s="355"/>
      <c r="O807" s="356"/>
      <c r="P807" s="355"/>
      <c r="Q807" s="355"/>
      <c r="R807" s="355"/>
      <c r="S807" s="355"/>
      <c r="T807" s="355"/>
      <c r="U807" s="355"/>
      <c r="V807" s="355"/>
      <c r="W807" s="355"/>
      <c r="AG807" s="355"/>
      <c r="AH807" s="355"/>
      <c r="AI807" s="355"/>
      <c r="AJ807" s="355"/>
      <c r="AK807" s="355"/>
      <c r="AL807" s="355"/>
      <c r="AM807" s="355"/>
      <c r="AU807" s="379">
        <v>68317</v>
      </c>
      <c r="AV807" s="375"/>
      <c r="AW807" s="375"/>
      <c r="AX807" s="375"/>
      <c r="AY807" s="375"/>
      <c r="AZ807" s="375"/>
      <c r="BA807" s="375"/>
      <c r="BB807" s="375"/>
      <c r="BC807" s="375"/>
      <c r="BD807" s="375"/>
      <c r="BE807" s="375"/>
      <c r="BF807" s="375">
        <v>7.1249999999999994E-2</v>
      </c>
      <c r="BG807" s="375"/>
      <c r="BH807" s="375"/>
      <c r="BI807" s="373">
        <f t="shared" si="39"/>
        <v>7.1249999999999994E-2</v>
      </c>
      <c r="BT807" s="355"/>
      <c r="BU807" s="355"/>
      <c r="BV807" s="355"/>
      <c r="BW807" s="355"/>
    </row>
    <row r="808" spans="1:75" x14ac:dyDescent="0.15">
      <c r="A808" s="356"/>
      <c r="B808" s="355"/>
      <c r="C808" s="355"/>
      <c r="D808" s="355"/>
      <c r="E808" s="355"/>
      <c r="F808" s="355"/>
      <c r="G808" s="355"/>
      <c r="O808" s="356"/>
      <c r="P808" s="355"/>
      <c r="Q808" s="355"/>
      <c r="R808" s="355"/>
      <c r="S808" s="355"/>
      <c r="T808" s="355"/>
      <c r="U808" s="355"/>
      <c r="V808" s="355"/>
      <c r="W808" s="355"/>
      <c r="AG808" s="355"/>
      <c r="AH808" s="355"/>
      <c r="AI808" s="355"/>
      <c r="AJ808" s="355"/>
      <c r="AK808" s="355"/>
      <c r="AL808" s="355"/>
      <c r="AM808" s="355"/>
      <c r="AU808" s="379">
        <v>68348</v>
      </c>
      <c r="AV808" s="375"/>
      <c r="AW808" s="375"/>
      <c r="AX808" s="375"/>
      <c r="AY808" s="375"/>
      <c r="AZ808" s="375"/>
      <c r="BA808" s="375"/>
      <c r="BB808" s="375"/>
      <c r="BC808" s="375"/>
      <c r="BD808" s="375"/>
      <c r="BE808" s="375"/>
      <c r="BF808" s="375">
        <v>7.1249999999999994E-2</v>
      </c>
      <c r="BG808" s="375"/>
      <c r="BH808" s="375"/>
      <c r="BI808" s="373">
        <f t="shared" si="39"/>
        <v>7.1249999999999994E-2</v>
      </c>
      <c r="BT808" s="355"/>
      <c r="BU808" s="355"/>
      <c r="BV808" s="355"/>
      <c r="BW808" s="355"/>
    </row>
    <row r="809" spans="1:75" x14ac:dyDescent="0.15">
      <c r="A809" s="356"/>
      <c r="B809" s="355"/>
      <c r="C809" s="355"/>
      <c r="D809" s="355"/>
      <c r="E809" s="355"/>
      <c r="F809" s="355"/>
      <c r="G809" s="355"/>
      <c r="O809" s="356"/>
      <c r="P809" s="355"/>
      <c r="Q809" s="355"/>
      <c r="R809" s="355"/>
      <c r="S809" s="355"/>
      <c r="T809" s="355"/>
      <c r="U809" s="355"/>
      <c r="V809" s="355"/>
      <c r="W809" s="355"/>
      <c r="AG809" s="355"/>
      <c r="AH809" s="355"/>
      <c r="AI809" s="355"/>
      <c r="AJ809" s="355"/>
      <c r="AK809" s="355"/>
      <c r="AL809" s="355"/>
      <c r="AM809" s="355"/>
      <c r="AU809" s="379">
        <v>68376</v>
      </c>
      <c r="AV809" s="375"/>
      <c r="AW809" s="375"/>
      <c r="AX809" s="375"/>
      <c r="AY809" s="375"/>
      <c r="AZ809" s="375"/>
      <c r="BA809" s="375"/>
      <c r="BB809" s="375"/>
      <c r="BC809" s="375"/>
      <c r="BD809" s="375"/>
      <c r="BE809" s="375"/>
      <c r="BF809" s="375">
        <v>7.1249999999999994E-2</v>
      </c>
      <c r="BG809" s="375"/>
      <c r="BH809" s="375"/>
      <c r="BI809" s="373">
        <f t="shared" si="39"/>
        <v>7.1249999999999994E-2</v>
      </c>
      <c r="BT809" s="355"/>
      <c r="BU809" s="355"/>
      <c r="BV809" s="355"/>
      <c r="BW809" s="355"/>
    </row>
    <row r="810" spans="1:75" x14ac:dyDescent="0.15">
      <c r="A810" s="356"/>
      <c r="B810" s="355"/>
      <c r="C810" s="355"/>
      <c r="D810" s="355"/>
      <c r="E810" s="355"/>
      <c r="F810" s="355"/>
      <c r="G810" s="355"/>
      <c r="O810" s="356"/>
      <c r="P810" s="355"/>
      <c r="Q810" s="355"/>
      <c r="R810" s="355"/>
      <c r="S810" s="355"/>
      <c r="T810" s="355"/>
      <c r="U810" s="355"/>
      <c r="V810" s="355"/>
      <c r="W810" s="355"/>
      <c r="AG810" s="355"/>
      <c r="AH810" s="355"/>
      <c r="AI810" s="355"/>
      <c r="AJ810" s="355"/>
      <c r="AK810" s="355"/>
      <c r="AL810" s="355"/>
      <c r="AM810" s="355"/>
      <c r="AU810" s="379">
        <v>68407</v>
      </c>
      <c r="AV810" s="375"/>
      <c r="AW810" s="375"/>
      <c r="AX810" s="375"/>
      <c r="AY810" s="375"/>
      <c r="AZ810" s="375"/>
      <c r="BA810" s="375"/>
      <c r="BB810" s="375"/>
      <c r="BC810" s="375"/>
      <c r="BD810" s="375"/>
      <c r="BE810" s="375"/>
      <c r="BF810" s="375">
        <v>7.1249999999999994E-2</v>
      </c>
      <c r="BG810" s="375"/>
      <c r="BH810" s="375"/>
      <c r="BI810" s="373">
        <f t="shared" si="39"/>
        <v>7.1249999999999994E-2</v>
      </c>
      <c r="BT810" s="355"/>
      <c r="BU810" s="355"/>
      <c r="BV810" s="355"/>
      <c r="BW810" s="355"/>
    </row>
    <row r="811" spans="1:75" x14ac:dyDescent="0.15">
      <c r="A811" s="356"/>
      <c r="B811" s="355"/>
      <c r="C811" s="355"/>
      <c r="D811" s="355"/>
      <c r="E811" s="355"/>
      <c r="F811" s="355"/>
      <c r="G811" s="355"/>
      <c r="O811" s="356"/>
      <c r="P811" s="355"/>
      <c r="Q811" s="355"/>
      <c r="R811" s="355"/>
      <c r="S811" s="355"/>
      <c r="T811" s="355"/>
      <c r="U811" s="355"/>
      <c r="V811" s="355"/>
      <c r="W811" s="355"/>
      <c r="AG811" s="355"/>
      <c r="AH811" s="355"/>
      <c r="AI811" s="355"/>
      <c r="AJ811" s="355"/>
      <c r="AK811" s="355"/>
      <c r="AL811" s="355"/>
      <c r="AM811" s="355"/>
      <c r="AU811" s="379">
        <v>68437</v>
      </c>
      <c r="AV811" s="375"/>
      <c r="AW811" s="375"/>
      <c r="AX811" s="375"/>
      <c r="AY811" s="375"/>
      <c r="AZ811" s="375"/>
      <c r="BA811" s="375"/>
      <c r="BB811" s="375"/>
      <c r="BC811" s="375"/>
      <c r="BD811" s="375"/>
      <c r="BE811" s="375"/>
      <c r="BF811" s="375">
        <v>7.1249999999999994E-2</v>
      </c>
      <c r="BG811" s="375"/>
      <c r="BH811" s="375"/>
      <c r="BI811" s="373">
        <f t="shared" si="39"/>
        <v>7.1249999999999994E-2</v>
      </c>
      <c r="BT811" s="355"/>
      <c r="BU811" s="355"/>
      <c r="BV811" s="355"/>
      <c r="BW811" s="355"/>
    </row>
    <row r="812" spans="1:75" x14ac:dyDescent="0.15">
      <c r="A812" s="356"/>
      <c r="B812" s="355"/>
      <c r="C812" s="355"/>
      <c r="D812" s="355"/>
      <c r="E812" s="355"/>
      <c r="F812" s="355"/>
      <c r="G812" s="355"/>
      <c r="O812" s="356"/>
      <c r="P812" s="355"/>
      <c r="Q812" s="355"/>
      <c r="R812" s="355"/>
      <c r="S812" s="355"/>
      <c r="T812" s="355"/>
      <c r="U812" s="355"/>
      <c r="V812" s="355"/>
      <c r="W812" s="355"/>
      <c r="AG812" s="355"/>
      <c r="AH812" s="355"/>
      <c r="AI812" s="355"/>
      <c r="AJ812" s="355"/>
      <c r="AK812" s="355"/>
      <c r="AL812" s="355"/>
      <c r="AM812" s="355"/>
      <c r="AU812" s="379">
        <v>68468</v>
      </c>
      <c r="AV812" s="375"/>
      <c r="AW812" s="375"/>
      <c r="AX812" s="375"/>
      <c r="AY812" s="375"/>
      <c r="AZ812" s="375"/>
      <c r="BA812" s="375"/>
      <c r="BB812" s="375"/>
      <c r="BC812" s="375"/>
      <c r="BD812" s="375"/>
      <c r="BE812" s="375"/>
      <c r="BF812" s="375">
        <v>7.1249999999999994E-2</v>
      </c>
      <c r="BG812" s="375"/>
      <c r="BH812" s="375"/>
      <c r="BI812" s="373">
        <f t="shared" si="39"/>
        <v>7.1249999999999994E-2</v>
      </c>
      <c r="BT812" s="355"/>
      <c r="BU812" s="355"/>
      <c r="BV812" s="355"/>
      <c r="BW812" s="355"/>
    </row>
    <row r="813" spans="1:75" x14ac:dyDescent="0.15">
      <c r="A813" s="356"/>
      <c r="B813" s="355"/>
      <c r="C813" s="355"/>
      <c r="D813" s="355"/>
      <c r="E813" s="355"/>
      <c r="F813" s="355"/>
      <c r="G813" s="355"/>
      <c r="O813" s="356"/>
      <c r="P813" s="355"/>
      <c r="Q813" s="355"/>
      <c r="R813" s="355"/>
      <c r="S813" s="355"/>
      <c r="T813" s="355"/>
      <c r="U813" s="355"/>
      <c r="V813" s="355"/>
      <c r="W813" s="355"/>
      <c r="AG813" s="355"/>
      <c r="AH813" s="355"/>
      <c r="AI813" s="355"/>
      <c r="AJ813" s="355"/>
      <c r="AK813" s="355"/>
      <c r="AL813" s="355"/>
      <c r="AM813" s="355"/>
      <c r="AU813" s="379">
        <v>68498</v>
      </c>
      <c r="AV813" s="375"/>
      <c r="AW813" s="375"/>
      <c r="AX813" s="375"/>
      <c r="AY813" s="375"/>
      <c r="AZ813" s="375"/>
      <c r="BA813" s="375"/>
      <c r="BB813" s="375"/>
      <c r="BC813" s="375"/>
      <c r="BD813" s="375"/>
      <c r="BE813" s="375"/>
      <c r="BF813" s="375">
        <v>7.1249999999999994E-2</v>
      </c>
      <c r="BG813" s="375"/>
      <c r="BH813" s="375"/>
      <c r="BI813" s="373">
        <f t="shared" si="39"/>
        <v>7.1249999999999994E-2</v>
      </c>
      <c r="BT813" s="355"/>
      <c r="BU813" s="355"/>
      <c r="BV813" s="355"/>
      <c r="BW813" s="355"/>
    </row>
    <row r="814" spans="1:75" x14ac:dyDescent="0.15">
      <c r="A814" s="356"/>
      <c r="B814" s="355"/>
      <c r="C814" s="355"/>
      <c r="D814" s="355"/>
      <c r="E814" s="355"/>
      <c r="F814" s="355"/>
      <c r="G814" s="355"/>
      <c r="O814" s="356"/>
      <c r="P814" s="355"/>
      <c r="Q814" s="355"/>
      <c r="R814" s="355"/>
      <c r="S814" s="355"/>
      <c r="T814" s="355"/>
      <c r="U814" s="355"/>
      <c r="V814" s="355"/>
      <c r="W814" s="355"/>
      <c r="AG814" s="355"/>
      <c r="AH814" s="355"/>
      <c r="AI814" s="355"/>
      <c r="AJ814" s="355"/>
      <c r="AK814" s="355"/>
      <c r="AL814" s="355"/>
      <c r="AM814" s="355"/>
      <c r="AU814" s="379">
        <v>68529</v>
      </c>
      <c r="AV814" s="375"/>
      <c r="AW814" s="375"/>
      <c r="AX814" s="375"/>
      <c r="AY814" s="375"/>
      <c r="AZ814" s="375"/>
      <c r="BA814" s="375"/>
      <c r="BB814" s="375"/>
      <c r="BC814" s="375"/>
      <c r="BD814" s="375"/>
      <c r="BE814" s="375"/>
      <c r="BF814" s="375">
        <v>7.1249999999999994E-2</v>
      </c>
      <c r="BG814" s="375"/>
      <c r="BH814" s="375"/>
      <c r="BI814" s="373">
        <f t="shared" si="39"/>
        <v>7.1249999999999994E-2</v>
      </c>
      <c r="BT814" s="355"/>
      <c r="BU814" s="355"/>
      <c r="BV814" s="355"/>
      <c r="BW814" s="355"/>
    </row>
    <row r="815" spans="1:75" x14ac:dyDescent="0.15">
      <c r="A815" s="356"/>
      <c r="B815" s="355"/>
      <c r="C815" s="355"/>
      <c r="D815" s="355"/>
      <c r="E815" s="355"/>
      <c r="F815" s="355"/>
      <c r="G815" s="355"/>
      <c r="O815" s="356"/>
      <c r="P815" s="355"/>
      <c r="Q815" s="355"/>
      <c r="R815" s="355"/>
      <c r="S815" s="355"/>
      <c r="T815" s="355"/>
      <c r="U815" s="355"/>
      <c r="V815" s="355"/>
      <c r="W815" s="355"/>
      <c r="AG815" s="355"/>
      <c r="AH815" s="355"/>
      <c r="AI815" s="355"/>
      <c r="AJ815" s="355"/>
      <c r="AK815" s="355"/>
      <c r="AL815" s="355"/>
      <c r="AM815" s="355"/>
      <c r="AU815" s="379">
        <v>68560</v>
      </c>
      <c r="AV815" s="375"/>
      <c r="AW815" s="375"/>
      <c r="AX815" s="375"/>
      <c r="AY815" s="375"/>
      <c r="AZ815" s="375"/>
      <c r="BA815" s="375"/>
      <c r="BB815" s="375"/>
      <c r="BC815" s="375"/>
      <c r="BD815" s="375"/>
      <c r="BE815" s="375"/>
      <c r="BF815" s="375">
        <v>7.1249999999999994E-2</v>
      </c>
      <c r="BG815" s="375"/>
      <c r="BH815" s="375"/>
      <c r="BI815" s="373">
        <f t="shared" si="39"/>
        <v>7.1249999999999994E-2</v>
      </c>
      <c r="BT815" s="355"/>
      <c r="BU815" s="355"/>
      <c r="BV815" s="355"/>
      <c r="BW815" s="355"/>
    </row>
    <row r="816" spans="1:75" x14ac:dyDescent="0.15">
      <c r="A816" s="356"/>
      <c r="B816" s="355"/>
      <c r="C816" s="355"/>
      <c r="D816" s="355"/>
      <c r="E816" s="355"/>
      <c r="F816" s="355"/>
      <c r="G816" s="355"/>
      <c r="O816" s="356"/>
      <c r="P816" s="355"/>
      <c r="Q816" s="355"/>
      <c r="R816" s="355"/>
      <c r="S816" s="355"/>
      <c r="T816" s="355"/>
      <c r="U816" s="355"/>
      <c r="V816" s="355"/>
      <c r="W816" s="355"/>
      <c r="AG816" s="355"/>
      <c r="AH816" s="355"/>
      <c r="AI816" s="355"/>
      <c r="AJ816" s="355"/>
      <c r="AK816" s="355"/>
      <c r="AL816" s="355"/>
      <c r="AM816" s="355"/>
      <c r="AU816" s="379">
        <v>68590</v>
      </c>
      <c r="AV816" s="375"/>
      <c r="AW816" s="375"/>
      <c r="AX816" s="375"/>
      <c r="AY816" s="375"/>
      <c r="AZ816" s="375"/>
      <c r="BA816" s="375"/>
      <c r="BB816" s="375"/>
      <c r="BC816" s="375"/>
      <c r="BD816" s="375"/>
      <c r="BE816" s="375"/>
      <c r="BF816" s="375">
        <v>7.1249999999999994E-2</v>
      </c>
      <c r="BG816" s="375"/>
      <c r="BH816" s="375"/>
      <c r="BI816" s="373">
        <f t="shared" si="39"/>
        <v>7.1249999999999994E-2</v>
      </c>
      <c r="BT816" s="355"/>
      <c r="BU816" s="355"/>
      <c r="BV816" s="355"/>
      <c r="BW816" s="355"/>
    </row>
    <row r="817" spans="1:75" x14ac:dyDescent="0.15">
      <c r="A817" s="356"/>
      <c r="B817" s="355"/>
      <c r="C817" s="355"/>
      <c r="D817" s="355"/>
      <c r="E817" s="355"/>
      <c r="F817" s="355"/>
      <c r="G817" s="355"/>
      <c r="O817" s="356"/>
      <c r="P817" s="355"/>
      <c r="Q817" s="355"/>
      <c r="R817" s="355"/>
      <c r="S817" s="355"/>
      <c r="T817" s="355"/>
      <c r="U817" s="355"/>
      <c r="V817" s="355"/>
      <c r="W817" s="355"/>
      <c r="AG817" s="355"/>
      <c r="AH817" s="355"/>
      <c r="AI817" s="355"/>
      <c r="AJ817" s="355"/>
      <c r="AK817" s="355"/>
      <c r="AL817" s="355"/>
      <c r="AM817" s="355"/>
      <c r="AU817" s="379">
        <v>68621</v>
      </c>
      <c r="AV817" s="375"/>
      <c r="AW817" s="375"/>
      <c r="AX817" s="375"/>
      <c r="AY817" s="375"/>
      <c r="AZ817" s="375"/>
      <c r="BA817" s="375"/>
      <c r="BB817" s="375"/>
      <c r="BC817" s="375"/>
      <c r="BD817" s="375"/>
      <c r="BE817" s="375"/>
      <c r="BF817" s="375">
        <v>7.1249999999999994E-2</v>
      </c>
      <c r="BG817" s="375"/>
      <c r="BH817" s="375"/>
      <c r="BI817" s="373">
        <f t="shared" si="39"/>
        <v>7.1249999999999994E-2</v>
      </c>
      <c r="BT817" s="355"/>
      <c r="BU817" s="355"/>
      <c r="BV817" s="355"/>
      <c r="BW817" s="355"/>
    </row>
    <row r="818" spans="1:75" x14ac:dyDescent="0.15">
      <c r="A818" s="356"/>
      <c r="B818" s="355"/>
      <c r="C818" s="355"/>
      <c r="D818" s="355"/>
      <c r="E818" s="355"/>
      <c r="F818" s="355"/>
      <c r="G818" s="355"/>
      <c r="O818" s="356"/>
      <c r="P818" s="355"/>
      <c r="Q818" s="355"/>
      <c r="R818" s="355"/>
      <c r="S818" s="355"/>
      <c r="T818" s="355"/>
      <c r="U818" s="355"/>
      <c r="V818" s="355"/>
      <c r="W818" s="355"/>
      <c r="AG818" s="355"/>
      <c r="AH818" s="355"/>
      <c r="AI818" s="355"/>
      <c r="AJ818" s="355"/>
      <c r="AK818" s="355"/>
      <c r="AL818" s="355"/>
      <c r="AM818" s="355"/>
      <c r="AU818" s="379">
        <v>68651</v>
      </c>
      <c r="AV818" s="375"/>
      <c r="AW818" s="375"/>
      <c r="AX818" s="375"/>
      <c r="AY818" s="375"/>
      <c r="AZ818" s="375"/>
      <c r="BA818" s="375"/>
      <c r="BB818" s="375"/>
      <c r="BC818" s="375"/>
      <c r="BD818" s="375"/>
      <c r="BE818" s="375"/>
      <c r="BF818" s="375">
        <v>7.1249999999999994E-2</v>
      </c>
      <c r="BG818" s="375"/>
      <c r="BH818" s="375"/>
      <c r="BI818" s="373">
        <f t="shared" si="39"/>
        <v>7.1249999999999994E-2</v>
      </c>
      <c r="BT818" s="355"/>
      <c r="BU818" s="355"/>
      <c r="BV818" s="355"/>
      <c r="BW818" s="355"/>
    </row>
    <row r="819" spans="1:75" x14ac:dyDescent="0.15">
      <c r="A819" s="356"/>
      <c r="B819" s="355"/>
      <c r="C819" s="355"/>
      <c r="D819" s="355"/>
      <c r="E819" s="355"/>
      <c r="F819" s="355"/>
      <c r="G819" s="355"/>
      <c r="O819" s="356"/>
      <c r="P819" s="355"/>
      <c r="Q819" s="355"/>
      <c r="R819" s="355"/>
      <c r="S819" s="355"/>
      <c r="T819" s="355"/>
      <c r="U819" s="355"/>
      <c r="V819" s="355"/>
      <c r="W819" s="355"/>
      <c r="AG819" s="355"/>
      <c r="AH819" s="355"/>
      <c r="AI819" s="355"/>
      <c r="AJ819" s="355"/>
      <c r="AK819" s="355"/>
      <c r="AL819" s="355"/>
      <c r="AM819" s="355"/>
      <c r="AU819" s="379">
        <v>68682</v>
      </c>
      <c r="AV819" s="375"/>
      <c r="AW819" s="375"/>
      <c r="AX819" s="375"/>
      <c r="AY819" s="375"/>
      <c r="AZ819" s="375"/>
      <c r="BA819" s="375"/>
      <c r="BB819" s="375"/>
      <c r="BC819" s="375"/>
      <c r="BD819" s="375"/>
      <c r="BE819" s="375"/>
      <c r="BF819" s="375">
        <v>7.1249999999999994E-2</v>
      </c>
      <c r="BG819" s="375"/>
      <c r="BH819" s="375"/>
      <c r="BI819" s="373">
        <f t="shared" si="39"/>
        <v>7.1249999999999994E-2</v>
      </c>
      <c r="BT819" s="355"/>
      <c r="BU819" s="355"/>
      <c r="BV819" s="355"/>
      <c r="BW819" s="355"/>
    </row>
    <row r="820" spans="1:75" x14ac:dyDescent="0.15">
      <c r="A820" s="356"/>
      <c r="B820" s="355"/>
      <c r="C820" s="355"/>
      <c r="D820" s="355"/>
      <c r="E820" s="355"/>
      <c r="F820" s="355"/>
      <c r="G820" s="355"/>
      <c r="O820" s="356"/>
      <c r="P820" s="355"/>
      <c r="Q820" s="355"/>
      <c r="R820" s="355"/>
      <c r="S820" s="355"/>
      <c r="T820" s="355"/>
      <c r="U820" s="355"/>
      <c r="V820" s="355"/>
      <c r="W820" s="355"/>
      <c r="AG820" s="355"/>
      <c r="AH820" s="355"/>
      <c r="AI820" s="355"/>
      <c r="AJ820" s="355"/>
      <c r="AK820" s="355"/>
      <c r="AL820" s="355"/>
      <c r="AM820" s="355"/>
      <c r="AU820" s="379">
        <v>68713</v>
      </c>
      <c r="AV820" s="375"/>
      <c r="AW820" s="375"/>
      <c r="AX820" s="375"/>
      <c r="AY820" s="375"/>
      <c r="AZ820" s="375"/>
      <c r="BA820" s="375"/>
      <c r="BB820" s="375"/>
      <c r="BC820" s="375"/>
      <c r="BD820" s="375"/>
      <c r="BE820" s="375"/>
      <c r="BF820" s="375">
        <v>7.1249999999999994E-2</v>
      </c>
      <c r="BG820" s="375"/>
      <c r="BH820" s="375"/>
      <c r="BI820" s="373">
        <f t="shared" si="39"/>
        <v>7.1249999999999994E-2</v>
      </c>
      <c r="BT820" s="355"/>
      <c r="BU820" s="355"/>
      <c r="BV820" s="355"/>
      <c r="BW820" s="355"/>
    </row>
    <row r="821" spans="1:75" x14ac:dyDescent="0.15">
      <c r="A821" s="356"/>
      <c r="B821" s="355"/>
      <c r="C821" s="355"/>
      <c r="D821" s="355"/>
      <c r="E821" s="355"/>
      <c r="F821" s="355"/>
      <c r="G821" s="355"/>
      <c r="O821" s="356"/>
      <c r="P821" s="355"/>
      <c r="Q821" s="355"/>
      <c r="R821" s="355"/>
      <c r="S821" s="355"/>
      <c r="T821" s="355"/>
      <c r="U821" s="355"/>
      <c r="V821" s="355"/>
      <c r="W821" s="355"/>
      <c r="AG821" s="355"/>
      <c r="AH821" s="355"/>
      <c r="AI821" s="355"/>
      <c r="AJ821" s="355"/>
      <c r="AK821" s="355"/>
      <c r="AL821" s="355"/>
      <c r="AM821" s="355"/>
      <c r="AU821" s="379">
        <v>68742</v>
      </c>
      <c r="AV821" s="375"/>
      <c r="AW821" s="375"/>
      <c r="AX821" s="375"/>
      <c r="AY821" s="375"/>
      <c r="AZ821" s="375"/>
      <c r="BA821" s="375"/>
      <c r="BB821" s="375"/>
      <c r="BC821" s="375"/>
      <c r="BD821" s="375"/>
      <c r="BE821" s="375"/>
      <c r="BF821" s="375">
        <v>7.1249999999999994E-2</v>
      </c>
      <c r="BG821" s="375"/>
      <c r="BH821" s="375"/>
      <c r="BI821" s="373">
        <f t="shared" si="39"/>
        <v>7.1249999999999994E-2</v>
      </c>
      <c r="BT821" s="355"/>
      <c r="BU821" s="355"/>
      <c r="BV821" s="355"/>
      <c r="BW821" s="355"/>
    </row>
    <row r="822" spans="1:75" x14ac:dyDescent="0.15">
      <c r="A822" s="356"/>
      <c r="B822" s="355"/>
      <c r="C822" s="355"/>
      <c r="D822" s="355"/>
      <c r="E822" s="355"/>
      <c r="F822" s="355"/>
      <c r="G822" s="355"/>
      <c r="O822" s="356"/>
      <c r="P822" s="355"/>
      <c r="Q822" s="355"/>
      <c r="R822" s="355"/>
      <c r="S822" s="355"/>
      <c r="T822" s="355"/>
      <c r="U822" s="355"/>
      <c r="V822" s="355"/>
      <c r="W822" s="355"/>
      <c r="AG822" s="355"/>
      <c r="AH822" s="355"/>
      <c r="AI822" s="355"/>
      <c r="AJ822" s="355"/>
      <c r="AK822" s="355"/>
      <c r="AL822" s="355"/>
      <c r="AM822" s="355"/>
      <c r="AU822" s="379">
        <v>68773</v>
      </c>
      <c r="AV822" s="375"/>
      <c r="AW822" s="375"/>
      <c r="AX822" s="375"/>
      <c r="AY822" s="375"/>
      <c r="AZ822" s="375"/>
      <c r="BA822" s="375"/>
      <c r="BB822" s="375"/>
      <c r="BC822" s="375"/>
      <c r="BD822" s="375"/>
      <c r="BE822" s="375"/>
      <c r="BF822" s="375">
        <v>7.1249999999999994E-2</v>
      </c>
      <c r="BG822" s="375"/>
      <c r="BH822" s="375"/>
      <c r="BI822" s="373">
        <f t="shared" si="39"/>
        <v>7.1249999999999994E-2</v>
      </c>
      <c r="BT822" s="355"/>
      <c r="BU822" s="355"/>
      <c r="BV822" s="355"/>
      <c r="BW822" s="355"/>
    </row>
    <row r="823" spans="1:75" x14ac:dyDescent="0.15">
      <c r="A823" s="356"/>
      <c r="B823" s="355"/>
      <c r="C823" s="355"/>
      <c r="D823" s="355"/>
      <c r="E823" s="355"/>
      <c r="F823" s="355"/>
      <c r="G823" s="355"/>
      <c r="O823" s="356"/>
      <c r="P823" s="355"/>
      <c r="Q823" s="355"/>
      <c r="R823" s="355"/>
      <c r="S823" s="355"/>
      <c r="T823" s="355"/>
      <c r="U823" s="355"/>
      <c r="V823" s="355"/>
      <c r="W823" s="355"/>
      <c r="AG823" s="355"/>
      <c r="AH823" s="355"/>
      <c r="AI823" s="355"/>
      <c r="AJ823" s="355"/>
      <c r="AK823" s="355"/>
      <c r="AL823" s="355"/>
      <c r="AM823" s="355"/>
      <c r="AU823" s="379">
        <v>68803</v>
      </c>
      <c r="AV823" s="375"/>
      <c r="AW823" s="375"/>
      <c r="AX823" s="375"/>
      <c r="AY823" s="375"/>
      <c r="AZ823" s="375"/>
      <c r="BA823" s="375"/>
      <c r="BB823" s="375"/>
      <c r="BC823" s="375"/>
      <c r="BD823" s="375"/>
      <c r="BE823" s="375"/>
      <c r="BF823" s="375">
        <v>7.1249999999999994E-2</v>
      </c>
      <c r="BG823" s="375"/>
      <c r="BH823" s="375"/>
      <c r="BI823" s="373">
        <f t="shared" si="39"/>
        <v>7.1249999999999994E-2</v>
      </c>
      <c r="BT823" s="355"/>
      <c r="BU823" s="355"/>
      <c r="BV823" s="355"/>
      <c r="BW823" s="355"/>
    </row>
    <row r="824" spans="1:75" x14ac:dyDescent="0.15">
      <c r="A824" s="356"/>
      <c r="B824" s="355"/>
      <c r="C824" s="355"/>
      <c r="D824" s="355"/>
      <c r="E824" s="355"/>
      <c r="F824" s="355"/>
      <c r="G824" s="355"/>
      <c r="O824" s="356"/>
      <c r="P824" s="355"/>
      <c r="Q824" s="355"/>
      <c r="R824" s="355"/>
      <c r="S824" s="355"/>
      <c r="T824" s="355"/>
      <c r="U824" s="355"/>
      <c r="V824" s="355"/>
      <c r="W824" s="355"/>
      <c r="AG824" s="355"/>
      <c r="AH824" s="355"/>
      <c r="AI824" s="355"/>
      <c r="AJ824" s="355"/>
      <c r="AK824" s="355"/>
      <c r="AL824" s="355"/>
      <c r="AM824" s="355"/>
      <c r="AU824" s="379">
        <v>68834</v>
      </c>
      <c r="AV824" s="375"/>
      <c r="AW824" s="375"/>
      <c r="AX824" s="375"/>
      <c r="AY824" s="375"/>
      <c r="AZ824" s="375"/>
      <c r="BA824" s="375"/>
      <c r="BB824" s="375"/>
      <c r="BC824" s="375"/>
      <c r="BD824" s="375"/>
      <c r="BE824" s="375"/>
      <c r="BF824" s="375">
        <v>7.1249999999999994E-2</v>
      </c>
      <c r="BG824" s="375"/>
      <c r="BH824" s="375"/>
      <c r="BI824" s="373">
        <f t="shared" si="39"/>
        <v>7.1249999999999994E-2</v>
      </c>
      <c r="BT824" s="355"/>
      <c r="BU824" s="355"/>
      <c r="BV824" s="355"/>
      <c r="BW824" s="355"/>
    </row>
    <row r="825" spans="1:75" x14ac:dyDescent="0.15">
      <c r="A825" s="356"/>
      <c r="B825" s="355"/>
      <c r="C825" s="355"/>
      <c r="D825" s="355"/>
      <c r="E825" s="355"/>
      <c r="F825" s="355"/>
      <c r="G825" s="355"/>
      <c r="O825" s="356"/>
      <c r="P825" s="355"/>
      <c r="Q825" s="355"/>
      <c r="R825" s="355"/>
      <c r="S825" s="355"/>
      <c r="T825" s="355"/>
      <c r="U825" s="355"/>
      <c r="V825" s="355"/>
      <c r="W825" s="355"/>
      <c r="AG825" s="355"/>
      <c r="AH825" s="355"/>
      <c r="AI825" s="355"/>
      <c r="AJ825" s="355"/>
      <c r="AK825" s="355"/>
      <c r="AL825" s="355"/>
      <c r="AM825" s="355"/>
      <c r="AU825" s="379">
        <v>68864</v>
      </c>
      <c r="AV825" s="375"/>
      <c r="AW825" s="375"/>
      <c r="AX825" s="375"/>
      <c r="AY825" s="375"/>
      <c r="AZ825" s="375"/>
      <c r="BA825" s="375"/>
      <c r="BB825" s="375"/>
      <c r="BC825" s="375"/>
      <c r="BD825" s="375"/>
      <c r="BE825" s="375"/>
      <c r="BF825" s="375">
        <v>7.1249999999999994E-2</v>
      </c>
      <c r="BG825" s="375"/>
      <c r="BH825" s="375"/>
      <c r="BI825" s="373">
        <f t="shared" si="39"/>
        <v>7.1249999999999994E-2</v>
      </c>
      <c r="BT825" s="355"/>
      <c r="BU825" s="355"/>
      <c r="BV825" s="355"/>
      <c r="BW825" s="355"/>
    </row>
    <row r="826" spans="1:75" x14ac:dyDescent="0.15">
      <c r="A826" s="356"/>
      <c r="B826" s="355"/>
      <c r="C826" s="355"/>
      <c r="D826" s="355"/>
      <c r="E826" s="355"/>
      <c r="F826" s="355"/>
      <c r="G826" s="355"/>
      <c r="O826" s="356"/>
      <c r="P826" s="355"/>
      <c r="Q826" s="355"/>
      <c r="R826" s="355"/>
      <c r="S826" s="355"/>
      <c r="T826" s="355"/>
      <c r="U826" s="355"/>
      <c r="V826" s="355"/>
      <c r="W826" s="355"/>
      <c r="AG826" s="355"/>
      <c r="AH826" s="355"/>
      <c r="AI826" s="355"/>
      <c r="AJ826" s="355"/>
      <c r="AK826" s="355"/>
      <c r="AL826" s="355"/>
      <c r="AM826" s="355"/>
      <c r="AU826" s="379">
        <v>68895</v>
      </c>
      <c r="AV826" s="375"/>
      <c r="AW826" s="375"/>
      <c r="AX826" s="375"/>
      <c r="AY826" s="375"/>
      <c r="AZ826" s="375"/>
      <c r="BA826" s="375"/>
      <c r="BB826" s="375"/>
      <c r="BC826" s="375"/>
      <c r="BD826" s="375"/>
      <c r="BE826" s="375"/>
      <c r="BF826" s="375">
        <v>7.1249999999999994E-2</v>
      </c>
      <c r="BG826" s="375"/>
      <c r="BH826" s="375"/>
      <c r="BI826" s="373">
        <f t="shared" si="39"/>
        <v>7.1249999999999994E-2</v>
      </c>
      <c r="BT826" s="355"/>
      <c r="BU826" s="355"/>
      <c r="BV826" s="355"/>
      <c r="BW826" s="355"/>
    </row>
    <row r="827" spans="1:75" x14ac:dyDescent="0.15">
      <c r="A827" s="356"/>
      <c r="B827" s="355"/>
      <c r="C827" s="355"/>
      <c r="D827" s="355"/>
      <c r="E827" s="355"/>
      <c r="F827" s="355"/>
      <c r="G827" s="355"/>
      <c r="O827" s="356"/>
      <c r="P827" s="355"/>
      <c r="Q827" s="355"/>
      <c r="R827" s="355"/>
      <c r="S827" s="355"/>
      <c r="T827" s="355"/>
      <c r="U827" s="355"/>
      <c r="V827" s="355"/>
      <c r="W827" s="355"/>
      <c r="AG827" s="355"/>
      <c r="AH827" s="355"/>
      <c r="AI827" s="355"/>
      <c r="AJ827" s="355"/>
      <c r="AK827" s="355"/>
      <c r="AL827" s="355"/>
      <c r="AM827" s="355"/>
      <c r="AU827" s="379">
        <v>68926</v>
      </c>
      <c r="AV827" s="375"/>
      <c r="AW827" s="375"/>
      <c r="AX827" s="375"/>
      <c r="AY827" s="375"/>
      <c r="AZ827" s="375"/>
      <c r="BA827" s="375"/>
      <c r="BB827" s="375"/>
      <c r="BC827" s="375"/>
      <c r="BD827" s="375"/>
      <c r="BE827" s="375"/>
      <c r="BF827" s="375">
        <v>7.1249999999999994E-2</v>
      </c>
      <c r="BG827" s="375"/>
      <c r="BH827" s="375"/>
      <c r="BI827" s="373">
        <f t="shared" si="39"/>
        <v>7.1249999999999994E-2</v>
      </c>
      <c r="BT827" s="355"/>
      <c r="BU827" s="355"/>
      <c r="BV827" s="355"/>
      <c r="BW827" s="355"/>
    </row>
    <row r="828" spans="1:75" x14ac:dyDescent="0.15">
      <c r="A828" s="356"/>
      <c r="B828" s="355"/>
      <c r="C828" s="355"/>
      <c r="D828" s="355"/>
      <c r="E828" s="355"/>
      <c r="F828" s="355"/>
      <c r="G828" s="355"/>
      <c r="O828" s="356"/>
      <c r="P828" s="355"/>
      <c r="Q828" s="355"/>
      <c r="R828" s="355"/>
      <c r="S828" s="355"/>
      <c r="T828" s="355"/>
      <c r="U828" s="355"/>
      <c r="V828" s="355"/>
      <c r="W828" s="355"/>
      <c r="AG828" s="355"/>
      <c r="AH828" s="355"/>
      <c r="AI828" s="355"/>
      <c r="AJ828" s="355"/>
      <c r="AK828" s="355"/>
      <c r="AL828" s="355"/>
      <c r="AM828" s="355"/>
      <c r="AU828" s="379">
        <v>68956</v>
      </c>
      <c r="AV828" s="375"/>
      <c r="AW828" s="375"/>
      <c r="AX828" s="375"/>
      <c r="AY828" s="375"/>
      <c r="AZ828" s="375"/>
      <c r="BA828" s="375"/>
      <c r="BB828" s="375"/>
      <c r="BC828" s="375"/>
      <c r="BD828" s="375"/>
      <c r="BE828" s="375"/>
      <c r="BF828" s="375">
        <v>7.1249999999999994E-2</v>
      </c>
      <c r="BG828" s="375"/>
      <c r="BH828" s="375"/>
      <c r="BI828" s="373">
        <f t="shared" si="39"/>
        <v>7.1249999999999994E-2</v>
      </c>
      <c r="BT828" s="355"/>
      <c r="BU828" s="355"/>
      <c r="BV828" s="355"/>
      <c r="BW828" s="355"/>
    </row>
    <row r="829" spans="1:75" x14ac:dyDescent="0.15">
      <c r="A829" s="356"/>
      <c r="B829" s="355"/>
      <c r="C829" s="355"/>
      <c r="D829" s="355"/>
      <c r="E829" s="355"/>
      <c r="F829" s="355"/>
      <c r="G829" s="355"/>
      <c r="O829" s="356"/>
      <c r="P829" s="355"/>
      <c r="Q829" s="355"/>
      <c r="R829" s="355"/>
      <c r="S829" s="355"/>
      <c r="T829" s="355"/>
      <c r="U829" s="355"/>
      <c r="V829" s="355"/>
      <c r="W829" s="355"/>
      <c r="AG829" s="355"/>
      <c r="AH829" s="355"/>
      <c r="AI829" s="355"/>
      <c r="AJ829" s="355"/>
      <c r="AK829" s="355"/>
      <c r="AL829" s="355"/>
      <c r="AM829" s="355"/>
      <c r="AU829" s="379">
        <v>68987</v>
      </c>
      <c r="AV829" s="375"/>
      <c r="AW829" s="375"/>
      <c r="AX829" s="375"/>
      <c r="AY829" s="375"/>
      <c r="AZ829" s="375"/>
      <c r="BA829" s="375"/>
      <c r="BB829" s="375"/>
      <c r="BC829" s="375"/>
      <c r="BD829" s="375"/>
      <c r="BE829" s="375"/>
      <c r="BF829" s="375">
        <v>7.1249999999999994E-2</v>
      </c>
      <c r="BG829" s="375"/>
      <c r="BH829" s="375"/>
      <c r="BI829" s="373">
        <f t="shared" si="39"/>
        <v>7.1249999999999994E-2</v>
      </c>
      <c r="BT829" s="355"/>
      <c r="BU829" s="355"/>
      <c r="BV829" s="355"/>
      <c r="BW829" s="355"/>
    </row>
    <row r="830" spans="1:75" x14ac:dyDescent="0.15">
      <c r="A830" s="356"/>
      <c r="B830" s="355"/>
      <c r="C830" s="355"/>
      <c r="D830" s="355"/>
      <c r="E830" s="355"/>
      <c r="F830" s="355"/>
      <c r="G830" s="355"/>
      <c r="O830" s="356"/>
      <c r="P830" s="355"/>
      <c r="Q830" s="355"/>
      <c r="R830" s="355"/>
      <c r="S830" s="355"/>
      <c r="T830" s="355"/>
      <c r="U830" s="355"/>
      <c r="V830" s="355"/>
      <c r="W830" s="355"/>
      <c r="AG830" s="355"/>
      <c r="AH830" s="355"/>
      <c r="AI830" s="355"/>
      <c r="AJ830" s="355"/>
      <c r="AK830" s="355"/>
      <c r="AL830" s="355"/>
      <c r="AM830" s="355"/>
      <c r="AU830" s="379">
        <v>69017</v>
      </c>
      <c r="AV830" s="375"/>
      <c r="AW830" s="375"/>
      <c r="AX830" s="375"/>
      <c r="AY830" s="375"/>
      <c r="AZ830" s="375"/>
      <c r="BA830" s="375"/>
      <c r="BB830" s="375"/>
      <c r="BC830" s="375"/>
      <c r="BD830" s="375"/>
      <c r="BE830" s="375"/>
      <c r="BF830" s="375">
        <v>7.1249999999999994E-2</v>
      </c>
      <c r="BG830" s="375"/>
      <c r="BH830" s="375"/>
      <c r="BI830" s="373">
        <f t="shared" si="39"/>
        <v>7.1249999999999994E-2</v>
      </c>
      <c r="BT830" s="355"/>
      <c r="BU830" s="355"/>
      <c r="BV830" s="355"/>
      <c r="BW830" s="355"/>
    </row>
    <row r="831" spans="1:75" x14ac:dyDescent="0.15">
      <c r="A831" s="356"/>
      <c r="B831" s="355"/>
      <c r="C831" s="355"/>
      <c r="D831" s="355"/>
      <c r="E831" s="355"/>
      <c r="F831" s="355"/>
      <c r="G831" s="355"/>
      <c r="O831" s="356"/>
      <c r="P831" s="355"/>
      <c r="Q831" s="355"/>
      <c r="R831" s="355"/>
      <c r="S831" s="355"/>
      <c r="T831" s="355"/>
      <c r="U831" s="355"/>
      <c r="V831" s="355"/>
      <c r="W831" s="355"/>
      <c r="AG831" s="355"/>
      <c r="AH831" s="355"/>
      <c r="AI831" s="355"/>
      <c r="AJ831" s="355"/>
      <c r="AK831" s="355"/>
      <c r="AL831" s="355"/>
      <c r="AM831" s="355"/>
      <c r="AU831" s="379">
        <v>69048</v>
      </c>
      <c r="AV831" s="375"/>
      <c r="AW831" s="375"/>
      <c r="AX831" s="375"/>
      <c r="AY831" s="375"/>
      <c r="AZ831" s="375"/>
      <c r="BA831" s="375"/>
      <c r="BB831" s="375"/>
      <c r="BC831" s="375"/>
      <c r="BD831" s="375"/>
      <c r="BE831" s="375"/>
      <c r="BF831" s="375">
        <v>7.1249999999999994E-2</v>
      </c>
      <c r="BG831" s="375"/>
      <c r="BH831" s="375"/>
      <c r="BI831" s="373">
        <f t="shared" si="39"/>
        <v>7.1249999999999994E-2</v>
      </c>
      <c r="BT831" s="355"/>
      <c r="BU831" s="355"/>
      <c r="BV831" s="355"/>
      <c r="BW831" s="355"/>
    </row>
    <row r="832" spans="1:75" x14ac:dyDescent="0.15">
      <c r="A832" s="356"/>
      <c r="B832" s="355"/>
      <c r="C832" s="355"/>
      <c r="D832" s="355"/>
      <c r="E832" s="355"/>
      <c r="F832" s="355"/>
      <c r="G832" s="355"/>
      <c r="O832" s="356"/>
      <c r="P832" s="355"/>
      <c r="Q832" s="355"/>
      <c r="R832" s="355"/>
      <c r="S832" s="355"/>
      <c r="T832" s="355"/>
      <c r="U832" s="355"/>
      <c r="V832" s="355"/>
      <c r="W832" s="355"/>
      <c r="AG832" s="355"/>
      <c r="AH832" s="355"/>
      <c r="AI832" s="355"/>
      <c r="AJ832" s="355"/>
      <c r="AK832" s="355"/>
      <c r="AL832" s="355"/>
      <c r="AM832" s="355"/>
      <c r="AU832" s="379">
        <v>69079</v>
      </c>
      <c r="AV832" s="375"/>
      <c r="AW832" s="375"/>
      <c r="AX832" s="375"/>
      <c r="AY832" s="375"/>
      <c r="AZ832" s="375"/>
      <c r="BA832" s="375"/>
      <c r="BB832" s="375"/>
      <c r="BC832" s="375"/>
      <c r="BD832" s="375"/>
      <c r="BE832" s="375"/>
      <c r="BF832" s="375">
        <v>7.1249999999999994E-2</v>
      </c>
      <c r="BG832" s="375"/>
      <c r="BH832" s="375"/>
      <c r="BI832" s="373">
        <f t="shared" si="39"/>
        <v>7.1249999999999994E-2</v>
      </c>
      <c r="BT832" s="355"/>
      <c r="BU832" s="355"/>
      <c r="BV832" s="355"/>
      <c r="BW832" s="355"/>
    </row>
    <row r="833" spans="1:75" x14ac:dyDescent="0.15">
      <c r="A833" s="356"/>
      <c r="B833" s="355"/>
      <c r="C833" s="355"/>
      <c r="D833" s="355"/>
      <c r="E833" s="355"/>
      <c r="F833" s="355"/>
      <c r="G833" s="355"/>
      <c r="O833" s="356"/>
      <c r="P833" s="355"/>
      <c r="Q833" s="355"/>
      <c r="R833" s="355"/>
      <c r="S833" s="355"/>
      <c r="T833" s="355"/>
      <c r="U833" s="355"/>
      <c r="V833" s="355"/>
      <c r="W833" s="355"/>
      <c r="AG833" s="355"/>
      <c r="AH833" s="355"/>
      <c r="AI833" s="355"/>
      <c r="AJ833" s="355"/>
      <c r="AK833" s="355"/>
      <c r="AL833" s="355"/>
      <c r="AM833" s="355"/>
      <c r="AU833" s="379">
        <v>69107</v>
      </c>
      <c r="AV833" s="375"/>
      <c r="AW833" s="375"/>
      <c r="AX833" s="375"/>
      <c r="AY833" s="375"/>
      <c r="AZ833" s="375"/>
      <c r="BA833" s="375"/>
      <c r="BB833" s="375"/>
      <c r="BC833" s="375"/>
      <c r="BD833" s="375"/>
      <c r="BE833" s="375"/>
      <c r="BF833" s="375">
        <v>7.1249999999999994E-2</v>
      </c>
      <c r="BG833" s="375"/>
      <c r="BH833" s="375"/>
      <c r="BI833" s="373">
        <f t="shared" si="39"/>
        <v>7.1249999999999994E-2</v>
      </c>
      <c r="BT833" s="355"/>
      <c r="BU833" s="355"/>
      <c r="BV833" s="355"/>
      <c r="BW833" s="355"/>
    </row>
    <row r="834" spans="1:75" x14ac:dyDescent="0.15">
      <c r="A834" s="356"/>
      <c r="B834" s="355"/>
      <c r="C834" s="355"/>
      <c r="D834" s="355"/>
      <c r="E834" s="355"/>
      <c r="F834" s="355"/>
      <c r="G834" s="355"/>
      <c r="O834" s="356"/>
      <c r="P834" s="355"/>
      <c r="Q834" s="355"/>
      <c r="R834" s="355"/>
      <c r="S834" s="355"/>
      <c r="T834" s="355"/>
      <c r="U834" s="355"/>
      <c r="V834" s="355"/>
      <c r="W834" s="355"/>
      <c r="AG834" s="355"/>
      <c r="AH834" s="355"/>
      <c r="AI834" s="355"/>
      <c r="AJ834" s="355"/>
      <c r="AK834" s="355"/>
      <c r="AL834" s="355"/>
      <c r="AM834" s="355"/>
      <c r="AU834" s="379">
        <v>69138</v>
      </c>
      <c r="AV834" s="375"/>
      <c r="AW834" s="375"/>
      <c r="AX834" s="375"/>
      <c r="AY834" s="375"/>
      <c r="AZ834" s="375"/>
      <c r="BA834" s="375"/>
      <c r="BB834" s="375"/>
      <c r="BC834" s="375"/>
      <c r="BD834" s="375"/>
      <c r="BE834" s="375"/>
      <c r="BF834" s="375">
        <v>7.1249999999999994E-2</v>
      </c>
      <c r="BG834" s="375"/>
      <c r="BH834" s="375"/>
      <c r="BI834" s="373">
        <f t="shared" si="39"/>
        <v>7.1249999999999994E-2</v>
      </c>
      <c r="BT834" s="355"/>
      <c r="BU834" s="355"/>
      <c r="BV834" s="355"/>
      <c r="BW834" s="355"/>
    </row>
    <row r="835" spans="1:75" x14ac:dyDescent="0.15">
      <c r="A835" s="356"/>
      <c r="B835" s="355"/>
      <c r="C835" s="355"/>
      <c r="D835" s="355"/>
      <c r="E835" s="355"/>
      <c r="F835" s="355"/>
      <c r="G835" s="355"/>
      <c r="O835" s="356"/>
      <c r="P835" s="355"/>
      <c r="Q835" s="355"/>
      <c r="R835" s="355"/>
      <c r="S835" s="355"/>
      <c r="T835" s="355"/>
      <c r="U835" s="355"/>
      <c r="V835" s="355"/>
      <c r="W835" s="355"/>
      <c r="AG835" s="355"/>
      <c r="AH835" s="355"/>
      <c r="AI835" s="355"/>
      <c r="AJ835" s="355"/>
      <c r="AK835" s="355"/>
      <c r="AL835" s="355"/>
      <c r="AM835" s="355"/>
      <c r="AU835" s="379">
        <v>69168</v>
      </c>
      <c r="AV835" s="375"/>
      <c r="AW835" s="375"/>
      <c r="AX835" s="375"/>
      <c r="AY835" s="375"/>
      <c r="AZ835" s="375"/>
      <c r="BA835" s="375"/>
      <c r="BB835" s="375"/>
      <c r="BC835" s="375"/>
      <c r="BD835" s="375"/>
      <c r="BE835" s="375"/>
      <c r="BF835" s="375">
        <v>7.1249999999999994E-2</v>
      </c>
      <c r="BG835" s="375"/>
      <c r="BH835" s="375"/>
      <c r="BI835" s="373">
        <f t="shared" si="39"/>
        <v>7.1249999999999994E-2</v>
      </c>
      <c r="BT835" s="355"/>
      <c r="BU835" s="355"/>
      <c r="BV835" s="355"/>
      <c r="BW835" s="355"/>
    </row>
    <row r="836" spans="1:75" x14ac:dyDescent="0.15">
      <c r="A836" s="356"/>
      <c r="B836" s="355"/>
      <c r="C836" s="355"/>
      <c r="D836" s="355"/>
      <c r="E836" s="355"/>
      <c r="F836" s="355"/>
      <c r="G836" s="355"/>
      <c r="O836" s="356"/>
      <c r="P836" s="355"/>
      <c r="Q836" s="355"/>
      <c r="R836" s="355"/>
      <c r="S836" s="355"/>
      <c r="T836" s="355"/>
      <c r="U836" s="355"/>
      <c r="V836" s="355"/>
      <c r="W836" s="355"/>
      <c r="AG836" s="355"/>
      <c r="AH836" s="355"/>
      <c r="AI836" s="355"/>
      <c r="AJ836" s="355"/>
      <c r="AK836" s="355"/>
      <c r="AL836" s="355"/>
      <c r="AM836" s="355"/>
      <c r="AU836" s="379">
        <v>69199</v>
      </c>
      <c r="AV836" s="375"/>
      <c r="AW836" s="375"/>
      <c r="AX836" s="375"/>
      <c r="AY836" s="375"/>
      <c r="AZ836" s="375"/>
      <c r="BA836" s="375"/>
      <c r="BB836" s="375"/>
      <c r="BC836" s="375"/>
      <c r="BD836" s="375"/>
      <c r="BE836" s="375"/>
      <c r="BF836" s="375">
        <v>7.1249999999999994E-2</v>
      </c>
      <c r="BG836" s="375"/>
      <c r="BH836" s="375"/>
      <c r="BI836" s="373">
        <f t="shared" si="39"/>
        <v>7.1249999999999994E-2</v>
      </c>
      <c r="BT836" s="355"/>
      <c r="BU836" s="355"/>
      <c r="BV836" s="355"/>
      <c r="BW836" s="355"/>
    </row>
    <row r="837" spans="1:75" x14ac:dyDescent="0.15">
      <c r="A837" s="356"/>
      <c r="B837" s="355"/>
      <c r="C837" s="355"/>
      <c r="D837" s="355"/>
      <c r="E837" s="355"/>
      <c r="F837" s="355"/>
      <c r="G837" s="355"/>
      <c r="O837" s="356"/>
      <c r="P837" s="355"/>
      <c r="Q837" s="355"/>
      <c r="R837" s="355"/>
      <c r="S837" s="355"/>
      <c r="T837" s="355"/>
      <c r="U837" s="355"/>
      <c r="V837" s="355"/>
      <c r="W837" s="355"/>
      <c r="AG837" s="355"/>
      <c r="AH837" s="355"/>
      <c r="AI837" s="355"/>
      <c r="AJ837" s="355"/>
      <c r="AK837" s="355"/>
      <c r="AL837" s="355"/>
      <c r="AM837" s="355"/>
      <c r="AU837" s="379">
        <v>69229</v>
      </c>
      <c r="AV837" s="375"/>
      <c r="AW837" s="375"/>
      <c r="AX837" s="375"/>
      <c r="AY837" s="375"/>
      <c r="AZ837" s="375"/>
      <c r="BA837" s="375"/>
      <c r="BB837" s="375"/>
      <c r="BC837" s="375"/>
      <c r="BD837" s="375"/>
      <c r="BE837" s="375"/>
      <c r="BF837" s="375">
        <v>7.1249999999999994E-2</v>
      </c>
      <c r="BG837" s="375"/>
      <c r="BH837" s="375"/>
      <c r="BI837" s="373">
        <f t="shared" si="39"/>
        <v>7.1249999999999994E-2</v>
      </c>
      <c r="BT837" s="355"/>
      <c r="BU837" s="355"/>
      <c r="BV837" s="355"/>
      <c r="BW837" s="355"/>
    </row>
    <row r="838" spans="1:75" x14ac:dyDescent="0.15">
      <c r="A838" s="356"/>
      <c r="B838" s="355"/>
      <c r="C838" s="355"/>
      <c r="D838" s="355"/>
      <c r="E838" s="355"/>
      <c r="F838" s="355"/>
      <c r="G838" s="355"/>
      <c r="O838" s="356"/>
      <c r="P838" s="355"/>
      <c r="Q838" s="355"/>
      <c r="R838" s="355"/>
      <c r="S838" s="355"/>
      <c r="T838" s="355"/>
      <c r="U838" s="355"/>
      <c r="V838" s="355"/>
      <c r="W838" s="355"/>
      <c r="AG838" s="355"/>
      <c r="AH838" s="355"/>
      <c r="AI838" s="355"/>
      <c r="AJ838" s="355"/>
      <c r="AK838" s="355"/>
      <c r="AL838" s="355"/>
      <c r="AM838" s="355"/>
      <c r="AU838" s="379">
        <v>69260</v>
      </c>
      <c r="AV838" s="375"/>
      <c r="AW838" s="375"/>
      <c r="AX838" s="375"/>
      <c r="AY838" s="375"/>
      <c r="AZ838" s="375"/>
      <c r="BA838" s="375"/>
      <c r="BB838" s="375"/>
      <c r="BC838" s="375"/>
      <c r="BD838" s="375"/>
      <c r="BE838" s="375"/>
      <c r="BF838" s="375">
        <v>7.1249999999999994E-2</v>
      </c>
      <c r="BG838" s="375"/>
      <c r="BH838" s="375"/>
      <c r="BI838" s="373">
        <f t="shared" si="39"/>
        <v>7.1249999999999994E-2</v>
      </c>
      <c r="BT838" s="355"/>
      <c r="BU838" s="355"/>
      <c r="BV838" s="355"/>
      <c r="BW838" s="355"/>
    </row>
    <row r="839" spans="1:75" x14ac:dyDescent="0.15">
      <c r="A839" s="356"/>
      <c r="B839" s="355"/>
      <c r="C839" s="355"/>
      <c r="D839" s="355"/>
      <c r="E839" s="355"/>
      <c r="F839" s="355"/>
      <c r="G839" s="355"/>
      <c r="O839" s="356"/>
      <c r="P839" s="355"/>
      <c r="Q839" s="355"/>
      <c r="R839" s="355"/>
      <c r="S839" s="355"/>
      <c r="T839" s="355"/>
      <c r="U839" s="355"/>
      <c r="V839" s="355"/>
      <c r="W839" s="355"/>
      <c r="AG839" s="355"/>
      <c r="AH839" s="355"/>
      <c r="AI839" s="355"/>
      <c r="AJ839" s="355"/>
      <c r="AK839" s="355"/>
      <c r="AL839" s="355"/>
      <c r="AM839" s="355"/>
      <c r="AU839" s="379">
        <v>69291</v>
      </c>
      <c r="AV839" s="375"/>
      <c r="AW839" s="375"/>
      <c r="AX839" s="375"/>
      <c r="AY839" s="375"/>
      <c r="AZ839" s="375"/>
      <c r="BA839" s="375"/>
      <c r="BB839" s="375"/>
      <c r="BC839" s="375"/>
      <c r="BD839" s="375"/>
      <c r="BE839" s="375"/>
      <c r="BF839" s="375">
        <v>7.1249999999999994E-2</v>
      </c>
      <c r="BG839" s="375"/>
      <c r="BH839" s="375"/>
      <c r="BI839" s="373">
        <f t="shared" ref="BI839:BI902" si="40">+AVERAGE(AV839:BH839)</f>
        <v>7.1249999999999994E-2</v>
      </c>
      <c r="BT839" s="355"/>
      <c r="BU839" s="355"/>
      <c r="BV839" s="355"/>
      <c r="BW839" s="355"/>
    </row>
    <row r="840" spans="1:75" x14ac:dyDescent="0.15">
      <c r="A840" s="356"/>
      <c r="B840" s="355"/>
      <c r="C840" s="355"/>
      <c r="D840" s="355"/>
      <c r="E840" s="355"/>
      <c r="F840" s="355"/>
      <c r="G840" s="355"/>
      <c r="O840" s="356"/>
      <c r="P840" s="355"/>
      <c r="Q840" s="355"/>
      <c r="R840" s="355"/>
      <c r="S840" s="355"/>
      <c r="T840" s="355"/>
      <c r="U840" s="355"/>
      <c r="V840" s="355"/>
      <c r="W840" s="355"/>
      <c r="AG840" s="355"/>
      <c r="AH840" s="355"/>
      <c r="AI840" s="355"/>
      <c r="AJ840" s="355"/>
      <c r="AK840" s="355"/>
      <c r="AL840" s="355"/>
      <c r="AM840" s="355"/>
      <c r="AU840" s="379">
        <v>69321</v>
      </c>
      <c r="AV840" s="375"/>
      <c r="AW840" s="375"/>
      <c r="AX840" s="375"/>
      <c r="AY840" s="375"/>
      <c r="AZ840" s="375"/>
      <c r="BA840" s="375"/>
      <c r="BB840" s="375"/>
      <c r="BC840" s="375"/>
      <c r="BD840" s="375"/>
      <c r="BE840" s="375"/>
      <c r="BF840" s="375">
        <v>7.1249999999999994E-2</v>
      </c>
      <c r="BG840" s="375"/>
      <c r="BH840" s="375"/>
      <c r="BI840" s="373">
        <f t="shared" si="40"/>
        <v>7.1249999999999994E-2</v>
      </c>
      <c r="BT840" s="355"/>
      <c r="BU840" s="355"/>
      <c r="BV840" s="355"/>
      <c r="BW840" s="355"/>
    </row>
    <row r="841" spans="1:75" x14ac:dyDescent="0.15">
      <c r="A841" s="356"/>
      <c r="B841" s="355"/>
      <c r="C841" s="355"/>
      <c r="D841" s="355"/>
      <c r="E841" s="355"/>
      <c r="F841" s="355"/>
      <c r="G841" s="355"/>
      <c r="O841" s="356"/>
      <c r="P841" s="355"/>
      <c r="Q841" s="355"/>
      <c r="R841" s="355"/>
      <c r="S841" s="355"/>
      <c r="T841" s="355"/>
      <c r="U841" s="355"/>
      <c r="V841" s="355"/>
      <c r="W841" s="355"/>
      <c r="AG841" s="355"/>
      <c r="AH841" s="355"/>
      <c r="AI841" s="355"/>
      <c r="AJ841" s="355"/>
      <c r="AK841" s="355"/>
      <c r="AL841" s="355"/>
      <c r="AM841" s="355"/>
      <c r="AU841" s="379">
        <v>69352</v>
      </c>
      <c r="AV841" s="375"/>
      <c r="AW841" s="375"/>
      <c r="AX841" s="375"/>
      <c r="AY841" s="375"/>
      <c r="AZ841" s="375"/>
      <c r="BA841" s="375"/>
      <c r="BB841" s="375"/>
      <c r="BC841" s="375"/>
      <c r="BD841" s="375"/>
      <c r="BE841" s="375"/>
      <c r="BF841" s="375">
        <v>7.1249999999999994E-2</v>
      </c>
      <c r="BG841" s="375"/>
      <c r="BH841" s="375"/>
      <c r="BI841" s="373">
        <f t="shared" si="40"/>
        <v>7.1249999999999994E-2</v>
      </c>
      <c r="BT841" s="355"/>
      <c r="BU841" s="355"/>
      <c r="BV841" s="355"/>
      <c r="BW841" s="355"/>
    </row>
    <row r="842" spans="1:75" x14ac:dyDescent="0.15">
      <c r="A842" s="356"/>
      <c r="B842" s="355"/>
      <c r="C842" s="355"/>
      <c r="D842" s="355"/>
      <c r="E842" s="355"/>
      <c r="F842" s="355"/>
      <c r="G842" s="355"/>
      <c r="O842" s="356"/>
      <c r="P842" s="355"/>
      <c r="Q842" s="355"/>
      <c r="R842" s="355"/>
      <c r="S842" s="355"/>
      <c r="T842" s="355"/>
      <c r="U842" s="355"/>
      <c r="V842" s="355"/>
      <c r="W842" s="355"/>
      <c r="AG842" s="355"/>
      <c r="AH842" s="355"/>
      <c r="AI842" s="355"/>
      <c r="AJ842" s="355"/>
      <c r="AK842" s="355"/>
      <c r="AL842" s="355"/>
      <c r="AM842" s="355"/>
      <c r="AU842" s="379">
        <v>69382</v>
      </c>
      <c r="AV842" s="375"/>
      <c r="AW842" s="375"/>
      <c r="AX842" s="375"/>
      <c r="AY842" s="375"/>
      <c r="AZ842" s="375"/>
      <c r="BA842" s="375"/>
      <c r="BB842" s="375"/>
      <c r="BC842" s="375"/>
      <c r="BD842" s="375"/>
      <c r="BE842" s="375"/>
      <c r="BF842" s="375">
        <v>7.1249999999999994E-2</v>
      </c>
      <c r="BG842" s="375"/>
      <c r="BH842" s="375"/>
      <c r="BI842" s="373">
        <f t="shared" si="40"/>
        <v>7.1249999999999994E-2</v>
      </c>
      <c r="BT842" s="355"/>
      <c r="BU842" s="355"/>
      <c r="BV842" s="355"/>
      <c r="BW842" s="355"/>
    </row>
    <row r="843" spans="1:75" x14ac:dyDescent="0.15">
      <c r="A843" s="356"/>
      <c r="B843" s="355"/>
      <c r="C843" s="355"/>
      <c r="D843" s="355"/>
      <c r="E843" s="355"/>
      <c r="F843" s="355"/>
      <c r="G843" s="355"/>
      <c r="O843" s="356"/>
      <c r="P843" s="355"/>
      <c r="Q843" s="355"/>
      <c r="R843" s="355"/>
      <c r="S843" s="355"/>
      <c r="T843" s="355"/>
      <c r="U843" s="355"/>
      <c r="V843" s="355"/>
      <c r="W843" s="355"/>
      <c r="AG843" s="355"/>
      <c r="AH843" s="355"/>
      <c r="AI843" s="355"/>
      <c r="AJ843" s="355"/>
      <c r="AK843" s="355"/>
      <c r="AL843" s="355"/>
      <c r="AM843" s="355"/>
      <c r="AU843" s="379">
        <v>69413</v>
      </c>
      <c r="AV843" s="375"/>
      <c r="AW843" s="375"/>
      <c r="AX843" s="375"/>
      <c r="AY843" s="375"/>
      <c r="AZ843" s="375"/>
      <c r="BA843" s="375"/>
      <c r="BB843" s="375"/>
      <c r="BC843" s="375"/>
      <c r="BD843" s="375"/>
      <c r="BE843" s="375"/>
      <c r="BF843" s="375">
        <v>7.1249999999999994E-2</v>
      </c>
      <c r="BG843" s="375"/>
      <c r="BH843" s="375"/>
      <c r="BI843" s="373">
        <f t="shared" si="40"/>
        <v>7.1249999999999994E-2</v>
      </c>
      <c r="BT843" s="355"/>
      <c r="BU843" s="355"/>
      <c r="BV843" s="355"/>
      <c r="BW843" s="355"/>
    </row>
    <row r="844" spans="1:75" x14ac:dyDescent="0.15">
      <c r="A844" s="356"/>
      <c r="B844" s="355"/>
      <c r="C844" s="355"/>
      <c r="D844" s="355"/>
      <c r="E844" s="355"/>
      <c r="F844" s="355"/>
      <c r="G844" s="355"/>
      <c r="O844" s="356"/>
      <c r="P844" s="355"/>
      <c r="Q844" s="355"/>
      <c r="R844" s="355"/>
      <c r="S844" s="355"/>
      <c r="T844" s="355"/>
      <c r="U844" s="355"/>
      <c r="V844" s="355"/>
      <c r="W844" s="355"/>
      <c r="AG844" s="355"/>
      <c r="AH844" s="355"/>
      <c r="AI844" s="355"/>
      <c r="AJ844" s="355"/>
      <c r="AK844" s="355"/>
      <c r="AL844" s="355"/>
      <c r="AM844" s="355"/>
      <c r="AU844" s="379">
        <v>69444</v>
      </c>
      <c r="AV844" s="375"/>
      <c r="AW844" s="375"/>
      <c r="AX844" s="375"/>
      <c r="AY844" s="375"/>
      <c r="AZ844" s="375"/>
      <c r="BA844" s="375"/>
      <c r="BB844" s="375"/>
      <c r="BC844" s="375"/>
      <c r="BD844" s="375"/>
      <c r="BE844" s="375"/>
      <c r="BF844" s="375">
        <v>7.1249999999999994E-2</v>
      </c>
      <c r="BG844" s="375"/>
      <c r="BH844" s="375"/>
      <c r="BI844" s="373">
        <f t="shared" si="40"/>
        <v>7.1249999999999994E-2</v>
      </c>
      <c r="BT844" s="355"/>
      <c r="BU844" s="355"/>
      <c r="BV844" s="355"/>
      <c r="BW844" s="355"/>
    </row>
    <row r="845" spans="1:75" x14ac:dyDescent="0.15">
      <c r="A845" s="356"/>
      <c r="B845" s="355"/>
      <c r="C845" s="355"/>
      <c r="D845" s="355"/>
      <c r="E845" s="355"/>
      <c r="F845" s="355"/>
      <c r="G845" s="355"/>
      <c r="O845" s="356"/>
      <c r="P845" s="355"/>
      <c r="Q845" s="355"/>
      <c r="R845" s="355"/>
      <c r="S845" s="355"/>
      <c r="T845" s="355"/>
      <c r="U845" s="355"/>
      <c r="V845" s="355"/>
      <c r="W845" s="355"/>
      <c r="AG845" s="355"/>
      <c r="AH845" s="355"/>
      <c r="AI845" s="355"/>
      <c r="AJ845" s="355"/>
      <c r="AK845" s="355"/>
      <c r="AL845" s="355"/>
      <c r="AM845" s="355"/>
      <c r="AU845" s="379">
        <v>69472</v>
      </c>
      <c r="AV845" s="375"/>
      <c r="AW845" s="375"/>
      <c r="AX845" s="375"/>
      <c r="AY845" s="375"/>
      <c r="AZ845" s="375"/>
      <c r="BA845" s="375"/>
      <c r="BB845" s="375"/>
      <c r="BC845" s="375"/>
      <c r="BD845" s="375"/>
      <c r="BE845" s="375"/>
      <c r="BF845" s="375">
        <v>7.1249999999999994E-2</v>
      </c>
      <c r="BG845" s="375"/>
      <c r="BH845" s="375"/>
      <c r="BI845" s="373">
        <f t="shared" si="40"/>
        <v>7.1249999999999994E-2</v>
      </c>
      <c r="BT845" s="355"/>
      <c r="BU845" s="355"/>
      <c r="BV845" s="355"/>
      <c r="BW845" s="355"/>
    </row>
    <row r="846" spans="1:75" x14ac:dyDescent="0.15">
      <c r="A846" s="356"/>
      <c r="B846" s="355"/>
      <c r="C846" s="355"/>
      <c r="D846" s="355"/>
      <c r="E846" s="355"/>
      <c r="F846" s="355"/>
      <c r="G846" s="355"/>
      <c r="O846" s="356"/>
      <c r="P846" s="355"/>
      <c r="Q846" s="355"/>
      <c r="R846" s="355"/>
      <c r="S846" s="355"/>
      <c r="T846" s="355"/>
      <c r="U846" s="355"/>
      <c r="V846" s="355"/>
      <c r="W846" s="355"/>
      <c r="AG846" s="355"/>
      <c r="AH846" s="355"/>
      <c r="AI846" s="355"/>
      <c r="AJ846" s="355"/>
      <c r="AK846" s="355"/>
      <c r="AL846" s="355"/>
      <c r="AM846" s="355"/>
      <c r="AU846" s="379">
        <v>69503</v>
      </c>
      <c r="AV846" s="375"/>
      <c r="AW846" s="375"/>
      <c r="AX846" s="375"/>
      <c r="AY846" s="375"/>
      <c r="AZ846" s="375"/>
      <c r="BA846" s="375"/>
      <c r="BB846" s="375"/>
      <c r="BC846" s="375"/>
      <c r="BD846" s="375"/>
      <c r="BE846" s="375"/>
      <c r="BF846" s="375">
        <v>7.1249999999999994E-2</v>
      </c>
      <c r="BG846" s="375"/>
      <c r="BH846" s="375"/>
      <c r="BI846" s="373">
        <f t="shared" si="40"/>
        <v>7.1249999999999994E-2</v>
      </c>
      <c r="BT846" s="355"/>
      <c r="BU846" s="355"/>
      <c r="BV846" s="355"/>
      <c r="BW846" s="355"/>
    </row>
    <row r="847" spans="1:75" x14ac:dyDescent="0.15">
      <c r="A847" s="356"/>
      <c r="B847" s="355"/>
      <c r="C847" s="355"/>
      <c r="D847" s="355"/>
      <c r="E847" s="355"/>
      <c r="F847" s="355"/>
      <c r="G847" s="355"/>
      <c r="O847" s="356"/>
      <c r="P847" s="355"/>
      <c r="Q847" s="355"/>
      <c r="R847" s="355"/>
      <c r="S847" s="355"/>
      <c r="T847" s="355"/>
      <c r="U847" s="355"/>
      <c r="V847" s="355"/>
      <c r="W847" s="355"/>
      <c r="AG847" s="355"/>
      <c r="AH847" s="355"/>
      <c r="AI847" s="355"/>
      <c r="AJ847" s="355"/>
      <c r="AK847" s="355"/>
      <c r="AL847" s="355"/>
      <c r="AM847" s="355"/>
      <c r="AU847" s="379">
        <v>69533</v>
      </c>
      <c r="AV847" s="375"/>
      <c r="AW847" s="375"/>
      <c r="AX847" s="375"/>
      <c r="AY847" s="375"/>
      <c r="AZ847" s="375"/>
      <c r="BA847" s="375"/>
      <c r="BB847" s="375"/>
      <c r="BC847" s="375"/>
      <c r="BD847" s="375"/>
      <c r="BE847" s="375"/>
      <c r="BF847" s="375">
        <v>7.1249999999999994E-2</v>
      </c>
      <c r="BG847" s="375"/>
      <c r="BH847" s="375"/>
      <c r="BI847" s="373">
        <f t="shared" si="40"/>
        <v>7.1249999999999994E-2</v>
      </c>
      <c r="BT847" s="355"/>
      <c r="BU847" s="355"/>
      <c r="BV847" s="355"/>
      <c r="BW847" s="355"/>
    </row>
    <row r="848" spans="1:75" x14ac:dyDescent="0.15">
      <c r="A848" s="356"/>
      <c r="B848" s="355"/>
      <c r="C848" s="355"/>
      <c r="D848" s="355"/>
      <c r="E848" s="355"/>
      <c r="F848" s="355"/>
      <c r="G848" s="355"/>
      <c r="O848" s="356"/>
      <c r="P848" s="355"/>
      <c r="Q848" s="355"/>
      <c r="R848" s="355"/>
      <c r="S848" s="355"/>
      <c r="T848" s="355"/>
      <c r="U848" s="355"/>
      <c r="V848" s="355"/>
      <c r="W848" s="355"/>
      <c r="AG848" s="355"/>
      <c r="AH848" s="355"/>
      <c r="AI848" s="355"/>
      <c r="AJ848" s="355"/>
      <c r="AK848" s="355"/>
      <c r="AL848" s="355"/>
      <c r="AM848" s="355"/>
      <c r="AU848" s="379">
        <v>69564</v>
      </c>
      <c r="AV848" s="375"/>
      <c r="AW848" s="375"/>
      <c r="AX848" s="375"/>
      <c r="AY848" s="375"/>
      <c r="AZ848" s="375"/>
      <c r="BA848" s="375"/>
      <c r="BB848" s="375"/>
      <c r="BC848" s="375"/>
      <c r="BD848" s="375"/>
      <c r="BE848" s="375"/>
      <c r="BF848" s="375">
        <v>7.1249999999999994E-2</v>
      </c>
      <c r="BG848" s="375"/>
      <c r="BH848" s="375"/>
      <c r="BI848" s="373">
        <f t="shared" si="40"/>
        <v>7.1249999999999994E-2</v>
      </c>
      <c r="BT848" s="355"/>
      <c r="BU848" s="355"/>
      <c r="BV848" s="355"/>
      <c r="BW848" s="355"/>
    </row>
    <row r="849" spans="1:75" x14ac:dyDescent="0.15">
      <c r="A849" s="356"/>
      <c r="B849" s="355"/>
      <c r="C849" s="355"/>
      <c r="D849" s="355"/>
      <c r="E849" s="355"/>
      <c r="F849" s="355"/>
      <c r="G849" s="355"/>
      <c r="O849" s="356"/>
      <c r="P849" s="355"/>
      <c r="Q849" s="355"/>
      <c r="R849" s="355"/>
      <c r="S849" s="355"/>
      <c r="T849" s="355"/>
      <c r="U849" s="355"/>
      <c r="V849" s="355"/>
      <c r="W849" s="355"/>
      <c r="AG849" s="355"/>
      <c r="AH849" s="355"/>
      <c r="AI849" s="355"/>
      <c r="AJ849" s="355"/>
      <c r="AK849" s="355"/>
      <c r="AL849" s="355"/>
      <c r="AM849" s="355"/>
      <c r="AU849" s="379">
        <v>69594</v>
      </c>
      <c r="AV849" s="375"/>
      <c r="AW849" s="375"/>
      <c r="AX849" s="375"/>
      <c r="AY849" s="375"/>
      <c r="AZ849" s="375"/>
      <c r="BA849" s="375"/>
      <c r="BB849" s="375"/>
      <c r="BC849" s="375"/>
      <c r="BD849" s="375"/>
      <c r="BE849" s="375"/>
      <c r="BF849" s="375">
        <v>7.1249999999999994E-2</v>
      </c>
      <c r="BG849" s="375"/>
      <c r="BH849" s="375"/>
      <c r="BI849" s="373">
        <f t="shared" si="40"/>
        <v>7.1249999999999994E-2</v>
      </c>
      <c r="BT849" s="355"/>
      <c r="BU849" s="355"/>
      <c r="BV849" s="355"/>
      <c r="BW849" s="355"/>
    </row>
    <row r="850" spans="1:75" x14ac:dyDescent="0.15">
      <c r="A850" s="356"/>
      <c r="B850" s="355"/>
      <c r="C850" s="355"/>
      <c r="D850" s="355"/>
      <c r="E850" s="355"/>
      <c r="F850" s="355"/>
      <c r="G850" s="355"/>
      <c r="O850" s="356"/>
      <c r="P850" s="355"/>
      <c r="Q850" s="355"/>
      <c r="R850" s="355"/>
      <c r="S850" s="355"/>
      <c r="T850" s="355"/>
      <c r="U850" s="355"/>
      <c r="V850" s="355"/>
      <c r="W850" s="355"/>
      <c r="AG850" s="355"/>
      <c r="AH850" s="355"/>
      <c r="AI850" s="355"/>
      <c r="AJ850" s="355"/>
      <c r="AK850" s="355"/>
      <c r="AL850" s="355"/>
      <c r="AM850" s="355"/>
      <c r="AU850" s="379">
        <v>69625</v>
      </c>
      <c r="AV850" s="375"/>
      <c r="AW850" s="375"/>
      <c r="AX850" s="375"/>
      <c r="AY850" s="375"/>
      <c r="AZ850" s="375"/>
      <c r="BA850" s="375"/>
      <c r="BB850" s="375"/>
      <c r="BC850" s="375"/>
      <c r="BD850" s="375"/>
      <c r="BE850" s="375"/>
      <c r="BF850" s="375">
        <v>7.1249999999999994E-2</v>
      </c>
      <c r="BG850" s="375"/>
      <c r="BH850" s="375"/>
      <c r="BI850" s="373">
        <f t="shared" si="40"/>
        <v>7.1249999999999994E-2</v>
      </c>
      <c r="BT850" s="355"/>
      <c r="BU850" s="355"/>
      <c r="BV850" s="355"/>
      <c r="BW850" s="355"/>
    </row>
    <row r="851" spans="1:75" x14ac:dyDescent="0.15">
      <c r="A851" s="356"/>
      <c r="B851" s="355"/>
      <c r="C851" s="355"/>
      <c r="D851" s="355"/>
      <c r="E851" s="355"/>
      <c r="F851" s="355"/>
      <c r="G851" s="355"/>
      <c r="O851" s="356"/>
      <c r="P851" s="355"/>
      <c r="Q851" s="355"/>
      <c r="R851" s="355"/>
      <c r="S851" s="355"/>
      <c r="T851" s="355"/>
      <c r="U851" s="355"/>
      <c r="V851" s="355"/>
      <c r="W851" s="355"/>
      <c r="AG851" s="355"/>
      <c r="AH851" s="355"/>
      <c r="AI851" s="355"/>
      <c r="AJ851" s="355"/>
      <c r="AK851" s="355"/>
      <c r="AL851" s="355"/>
      <c r="AM851" s="355"/>
      <c r="AU851" s="379">
        <v>69656</v>
      </c>
      <c r="AV851" s="375"/>
      <c r="AW851" s="375"/>
      <c r="AX851" s="375"/>
      <c r="AY851" s="375"/>
      <c r="AZ851" s="375"/>
      <c r="BA851" s="375"/>
      <c r="BB851" s="375"/>
      <c r="BC851" s="375"/>
      <c r="BD851" s="375"/>
      <c r="BE851" s="375"/>
      <c r="BF851" s="375">
        <v>7.1249999999999994E-2</v>
      </c>
      <c r="BG851" s="375"/>
      <c r="BH851" s="375"/>
      <c r="BI851" s="373">
        <f t="shared" si="40"/>
        <v>7.1249999999999994E-2</v>
      </c>
      <c r="BT851" s="355"/>
      <c r="BU851" s="355"/>
      <c r="BV851" s="355"/>
      <c r="BW851" s="355"/>
    </row>
    <row r="852" spans="1:75" x14ac:dyDescent="0.15">
      <c r="A852" s="356"/>
      <c r="B852" s="355"/>
      <c r="C852" s="355"/>
      <c r="D852" s="355"/>
      <c r="E852" s="355"/>
      <c r="F852" s="355"/>
      <c r="G852" s="355"/>
      <c r="O852" s="356"/>
      <c r="P852" s="355"/>
      <c r="Q852" s="355"/>
      <c r="R852" s="355"/>
      <c r="S852" s="355"/>
      <c r="T852" s="355"/>
      <c r="U852" s="355"/>
      <c r="V852" s="355"/>
      <c r="W852" s="355"/>
      <c r="AG852" s="355"/>
      <c r="AH852" s="355"/>
      <c r="AI852" s="355"/>
      <c r="AJ852" s="355"/>
      <c r="AK852" s="355"/>
      <c r="AL852" s="355"/>
      <c r="AM852" s="355"/>
      <c r="AU852" s="379">
        <v>69686</v>
      </c>
      <c r="AV852" s="375"/>
      <c r="AW852" s="375"/>
      <c r="AX852" s="375"/>
      <c r="AY852" s="375"/>
      <c r="AZ852" s="375"/>
      <c r="BA852" s="375"/>
      <c r="BB852" s="375"/>
      <c r="BC852" s="375"/>
      <c r="BD852" s="375"/>
      <c r="BE852" s="375"/>
      <c r="BF852" s="375">
        <v>7.1249999999999994E-2</v>
      </c>
      <c r="BG852" s="375"/>
      <c r="BH852" s="375"/>
      <c r="BI852" s="373">
        <f t="shared" si="40"/>
        <v>7.1249999999999994E-2</v>
      </c>
      <c r="BT852" s="355"/>
      <c r="BU852" s="355"/>
      <c r="BV852" s="355"/>
      <c r="BW852" s="355"/>
    </row>
    <row r="853" spans="1:75" x14ac:dyDescent="0.15">
      <c r="A853" s="356"/>
      <c r="B853" s="355"/>
      <c r="C853" s="355"/>
      <c r="D853" s="355"/>
      <c r="E853" s="355"/>
      <c r="F853" s="355"/>
      <c r="G853" s="355"/>
      <c r="O853" s="356"/>
      <c r="P853" s="355"/>
      <c r="Q853" s="355"/>
      <c r="R853" s="355"/>
      <c r="S853" s="355"/>
      <c r="T853" s="355"/>
      <c r="U853" s="355"/>
      <c r="V853" s="355"/>
      <c r="W853" s="355"/>
      <c r="AG853" s="355"/>
      <c r="AH853" s="355"/>
      <c r="AI853" s="355"/>
      <c r="AJ853" s="355"/>
      <c r="AK853" s="355"/>
      <c r="AL853" s="355"/>
      <c r="AM853" s="355"/>
      <c r="AU853" s="379">
        <v>69717</v>
      </c>
      <c r="AV853" s="375"/>
      <c r="AW853" s="375"/>
      <c r="AX853" s="375"/>
      <c r="AY853" s="375"/>
      <c r="AZ853" s="375"/>
      <c r="BA853" s="375"/>
      <c r="BB853" s="375"/>
      <c r="BC853" s="375"/>
      <c r="BD853" s="375"/>
      <c r="BE853" s="375"/>
      <c r="BF853" s="375">
        <v>7.1249999999999994E-2</v>
      </c>
      <c r="BG853" s="375"/>
      <c r="BH853" s="375"/>
      <c r="BI853" s="373">
        <f t="shared" si="40"/>
        <v>7.1249999999999994E-2</v>
      </c>
      <c r="BT853" s="355"/>
      <c r="BU853" s="355"/>
      <c r="BV853" s="355"/>
      <c r="BW853" s="355"/>
    </row>
    <row r="854" spans="1:75" x14ac:dyDescent="0.15">
      <c r="A854" s="356"/>
      <c r="B854" s="355"/>
      <c r="C854" s="355"/>
      <c r="D854" s="355"/>
      <c r="E854" s="355"/>
      <c r="F854" s="355"/>
      <c r="G854" s="355"/>
      <c r="O854" s="356"/>
      <c r="P854" s="355"/>
      <c r="Q854" s="355"/>
      <c r="R854" s="355"/>
      <c r="S854" s="355"/>
      <c r="T854" s="355"/>
      <c r="U854" s="355"/>
      <c r="V854" s="355"/>
      <c r="W854" s="355"/>
      <c r="AG854" s="355"/>
      <c r="AH854" s="355"/>
      <c r="AI854" s="355"/>
      <c r="AJ854" s="355"/>
      <c r="AK854" s="355"/>
      <c r="AL854" s="355"/>
      <c r="AM854" s="355"/>
      <c r="AU854" s="379">
        <v>69747</v>
      </c>
      <c r="AV854" s="375"/>
      <c r="AW854" s="375"/>
      <c r="AX854" s="375"/>
      <c r="AY854" s="375"/>
      <c r="AZ854" s="375"/>
      <c r="BA854" s="375"/>
      <c r="BB854" s="375"/>
      <c r="BC854" s="375"/>
      <c r="BD854" s="375"/>
      <c r="BE854" s="375"/>
      <c r="BF854" s="375">
        <v>7.1249999999999994E-2</v>
      </c>
      <c r="BG854" s="375"/>
      <c r="BH854" s="375"/>
      <c r="BI854" s="373">
        <f t="shared" si="40"/>
        <v>7.1249999999999994E-2</v>
      </c>
      <c r="BT854" s="355"/>
      <c r="BU854" s="355"/>
      <c r="BV854" s="355"/>
      <c r="BW854" s="355"/>
    </row>
    <row r="855" spans="1:75" x14ac:dyDescent="0.15">
      <c r="A855" s="356"/>
      <c r="B855" s="355"/>
      <c r="C855" s="355"/>
      <c r="D855" s="355"/>
      <c r="E855" s="355"/>
      <c r="F855" s="355"/>
      <c r="G855" s="355"/>
      <c r="O855" s="356"/>
      <c r="P855" s="355"/>
      <c r="Q855" s="355"/>
      <c r="R855" s="355"/>
      <c r="S855" s="355"/>
      <c r="T855" s="355"/>
      <c r="U855" s="355"/>
      <c r="V855" s="355"/>
      <c r="W855" s="355"/>
      <c r="AG855" s="355"/>
      <c r="AH855" s="355"/>
      <c r="AI855" s="355"/>
      <c r="AJ855" s="355"/>
      <c r="AK855" s="355"/>
      <c r="AL855" s="355"/>
      <c r="AM855" s="355"/>
      <c r="AU855" s="379">
        <v>69778</v>
      </c>
      <c r="AV855" s="375"/>
      <c r="AW855" s="375"/>
      <c r="AX855" s="375"/>
      <c r="AY855" s="375"/>
      <c r="AZ855" s="375"/>
      <c r="BA855" s="375"/>
      <c r="BB855" s="375"/>
      <c r="BC855" s="375"/>
      <c r="BD855" s="375"/>
      <c r="BE855" s="375"/>
      <c r="BF855" s="375">
        <v>7.1249999999999994E-2</v>
      </c>
      <c r="BG855" s="375"/>
      <c r="BH855" s="375"/>
      <c r="BI855" s="373">
        <f t="shared" si="40"/>
        <v>7.1249999999999994E-2</v>
      </c>
      <c r="BT855" s="355"/>
      <c r="BU855" s="355"/>
      <c r="BV855" s="355"/>
      <c r="BW855" s="355"/>
    </row>
    <row r="856" spans="1:75" x14ac:dyDescent="0.15">
      <c r="A856" s="356"/>
      <c r="B856" s="355"/>
      <c r="C856" s="355"/>
      <c r="D856" s="355"/>
      <c r="E856" s="355"/>
      <c r="F856" s="355"/>
      <c r="G856" s="355"/>
      <c r="O856" s="356"/>
      <c r="P856" s="355"/>
      <c r="Q856" s="355"/>
      <c r="R856" s="355"/>
      <c r="S856" s="355"/>
      <c r="T856" s="355"/>
      <c r="U856" s="355"/>
      <c r="V856" s="355"/>
      <c r="W856" s="355"/>
      <c r="AG856" s="355"/>
      <c r="AH856" s="355"/>
      <c r="AI856" s="355"/>
      <c r="AJ856" s="355"/>
      <c r="AK856" s="355"/>
      <c r="AL856" s="355"/>
      <c r="AM856" s="355"/>
      <c r="AU856" s="379">
        <v>69809</v>
      </c>
      <c r="AV856" s="375"/>
      <c r="AW856" s="375"/>
      <c r="AX856" s="375"/>
      <c r="AY856" s="375"/>
      <c r="AZ856" s="375"/>
      <c r="BA856" s="375"/>
      <c r="BB856" s="375"/>
      <c r="BC856" s="375"/>
      <c r="BD856" s="375"/>
      <c r="BE856" s="375"/>
      <c r="BF856" s="375">
        <v>7.1249999999999994E-2</v>
      </c>
      <c r="BG856" s="375"/>
      <c r="BH856" s="375"/>
      <c r="BI856" s="373">
        <f t="shared" si="40"/>
        <v>7.1249999999999994E-2</v>
      </c>
      <c r="BT856" s="355"/>
      <c r="BU856" s="355"/>
      <c r="BV856" s="355"/>
      <c r="BW856" s="355"/>
    </row>
    <row r="857" spans="1:75" x14ac:dyDescent="0.15">
      <c r="A857" s="356"/>
      <c r="B857" s="355"/>
      <c r="C857" s="355"/>
      <c r="D857" s="355"/>
      <c r="E857" s="355"/>
      <c r="F857" s="355"/>
      <c r="G857" s="355"/>
      <c r="O857" s="356"/>
      <c r="P857" s="355"/>
      <c r="Q857" s="355"/>
      <c r="R857" s="355"/>
      <c r="S857" s="355"/>
      <c r="T857" s="355"/>
      <c r="U857" s="355"/>
      <c r="V857" s="355"/>
      <c r="W857" s="355"/>
      <c r="AG857" s="355"/>
      <c r="AH857" s="355"/>
      <c r="AI857" s="355"/>
      <c r="AJ857" s="355"/>
      <c r="AK857" s="355"/>
      <c r="AL857" s="355"/>
      <c r="AM857" s="355"/>
      <c r="AU857" s="379">
        <v>69837</v>
      </c>
      <c r="AV857" s="375"/>
      <c r="AW857" s="375"/>
      <c r="AX857" s="375"/>
      <c r="AY857" s="375"/>
      <c r="AZ857" s="375"/>
      <c r="BA857" s="375"/>
      <c r="BB857" s="375"/>
      <c r="BC857" s="375"/>
      <c r="BD857" s="375"/>
      <c r="BE857" s="375"/>
      <c r="BF857" s="375">
        <v>7.1249999999999994E-2</v>
      </c>
      <c r="BG857" s="375"/>
      <c r="BH857" s="375"/>
      <c r="BI857" s="373">
        <f t="shared" si="40"/>
        <v>7.1249999999999994E-2</v>
      </c>
      <c r="BT857" s="355"/>
      <c r="BU857" s="355"/>
      <c r="BV857" s="355"/>
      <c r="BW857" s="355"/>
    </row>
    <row r="858" spans="1:75" x14ac:dyDescent="0.15">
      <c r="A858" s="356"/>
      <c r="B858" s="355"/>
      <c r="C858" s="355"/>
      <c r="D858" s="355"/>
      <c r="E858" s="355"/>
      <c r="F858" s="355"/>
      <c r="G858" s="355"/>
      <c r="O858" s="356"/>
      <c r="P858" s="355"/>
      <c r="Q858" s="355"/>
      <c r="R858" s="355"/>
      <c r="S858" s="355"/>
      <c r="T858" s="355"/>
      <c r="U858" s="355"/>
      <c r="V858" s="355"/>
      <c r="W858" s="355"/>
      <c r="AG858" s="355"/>
      <c r="AH858" s="355"/>
      <c r="AI858" s="355"/>
      <c r="AJ858" s="355"/>
      <c r="AK858" s="355"/>
      <c r="AL858" s="355"/>
      <c r="AM858" s="355"/>
      <c r="AU858" s="379">
        <v>69868</v>
      </c>
      <c r="AV858" s="375"/>
      <c r="AW858" s="375"/>
      <c r="AX858" s="375"/>
      <c r="AY858" s="375"/>
      <c r="AZ858" s="375"/>
      <c r="BA858" s="375"/>
      <c r="BB858" s="375"/>
      <c r="BC858" s="375"/>
      <c r="BD858" s="375"/>
      <c r="BE858" s="375"/>
      <c r="BF858" s="375">
        <v>7.1249999999999994E-2</v>
      </c>
      <c r="BG858" s="375"/>
      <c r="BH858" s="375"/>
      <c r="BI858" s="373">
        <f t="shared" si="40"/>
        <v>7.1249999999999994E-2</v>
      </c>
      <c r="BT858" s="355"/>
      <c r="BU858" s="355"/>
      <c r="BV858" s="355"/>
      <c r="BW858" s="355"/>
    </row>
    <row r="859" spans="1:75" x14ac:dyDescent="0.15">
      <c r="A859" s="356"/>
      <c r="B859" s="355"/>
      <c r="C859" s="355"/>
      <c r="D859" s="355"/>
      <c r="E859" s="355"/>
      <c r="F859" s="355"/>
      <c r="G859" s="355"/>
      <c r="O859" s="356"/>
      <c r="P859" s="355"/>
      <c r="Q859" s="355"/>
      <c r="R859" s="355"/>
      <c r="S859" s="355"/>
      <c r="T859" s="355"/>
      <c r="U859" s="355"/>
      <c r="V859" s="355"/>
      <c r="W859" s="355"/>
      <c r="AG859" s="355"/>
      <c r="AH859" s="355"/>
      <c r="AI859" s="355"/>
      <c r="AJ859" s="355"/>
      <c r="AK859" s="355"/>
      <c r="AL859" s="355"/>
      <c r="AM859" s="355"/>
      <c r="AU859" s="379">
        <v>69898</v>
      </c>
      <c r="AV859" s="375"/>
      <c r="AW859" s="375"/>
      <c r="AX859" s="375"/>
      <c r="AY859" s="375"/>
      <c r="AZ859" s="375"/>
      <c r="BA859" s="375"/>
      <c r="BB859" s="375"/>
      <c r="BC859" s="375"/>
      <c r="BD859" s="375"/>
      <c r="BE859" s="375"/>
      <c r="BF859" s="375">
        <v>7.1249999999999994E-2</v>
      </c>
      <c r="BG859" s="375"/>
      <c r="BH859" s="375"/>
      <c r="BI859" s="373">
        <f t="shared" si="40"/>
        <v>7.1249999999999994E-2</v>
      </c>
      <c r="BT859" s="355"/>
      <c r="BU859" s="355"/>
      <c r="BV859" s="355"/>
      <c r="BW859" s="355"/>
    </row>
    <row r="860" spans="1:75" x14ac:dyDescent="0.15">
      <c r="A860" s="356"/>
      <c r="B860" s="355"/>
      <c r="C860" s="355"/>
      <c r="D860" s="355"/>
      <c r="E860" s="355"/>
      <c r="F860" s="355"/>
      <c r="G860" s="355"/>
      <c r="O860" s="356"/>
      <c r="P860" s="355"/>
      <c r="Q860" s="355"/>
      <c r="R860" s="355"/>
      <c r="S860" s="355"/>
      <c r="T860" s="355"/>
      <c r="U860" s="355"/>
      <c r="V860" s="355"/>
      <c r="W860" s="355"/>
      <c r="AG860" s="355"/>
      <c r="AH860" s="355"/>
      <c r="AI860" s="355"/>
      <c r="AJ860" s="355"/>
      <c r="AK860" s="355"/>
      <c r="AL860" s="355"/>
      <c r="AM860" s="355"/>
      <c r="AU860" s="379">
        <v>69929</v>
      </c>
      <c r="AV860" s="375"/>
      <c r="AW860" s="375"/>
      <c r="AX860" s="375"/>
      <c r="AY860" s="375"/>
      <c r="AZ860" s="375"/>
      <c r="BA860" s="375"/>
      <c r="BB860" s="375"/>
      <c r="BC860" s="375"/>
      <c r="BD860" s="375"/>
      <c r="BE860" s="375"/>
      <c r="BF860" s="375">
        <v>7.1249999999999994E-2</v>
      </c>
      <c r="BG860" s="375"/>
      <c r="BH860" s="375"/>
      <c r="BI860" s="373">
        <f t="shared" si="40"/>
        <v>7.1249999999999994E-2</v>
      </c>
      <c r="BT860" s="355"/>
      <c r="BU860" s="355"/>
      <c r="BV860" s="355"/>
      <c r="BW860" s="355"/>
    </row>
    <row r="861" spans="1:75" x14ac:dyDescent="0.15">
      <c r="A861" s="356"/>
      <c r="B861" s="355"/>
      <c r="C861" s="355"/>
      <c r="D861" s="355"/>
      <c r="E861" s="355"/>
      <c r="F861" s="355"/>
      <c r="G861" s="355"/>
      <c r="O861" s="356"/>
      <c r="P861" s="355"/>
      <c r="Q861" s="355"/>
      <c r="R861" s="355"/>
      <c r="S861" s="355"/>
      <c r="T861" s="355"/>
      <c r="U861" s="355"/>
      <c r="V861" s="355"/>
      <c r="W861" s="355"/>
      <c r="AG861" s="355"/>
      <c r="AH861" s="355"/>
      <c r="AI861" s="355"/>
      <c r="AJ861" s="355"/>
      <c r="AK861" s="355"/>
      <c r="AL861" s="355"/>
      <c r="AM861" s="355"/>
      <c r="AU861" s="379">
        <v>69959</v>
      </c>
      <c r="AV861" s="375"/>
      <c r="AW861" s="375"/>
      <c r="AX861" s="375"/>
      <c r="AY861" s="375"/>
      <c r="AZ861" s="375"/>
      <c r="BA861" s="375"/>
      <c r="BB861" s="375"/>
      <c r="BC861" s="375"/>
      <c r="BD861" s="375"/>
      <c r="BE861" s="375"/>
      <c r="BF861" s="375">
        <v>7.1249999999999994E-2</v>
      </c>
      <c r="BG861" s="375"/>
      <c r="BH861" s="375"/>
      <c r="BI861" s="373">
        <f t="shared" si="40"/>
        <v>7.1249999999999994E-2</v>
      </c>
      <c r="BT861" s="355"/>
      <c r="BU861" s="355"/>
      <c r="BV861" s="355"/>
      <c r="BW861" s="355"/>
    </row>
    <row r="862" spans="1:75" x14ac:dyDescent="0.15">
      <c r="A862" s="356"/>
      <c r="B862" s="355"/>
      <c r="C862" s="355"/>
      <c r="D862" s="355"/>
      <c r="E862" s="355"/>
      <c r="F862" s="355"/>
      <c r="G862" s="355"/>
      <c r="O862" s="356"/>
      <c r="P862" s="355"/>
      <c r="Q862" s="355"/>
      <c r="R862" s="355"/>
      <c r="S862" s="355"/>
      <c r="T862" s="355"/>
      <c r="U862" s="355"/>
      <c r="V862" s="355"/>
      <c r="W862" s="355"/>
      <c r="AG862" s="355"/>
      <c r="AH862" s="355"/>
      <c r="AI862" s="355"/>
      <c r="AJ862" s="355"/>
      <c r="AK862" s="355"/>
      <c r="AL862" s="355"/>
      <c r="AM862" s="355"/>
      <c r="AU862" s="379">
        <v>69990</v>
      </c>
      <c r="AV862" s="375"/>
      <c r="AW862" s="375"/>
      <c r="AX862" s="375"/>
      <c r="AY862" s="375"/>
      <c r="AZ862" s="375"/>
      <c r="BA862" s="375"/>
      <c r="BB862" s="375"/>
      <c r="BC862" s="375"/>
      <c r="BD862" s="375"/>
      <c r="BE862" s="375"/>
      <c r="BF862" s="375">
        <v>7.1249999999999994E-2</v>
      </c>
      <c r="BG862" s="375"/>
      <c r="BH862" s="375"/>
      <c r="BI862" s="373">
        <f t="shared" si="40"/>
        <v>7.1249999999999994E-2</v>
      </c>
      <c r="BT862" s="355"/>
      <c r="BU862" s="355"/>
      <c r="BV862" s="355"/>
      <c r="BW862" s="355"/>
    </row>
    <row r="863" spans="1:75" x14ac:dyDescent="0.15">
      <c r="A863" s="356"/>
      <c r="B863" s="355"/>
      <c r="C863" s="355"/>
      <c r="D863" s="355"/>
      <c r="E863" s="355"/>
      <c r="F863" s="355"/>
      <c r="G863" s="355"/>
      <c r="O863" s="356"/>
      <c r="P863" s="355"/>
      <c r="Q863" s="355"/>
      <c r="R863" s="355"/>
      <c r="S863" s="355"/>
      <c r="T863" s="355"/>
      <c r="U863" s="355"/>
      <c r="V863" s="355"/>
      <c r="W863" s="355"/>
      <c r="AG863" s="355"/>
      <c r="AH863" s="355"/>
      <c r="AI863" s="355"/>
      <c r="AJ863" s="355"/>
      <c r="AK863" s="355"/>
      <c r="AL863" s="355"/>
      <c r="AM863" s="355"/>
      <c r="AU863" s="379">
        <v>70021</v>
      </c>
      <c r="AV863" s="375"/>
      <c r="AW863" s="375"/>
      <c r="AX863" s="375"/>
      <c r="AY863" s="375"/>
      <c r="AZ863" s="375"/>
      <c r="BA863" s="375"/>
      <c r="BB863" s="375"/>
      <c r="BC863" s="375"/>
      <c r="BD863" s="375"/>
      <c r="BE863" s="375"/>
      <c r="BF863" s="375">
        <v>7.1249999999999994E-2</v>
      </c>
      <c r="BG863" s="375"/>
      <c r="BH863" s="375"/>
      <c r="BI863" s="373">
        <f t="shared" si="40"/>
        <v>7.1249999999999994E-2</v>
      </c>
      <c r="BT863" s="355"/>
      <c r="BU863" s="355"/>
      <c r="BV863" s="355"/>
      <c r="BW863" s="355"/>
    </row>
    <row r="864" spans="1:75" x14ac:dyDescent="0.15">
      <c r="A864" s="356"/>
      <c r="B864" s="355"/>
      <c r="C864" s="355"/>
      <c r="D864" s="355"/>
      <c r="E864" s="355"/>
      <c r="F864" s="355"/>
      <c r="G864" s="355"/>
      <c r="O864" s="356"/>
      <c r="P864" s="355"/>
      <c r="Q864" s="355"/>
      <c r="R864" s="355"/>
      <c r="S864" s="355"/>
      <c r="T864" s="355"/>
      <c r="U864" s="355"/>
      <c r="V864" s="355"/>
      <c r="W864" s="355"/>
      <c r="AG864" s="355"/>
      <c r="AH864" s="355"/>
      <c r="AI864" s="355"/>
      <c r="AJ864" s="355"/>
      <c r="AK864" s="355"/>
      <c r="AL864" s="355"/>
      <c r="AM864" s="355"/>
      <c r="AU864" s="379">
        <v>70051</v>
      </c>
      <c r="AV864" s="375"/>
      <c r="AW864" s="375"/>
      <c r="AX864" s="375"/>
      <c r="AY864" s="375"/>
      <c r="AZ864" s="375"/>
      <c r="BA864" s="375"/>
      <c r="BB864" s="375"/>
      <c r="BC864" s="375"/>
      <c r="BD864" s="375"/>
      <c r="BE864" s="375"/>
      <c r="BF864" s="375">
        <v>7.1249999999999994E-2</v>
      </c>
      <c r="BG864" s="375"/>
      <c r="BH864" s="375"/>
      <c r="BI864" s="373">
        <f t="shared" si="40"/>
        <v>7.1249999999999994E-2</v>
      </c>
      <c r="BT864" s="355"/>
      <c r="BU864" s="355"/>
      <c r="BV864" s="355"/>
      <c r="BW864" s="355"/>
    </row>
    <row r="865" spans="1:75" x14ac:dyDescent="0.15">
      <c r="A865" s="356"/>
      <c r="B865" s="355"/>
      <c r="C865" s="355"/>
      <c r="D865" s="355"/>
      <c r="E865" s="355"/>
      <c r="F865" s="355"/>
      <c r="G865" s="355"/>
      <c r="O865" s="356"/>
      <c r="P865" s="355"/>
      <c r="Q865" s="355"/>
      <c r="R865" s="355"/>
      <c r="S865" s="355"/>
      <c r="T865" s="355"/>
      <c r="U865" s="355"/>
      <c r="V865" s="355"/>
      <c r="W865" s="355"/>
      <c r="AG865" s="355"/>
      <c r="AH865" s="355"/>
      <c r="AI865" s="355"/>
      <c r="AJ865" s="355"/>
      <c r="AK865" s="355"/>
      <c r="AL865" s="355"/>
      <c r="AM865" s="355"/>
      <c r="AU865" s="379">
        <v>70082</v>
      </c>
      <c r="AV865" s="375"/>
      <c r="AW865" s="375"/>
      <c r="AX865" s="375"/>
      <c r="AY865" s="375"/>
      <c r="AZ865" s="375"/>
      <c r="BA865" s="375"/>
      <c r="BB865" s="375"/>
      <c r="BC865" s="375"/>
      <c r="BD865" s="375"/>
      <c r="BE865" s="375"/>
      <c r="BF865" s="375">
        <v>7.1249999999999994E-2</v>
      </c>
      <c r="BG865" s="375"/>
      <c r="BH865" s="375"/>
      <c r="BI865" s="373">
        <f t="shared" si="40"/>
        <v>7.1249999999999994E-2</v>
      </c>
      <c r="BT865" s="355"/>
      <c r="BU865" s="355"/>
      <c r="BV865" s="355"/>
      <c r="BW865" s="355"/>
    </row>
    <row r="866" spans="1:75" x14ac:dyDescent="0.15">
      <c r="A866" s="356"/>
      <c r="B866" s="355"/>
      <c r="C866" s="355"/>
      <c r="D866" s="355"/>
      <c r="E866" s="355"/>
      <c r="F866" s="355"/>
      <c r="G866" s="355"/>
      <c r="O866" s="356"/>
      <c r="P866" s="355"/>
      <c r="Q866" s="355"/>
      <c r="R866" s="355"/>
      <c r="S866" s="355"/>
      <c r="T866" s="355"/>
      <c r="U866" s="355"/>
      <c r="V866" s="355"/>
      <c r="W866" s="355"/>
      <c r="AG866" s="355"/>
      <c r="AH866" s="355"/>
      <c r="AI866" s="355"/>
      <c r="AJ866" s="355"/>
      <c r="AK866" s="355"/>
      <c r="AL866" s="355"/>
      <c r="AM866" s="355"/>
      <c r="AU866" s="379">
        <v>70112</v>
      </c>
      <c r="AV866" s="375"/>
      <c r="AW866" s="375"/>
      <c r="AX866" s="375"/>
      <c r="AY866" s="375"/>
      <c r="AZ866" s="375"/>
      <c r="BA866" s="375"/>
      <c r="BB866" s="375"/>
      <c r="BC866" s="375"/>
      <c r="BD866" s="375"/>
      <c r="BE866" s="375"/>
      <c r="BF866" s="375">
        <v>7.1249999999999994E-2</v>
      </c>
      <c r="BG866" s="375"/>
      <c r="BH866" s="375"/>
      <c r="BI866" s="373">
        <f t="shared" si="40"/>
        <v>7.1249999999999994E-2</v>
      </c>
      <c r="BT866" s="355"/>
      <c r="BU866" s="355"/>
      <c r="BV866" s="355"/>
      <c r="BW866" s="355"/>
    </row>
    <row r="867" spans="1:75" x14ac:dyDescent="0.15">
      <c r="A867" s="356"/>
      <c r="B867" s="355"/>
      <c r="C867" s="355"/>
      <c r="D867" s="355"/>
      <c r="E867" s="355"/>
      <c r="F867" s="355"/>
      <c r="G867" s="355"/>
      <c r="O867" s="356"/>
      <c r="P867" s="355"/>
      <c r="Q867" s="355"/>
      <c r="R867" s="355"/>
      <c r="S867" s="355"/>
      <c r="T867" s="355"/>
      <c r="U867" s="355"/>
      <c r="V867" s="355"/>
      <c r="W867" s="355"/>
      <c r="AG867" s="355"/>
      <c r="AH867" s="355"/>
      <c r="AI867" s="355"/>
      <c r="AJ867" s="355"/>
      <c r="AK867" s="355"/>
      <c r="AL867" s="355"/>
      <c r="AM867" s="355"/>
      <c r="AU867" s="379">
        <v>70143</v>
      </c>
      <c r="AV867" s="375"/>
      <c r="AW867" s="375"/>
      <c r="AX867" s="375"/>
      <c r="AY867" s="375"/>
      <c r="AZ867" s="375"/>
      <c r="BA867" s="375"/>
      <c r="BB867" s="375"/>
      <c r="BC867" s="375"/>
      <c r="BD867" s="375"/>
      <c r="BE867" s="375"/>
      <c r="BF867" s="375">
        <v>7.1249999999999994E-2</v>
      </c>
      <c r="BG867" s="375"/>
      <c r="BH867" s="375"/>
      <c r="BI867" s="373">
        <f t="shared" si="40"/>
        <v>7.1249999999999994E-2</v>
      </c>
      <c r="BT867" s="355"/>
      <c r="BU867" s="355"/>
      <c r="BV867" s="355"/>
      <c r="BW867" s="355"/>
    </row>
    <row r="868" spans="1:75" x14ac:dyDescent="0.15">
      <c r="A868" s="356"/>
      <c r="B868" s="355"/>
      <c r="C868" s="355"/>
      <c r="D868" s="355"/>
      <c r="E868" s="355"/>
      <c r="F868" s="355"/>
      <c r="G868" s="355"/>
      <c r="O868" s="356"/>
      <c r="P868" s="355"/>
      <c r="Q868" s="355"/>
      <c r="R868" s="355"/>
      <c r="S868" s="355"/>
      <c r="T868" s="355"/>
      <c r="U868" s="355"/>
      <c r="V868" s="355"/>
      <c r="W868" s="355"/>
      <c r="AG868" s="355"/>
      <c r="AH868" s="355"/>
      <c r="AI868" s="355"/>
      <c r="AJ868" s="355"/>
      <c r="AK868" s="355"/>
      <c r="AL868" s="355"/>
      <c r="AM868" s="355"/>
      <c r="AU868" s="379">
        <v>70174</v>
      </c>
      <c r="AV868" s="375"/>
      <c r="AW868" s="375"/>
      <c r="AX868" s="375"/>
      <c r="AY868" s="375"/>
      <c r="AZ868" s="375"/>
      <c r="BA868" s="375"/>
      <c r="BB868" s="375"/>
      <c r="BC868" s="375"/>
      <c r="BD868" s="375"/>
      <c r="BE868" s="375"/>
      <c r="BF868" s="375">
        <v>7.1249999999999994E-2</v>
      </c>
      <c r="BG868" s="375"/>
      <c r="BH868" s="375"/>
      <c r="BI868" s="373">
        <f t="shared" si="40"/>
        <v>7.1249999999999994E-2</v>
      </c>
      <c r="BT868" s="355"/>
      <c r="BU868" s="355"/>
      <c r="BV868" s="355"/>
      <c r="BW868" s="355"/>
    </row>
    <row r="869" spans="1:75" x14ac:dyDescent="0.15">
      <c r="A869" s="356"/>
      <c r="B869" s="355"/>
      <c r="C869" s="355"/>
      <c r="D869" s="355"/>
      <c r="E869" s="355"/>
      <c r="F869" s="355"/>
      <c r="G869" s="355"/>
      <c r="O869" s="356"/>
      <c r="P869" s="355"/>
      <c r="Q869" s="355"/>
      <c r="R869" s="355"/>
      <c r="S869" s="355"/>
      <c r="T869" s="355"/>
      <c r="U869" s="355"/>
      <c r="V869" s="355"/>
      <c r="W869" s="355"/>
      <c r="AG869" s="355"/>
      <c r="AH869" s="355"/>
      <c r="AI869" s="355"/>
      <c r="AJ869" s="355"/>
      <c r="AK869" s="355"/>
      <c r="AL869" s="355"/>
      <c r="AM869" s="355"/>
      <c r="AU869" s="379">
        <v>70203</v>
      </c>
      <c r="AV869" s="375"/>
      <c r="AW869" s="375"/>
      <c r="AX869" s="375"/>
      <c r="AY869" s="375"/>
      <c r="AZ869" s="375"/>
      <c r="BA869" s="375"/>
      <c r="BB869" s="375"/>
      <c r="BC869" s="375"/>
      <c r="BD869" s="375"/>
      <c r="BE869" s="375"/>
      <c r="BF869" s="375">
        <v>7.1249999999999994E-2</v>
      </c>
      <c r="BG869" s="375"/>
      <c r="BH869" s="375"/>
      <c r="BI869" s="373">
        <f t="shared" si="40"/>
        <v>7.1249999999999994E-2</v>
      </c>
      <c r="BT869" s="355"/>
      <c r="BU869" s="355"/>
      <c r="BV869" s="355"/>
      <c r="BW869" s="355"/>
    </row>
    <row r="870" spans="1:75" x14ac:dyDescent="0.15">
      <c r="A870" s="356"/>
      <c r="B870" s="355"/>
      <c r="C870" s="355"/>
      <c r="D870" s="355"/>
      <c r="E870" s="355"/>
      <c r="F870" s="355"/>
      <c r="G870" s="355"/>
      <c r="O870" s="356"/>
      <c r="P870" s="355"/>
      <c r="Q870" s="355"/>
      <c r="R870" s="355"/>
      <c r="S870" s="355"/>
      <c r="T870" s="355"/>
      <c r="U870" s="355"/>
      <c r="V870" s="355"/>
      <c r="W870" s="355"/>
      <c r="AG870" s="355"/>
      <c r="AH870" s="355"/>
      <c r="AI870" s="355"/>
      <c r="AJ870" s="355"/>
      <c r="AK870" s="355"/>
      <c r="AL870" s="355"/>
      <c r="AM870" s="355"/>
      <c r="AU870" s="379">
        <v>70234</v>
      </c>
      <c r="AV870" s="375"/>
      <c r="AW870" s="375"/>
      <c r="AX870" s="375"/>
      <c r="AY870" s="375"/>
      <c r="AZ870" s="375"/>
      <c r="BA870" s="375"/>
      <c r="BB870" s="375"/>
      <c r="BC870" s="375"/>
      <c r="BD870" s="375"/>
      <c r="BE870" s="375"/>
      <c r="BF870" s="375">
        <v>7.1249999999999994E-2</v>
      </c>
      <c r="BG870" s="375"/>
      <c r="BH870" s="375"/>
      <c r="BI870" s="373">
        <f t="shared" si="40"/>
        <v>7.1249999999999994E-2</v>
      </c>
      <c r="BT870" s="355"/>
      <c r="BU870" s="355"/>
      <c r="BV870" s="355"/>
      <c r="BW870" s="355"/>
    </row>
    <row r="871" spans="1:75" x14ac:dyDescent="0.15">
      <c r="A871" s="356"/>
      <c r="B871" s="355"/>
      <c r="C871" s="355"/>
      <c r="D871" s="355"/>
      <c r="E871" s="355"/>
      <c r="F871" s="355"/>
      <c r="G871" s="355"/>
      <c r="O871" s="356"/>
      <c r="P871" s="355"/>
      <c r="Q871" s="355"/>
      <c r="R871" s="355"/>
      <c r="S871" s="355"/>
      <c r="T871" s="355"/>
      <c r="U871" s="355"/>
      <c r="V871" s="355"/>
      <c r="W871" s="355"/>
      <c r="AG871" s="355"/>
      <c r="AH871" s="355"/>
      <c r="AI871" s="355"/>
      <c r="AJ871" s="355"/>
      <c r="AK871" s="355"/>
      <c r="AL871" s="355"/>
      <c r="AM871" s="355"/>
      <c r="AU871" s="379">
        <v>70264</v>
      </c>
      <c r="AV871" s="375"/>
      <c r="AW871" s="375"/>
      <c r="AX871" s="375"/>
      <c r="AY871" s="375"/>
      <c r="AZ871" s="375"/>
      <c r="BA871" s="375"/>
      <c r="BB871" s="375"/>
      <c r="BC871" s="375"/>
      <c r="BD871" s="375"/>
      <c r="BE871" s="375"/>
      <c r="BF871" s="375">
        <v>7.1249999999999994E-2</v>
      </c>
      <c r="BG871" s="375"/>
      <c r="BH871" s="375"/>
      <c r="BI871" s="373">
        <f t="shared" si="40"/>
        <v>7.1249999999999994E-2</v>
      </c>
      <c r="BT871" s="355"/>
      <c r="BU871" s="355"/>
      <c r="BV871" s="355"/>
      <c r="BW871" s="355"/>
    </row>
    <row r="872" spans="1:75" x14ac:dyDescent="0.15">
      <c r="A872" s="356"/>
      <c r="B872" s="355"/>
      <c r="C872" s="355"/>
      <c r="D872" s="355"/>
      <c r="E872" s="355"/>
      <c r="F872" s="355"/>
      <c r="G872" s="355"/>
      <c r="O872" s="356"/>
      <c r="P872" s="355"/>
      <c r="Q872" s="355"/>
      <c r="R872" s="355"/>
      <c r="S872" s="355"/>
      <c r="T872" s="355"/>
      <c r="U872" s="355"/>
      <c r="V872" s="355"/>
      <c r="W872" s="355"/>
      <c r="AG872" s="355"/>
      <c r="AH872" s="355"/>
      <c r="AI872" s="355"/>
      <c r="AJ872" s="355"/>
      <c r="AK872" s="355"/>
      <c r="AL872" s="355"/>
      <c r="AM872" s="355"/>
      <c r="AU872" s="379">
        <v>70295</v>
      </c>
      <c r="AV872" s="375"/>
      <c r="AW872" s="375"/>
      <c r="AX872" s="375"/>
      <c r="AY872" s="375"/>
      <c r="AZ872" s="375"/>
      <c r="BA872" s="375"/>
      <c r="BB872" s="375"/>
      <c r="BC872" s="375"/>
      <c r="BD872" s="375"/>
      <c r="BE872" s="375"/>
      <c r="BF872" s="375">
        <v>7.1249999999999994E-2</v>
      </c>
      <c r="BG872" s="375"/>
      <c r="BH872" s="375"/>
      <c r="BI872" s="373">
        <f t="shared" si="40"/>
        <v>7.1249999999999994E-2</v>
      </c>
      <c r="BT872" s="355"/>
      <c r="BU872" s="355"/>
      <c r="BV872" s="355"/>
      <c r="BW872" s="355"/>
    </row>
    <row r="873" spans="1:75" x14ac:dyDescent="0.15">
      <c r="A873" s="356"/>
      <c r="B873" s="355"/>
      <c r="C873" s="355"/>
      <c r="D873" s="355"/>
      <c r="E873" s="355"/>
      <c r="F873" s="355"/>
      <c r="G873" s="355"/>
      <c r="O873" s="356"/>
      <c r="P873" s="355"/>
      <c r="Q873" s="355"/>
      <c r="R873" s="355"/>
      <c r="S873" s="355"/>
      <c r="T873" s="355"/>
      <c r="U873" s="355"/>
      <c r="V873" s="355"/>
      <c r="W873" s="355"/>
      <c r="AG873" s="355"/>
      <c r="AH873" s="355"/>
      <c r="AI873" s="355"/>
      <c r="AJ873" s="355"/>
      <c r="AK873" s="355"/>
      <c r="AL873" s="355"/>
      <c r="AM873" s="355"/>
      <c r="AU873" s="379">
        <v>70325</v>
      </c>
      <c r="AV873" s="375"/>
      <c r="AW873" s="375"/>
      <c r="AX873" s="375"/>
      <c r="AY873" s="375"/>
      <c r="AZ873" s="375"/>
      <c r="BA873" s="375"/>
      <c r="BB873" s="375"/>
      <c r="BC873" s="375"/>
      <c r="BD873" s="375"/>
      <c r="BE873" s="375"/>
      <c r="BF873" s="375">
        <v>7.1249999999999994E-2</v>
      </c>
      <c r="BG873" s="375"/>
      <c r="BH873" s="375"/>
      <c r="BI873" s="373">
        <f t="shared" si="40"/>
        <v>7.1249999999999994E-2</v>
      </c>
      <c r="BT873" s="355"/>
      <c r="BU873" s="355"/>
      <c r="BV873" s="355"/>
      <c r="BW873" s="355"/>
    </row>
    <row r="874" spans="1:75" x14ac:dyDescent="0.15">
      <c r="A874" s="356"/>
      <c r="B874" s="355"/>
      <c r="C874" s="355"/>
      <c r="D874" s="355"/>
      <c r="E874" s="355"/>
      <c r="F874" s="355"/>
      <c r="G874" s="355"/>
      <c r="O874" s="356"/>
      <c r="P874" s="355"/>
      <c r="Q874" s="355"/>
      <c r="R874" s="355"/>
      <c r="S874" s="355"/>
      <c r="T874" s="355"/>
      <c r="U874" s="355"/>
      <c r="V874" s="355"/>
      <c r="W874" s="355"/>
      <c r="AG874" s="355"/>
      <c r="AH874" s="355"/>
      <c r="AI874" s="355"/>
      <c r="AJ874" s="355"/>
      <c r="AK874" s="355"/>
      <c r="AL874" s="355"/>
      <c r="AM874" s="355"/>
      <c r="AU874" s="379">
        <v>70356</v>
      </c>
      <c r="AV874" s="375"/>
      <c r="AW874" s="375"/>
      <c r="AX874" s="375"/>
      <c r="AY874" s="375"/>
      <c r="AZ874" s="375"/>
      <c r="BA874" s="375"/>
      <c r="BB874" s="375"/>
      <c r="BC874" s="375"/>
      <c r="BD874" s="375"/>
      <c r="BE874" s="375"/>
      <c r="BF874" s="375">
        <v>7.1249999999999994E-2</v>
      </c>
      <c r="BG874" s="375"/>
      <c r="BH874" s="375"/>
      <c r="BI874" s="373">
        <f t="shared" si="40"/>
        <v>7.1249999999999994E-2</v>
      </c>
      <c r="BT874" s="355"/>
      <c r="BU874" s="355"/>
      <c r="BV874" s="355"/>
      <c r="BW874" s="355"/>
    </row>
    <row r="875" spans="1:75" x14ac:dyDescent="0.15">
      <c r="A875" s="356"/>
      <c r="B875" s="355"/>
      <c r="C875" s="355"/>
      <c r="D875" s="355"/>
      <c r="E875" s="355"/>
      <c r="F875" s="355"/>
      <c r="G875" s="355"/>
      <c r="O875" s="356"/>
      <c r="P875" s="355"/>
      <c r="Q875" s="355"/>
      <c r="R875" s="355"/>
      <c r="S875" s="355"/>
      <c r="T875" s="355"/>
      <c r="U875" s="355"/>
      <c r="V875" s="355"/>
      <c r="W875" s="355"/>
      <c r="AG875" s="355"/>
      <c r="AH875" s="355"/>
      <c r="AI875" s="355"/>
      <c r="AJ875" s="355"/>
      <c r="AK875" s="355"/>
      <c r="AL875" s="355"/>
      <c r="AM875" s="355"/>
      <c r="AU875" s="379">
        <v>70387</v>
      </c>
      <c r="AV875" s="375"/>
      <c r="AW875" s="375"/>
      <c r="AX875" s="375"/>
      <c r="AY875" s="375"/>
      <c r="AZ875" s="375"/>
      <c r="BA875" s="375"/>
      <c r="BB875" s="375"/>
      <c r="BC875" s="375"/>
      <c r="BD875" s="375"/>
      <c r="BE875" s="375"/>
      <c r="BF875" s="375">
        <v>7.1249999999999994E-2</v>
      </c>
      <c r="BG875" s="375"/>
      <c r="BH875" s="375"/>
      <c r="BI875" s="373">
        <f t="shared" si="40"/>
        <v>7.1249999999999994E-2</v>
      </c>
      <c r="BT875" s="355"/>
      <c r="BU875" s="355"/>
      <c r="BV875" s="355"/>
      <c r="BW875" s="355"/>
    </row>
    <row r="876" spans="1:75" x14ac:dyDescent="0.15">
      <c r="A876" s="356"/>
      <c r="B876" s="355"/>
      <c r="C876" s="355"/>
      <c r="D876" s="355"/>
      <c r="E876" s="355"/>
      <c r="F876" s="355"/>
      <c r="G876" s="355"/>
      <c r="O876" s="356"/>
      <c r="P876" s="355"/>
      <c r="Q876" s="355"/>
      <c r="R876" s="355"/>
      <c r="S876" s="355"/>
      <c r="T876" s="355"/>
      <c r="U876" s="355"/>
      <c r="V876" s="355"/>
      <c r="W876" s="355"/>
      <c r="AG876" s="355"/>
      <c r="AH876" s="355"/>
      <c r="AI876" s="355"/>
      <c r="AJ876" s="355"/>
      <c r="AK876" s="355"/>
      <c r="AL876" s="355"/>
      <c r="AM876" s="355"/>
      <c r="AU876" s="379">
        <v>70417</v>
      </c>
      <c r="AV876" s="375"/>
      <c r="AW876" s="375"/>
      <c r="AX876" s="375"/>
      <c r="AY876" s="375"/>
      <c r="AZ876" s="375"/>
      <c r="BA876" s="375"/>
      <c r="BB876" s="375"/>
      <c r="BC876" s="375"/>
      <c r="BD876" s="375"/>
      <c r="BE876" s="375"/>
      <c r="BF876" s="375">
        <v>7.1249999999999994E-2</v>
      </c>
      <c r="BG876" s="375"/>
      <c r="BH876" s="375"/>
      <c r="BI876" s="373">
        <f t="shared" si="40"/>
        <v>7.1249999999999994E-2</v>
      </c>
      <c r="BT876" s="355"/>
      <c r="BU876" s="355"/>
      <c r="BV876" s="355"/>
      <c r="BW876" s="355"/>
    </row>
    <row r="877" spans="1:75" x14ac:dyDescent="0.15">
      <c r="A877" s="356"/>
      <c r="B877" s="355"/>
      <c r="C877" s="355"/>
      <c r="D877" s="355"/>
      <c r="E877" s="355"/>
      <c r="F877" s="355"/>
      <c r="G877" s="355"/>
      <c r="O877" s="356"/>
      <c r="P877" s="355"/>
      <c r="Q877" s="355"/>
      <c r="R877" s="355"/>
      <c r="S877" s="355"/>
      <c r="T877" s="355"/>
      <c r="U877" s="355"/>
      <c r="V877" s="355"/>
      <c r="W877" s="355"/>
      <c r="AG877" s="355"/>
      <c r="AH877" s="355"/>
      <c r="AI877" s="355"/>
      <c r="AJ877" s="355"/>
      <c r="AK877" s="355"/>
      <c r="AL877" s="355"/>
      <c r="AM877" s="355"/>
      <c r="AU877" s="379">
        <v>70448</v>
      </c>
      <c r="AV877" s="375"/>
      <c r="AW877" s="375"/>
      <c r="AX877" s="375"/>
      <c r="AY877" s="375"/>
      <c r="AZ877" s="375"/>
      <c r="BA877" s="375"/>
      <c r="BB877" s="375"/>
      <c r="BC877" s="375"/>
      <c r="BD877" s="375"/>
      <c r="BE877" s="375"/>
      <c r="BF877" s="375">
        <v>7.1249999999999994E-2</v>
      </c>
      <c r="BG877" s="375"/>
      <c r="BH877" s="375"/>
      <c r="BI877" s="373">
        <f t="shared" si="40"/>
        <v>7.1249999999999994E-2</v>
      </c>
      <c r="BT877" s="355"/>
      <c r="BU877" s="355"/>
      <c r="BV877" s="355"/>
      <c r="BW877" s="355"/>
    </row>
    <row r="878" spans="1:75" x14ac:dyDescent="0.15">
      <c r="A878" s="356"/>
      <c r="B878" s="355"/>
      <c r="C878" s="355"/>
      <c r="D878" s="355"/>
      <c r="E878" s="355"/>
      <c r="F878" s="355"/>
      <c r="G878" s="355"/>
      <c r="O878" s="356"/>
      <c r="P878" s="355"/>
      <c r="Q878" s="355"/>
      <c r="R878" s="355"/>
      <c r="S878" s="355"/>
      <c r="T878" s="355"/>
      <c r="U878" s="355"/>
      <c r="V878" s="355"/>
      <c r="W878" s="355"/>
      <c r="AG878" s="355"/>
      <c r="AH878" s="355"/>
      <c r="AI878" s="355"/>
      <c r="AJ878" s="355"/>
      <c r="AK878" s="355"/>
      <c r="AL878" s="355"/>
      <c r="AM878" s="355"/>
      <c r="AU878" s="379">
        <v>70478</v>
      </c>
      <c r="AV878" s="375"/>
      <c r="AW878" s="375"/>
      <c r="AX878" s="375"/>
      <c r="AY878" s="375"/>
      <c r="AZ878" s="375"/>
      <c r="BA878" s="375"/>
      <c r="BB878" s="375"/>
      <c r="BC878" s="375"/>
      <c r="BD878" s="375"/>
      <c r="BE878" s="375"/>
      <c r="BF878" s="375">
        <v>7.1249999999999994E-2</v>
      </c>
      <c r="BG878" s="375"/>
      <c r="BH878" s="375"/>
      <c r="BI878" s="373">
        <f t="shared" si="40"/>
        <v>7.1249999999999994E-2</v>
      </c>
      <c r="BT878" s="355"/>
      <c r="BU878" s="355"/>
      <c r="BV878" s="355"/>
      <c r="BW878" s="355"/>
    </row>
    <row r="879" spans="1:75" x14ac:dyDescent="0.15">
      <c r="A879" s="356"/>
      <c r="B879" s="355"/>
      <c r="C879" s="355"/>
      <c r="D879" s="355"/>
      <c r="E879" s="355"/>
      <c r="F879" s="355"/>
      <c r="G879" s="355"/>
      <c r="O879" s="356"/>
      <c r="P879" s="355"/>
      <c r="Q879" s="355"/>
      <c r="R879" s="355"/>
      <c r="S879" s="355"/>
      <c r="T879" s="355"/>
      <c r="U879" s="355"/>
      <c r="V879" s="355"/>
      <c r="W879" s="355"/>
      <c r="AG879" s="355"/>
      <c r="AH879" s="355"/>
      <c r="AI879" s="355"/>
      <c r="AJ879" s="355"/>
      <c r="AK879" s="355"/>
      <c r="AL879" s="355"/>
      <c r="AM879" s="355"/>
      <c r="AU879" s="379">
        <v>70509</v>
      </c>
      <c r="AV879" s="375"/>
      <c r="AW879" s="375"/>
      <c r="AX879" s="375"/>
      <c r="AY879" s="375"/>
      <c r="AZ879" s="375"/>
      <c r="BA879" s="375"/>
      <c r="BB879" s="375"/>
      <c r="BC879" s="375"/>
      <c r="BD879" s="375"/>
      <c r="BE879" s="375"/>
      <c r="BF879" s="375">
        <v>7.1249999999999994E-2</v>
      </c>
      <c r="BG879" s="375"/>
      <c r="BH879" s="375"/>
      <c r="BI879" s="373">
        <f t="shared" si="40"/>
        <v>7.1249999999999994E-2</v>
      </c>
      <c r="BT879" s="355"/>
      <c r="BU879" s="355"/>
      <c r="BV879" s="355"/>
      <c r="BW879" s="355"/>
    </row>
    <row r="880" spans="1:75" x14ac:dyDescent="0.15">
      <c r="A880" s="356"/>
      <c r="B880" s="355"/>
      <c r="C880" s="355"/>
      <c r="D880" s="355"/>
      <c r="E880" s="355"/>
      <c r="F880" s="355"/>
      <c r="G880" s="355"/>
      <c r="O880" s="356"/>
      <c r="P880" s="355"/>
      <c r="Q880" s="355"/>
      <c r="R880" s="355"/>
      <c r="S880" s="355"/>
      <c r="T880" s="355"/>
      <c r="U880" s="355"/>
      <c r="V880" s="355"/>
      <c r="W880" s="355"/>
      <c r="AG880" s="355"/>
      <c r="AH880" s="355"/>
      <c r="AI880" s="355"/>
      <c r="AJ880" s="355"/>
      <c r="AK880" s="355"/>
      <c r="AL880" s="355"/>
      <c r="AM880" s="355"/>
      <c r="AU880" s="379">
        <v>70540</v>
      </c>
      <c r="AV880" s="375"/>
      <c r="AW880" s="375"/>
      <c r="AX880" s="375"/>
      <c r="AY880" s="375"/>
      <c r="AZ880" s="375"/>
      <c r="BA880" s="375"/>
      <c r="BB880" s="375"/>
      <c r="BC880" s="375"/>
      <c r="BD880" s="375"/>
      <c r="BE880" s="375"/>
      <c r="BF880" s="375">
        <v>7.1249999999999994E-2</v>
      </c>
      <c r="BG880" s="375"/>
      <c r="BH880" s="375"/>
      <c r="BI880" s="373">
        <f t="shared" si="40"/>
        <v>7.1249999999999994E-2</v>
      </c>
      <c r="BT880" s="355"/>
      <c r="BU880" s="355"/>
      <c r="BV880" s="355"/>
      <c r="BW880" s="355"/>
    </row>
    <row r="881" spans="1:75" x14ac:dyDescent="0.15">
      <c r="A881" s="356"/>
      <c r="B881" s="355"/>
      <c r="C881" s="355"/>
      <c r="D881" s="355"/>
      <c r="E881" s="355"/>
      <c r="F881" s="355"/>
      <c r="G881" s="355"/>
      <c r="O881" s="356"/>
      <c r="P881" s="355"/>
      <c r="Q881" s="355"/>
      <c r="R881" s="355"/>
      <c r="S881" s="355"/>
      <c r="T881" s="355"/>
      <c r="U881" s="355"/>
      <c r="V881" s="355"/>
      <c r="W881" s="355"/>
      <c r="AG881" s="355"/>
      <c r="AH881" s="355"/>
      <c r="AI881" s="355"/>
      <c r="AJ881" s="355"/>
      <c r="AK881" s="355"/>
      <c r="AL881" s="355"/>
      <c r="AM881" s="355"/>
      <c r="AU881" s="379">
        <v>70568</v>
      </c>
      <c r="AV881" s="375"/>
      <c r="AW881" s="375"/>
      <c r="AX881" s="375"/>
      <c r="AY881" s="375"/>
      <c r="AZ881" s="375"/>
      <c r="BA881" s="375"/>
      <c r="BB881" s="375"/>
      <c r="BC881" s="375"/>
      <c r="BD881" s="375"/>
      <c r="BE881" s="375"/>
      <c r="BF881" s="375">
        <v>7.1249999999999994E-2</v>
      </c>
      <c r="BG881" s="375"/>
      <c r="BH881" s="375"/>
      <c r="BI881" s="373">
        <f t="shared" si="40"/>
        <v>7.1249999999999994E-2</v>
      </c>
      <c r="BT881" s="355"/>
      <c r="BU881" s="355"/>
      <c r="BV881" s="355"/>
      <c r="BW881" s="355"/>
    </row>
    <row r="882" spans="1:75" x14ac:dyDescent="0.15">
      <c r="A882" s="356"/>
      <c r="B882" s="355"/>
      <c r="C882" s="355"/>
      <c r="D882" s="355"/>
      <c r="E882" s="355"/>
      <c r="F882" s="355"/>
      <c r="G882" s="355"/>
      <c r="O882" s="356"/>
      <c r="P882" s="355"/>
      <c r="Q882" s="355"/>
      <c r="R882" s="355"/>
      <c r="S882" s="355"/>
      <c r="T882" s="355"/>
      <c r="U882" s="355"/>
      <c r="V882" s="355"/>
      <c r="W882" s="355"/>
      <c r="AG882" s="355"/>
      <c r="AH882" s="355"/>
      <c r="AI882" s="355"/>
      <c r="AJ882" s="355"/>
      <c r="AK882" s="355"/>
      <c r="AL882" s="355"/>
      <c r="AM882" s="355"/>
      <c r="AU882" s="379">
        <v>70599</v>
      </c>
      <c r="AV882" s="375"/>
      <c r="AW882" s="375"/>
      <c r="AX882" s="375"/>
      <c r="AY882" s="375"/>
      <c r="AZ882" s="375"/>
      <c r="BA882" s="375"/>
      <c r="BB882" s="375"/>
      <c r="BC882" s="375"/>
      <c r="BD882" s="375"/>
      <c r="BE882" s="375"/>
      <c r="BF882" s="375">
        <v>7.1249999999999994E-2</v>
      </c>
      <c r="BG882" s="375"/>
      <c r="BH882" s="375"/>
      <c r="BI882" s="373">
        <f t="shared" si="40"/>
        <v>7.1249999999999994E-2</v>
      </c>
      <c r="BT882" s="355"/>
      <c r="BU882" s="355"/>
      <c r="BV882" s="355"/>
      <c r="BW882" s="355"/>
    </row>
    <row r="883" spans="1:75" x14ac:dyDescent="0.15">
      <c r="A883" s="356"/>
      <c r="B883" s="355"/>
      <c r="C883" s="355"/>
      <c r="D883" s="355"/>
      <c r="E883" s="355"/>
      <c r="F883" s="355"/>
      <c r="G883" s="355"/>
      <c r="O883" s="356"/>
      <c r="P883" s="355"/>
      <c r="Q883" s="355"/>
      <c r="R883" s="355"/>
      <c r="S883" s="355"/>
      <c r="T883" s="355"/>
      <c r="U883" s="355"/>
      <c r="V883" s="355"/>
      <c r="W883" s="355"/>
      <c r="AG883" s="355"/>
      <c r="AH883" s="355"/>
      <c r="AI883" s="355"/>
      <c r="AJ883" s="355"/>
      <c r="AK883" s="355"/>
      <c r="AL883" s="355"/>
      <c r="AM883" s="355"/>
      <c r="AU883" s="379">
        <v>70629</v>
      </c>
      <c r="AV883" s="375"/>
      <c r="AW883" s="375"/>
      <c r="AX883" s="375"/>
      <c r="AY883" s="375"/>
      <c r="AZ883" s="375"/>
      <c r="BA883" s="375"/>
      <c r="BB883" s="375"/>
      <c r="BC883" s="375"/>
      <c r="BD883" s="375"/>
      <c r="BE883" s="375"/>
      <c r="BF883" s="375">
        <v>7.1249999999999994E-2</v>
      </c>
      <c r="BG883" s="375"/>
      <c r="BH883" s="375"/>
      <c r="BI883" s="373">
        <f t="shared" si="40"/>
        <v>7.1249999999999994E-2</v>
      </c>
      <c r="BT883" s="355"/>
      <c r="BU883" s="355"/>
      <c r="BV883" s="355"/>
      <c r="BW883" s="355"/>
    </row>
    <row r="884" spans="1:75" x14ac:dyDescent="0.15">
      <c r="A884" s="356"/>
      <c r="B884" s="355"/>
      <c r="C884" s="355"/>
      <c r="D884" s="355"/>
      <c r="E884" s="355"/>
      <c r="F884" s="355"/>
      <c r="G884" s="355"/>
      <c r="O884" s="356"/>
      <c r="P884" s="355"/>
      <c r="Q884" s="355"/>
      <c r="R884" s="355"/>
      <c r="S884" s="355"/>
      <c r="T884" s="355"/>
      <c r="U884" s="355"/>
      <c r="V884" s="355"/>
      <c r="W884" s="355"/>
      <c r="AG884" s="355"/>
      <c r="AH884" s="355"/>
      <c r="AI884" s="355"/>
      <c r="AJ884" s="355"/>
      <c r="AK884" s="355"/>
      <c r="AL884" s="355"/>
      <c r="AM884" s="355"/>
      <c r="AU884" s="379">
        <v>70660</v>
      </c>
      <c r="AV884" s="375"/>
      <c r="AW884" s="375"/>
      <c r="AX884" s="375"/>
      <c r="AY884" s="375"/>
      <c r="AZ884" s="375"/>
      <c r="BA884" s="375"/>
      <c r="BB884" s="375"/>
      <c r="BC884" s="375"/>
      <c r="BD884" s="375"/>
      <c r="BE884" s="375"/>
      <c r="BF884" s="375">
        <v>7.1249999999999994E-2</v>
      </c>
      <c r="BG884" s="375"/>
      <c r="BH884" s="375"/>
      <c r="BI884" s="373">
        <f t="shared" si="40"/>
        <v>7.1249999999999994E-2</v>
      </c>
      <c r="BT884" s="355"/>
      <c r="BU884" s="355"/>
      <c r="BV884" s="355"/>
      <c r="BW884" s="355"/>
    </row>
    <row r="885" spans="1:75" x14ac:dyDescent="0.15">
      <c r="A885" s="356"/>
      <c r="B885" s="355"/>
      <c r="C885" s="355"/>
      <c r="D885" s="355"/>
      <c r="E885" s="355"/>
      <c r="F885" s="355"/>
      <c r="G885" s="355"/>
      <c r="O885" s="356"/>
      <c r="P885" s="355"/>
      <c r="Q885" s="355"/>
      <c r="R885" s="355"/>
      <c r="S885" s="355"/>
      <c r="T885" s="355"/>
      <c r="U885" s="355"/>
      <c r="V885" s="355"/>
      <c r="W885" s="355"/>
      <c r="AG885" s="355"/>
      <c r="AH885" s="355"/>
      <c r="AI885" s="355"/>
      <c r="AJ885" s="355"/>
      <c r="AK885" s="355"/>
      <c r="AL885" s="355"/>
      <c r="AM885" s="355"/>
      <c r="AU885" s="379">
        <v>70690</v>
      </c>
      <c r="AV885" s="375"/>
      <c r="AW885" s="375"/>
      <c r="AX885" s="375"/>
      <c r="AY885" s="375"/>
      <c r="AZ885" s="375"/>
      <c r="BA885" s="375"/>
      <c r="BB885" s="375"/>
      <c r="BC885" s="375"/>
      <c r="BD885" s="375"/>
      <c r="BE885" s="375"/>
      <c r="BF885" s="375">
        <v>7.1249999999999994E-2</v>
      </c>
      <c r="BG885" s="375"/>
      <c r="BH885" s="375"/>
      <c r="BI885" s="373">
        <f t="shared" si="40"/>
        <v>7.1249999999999994E-2</v>
      </c>
      <c r="BT885" s="355"/>
      <c r="BU885" s="355"/>
      <c r="BV885" s="355"/>
      <c r="BW885" s="355"/>
    </row>
    <row r="886" spans="1:75" x14ac:dyDescent="0.15">
      <c r="A886" s="356"/>
      <c r="B886" s="355"/>
      <c r="C886" s="355"/>
      <c r="D886" s="355"/>
      <c r="E886" s="355"/>
      <c r="F886" s="355"/>
      <c r="G886" s="355"/>
      <c r="O886" s="356"/>
      <c r="P886" s="355"/>
      <c r="Q886" s="355"/>
      <c r="R886" s="355"/>
      <c r="S886" s="355"/>
      <c r="T886" s="355"/>
      <c r="U886" s="355"/>
      <c r="V886" s="355"/>
      <c r="W886" s="355"/>
      <c r="AG886" s="355"/>
      <c r="AH886" s="355"/>
      <c r="AI886" s="355"/>
      <c r="AJ886" s="355"/>
      <c r="AK886" s="355"/>
      <c r="AL886" s="355"/>
      <c r="AM886" s="355"/>
      <c r="AU886" s="379">
        <v>70721</v>
      </c>
      <c r="AV886" s="375"/>
      <c r="AW886" s="375"/>
      <c r="AX886" s="375"/>
      <c r="AY886" s="375"/>
      <c r="AZ886" s="375"/>
      <c r="BA886" s="375"/>
      <c r="BB886" s="375"/>
      <c r="BC886" s="375"/>
      <c r="BD886" s="375"/>
      <c r="BE886" s="375"/>
      <c r="BF886" s="375">
        <v>7.1249999999999994E-2</v>
      </c>
      <c r="BG886" s="375"/>
      <c r="BH886" s="375"/>
      <c r="BI886" s="373">
        <f t="shared" si="40"/>
        <v>7.1249999999999994E-2</v>
      </c>
      <c r="BT886" s="355"/>
      <c r="BU886" s="355"/>
      <c r="BV886" s="355"/>
      <c r="BW886" s="355"/>
    </row>
    <row r="887" spans="1:75" x14ac:dyDescent="0.15">
      <c r="A887" s="356"/>
      <c r="B887" s="355"/>
      <c r="C887" s="355"/>
      <c r="D887" s="355"/>
      <c r="E887" s="355"/>
      <c r="F887" s="355"/>
      <c r="G887" s="355"/>
      <c r="O887" s="356"/>
      <c r="P887" s="355"/>
      <c r="Q887" s="355"/>
      <c r="R887" s="355"/>
      <c r="S887" s="355"/>
      <c r="T887" s="355"/>
      <c r="U887" s="355"/>
      <c r="V887" s="355"/>
      <c r="W887" s="355"/>
      <c r="AG887" s="355"/>
      <c r="AH887" s="355"/>
      <c r="AI887" s="355"/>
      <c r="AJ887" s="355"/>
      <c r="AK887" s="355"/>
      <c r="AL887" s="355"/>
      <c r="AM887" s="355"/>
      <c r="AU887" s="379">
        <v>70752</v>
      </c>
      <c r="AV887" s="375"/>
      <c r="AW887" s="375"/>
      <c r="AX887" s="375"/>
      <c r="AY887" s="375"/>
      <c r="AZ887" s="375"/>
      <c r="BA887" s="375"/>
      <c r="BB887" s="375"/>
      <c r="BC887" s="375"/>
      <c r="BD887" s="375"/>
      <c r="BE887" s="375"/>
      <c r="BF887" s="375">
        <v>7.1249999999999994E-2</v>
      </c>
      <c r="BG887" s="375"/>
      <c r="BH887" s="375"/>
      <c r="BI887" s="373">
        <f t="shared" si="40"/>
        <v>7.1249999999999994E-2</v>
      </c>
      <c r="BT887" s="355"/>
      <c r="BU887" s="355"/>
      <c r="BV887" s="355"/>
      <c r="BW887" s="355"/>
    </row>
    <row r="888" spans="1:75" x14ac:dyDescent="0.15">
      <c r="A888" s="356"/>
      <c r="B888" s="355"/>
      <c r="C888" s="355"/>
      <c r="D888" s="355"/>
      <c r="E888" s="355"/>
      <c r="F888" s="355"/>
      <c r="G888" s="355"/>
      <c r="O888" s="356"/>
      <c r="P888" s="355"/>
      <c r="Q888" s="355"/>
      <c r="R888" s="355"/>
      <c r="S888" s="355"/>
      <c r="T888" s="355"/>
      <c r="U888" s="355"/>
      <c r="V888" s="355"/>
      <c r="W888" s="355"/>
      <c r="AG888" s="355"/>
      <c r="AH888" s="355"/>
      <c r="AI888" s="355"/>
      <c r="AJ888" s="355"/>
      <c r="AK888" s="355"/>
      <c r="AL888" s="355"/>
      <c r="AM888" s="355"/>
      <c r="AU888" s="379">
        <v>70782</v>
      </c>
      <c r="AV888" s="375"/>
      <c r="AW888" s="375"/>
      <c r="AX888" s="375"/>
      <c r="AY888" s="375"/>
      <c r="AZ888" s="375"/>
      <c r="BA888" s="375"/>
      <c r="BB888" s="375"/>
      <c r="BC888" s="375"/>
      <c r="BD888" s="375"/>
      <c r="BE888" s="375"/>
      <c r="BF888" s="375">
        <v>7.1249999999999994E-2</v>
      </c>
      <c r="BG888" s="375"/>
      <c r="BH888" s="375"/>
      <c r="BI888" s="373">
        <f t="shared" si="40"/>
        <v>7.1249999999999994E-2</v>
      </c>
      <c r="BT888" s="355"/>
      <c r="BU888" s="355"/>
      <c r="BV888" s="355"/>
      <c r="BW888" s="355"/>
    </row>
    <row r="889" spans="1:75" x14ac:dyDescent="0.15">
      <c r="A889" s="356"/>
      <c r="B889" s="355"/>
      <c r="C889" s="355"/>
      <c r="D889" s="355"/>
      <c r="E889" s="355"/>
      <c r="F889" s="355"/>
      <c r="G889" s="355"/>
      <c r="O889" s="356"/>
      <c r="P889" s="355"/>
      <c r="Q889" s="355"/>
      <c r="R889" s="355"/>
      <c r="S889" s="355"/>
      <c r="T889" s="355"/>
      <c r="U889" s="355"/>
      <c r="V889" s="355"/>
      <c r="W889" s="355"/>
      <c r="AG889" s="355"/>
      <c r="AH889" s="355"/>
      <c r="AI889" s="355"/>
      <c r="AJ889" s="355"/>
      <c r="AK889" s="355"/>
      <c r="AL889" s="355"/>
      <c r="AM889" s="355"/>
      <c r="AU889" s="379">
        <v>70813</v>
      </c>
      <c r="AV889" s="375"/>
      <c r="AW889" s="375"/>
      <c r="AX889" s="375"/>
      <c r="AY889" s="375"/>
      <c r="AZ889" s="375"/>
      <c r="BA889" s="375"/>
      <c r="BB889" s="375"/>
      <c r="BC889" s="375"/>
      <c r="BD889" s="375"/>
      <c r="BE889" s="375"/>
      <c r="BF889" s="375">
        <v>7.1249999999999994E-2</v>
      </c>
      <c r="BG889" s="375"/>
      <c r="BH889" s="375"/>
      <c r="BI889" s="373">
        <f t="shared" si="40"/>
        <v>7.1249999999999994E-2</v>
      </c>
      <c r="BT889" s="355"/>
      <c r="BU889" s="355"/>
      <c r="BV889" s="355"/>
      <c r="BW889" s="355"/>
    </row>
    <row r="890" spans="1:75" x14ac:dyDescent="0.15">
      <c r="A890" s="356"/>
      <c r="B890" s="355"/>
      <c r="C890" s="355"/>
      <c r="D890" s="355"/>
      <c r="E890" s="355"/>
      <c r="F890" s="355"/>
      <c r="G890" s="355"/>
      <c r="O890" s="356"/>
      <c r="P890" s="355"/>
      <c r="Q890" s="355"/>
      <c r="R890" s="355"/>
      <c r="S890" s="355"/>
      <c r="T890" s="355"/>
      <c r="U890" s="355"/>
      <c r="V890" s="355"/>
      <c r="W890" s="355"/>
      <c r="AG890" s="355"/>
      <c r="AH890" s="355"/>
      <c r="AI890" s="355"/>
      <c r="AJ890" s="355"/>
      <c r="AK890" s="355"/>
      <c r="AL890" s="355"/>
      <c r="AM890" s="355"/>
      <c r="AU890" s="379">
        <v>70843</v>
      </c>
      <c r="AV890" s="375"/>
      <c r="AW890" s="375"/>
      <c r="AX890" s="375"/>
      <c r="AY890" s="375"/>
      <c r="AZ890" s="375"/>
      <c r="BA890" s="375"/>
      <c r="BB890" s="375"/>
      <c r="BC890" s="375"/>
      <c r="BD890" s="375"/>
      <c r="BE890" s="375"/>
      <c r="BF890" s="375">
        <v>7.1249999999999994E-2</v>
      </c>
      <c r="BG890" s="375"/>
      <c r="BH890" s="375"/>
      <c r="BI890" s="373">
        <f t="shared" si="40"/>
        <v>7.1249999999999994E-2</v>
      </c>
      <c r="BT890" s="355"/>
      <c r="BU890" s="355"/>
      <c r="BV890" s="355"/>
      <c r="BW890" s="355"/>
    </row>
    <row r="891" spans="1:75" x14ac:dyDescent="0.15">
      <c r="A891" s="356"/>
      <c r="B891" s="355"/>
      <c r="C891" s="355"/>
      <c r="D891" s="355"/>
      <c r="E891" s="355"/>
      <c r="F891" s="355"/>
      <c r="G891" s="355"/>
      <c r="O891" s="356"/>
      <c r="P891" s="355"/>
      <c r="Q891" s="355"/>
      <c r="R891" s="355"/>
      <c r="S891" s="355"/>
      <c r="T891" s="355"/>
      <c r="U891" s="355"/>
      <c r="V891" s="355"/>
      <c r="W891" s="355"/>
      <c r="AG891" s="355"/>
      <c r="AH891" s="355"/>
      <c r="AI891" s="355"/>
      <c r="AJ891" s="355"/>
      <c r="AK891" s="355"/>
      <c r="AL891" s="355"/>
      <c r="AM891" s="355"/>
      <c r="AU891" s="379">
        <v>70874</v>
      </c>
      <c r="AV891" s="375"/>
      <c r="AW891" s="375"/>
      <c r="AX891" s="375"/>
      <c r="AY891" s="375"/>
      <c r="AZ891" s="375"/>
      <c r="BA891" s="375"/>
      <c r="BB891" s="375"/>
      <c r="BC891" s="375"/>
      <c r="BD891" s="375"/>
      <c r="BE891" s="375"/>
      <c r="BF891" s="375">
        <v>7.1249999999999994E-2</v>
      </c>
      <c r="BG891" s="375"/>
      <c r="BH891" s="375"/>
      <c r="BI891" s="373">
        <f t="shared" si="40"/>
        <v>7.1249999999999994E-2</v>
      </c>
      <c r="BT891" s="355"/>
      <c r="BU891" s="355"/>
      <c r="BV891" s="355"/>
      <c r="BW891" s="355"/>
    </row>
    <row r="892" spans="1:75" x14ac:dyDescent="0.15">
      <c r="A892" s="356"/>
      <c r="B892" s="355"/>
      <c r="C892" s="355"/>
      <c r="D892" s="355"/>
      <c r="E892" s="355"/>
      <c r="F892" s="355"/>
      <c r="G892" s="355"/>
      <c r="O892" s="356"/>
      <c r="P892" s="355"/>
      <c r="Q892" s="355"/>
      <c r="R892" s="355"/>
      <c r="S892" s="355"/>
      <c r="T892" s="355"/>
      <c r="U892" s="355"/>
      <c r="V892" s="355"/>
      <c r="W892" s="355"/>
      <c r="AG892" s="355"/>
      <c r="AH892" s="355"/>
      <c r="AI892" s="355"/>
      <c r="AJ892" s="355"/>
      <c r="AK892" s="355"/>
      <c r="AL892" s="355"/>
      <c r="AM892" s="355"/>
      <c r="AU892" s="379">
        <v>70905</v>
      </c>
      <c r="AV892" s="375"/>
      <c r="AW892" s="375"/>
      <c r="AX892" s="375"/>
      <c r="AY892" s="375"/>
      <c r="AZ892" s="375"/>
      <c r="BA892" s="375"/>
      <c r="BB892" s="375"/>
      <c r="BC892" s="375"/>
      <c r="BD892" s="375"/>
      <c r="BE892" s="375"/>
      <c r="BF892" s="375">
        <v>7.1249999999999994E-2</v>
      </c>
      <c r="BG892" s="375"/>
      <c r="BH892" s="375"/>
      <c r="BI892" s="373">
        <f t="shared" si="40"/>
        <v>7.1249999999999994E-2</v>
      </c>
      <c r="BT892" s="355"/>
      <c r="BU892" s="355"/>
      <c r="BV892" s="355"/>
      <c r="BW892" s="355"/>
    </row>
    <row r="893" spans="1:75" x14ac:dyDescent="0.15">
      <c r="A893" s="356"/>
      <c r="B893" s="355"/>
      <c r="C893" s="355"/>
      <c r="D893" s="355"/>
      <c r="E893" s="355"/>
      <c r="F893" s="355"/>
      <c r="G893" s="355"/>
      <c r="O893" s="356"/>
      <c r="P893" s="355"/>
      <c r="Q893" s="355"/>
      <c r="R893" s="355"/>
      <c r="S893" s="355"/>
      <c r="T893" s="355"/>
      <c r="U893" s="355"/>
      <c r="V893" s="355"/>
      <c r="W893" s="355"/>
      <c r="AG893" s="355"/>
      <c r="AH893" s="355"/>
      <c r="AI893" s="355"/>
      <c r="AJ893" s="355"/>
      <c r="AK893" s="355"/>
      <c r="AL893" s="355"/>
      <c r="AM893" s="355"/>
      <c r="AU893" s="379">
        <v>70933</v>
      </c>
      <c r="AV893" s="375"/>
      <c r="AW893" s="375"/>
      <c r="AX893" s="375"/>
      <c r="AY893" s="375"/>
      <c r="AZ893" s="375"/>
      <c r="BA893" s="375"/>
      <c r="BB893" s="375"/>
      <c r="BC893" s="375"/>
      <c r="BD893" s="375"/>
      <c r="BE893" s="375"/>
      <c r="BF893" s="375">
        <v>7.1249999999999994E-2</v>
      </c>
      <c r="BG893" s="375"/>
      <c r="BH893" s="375"/>
      <c r="BI893" s="373">
        <f t="shared" si="40"/>
        <v>7.1249999999999994E-2</v>
      </c>
      <c r="BT893" s="355"/>
      <c r="BU893" s="355"/>
      <c r="BV893" s="355"/>
      <c r="BW893" s="355"/>
    </row>
    <row r="894" spans="1:75" x14ac:dyDescent="0.15">
      <c r="A894" s="356"/>
      <c r="B894" s="355"/>
      <c r="C894" s="355"/>
      <c r="D894" s="355"/>
      <c r="E894" s="355"/>
      <c r="F894" s="355"/>
      <c r="G894" s="355"/>
      <c r="O894" s="356"/>
      <c r="P894" s="355"/>
      <c r="Q894" s="355"/>
      <c r="R894" s="355"/>
      <c r="S894" s="355"/>
      <c r="T894" s="355"/>
      <c r="U894" s="355"/>
      <c r="V894" s="355"/>
      <c r="W894" s="355"/>
      <c r="AG894" s="355"/>
      <c r="AH894" s="355"/>
      <c r="AI894" s="355"/>
      <c r="AJ894" s="355"/>
      <c r="AK894" s="355"/>
      <c r="AL894" s="355"/>
      <c r="AM894" s="355"/>
      <c r="AU894" s="379">
        <v>70964</v>
      </c>
      <c r="AV894" s="375"/>
      <c r="AW894" s="375"/>
      <c r="AX894" s="375"/>
      <c r="AY894" s="375"/>
      <c r="AZ894" s="375"/>
      <c r="BA894" s="375"/>
      <c r="BB894" s="375"/>
      <c r="BC894" s="375"/>
      <c r="BD894" s="375"/>
      <c r="BE894" s="375"/>
      <c r="BF894" s="375">
        <v>7.1249999999999994E-2</v>
      </c>
      <c r="BG894" s="375"/>
      <c r="BH894" s="375"/>
      <c r="BI894" s="373">
        <f t="shared" si="40"/>
        <v>7.1249999999999994E-2</v>
      </c>
      <c r="BT894" s="355"/>
      <c r="BU894" s="355"/>
      <c r="BV894" s="355"/>
      <c r="BW894" s="355"/>
    </row>
    <row r="895" spans="1:75" x14ac:dyDescent="0.15">
      <c r="A895" s="356"/>
      <c r="B895" s="355"/>
      <c r="C895" s="355"/>
      <c r="D895" s="355"/>
      <c r="E895" s="355"/>
      <c r="F895" s="355"/>
      <c r="G895" s="355"/>
      <c r="O895" s="356"/>
      <c r="P895" s="355"/>
      <c r="Q895" s="355"/>
      <c r="R895" s="355"/>
      <c r="S895" s="355"/>
      <c r="T895" s="355"/>
      <c r="U895" s="355"/>
      <c r="V895" s="355"/>
      <c r="W895" s="355"/>
      <c r="AG895" s="355"/>
      <c r="AH895" s="355"/>
      <c r="AI895" s="355"/>
      <c r="AJ895" s="355"/>
      <c r="AK895" s="355"/>
      <c r="AL895" s="355"/>
      <c r="AM895" s="355"/>
      <c r="AU895" s="379">
        <v>70994</v>
      </c>
      <c r="AV895" s="375"/>
      <c r="AW895" s="375"/>
      <c r="AX895" s="375"/>
      <c r="AY895" s="375"/>
      <c r="AZ895" s="375"/>
      <c r="BA895" s="375"/>
      <c r="BB895" s="375"/>
      <c r="BC895" s="375"/>
      <c r="BD895" s="375"/>
      <c r="BE895" s="375"/>
      <c r="BF895" s="375">
        <v>7.1249999999999994E-2</v>
      </c>
      <c r="BG895" s="375"/>
      <c r="BH895" s="375"/>
      <c r="BI895" s="373">
        <f t="shared" si="40"/>
        <v>7.1249999999999994E-2</v>
      </c>
      <c r="BT895" s="355"/>
      <c r="BU895" s="355"/>
      <c r="BV895" s="355"/>
      <c r="BW895" s="355"/>
    </row>
    <row r="896" spans="1:75" x14ac:dyDescent="0.15">
      <c r="A896" s="356"/>
      <c r="B896" s="355"/>
      <c r="C896" s="355"/>
      <c r="D896" s="355"/>
      <c r="E896" s="355"/>
      <c r="F896" s="355"/>
      <c r="G896" s="355"/>
      <c r="O896" s="356"/>
      <c r="P896" s="355"/>
      <c r="Q896" s="355"/>
      <c r="R896" s="355"/>
      <c r="S896" s="355"/>
      <c r="T896" s="355"/>
      <c r="U896" s="355"/>
      <c r="V896" s="355"/>
      <c r="W896" s="355"/>
      <c r="AG896" s="355"/>
      <c r="AH896" s="355"/>
      <c r="AI896" s="355"/>
      <c r="AJ896" s="355"/>
      <c r="AK896" s="355"/>
      <c r="AL896" s="355"/>
      <c r="AM896" s="355"/>
      <c r="AU896" s="379">
        <v>71025</v>
      </c>
      <c r="AV896" s="375"/>
      <c r="AW896" s="375"/>
      <c r="AX896" s="375"/>
      <c r="AY896" s="375"/>
      <c r="AZ896" s="375"/>
      <c r="BA896" s="375"/>
      <c r="BB896" s="375"/>
      <c r="BC896" s="375"/>
      <c r="BD896" s="375"/>
      <c r="BE896" s="375"/>
      <c r="BF896" s="375">
        <v>7.1249999999999994E-2</v>
      </c>
      <c r="BG896" s="375"/>
      <c r="BH896" s="375"/>
      <c r="BI896" s="373">
        <f t="shared" si="40"/>
        <v>7.1249999999999994E-2</v>
      </c>
      <c r="BT896" s="355"/>
      <c r="BU896" s="355"/>
      <c r="BV896" s="355"/>
      <c r="BW896" s="355"/>
    </row>
    <row r="897" spans="1:75" x14ac:dyDescent="0.15">
      <c r="A897" s="356"/>
      <c r="B897" s="355"/>
      <c r="C897" s="355"/>
      <c r="D897" s="355"/>
      <c r="E897" s="355"/>
      <c r="F897" s="355"/>
      <c r="G897" s="355"/>
      <c r="O897" s="356"/>
      <c r="P897" s="355"/>
      <c r="Q897" s="355"/>
      <c r="R897" s="355"/>
      <c r="S897" s="355"/>
      <c r="T897" s="355"/>
      <c r="U897" s="355"/>
      <c r="V897" s="355"/>
      <c r="W897" s="355"/>
      <c r="AG897" s="355"/>
      <c r="AH897" s="355"/>
      <c r="AI897" s="355"/>
      <c r="AJ897" s="355"/>
      <c r="AK897" s="355"/>
      <c r="AL897" s="355"/>
      <c r="AM897" s="355"/>
      <c r="AU897" s="379">
        <v>71055</v>
      </c>
      <c r="AV897" s="375"/>
      <c r="AW897" s="375"/>
      <c r="AX897" s="375"/>
      <c r="AY897" s="375"/>
      <c r="AZ897" s="375"/>
      <c r="BA897" s="375"/>
      <c r="BB897" s="375"/>
      <c r="BC897" s="375"/>
      <c r="BD897" s="375"/>
      <c r="BE897" s="375"/>
      <c r="BF897" s="375">
        <v>7.1249999999999994E-2</v>
      </c>
      <c r="BG897" s="375"/>
      <c r="BH897" s="375"/>
      <c r="BI897" s="373">
        <f t="shared" si="40"/>
        <v>7.1249999999999994E-2</v>
      </c>
      <c r="BT897" s="355"/>
      <c r="BU897" s="355"/>
      <c r="BV897" s="355"/>
      <c r="BW897" s="355"/>
    </row>
    <row r="898" spans="1:75" x14ac:dyDescent="0.15">
      <c r="A898" s="356"/>
      <c r="B898" s="355"/>
      <c r="C898" s="355"/>
      <c r="D898" s="355"/>
      <c r="E898" s="355"/>
      <c r="F898" s="355"/>
      <c r="G898" s="355"/>
      <c r="O898" s="356"/>
      <c r="P898" s="355"/>
      <c r="Q898" s="355"/>
      <c r="R898" s="355"/>
      <c r="S898" s="355"/>
      <c r="T898" s="355"/>
      <c r="U898" s="355"/>
      <c r="V898" s="355"/>
      <c r="W898" s="355"/>
      <c r="AG898" s="355"/>
      <c r="AH898" s="355"/>
      <c r="AI898" s="355"/>
      <c r="AJ898" s="355"/>
      <c r="AK898" s="355"/>
      <c r="AL898" s="355"/>
      <c r="AM898" s="355"/>
      <c r="AU898" s="379">
        <v>71086</v>
      </c>
      <c r="AV898" s="375"/>
      <c r="AW898" s="375"/>
      <c r="AX898" s="375"/>
      <c r="AY898" s="375"/>
      <c r="AZ898" s="375"/>
      <c r="BA898" s="375"/>
      <c r="BB898" s="375"/>
      <c r="BC898" s="375"/>
      <c r="BD898" s="375"/>
      <c r="BE898" s="375"/>
      <c r="BF898" s="375">
        <v>7.1249999999999994E-2</v>
      </c>
      <c r="BG898" s="375"/>
      <c r="BH898" s="375"/>
      <c r="BI898" s="373">
        <f t="shared" si="40"/>
        <v>7.1249999999999994E-2</v>
      </c>
      <c r="BT898" s="355"/>
      <c r="BU898" s="355"/>
      <c r="BV898" s="355"/>
      <c r="BW898" s="355"/>
    </row>
    <row r="899" spans="1:75" x14ac:dyDescent="0.15">
      <c r="A899" s="356"/>
      <c r="B899" s="355"/>
      <c r="C899" s="355"/>
      <c r="D899" s="355"/>
      <c r="E899" s="355"/>
      <c r="F899" s="355"/>
      <c r="G899" s="355"/>
      <c r="O899" s="356"/>
      <c r="P899" s="355"/>
      <c r="Q899" s="355"/>
      <c r="R899" s="355"/>
      <c r="S899" s="355"/>
      <c r="T899" s="355"/>
      <c r="U899" s="355"/>
      <c r="V899" s="355"/>
      <c r="W899" s="355"/>
      <c r="AG899" s="355"/>
      <c r="AH899" s="355"/>
      <c r="AI899" s="355"/>
      <c r="AJ899" s="355"/>
      <c r="AK899" s="355"/>
      <c r="AL899" s="355"/>
      <c r="AM899" s="355"/>
      <c r="AU899" s="379">
        <v>71117</v>
      </c>
      <c r="AV899" s="375"/>
      <c r="AW899" s="375"/>
      <c r="AX899" s="375"/>
      <c r="AY899" s="375"/>
      <c r="AZ899" s="375"/>
      <c r="BA899" s="375"/>
      <c r="BB899" s="375"/>
      <c r="BC899" s="375"/>
      <c r="BD899" s="375"/>
      <c r="BE899" s="375"/>
      <c r="BF899" s="375">
        <v>7.1249999999999994E-2</v>
      </c>
      <c r="BG899" s="375"/>
      <c r="BH899" s="375"/>
      <c r="BI899" s="373">
        <f t="shared" si="40"/>
        <v>7.1249999999999994E-2</v>
      </c>
      <c r="BT899" s="355"/>
      <c r="BU899" s="355"/>
      <c r="BV899" s="355"/>
      <c r="BW899" s="355"/>
    </row>
    <row r="900" spans="1:75" x14ac:dyDescent="0.15">
      <c r="A900" s="356"/>
      <c r="B900" s="355"/>
      <c r="C900" s="355"/>
      <c r="D900" s="355"/>
      <c r="E900" s="355"/>
      <c r="F900" s="355"/>
      <c r="G900" s="355"/>
      <c r="O900" s="356"/>
      <c r="P900" s="355"/>
      <c r="Q900" s="355"/>
      <c r="R900" s="355"/>
      <c r="S900" s="355"/>
      <c r="T900" s="355"/>
      <c r="U900" s="355"/>
      <c r="V900" s="355"/>
      <c r="W900" s="355"/>
      <c r="AG900" s="355"/>
      <c r="AH900" s="355"/>
      <c r="AI900" s="355"/>
      <c r="AJ900" s="355"/>
      <c r="AK900" s="355"/>
      <c r="AL900" s="355"/>
      <c r="AM900" s="355"/>
      <c r="AU900" s="379">
        <v>71147</v>
      </c>
      <c r="AV900" s="375"/>
      <c r="AW900" s="375"/>
      <c r="AX900" s="375"/>
      <c r="AY900" s="375"/>
      <c r="AZ900" s="375"/>
      <c r="BA900" s="375"/>
      <c r="BB900" s="375"/>
      <c r="BC900" s="375"/>
      <c r="BD900" s="375"/>
      <c r="BE900" s="375"/>
      <c r="BF900" s="375">
        <v>7.1249999999999994E-2</v>
      </c>
      <c r="BG900" s="375"/>
      <c r="BH900" s="375"/>
      <c r="BI900" s="373">
        <f t="shared" si="40"/>
        <v>7.1249999999999994E-2</v>
      </c>
      <c r="BT900" s="355"/>
      <c r="BU900" s="355"/>
      <c r="BV900" s="355"/>
      <c r="BW900" s="355"/>
    </row>
    <row r="901" spans="1:75" x14ac:dyDescent="0.15">
      <c r="A901" s="356"/>
      <c r="B901" s="355"/>
      <c r="C901" s="355"/>
      <c r="D901" s="355"/>
      <c r="E901" s="355"/>
      <c r="F901" s="355"/>
      <c r="G901" s="355"/>
      <c r="O901" s="356"/>
      <c r="P901" s="355"/>
      <c r="Q901" s="355"/>
      <c r="R901" s="355"/>
      <c r="S901" s="355"/>
      <c r="T901" s="355"/>
      <c r="U901" s="355"/>
      <c r="V901" s="355"/>
      <c r="W901" s="355"/>
      <c r="AG901" s="355"/>
      <c r="AH901" s="355"/>
      <c r="AI901" s="355"/>
      <c r="AJ901" s="355"/>
      <c r="AK901" s="355"/>
      <c r="AL901" s="355"/>
      <c r="AM901" s="355"/>
      <c r="AU901" s="379">
        <v>71178</v>
      </c>
      <c r="AV901" s="375"/>
      <c r="AW901" s="375"/>
      <c r="AX901" s="375"/>
      <c r="AY901" s="375"/>
      <c r="AZ901" s="375"/>
      <c r="BA901" s="375"/>
      <c r="BB901" s="375"/>
      <c r="BC901" s="375"/>
      <c r="BD901" s="375"/>
      <c r="BE901" s="375"/>
      <c r="BF901" s="375">
        <v>7.1249999999999994E-2</v>
      </c>
      <c r="BG901" s="375"/>
      <c r="BH901" s="375"/>
      <c r="BI901" s="373">
        <f t="shared" si="40"/>
        <v>7.1249999999999994E-2</v>
      </c>
      <c r="BT901" s="355"/>
      <c r="BU901" s="355"/>
      <c r="BV901" s="355"/>
      <c r="BW901" s="355"/>
    </row>
    <row r="902" spans="1:75" x14ac:dyDescent="0.15">
      <c r="A902" s="356"/>
      <c r="B902" s="355"/>
      <c r="C902" s="355"/>
      <c r="D902" s="355"/>
      <c r="E902" s="355"/>
      <c r="F902" s="355"/>
      <c r="G902" s="355"/>
      <c r="O902" s="356"/>
      <c r="P902" s="355"/>
      <c r="Q902" s="355"/>
      <c r="R902" s="355"/>
      <c r="S902" s="355"/>
      <c r="T902" s="355"/>
      <c r="U902" s="355"/>
      <c r="V902" s="355"/>
      <c r="W902" s="355"/>
      <c r="AG902" s="355"/>
      <c r="AH902" s="355"/>
      <c r="AI902" s="355"/>
      <c r="AJ902" s="355"/>
      <c r="AK902" s="355"/>
      <c r="AL902" s="355"/>
      <c r="AM902" s="355"/>
      <c r="AU902" s="379">
        <v>71208</v>
      </c>
      <c r="AV902" s="375"/>
      <c r="AW902" s="375"/>
      <c r="AX902" s="375"/>
      <c r="AY902" s="375"/>
      <c r="AZ902" s="375"/>
      <c r="BA902" s="375"/>
      <c r="BB902" s="375"/>
      <c r="BC902" s="375"/>
      <c r="BD902" s="375"/>
      <c r="BE902" s="375"/>
      <c r="BF902" s="375">
        <v>7.1249999999999994E-2</v>
      </c>
      <c r="BG902" s="375"/>
      <c r="BH902" s="375"/>
      <c r="BI902" s="373">
        <f t="shared" si="40"/>
        <v>7.1249999999999994E-2</v>
      </c>
      <c r="BT902" s="355"/>
      <c r="BU902" s="355"/>
      <c r="BV902" s="355"/>
      <c r="BW902" s="355"/>
    </row>
    <row r="903" spans="1:75" x14ac:dyDescent="0.15">
      <c r="A903" s="356"/>
      <c r="B903" s="355"/>
      <c r="C903" s="355"/>
      <c r="D903" s="355"/>
      <c r="E903" s="355"/>
      <c r="F903" s="355"/>
      <c r="G903" s="355"/>
      <c r="O903" s="356"/>
      <c r="P903" s="355"/>
      <c r="Q903" s="355"/>
      <c r="R903" s="355"/>
      <c r="S903" s="355"/>
      <c r="T903" s="355"/>
      <c r="U903" s="355"/>
      <c r="V903" s="355"/>
      <c r="W903" s="355"/>
      <c r="AG903" s="355"/>
      <c r="AH903" s="355"/>
      <c r="AI903" s="355"/>
      <c r="AJ903" s="355"/>
      <c r="AK903" s="355"/>
      <c r="AL903" s="355"/>
      <c r="AM903" s="355"/>
      <c r="AU903" s="379">
        <v>71239</v>
      </c>
      <c r="AV903" s="375"/>
      <c r="AW903" s="375"/>
      <c r="AX903" s="375"/>
      <c r="AY903" s="375"/>
      <c r="AZ903" s="375"/>
      <c r="BA903" s="375"/>
      <c r="BB903" s="375"/>
      <c r="BC903" s="375"/>
      <c r="BD903" s="375"/>
      <c r="BE903" s="375"/>
      <c r="BF903" s="375">
        <v>7.1249999999999994E-2</v>
      </c>
      <c r="BG903" s="375"/>
      <c r="BH903" s="375"/>
      <c r="BI903" s="373">
        <f t="shared" ref="BI903:BI966" si="41">+AVERAGE(AV903:BH903)</f>
        <v>7.1249999999999994E-2</v>
      </c>
      <c r="BT903" s="355"/>
      <c r="BU903" s="355"/>
      <c r="BV903" s="355"/>
      <c r="BW903" s="355"/>
    </row>
    <row r="904" spans="1:75" x14ac:dyDescent="0.15">
      <c r="A904" s="356"/>
      <c r="B904" s="355"/>
      <c r="C904" s="355"/>
      <c r="D904" s="355"/>
      <c r="E904" s="355"/>
      <c r="F904" s="355"/>
      <c r="G904" s="355"/>
      <c r="O904" s="356"/>
      <c r="P904" s="355"/>
      <c r="Q904" s="355"/>
      <c r="R904" s="355"/>
      <c r="S904" s="355"/>
      <c r="T904" s="355"/>
      <c r="U904" s="355"/>
      <c r="V904" s="355"/>
      <c r="W904" s="355"/>
      <c r="AG904" s="355"/>
      <c r="AH904" s="355"/>
      <c r="AI904" s="355"/>
      <c r="AJ904" s="355"/>
      <c r="AK904" s="355"/>
      <c r="AL904" s="355"/>
      <c r="AM904" s="355"/>
      <c r="AU904" s="379">
        <v>71270</v>
      </c>
      <c r="AV904" s="375"/>
      <c r="AW904" s="375"/>
      <c r="AX904" s="375"/>
      <c r="AY904" s="375"/>
      <c r="AZ904" s="375"/>
      <c r="BA904" s="375"/>
      <c r="BB904" s="375"/>
      <c r="BC904" s="375"/>
      <c r="BD904" s="375"/>
      <c r="BE904" s="375"/>
      <c r="BF904" s="375">
        <v>7.1249999999999994E-2</v>
      </c>
      <c r="BG904" s="375"/>
      <c r="BH904" s="375"/>
      <c r="BI904" s="373">
        <f t="shared" si="41"/>
        <v>7.1249999999999994E-2</v>
      </c>
      <c r="BT904" s="355"/>
      <c r="BU904" s="355"/>
      <c r="BV904" s="355"/>
      <c r="BW904" s="355"/>
    </row>
    <row r="905" spans="1:75" x14ac:dyDescent="0.15">
      <c r="A905" s="356"/>
      <c r="B905" s="355"/>
      <c r="C905" s="355"/>
      <c r="D905" s="355"/>
      <c r="E905" s="355"/>
      <c r="F905" s="355"/>
      <c r="G905" s="355"/>
      <c r="O905" s="356"/>
      <c r="P905" s="355"/>
      <c r="Q905" s="355"/>
      <c r="R905" s="355"/>
      <c r="S905" s="355"/>
      <c r="T905" s="355"/>
      <c r="U905" s="355"/>
      <c r="V905" s="355"/>
      <c r="W905" s="355"/>
      <c r="AG905" s="355"/>
      <c r="AH905" s="355"/>
      <c r="AI905" s="355"/>
      <c r="AJ905" s="355"/>
      <c r="AK905" s="355"/>
      <c r="AL905" s="355"/>
      <c r="AM905" s="355"/>
      <c r="AU905" s="379">
        <v>71298</v>
      </c>
      <c r="AV905" s="375"/>
      <c r="AW905" s="375"/>
      <c r="AX905" s="375"/>
      <c r="AY905" s="375"/>
      <c r="AZ905" s="375"/>
      <c r="BA905" s="375"/>
      <c r="BB905" s="375"/>
      <c r="BC905" s="375"/>
      <c r="BD905" s="375"/>
      <c r="BE905" s="375"/>
      <c r="BF905" s="375">
        <v>7.1249999999999994E-2</v>
      </c>
      <c r="BG905" s="375"/>
      <c r="BH905" s="375"/>
      <c r="BI905" s="373">
        <f t="shared" si="41"/>
        <v>7.1249999999999994E-2</v>
      </c>
      <c r="BT905" s="355"/>
      <c r="BU905" s="355"/>
      <c r="BV905" s="355"/>
      <c r="BW905" s="355"/>
    </row>
    <row r="906" spans="1:75" x14ac:dyDescent="0.15">
      <c r="A906" s="356"/>
      <c r="B906" s="355"/>
      <c r="C906" s="355"/>
      <c r="D906" s="355"/>
      <c r="E906" s="355"/>
      <c r="F906" s="355"/>
      <c r="G906" s="355"/>
      <c r="O906" s="356"/>
      <c r="P906" s="355"/>
      <c r="Q906" s="355"/>
      <c r="R906" s="355"/>
      <c r="S906" s="355"/>
      <c r="T906" s="355"/>
      <c r="U906" s="355"/>
      <c r="V906" s="355"/>
      <c r="W906" s="355"/>
      <c r="AG906" s="355"/>
      <c r="AH906" s="355"/>
      <c r="AI906" s="355"/>
      <c r="AJ906" s="355"/>
      <c r="AK906" s="355"/>
      <c r="AL906" s="355"/>
      <c r="AM906" s="355"/>
      <c r="AU906" s="379">
        <v>71329</v>
      </c>
      <c r="AV906" s="375"/>
      <c r="AW906" s="375"/>
      <c r="AX906" s="375"/>
      <c r="AY906" s="375"/>
      <c r="AZ906" s="375"/>
      <c r="BA906" s="375"/>
      <c r="BB906" s="375"/>
      <c r="BC906" s="375"/>
      <c r="BD906" s="375"/>
      <c r="BE906" s="375"/>
      <c r="BF906" s="375">
        <v>7.1249999999999994E-2</v>
      </c>
      <c r="BG906" s="375"/>
      <c r="BH906" s="375"/>
      <c r="BI906" s="373">
        <f t="shared" si="41"/>
        <v>7.1249999999999994E-2</v>
      </c>
      <c r="BT906" s="355"/>
      <c r="BU906" s="355"/>
      <c r="BV906" s="355"/>
      <c r="BW906" s="355"/>
    </row>
    <row r="907" spans="1:75" x14ac:dyDescent="0.15">
      <c r="A907" s="356"/>
      <c r="B907" s="355"/>
      <c r="C907" s="355"/>
      <c r="D907" s="355"/>
      <c r="E907" s="355"/>
      <c r="F907" s="355"/>
      <c r="G907" s="355"/>
      <c r="O907" s="356"/>
      <c r="P907" s="355"/>
      <c r="Q907" s="355"/>
      <c r="R907" s="355"/>
      <c r="S907" s="355"/>
      <c r="T907" s="355"/>
      <c r="U907" s="355"/>
      <c r="V907" s="355"/>
      <c r="W907" s="355"/>
      <c r="AG907" s="355"/>
      <c r="AH907" s="355"/>
      <c r="AI907" s="355"/>
      <c r="AJ907" s="355"/>
      <c r="AK907" s="355"/>
      <c r="AL907" s="355"/>
      <c r="AM907" s="355"/>
      <c r="AU907" s="379">
        <v>71359</v>
      </c>
      <c r="AV907" s="375"/>
      <c r="AW907" s="375"/>
      <c r="AX907" s="375"/>
      <c r="AY907" s="375"/>
      <c r="AZ907" s="375"/>
      <c r="BA907" s="375"/>
      <c r="BB907" s="375"/>
      <c r="BC907" s="375"/>
      <c r="BD907" s="375"/>
      <c r="BE907" s="375"/>
      <c r="BF907" s="375">
        <v>7.1249999999999994E-2</v>
      </c>
      <c r="BG907" s="375"/>
      <c r="BH907" s="375"/>
      <c r="BI907" s="373">
        <f t="shared" si="41"/>
        <v>7.1249999999999994E-2</v>
      </c>
      <c r="BT907" s="355"/>
      <c r="BU907" s="355"/>
      <c r="BV907" s="355"/>
      <c r="BW907" s="355"/>
    </row>
    <row r="908" spans="1:75" x14ac:dyDescent="0.15">
      <c r="A908" s="356"/>
      <c r="B908" s="355"/>
      <c r="C908" s="355"/>
      <c r="D908" s="355"/>
      <c r="E908" s="355"/>
      <c r="F908" s="355"/>
      <c r="G908" s="355"/>
      <c r="O908" s="356"/>
      <c r="P908" s="355"/>
      <c r="Q908" s="355"/>
      <c r="R908" s="355"/>
      <c r="S908" s="355"/>
      <c r="T908" s="355"/>
      <c r="U908" s="355"/>
      <c r="V908" s="355"/>
      <c r="W908" s="355"/>
      <c r="AG908" s="355"/>
      <c r="AH908" s="355"/>
      <c r="AI908" s="355"/>
      <c r="AJ908" s="355"/>
      <c r="AK908" s="355"/>
      <c r="AL908" s="355"/>
      <c r="AM908" s="355"/>
      <c r="AU908" s="379">
        <v>71390</v>
      </c>
      <c r="AV908" s="375"/>
      <c r="AW908" s="375"/>
      <c r="AX908" s="375"/>
      <c r="AY908" s="375"/>
      <c r="AZ908" s="375"/>
      <c r="BA908" s="375"/>
      <c r="BB908" s="375"/>
      <c r="BC908" s="375"/>
      <c r="BD908" s="375"/>
      <c r="BE908" s="375"/>
      <c r="BF908" s="375">
        <v>7.1249999999999994E-2</v>
      </c>
      <c r="BG908" s="375"/>
      <c r="BH908" s="375"/>
      <c r="BI908" s="373">
        <f t="shared" si="41"/>
        <v>7.1249999999999994E-2</v>
      </c>
      <c r="BT908" s="355"/>
      <c r="BU908" s="355"/>
      <c r="BV908" s="355"/>
      <c r="BW908" s="355"/>
    </row>
    <row r="909" spans="1:75" x14ac:dyDescent="0.15">
      <c r="A909" s="356"/>
      <c r="B909" s="355"/>
      <c r="C909" s="355"/>
      <c r="D909" s="355"/>
      <c r="E909" s="355"/>
      <c r="F909" s="355"/>
      <c r="G909" s="355"/>
      <c r="O909" s="356"/>
      <c r="P909" s="355"/>
      <c r="Q909" s="355"/>
      <c r="R909" s="355"/>
      <c r="S909" s="355"/>
      <c r="T909" s="355"/>
      <c r="U909" s="355"/>
      <c r="V909" s="355"/>
      <c r="W909" s="355"/>
      <c r="AG909" s="355"/>
      <c r="AH909" s="355"/>
      <c r="AI909" s="355"/>
      <c r="AJ909" s="355"/>
      <c r="AK909" s="355"/>
      <c r="AL909" s="355"/>
      <c r="AM909" s="355"/>
      <c r="AU909" s="379">
        <v>71420</v>
      </c>
      <c r="AV909" s="375"/>
      <c r="AW909" s="375"/>
      <c r="AX909" s="375"/>
      <c r="AY909" s="375"/>
      <c r="AZ909" s="375"/>
      <c r="BA909" s="375"/>
      <c r="BB909" s="375"/>
      <c r="BC909" s="375"/>
      <c r="BD909" s="375"/>
      <c r="BE909" s="375"/>
      <c r="BF909" s="375">
        <v>7.1249999999999994E-2</v>
      </c>
      <c r="BG909" s="375"/>
      <c r="BH909" s="375"/>
      <c r="BI909" s="373">
        <f t="shared" si="41"/>
        <v>7.1249999999999994E-2</v>
      </c>
      <c r="BT909" s="355"/>
      <c r="BU909" s="355"/>
      <c r="BV909" s="355"/>
      <c r="BW909" s="355"/>
    </row>
    <row r="910" spans="1:75" x14ac:dyDescent="0.15">
      <c r="A910" s="356"/>
      <c r="B910" s="355"/>
      <c r="C910" s="355"/>
      <c r="D910" s="355"/>
      <c r="E910" s="355"/>
      <c r="F910" s="355"/>
      <c r="G910" s="355"/>
      <c r="O910" s="356"/>
      <c r="P910" s="355"/>
      <c r="Q910" s="355"/>
      <c r="R910" s="355"/>
      <c r="S910" s="355"/>
      <c r="T910" s="355"/>
      <c r="U910" s="355"/>
      <c r="V910" s="355"/>
      <c r="W910" s="355"/>
      <c r="AG910" s="355"/>
      <c r="AH910" s="355"/>
      <c r="AI910" s="355"/>
      <c r="AJ910" s="355"/>
      <c r="AK910" s="355"/>
      <c r="AL910" s="355"/>
      <c r="AM910" s="355"/>
      <c r="AU910" s="379">
        <v>71451</v>
      </c>
      <c r="AV910" s="375"/>
      <c r="AW910" s="375"/>
      <c r="AX910" s="375"/>
      <c r="AY910" s="375"/>
      <c r="AZ910" s="375"/>
      <c r="BA910" s="375"/>
      <c r="BB910" s="375"/>
      <c r="BC910" s="375"/>
      <c r="BD910" s="375"/>
      <c r="BE910" s="375"/>
      <c r="BF910" s="375">
        <v>7.1249999999999994E-2</v>
      </c>
      <c r="BG910" s="375"/>
      <c r="BH910" s="375"/>
      <c r="BI910" s="373">
        <f t="shared" si="41"/>
        <v>7.1249999999999994E-2</v>
      </c>
      <c r="BT910" s="355"/>
      <c r="BU910" s="355"/>
      <c r="BV910" s="355"/>
      <c r="BW910" s="355"/>
    </row>
    <row r="911" spans="1:75" x14ac:dyDescent="0.15">
      <c r="A911" s="356"/>
      <c r="B911" s="355"/>
      <c r="C911" s="355"/>
      <c r="D911" s="355"/>
      <c r="E911" s="355"/>
      <c r="F911" s="355"/>
      <c r="G911" s="355"/>
      <c r="O911" s="356"/>
      <c r="P911" s="355"/>
      <c r="Q911" s="355"/>
      <c r="R911" s="355"/>
      <c r="S911" s="355"/>
      <c r="T911" s="355"/>
      <c r="U911" s="355"/>
      <c r="V911" s="355"/>
      <c r="W911" s="355"/>
      <c r="AG911" s="355"/>
      <c r="AH911" s="355"/>
      <c r="AI911" s="355"/>
      <c r="AJ911" s="355"/>
      <c r="AK911" s="355"/>
      <c r="AL911" s="355"/>
      <c r="AM911" s="355"/>
      <c r="AU911" s="379">
        <v>71482</v>
      </c>
      <c r="AV911" s="375"/>
      <c r="AW911" s="375"/>
      <c r="AX911" s="375"/>
      <c r="AY911" s="375"/>
      <c r="AZ911" s="375"/>
      <c r="BA911" s="375"/>
      <c r="BB911" s="375"/>
      <c r="BC911" s="375"/>
      <c r="BD911" s="375"/>
      <c r="BE911" s="375"/>
      <c r="BF911" s="375">
        <v>7.1249999999999994E-2</v>
      </c>
      <c r="BG911" s="375"/>
      <c r="BH911" s="375"/>
      <c r="BI911" s="373">
        <f t="shared" si="41"/>
        <v>7.1249999999999994E-2</v>
      </c>
      <c r="BT911" s="355"/>
      <c r="BU911" s="355"/>
      <c r="BV911" s="355"/>
      <c r="BW911" s="355"/>
    </row>
    <row r="912" spans="1:75" x14ac:dyDescent="0.15">
      <c r="A912" s="356"/>
      <c r="B912" s="355"/>
      <c r="C912" s="355"/>
      <c r="D912" s="355"/>
      <c r="E912" s="355"/>
      <c r="F912" s="355"/>
      <c r="G912" s="355"/>
      <c r="O912" s="356"/>
      <c r="P912" s="355"/>
      <c r="Q912" s="355"/>
      <c r="R912" s="355"/>
      <c r="S912" s="355"/>
      <c r="T912" s="355"/>
      <c r="U912" s="355"/>
      <c r="V912" s="355"/>
      <c r="W912" s="355"/>
      <c r="AG912" s="355"/>
      <c r="AH912" s="355"/>
      <c r="AI912" s="355"/>
      <c r="AJ912" s="355"/>
      <c r="AK912" s="355"/>
      <c r="AL912" s="355"/>
      <c r="AM912" s="355"/>
      <c r="AU912" s="379">
        <v>71512</v>
      </c>
      <c r="AV912" s="375"/>
      <c r="AW912" s="375"/>
      <c r="AX912" s="375"/>
      <c r="AY912" s="375"/>
      <c r="AZ912" s="375"/>
      <c r="BA912" s="375"/>
      <c r="BB912" s="375"/>
      <c r="BC912" s="375"/>
      <c r="BD912" s="375"/>
      <c r="BE912" s="375"/>
      <c r="BF912" s="375">
        <v>7.1249999999999994E-2</v>
      </c>
      <c r="BG912" s="375"/>
      <c r="BH912" s="375"/>
      <c r="BI912" s="373">
        <f t="shared" si="41"/>
        <v>7.1249999999999994E-2</v>
      </c>
      <c r="BT912" s="355"/>
      <c r="BU912" s="355"/>
      <c r="BV912" s="355"/>
      <c r="BW912" s="355"/>
    </row>
    <row r="913" spans="1:75" x14ac:dyDescent="0.15">
      <c r="A913" s="356"/>
      <c r="B913" s="355"/>
      <c r="C913" s="355"/>
      <c r="D913" s="355"/>
      <c r="E913" s="355"/>
      <c r="F913" s="355"/>
      <c r="G913" s="355"/>
      <c r="O913" s="356"/>
      <c r="P913" s="355"/>
      <c r="Q913" s="355"/>
      <c r="R913" s="355"/>
      <c r="S913" s="355"/>
      <c r="T913" s="355"/>
      <c r="U913" s="355"/>
      <c r="V913" s="355"/>
      <c r="W913" s="355"/>
      <c r="AG913" s="355"/>
      <c r="AH913" s="355"/>
      <c r="AI913" s="355"/>
      <c r="AJ913" s="355"/>
      <c r="AK913" s="355"/>
      <c r="AL913" s="355"/>
      <c r="AM913" s="355"/>
      <c r="AU913" s="379">
        <v>71543</v>
      </c>
      <c r="AV913" s="375"/>
      <c r="AW913" s="375"/>
      <c r="AX913" s="375"/>
      <c r="AY913" s="375"/>
      <c r="AZ913" s="375"/>
      <c r="BA913" s="375"/>
      <c r="BB913" s="375"/>
      <c r="BC913" s="375"/>
      <c r="BD913" s="375"/>
      <c r="BE913" s="375"/>
      <c r="BF913" s="375">
        <v>7.1249999999999994E-2</v>
      </c>
      <c r="BG913" s="375"/>
      <c r="BH913" s="375"/>
      <c r="BI913" s="373">
        <f t="shared" si="41"/>
        <v>7.1249999999999994E-2</v>
      </c>
      <c r="BT913" s="355"/>
      <c r="BU913" s="355"/>
      <c r="BV913" s="355"/>
      <c r="BW913" s="355"/>
    </row>
    <row r="914" spans="1:75" x14ac:dyDescent="0.15">
      <c r="A914" s="356"/>
      <c r="B914" s="355"/>
      <c r="C914" s="355"/>
      <c r="D914" s="355"/>
      <c r="E914" s="355"/>
      <c r="F914" s="355"/>
      <c r="G914" s="355"/>
      <c r="O914" s="356"/>
      <c r="P914" s="355"/>
      <c r="Q914" s="355"/>
      <c r="R914" s="355"/>
      <c r="S914" s="355"/>
      <c r="T914" s="355"/>
      <c r="U914" s="355"/>
      <c r="V914" s="355"/>
      <c r="W914" s="355"/>
      <c r="AG914" s="355"/>
      <c r="AH914" s="355"/>
      <c r="AI914" s="355"/>
      <c r="AJ914" s="355"/>
      <c r="AK914" s="355"/>
      <c r="AL914" s="355"/>
      <c r="AM914" s="355"/>
      <c r="AU914" s="379">
        <v>71573</v>
      </c>
      <c r="AV914" s="375"/>
      <c r="AW914" s="375"/>
      <c r="AX914" s="375"/>
      <c r="AY914" s="375"/>
      <c r="AZ914" s="375"/>
      <c r="BA914" s="375"/>
      <c r="BB914" s="375"/>
      <c r="BC914" s="375"/>
      <c r="BD914" s="375"/>
      <c r="BE914" s="375"/>
      <c r="BF914" s="375">
        <v>7.1249999999999994E-2</v>
      </c>
      <c r="BG914" s="375"/>
      <c r="BH914" s="375"/>
      <c r="BI914" s="373">
        <f t="shared" si="41"/>
        <v>7.1249999999999994E-2</v>
      </c>
      <c r="BT914" s="355"/>
      <c r="BU914" s="355"/>
      <c r="BV914" s="355"/>
      <c r="BW914" s="355"/>
    </row>
    <row r="915" spans="1:75" x14ac:dyDescent="0.15">
      <c r="A915" s="356"/>
      <c r="B915" s="355"/>
      <c r="C915" s="355"/>
      <c r="D915" s="355"/>
      <c r="E915" s="355"/>
      <c r="F915" s="355"/>
      <c r="G915" s="355"/>
      <c r="O915" s="356"/>
      <c r="P915" s="355"/>
      <c r="Q915" s="355"/>
      <c r="R915" s="355"/>
      <c r="S915" s="355"/>
      <c r="T915" s="355"/>
      <c r="U915" s="355"/>
      <c r="V915" s="355"/>
      <c r="W915" s="355"/>
      <c r="AG915" s="355"/>
      <c r="AH915" s="355"/>
      <c r="AI915" s="355"/>
      <c r="AJ915" s="355"/>
      <c r="AK915" s="355"/>
      <c r="AL915" s="355"/>
      <c r="AM915" s="355"/>
      <c r="AU915" s="379">
        <v>71604</v>
      </c>
      <c r="AV915" s="375"/>
      <c r="AW915" s="375"/>
      <c r="AX915" s="375"/>
      <c r="AY915" s="375"/>
      <c r="AZ915" s="375"/>
      <c r="BA915" s="375"/>
      <c r="BB915" s="375"/>
      <c r="BC915" s="375"/>
      <c r="BD915" s="375"/>
      <c r="BE915" s="375"/>
      <c r="BF915" s="375">
        <v>7.1249999999999994E-2</v>
      </c>
      <c r="BG915" s="375"/>
      <c r="BH915" s="375"/>
      <c r="BI915" s="373">
        <f t="shared" si="41"/>
        <v>7.1249999999999994E-2</v>
      </c>
      <c r="BT915" s="355"/>
      <c r="BU915" s="355"/>
      <c r="BV915" s="355"/>
      <c r="BW915" s="355"/>
    </row>
    <row r="916" spans="1:75" x14ac:dyDescent="0.15">
      <c r="A916" s="356"/>
      <c r="B916" s="355"/>
      <c r="C916" s="355"/>
      <c r="D916" s="355"/>
      <c r="E916" s="355"/>
      <c r="F916" s="355"/>
      <c r="G916" s="355"/>
      <c r="O916" s="356"/>
      <c r="P916" s="355"/>
      <c r="Q916" s="355"/>
      <c r="R916" s="355"/>
      <c r="S916" s="355"/>
      <c r="T916" s="355"/>
      <c r="U916" s="355"/>
      <c r="V916" s="355"/>
      <c r="W916" s="355"/>
      <c r="AG916" s="355"/>
      <c r="AH916" s="355"/>
      <c r="AI916" s="355"/>
      <c r="AJ916" s="355"/>
      <c r="AK916" s="355"/>
      <c r="AL916" s="355"/>
      <c r="AM916" s="355"/>
      <c r="AU916" s="379">
        <v>71635</v>
      </c>
      <c r="AV916" s="375"/>
      <c r="AW916" s="375"/>
      <c r="AX916" s="375"/>
      <c r="AY916" s="375"/>
      <c r="AZ916" s="375"/>
      <c r="BA916" s="375"/>
      <c r="BB916" s="375"/>
      <c r="BC916" s="375"/>
      <c r="BD916" s="375"/>
      <c r="BE916" s="375"/>
      <c r="BF916" s="375">
        <v>7.1249999999999994E-2</v>
      </c>
      <c r="BG916" s="375"/>
      <c r="BH916" s="375"/>
      <c r="BI916" s="373">
        <f t="shared" si="41"/>
        <v>7.1249999999999994E-2</v>
      </c>
      <c r="BT916" s="355"/>
      <c r="BU916" s="355"/>
      <c r="BV916" s="355"/>
      <c r="BW916" s="355"/>
    </row>
    <row r="917" spans="1:75" x14ac:dyDescent="0.15">
      <c r="A917" s="356"/>
      <c r="B917" s="355"/>
      <c r="C917" s="355"/>
      <c r="D917" s="355"/>
      <c r="E917" s="355"/>
      <c r="F917" s="355"/>
      <c r="G917" s="355"/>
      <c r="O917" s="356"/>
      <c r="P917" s="355"/>
      <c r="Q917" s="355"/>
      <c r="R917" s="355"/>
      <c r="S917" s="355"/>
      <c r="T917" s="355"/>
      <c r="U917" s="355"/>
      <c r="V917" s="355"/>
      <c r="W917" s="355"/>
      <c r="AG917" s="355"/>
      <c r="AH917" s="355"/>
      <c r="AI917" s="355"/>
      <c r="AJ917" s="355"/>
      <c r="AK917" s="355"/>
      <c r="AL917" s="355"/>
      <c r="AM917" s="355"/>
      <c r="AU917" s="379">
        <v>71664</v>
      </c>
      <c r="AV917" s="375"/>
      <c r="AW917" s="375"/>
      <c r="AX917" s="375"/>
      <c r="AY917" s="375"/>
      <c r="AZ917" s="375"/>
      <c r="BA917" s="375"/>
      <c r="BB917" s="375"/>
      <c r="BC917" s="375"/>
      <c r="BD917" s="375"/>
      <c r="BE917" s="375"/>
      <c r="BF917" s="375">
        <v>7.1249999999999994E-2</v>
      </c>
      <c r="BG917" s="375"/>
      <c r="BH917" s="375"/>
      <c r="BI917" s="373">
        <f t="shared" si="41"/>
        <v>7.1249999999999994E-2</v>
      </c>
      <c r="BT917" s="355"/>
      <c r="BU917" s="355"/>
      <c r="BV917" s="355"/>
      <c r="BW917" s="355"/>
    </row>
    <row r="918" spans="1:75" x14ac:dyDescent="0.15">
      <c r="A918" s="356"/>
      <c r="B918" s="355"/>
      <c r="C918" s="355"/>
      <c r="D918" s="355"/>
      <c r="E918" s="355"/>
      <c r="F918" s="355"/>
      <c r="G918" s="355"/>
      <c r="O918" s="356"/>
      <c r="P918" s="355"/>
      <c r="Q918" s="355"/>
      <c r="R918" s="355"/>
      <c r="S918" s="355"/>
      <c r="T918" s="355"/>
      <c r="U918" s="355"/>
      <c r="V918" s="355"/>
      <c r="W918" s="355"/>
      <c r="AG918" s="355"/>
      <c r="AH918" s="355"/>
      <c r="AI918" s="355"/>
      <c r="AJ918" s="355"/>
      <c r="AK918" s="355"/>
      <c r="AL918" s="355"/>
      <c r="AM918" s="355"/>
      <c r="AU918" s="379">
        <v>71695</v>
      </c>
      <c r="AV918" s="375"/>
      <c r="AW918" s="375"/>
      <c r="AX918" s="375"/>
      <c r="AY918" s="375"/>
      <c r="AZ918" s="375"/>
      <c r="BA918" s="375"/>
      <c r="BB918" s="375"/>
      <c r="BC918" s="375"/>
      <c r="BD918" s="375"/>
      <c r="BE918" s="375"/>
      <c r="BF918" s="375">
        <v>7.1249999999999994E-2</v>
      </c>
      <c r="BG918" s="375"/>
      <c r="BH918" s="375"/>
      <c r="BI918" s="373">
        <f t="shared" si="41"/>
        <v>7.1249999999999994E-2</v>
      </c>
      <c r="BT918" s="355"/>
      <c r="BU918" s="355"/>
      <c r="BV918" s="355"/>
      <c r="BW918" s="355"/>
    </row>
    <row r="919" spans="1:75" x14ac:dyDescent="0.15">
      <c r="A919" s="356"/>
      <c r="B919" s="355"/>
      <c r="C919" s="355"/>
      <c r="D919" s="355"/>
      <c r="E919" s="355"/>
      <c r="F919" s="355"/>
      <c r="G919" s="355"/>
      <c r="O919" s="356"/>
      <c r="P919" s="355"/>
      <c r="Q919" s="355"/>
      <c r="R919" s="355"/>
      <c r="S919" s="355"/>
      <c r="T919" s="355"/>
      <c r="U919" s="355"/>
      <c r="V919" s="355"/>
      <c r="W919" s="355"/>
      <c r="AG919" s="355"/>
      <c r="AH919" s="355"/>
      <c r="AI919" s="355"/>
      <c r="AJ919" s="355"/>
      <c r="AK919" s="355"/>
      <c r="AL919" s="355"/>
      <c r="AM919" s="355"/>
      <c r="AU919" s="379">
        <v>71725</v>
      </c>
      <c r="AV919" s="375"/>
      <c r="AW919" s="375"/>
      <c r="AX919" s="375"/>
      <c r="AY919" s="375"/>
      <c r="AZ919" s="375"/>
      <c r="BA919" s="375"/>
      <c r="BB919" s="375"/>
      <c r="BC919" s="375"/>
      <c r="BD919" s="375"/>
      <c r="BE919" s="375"/>
      <c r="BF919" s="375">
        <v>7.1249999999999994E-2</v>
      </c>
      <c r="BG919" s="375"/>
      <c r="BH919" s="375"/>
      <c r="BI919" s="373">
        <f t="shared" si="41"/>
        <v>7.1249999999999994E-2</v>
      </c>
      <c r="BT919" s="355"/>
      <c r="BU919" s="355"/>
      <c r="BV919" s="355"/>
      <c r="BW919" s="355"/>
    </row>
    <row r="920" spans="1:75" x14ac:dyDescent="0.15">
      <c r="A920" s="356"/>
      <c r="B920" s="355"/>
      <c r="C920" s="355"/>
      <c r="D920" s="355"/>
      <c r="E920" s="355"/>
      <c r="F920" s="355"/>
      <c r="G920" s="355"/>
      <c r="O920" s="356"/>
      <c r="P920" s="355"/>
      <c r="Q920" s="355"/>
      <c r="R920" s="355"/>
      <c r="S920" s="355"/>
      <c r="T920" s="355"/>
      <c r="U920" s="355"/>
      <c r="V920" s="355"/>
      <c r="W920" s="355"/>
      <c r="AG920" s="355"/>
      <c r="AH920" s="355"/>
      <c r="AI920" s="355"/>
      <c r="AJ920" s="355"/>
      <c r="AK920" s="355"/>
      <c r="AL920" s="355"/>
      <c r="AM920" s="355"/>
      <c r="AU920" s="379">
        <v>71756</v>
      </c>
      <c r="AV920" s="375"/>
      <c r="AW920" s="375"/>
      <c r="AX920" s="375"/>
      <c r="AY920" s="375"/>
      <c r="AZ920" s="375"/>
      <c r="BA920" s="375"/>
      <c r="BB920" s="375"/>
      <c r="BC920" s="375"/>
      <c r="BD920" s="375"/>
      <c r="BE920" s="375"/>
      <c r="BF920" s="375">
        <v>7.1249999999999994E-2</v>
      </c>
      <c r="BG920" s="375"/>
      <c r="BH920" s="375"/>
      <c r="BI920" s="373">
        <f t="shared" si="41"/>
        <v>7.1249999999999994E-2</v>
      </c>
      <c r="BT920" s="355"/>
      <c r="BU920" s="355"/>
      <c r="BV920" s="355"/>
      <c r="BW920" s="355"/>
    </row>
    <row r="921" spans="1:75" x14ac:dyDescent="0.15">
      <c r="A921" s="356"/>
      <c r="B921" s="355"/>
      <c r="C921" s="355"/>
      <c r="D921" s="355"/>
      <c r="E921" s="355"/>
      <c r="F921" s="355"/>
      <c r="G921" s="355"/>
      <c r="O921" s="356"/>
      <c r="P921" s="355"/>
      <c r="Q921" s="355"/>
      <c r="R921" s="355"/>
      <c r="S921" s="355"/>
      <c r="T921" s="355"/>
      <c r="U921" s="355"/>
      <c r="V921" s="355"/>
      <c r="W921" s="355"/>
      <c r="AG921" s="355"/>
      <c r="AH921" s="355"/>
      <c r="AI921" s="355"/>
      <c r="AJ921" s="355"/>
      <c r="AK921" s="355"/>
      <c r="AL921" s="355"/>
      <c r="AM921" s="355"/>
      <c r="AU921" s="379">
        <v>71786</v>
      </c>
      <c r="AV921" s="375"/>
      <c r="AW921" s="375"/>
      <c r="AX921" s="375"/>
      <c r="AY921" s="375"/>
      <c r="AZ921" s="375"/>
      <c r="BA921" s="375"/>
      <c r="BB921" s="375"/>
      <c r="BC921" s="375"/>
      <c r="BD921" s="375"/>
      <c r="BE921" s="375"/>
      <c r="BF921" s="375">
        <v>7.1249999999999994E-2</v>
      </c>
      <c r="BG921" s="375"/>
      <c r="BH921" s="375"/>
      <c r="BI921" s="373">
        <f t="shared" si="41"/>
        <v>7.1249999999999994E-2</v>
      </c>
      <c r="BT921" s="355"/>
      <c r="BU921" s="355"/>
      <c r="BV921" s="355"/>
      <c r="BW921" s="355"/>
    </row>
    <row r="922" spans="1:75" x14ac:dyDescent="0.15">
      <c r="A922" s="356"/>
      <c r="B922" s="355"/>
      <c r="C922" s="355"/>
      <c r="D922" s="355"/>
      <c r="E922" s="355"/>
      <c r="F922" s="355"/>
      <c r="G922" s="355"/>
      <c r="O922" s="356"/>
      <c r="P922" s="355"/>
      <c r="Q922" s="355"/>
      <c r="R922" s="355"/>
      <c r="S922" s="355"/>
      <c r="T922" s="355"/>
      <c r="U922" s="355"/>
      <c r="V922" s="355"/>
      <c r="W922" s="355"/>
      <c r="AG922" s="355"/>
      <c r="AH922" s="355"/>
      <c r="AI922" s="355"/>
      <c r="AJ922" s="355"/>
      <c r="AK922" s="355"/>
      <c r="AL922" s="355"/>
      <c r="AM922" s="355"/>
      <c r="AU922" s="379">
        <v>71817</v>
      </c>
      <c r="AV922" s="375"/>
      <c r="AW922" s="375"/>
      <c r="AX922" s="375"/>
      <c r="AY922" s="375"/>
      <c r="AZ922" s="375"/>
      <c r="BA922" s="375"/>
      <c r="BB922" s="375"/>
      <c r="BC922" s="375"/>
      <c r="BD922" s="375"/>
      <c r="BE922" s="375"/>
      <c r="BF922" s="375">
        <v>7.1249999999999994E-2</v>
      </c>
      <c r="BG922" s="375"/>
      <c r="BH922" s="375"/>
      <c r="BI922" s="373">
        <f t="shared" si="41"/>
        <v>7.1249999999999994E-2</v>
      </c>
      <c r="BT922" s="355"/>
      <c r="BU922" s="355"/>
      <c r="BV922" s="355"/>
      <c r="BW922" s="355"/>
    </row>
    <row r="923" spans="1:75" x14ac:dyDescent="0.15">
      <c r="A923" s="356"/>
      <c r="B923" s="355"/>
      <c r="C923" s="355"/>
      <c r="D923" s="355"/>
      <c r="E923" s="355"/>
      <c r="F923" s="355"/>
      <c r="G923" s="355"/>
      <c r="O923" s="356"/>
      <c r="P923" s="355"/>
      <c r="Q923" s="355"/>
      <c r="R923" s="355"/>
      <c r="S923" s="355"/>
      <c r="T923" s="355"/>
      <c r="U923" s="355"/>
      <c r="V923" s="355"/>
      <c r="W923" s="355"/>
      <c r="AG923" s="355"/>
      <c r="AH923" s="355"/>
      <c r="AI923" s="355"/>
      <c r="AJ923" s="355"/>
      <c r="AK923" s="355"/>
      <c r="AL923" s="355"/>
      <c r="AM923" s="355"/>
      <c r="AU923" s="379">
        <v>71848</v>
      </c>
      <c r="AV923" s="375"/>
      <c r="AW923" s="375"/>
      <c r="AX923" s="375"/>
      <c r="AY923" s="375"/>
      <c r="AZ923" s="375"/>
      <c r="BA923" s="375"/>
      <c r="BB923" s="375"/>
      <c r="BC923" s="375"/>
      <c r="BD923" s="375"/>
      <c r="BE923" s="375"/>
      <c r="BF923" s="375">
        <v>7.1249999999999994E-2</v>
      </c>
      <c r="BG923" s="375"/>
      <c r="BH923" s="375"/>
      <c r="BI923" s="373">
        <f t="shared" si="41"/>
        <v>7.1249999999999994E-2</v>
      </c>
      <c r="BT923" s="355"/>
      <c r="BU923" s="355"/>
      <c r="BV923" s="355"/>
      <c r="BW923" s="355"/>
    </row>
    <row r="924" spans="1:75" x14ac:dyDescent="0.15">
      <c r="A924" s="356"/>
      <c r="B924" s="355"/>
      <c r="C924" s="355"/>
      <c r="D924" s="355"/>
      <c r="E924" s="355"/>
      <c r="F924" s="355"/>
      <c r="G924" s="355"/>
      <c r="O924" s="356"/>
      <c r="P924" s="355"/>
      <c r="Q924" s="355"/>
      <c r="R924" s="355"/>
      <c r="S924" s="355"/>
      <c r="T924" s="355"/>
      <c r="U924" s="355"/>
      <c r="V924" s="355"/>
      <c r="W924" s="355"/>
      <c r="AG924" s="355"/>
      <c r="AH924" s="355"/>
      <c r="AI924" s="355"/>
      <c r="AJ924" s="355"/>
      <c r="AK924" s="355"/>
      <c r="AL924" s="355"/>
      <c r="AM924" s="355"/>
      <c r="AU924" s="379">
        <v>71878</v>
      </c>
      <c r="AV924" s="375"/>
      <c r="AW924" s="375"/>
      <c r="AX924" s="375"/>
      <c r="AY924" s="375"/>
      <c r="AZ924" s="375"/>
      <c r="BA924" s="375"/>
      <c r="BB924" s="375"/>
      <c r="BC924" s="375"/>
      <c r="BD924" s="375"/>
      <c r="BE924" s="375"/>
      <c r="BF924" s="375">
        <v>7.1249999999999994E-2</v>
      </c>
      <c r="BG924" s="375"/>
      <c r="BH924" s="375"/>
      <c r="BI924" s="373">
        <f t="shared" si="41"/>
        <v>7.1249999999999994E-2</v>
      </c>
      <c r="BT924" s="355"/>
      <c r="BU924" s="355"/>
      <c r="BV924" s="355"/>
      <c r="BW924" s="355"/>
    </row>
    <row r="925" spans="1:75" x14ac:dyDescent="0.15">
      <c r="A925" s="356"/>
      <c r="B925" s="355"/>
      <c r="C925" s="355"/>
      <c r="D925" s="355"/>
      <c r="E925" s="355"/>
      <c r="F925" s="355"/>
      <c r="G925" s="355"/>
      <c r="O925" s="356"/>
      <c r="P925" s="355"/>
      <c r="Q925" s="355"/>
      <c r="R925" s="355"/>
      <c r="S925" s="355"/>
      <c r="T925" s="355"/>
      <c r="U925" s="355"/>
      <c r="V925" s="355"/>
      <c r="W925" s="355"/>
      <c r="AG925" s="355"/>
      <c r="AH925" s="355"/>
      <c r="AI925" s="355"/>
      <c r="AJ925" s="355"/>
      <c r="AK925" s="355"/>
      <c r="AL925" s="355"/>
      <c r="AM925" s="355"/>
      <c r="AU925" s="379">
        <v>71909</v>
      </c>
      <c r="AV925" s="375"/>
      <c r="AW925" s="375"/>
      <c r="AX925" s="375"/>
      <c r="AY925" s="375"/>
      <c r="AZ925" s="375"/>
      <c r="BA925" s="375"/>
      <c r="BB925" s="375"/>
      <c r="BC925" s="375"/>
      <c r="BD925" s="375"/>
      <c r="BE925" s="375"/>
      <c r="BF925" s="375">
        <v>7.1249999999999994E-2</v>
      </c>
      <c r="BG925" s="375"/>
      <c r="BH925" s="375"/>
      <c r="BI925" s="373">
        <f t="shared" si="41"/>
        <v>7.1249999999999994E-2</v>
      </c>
      <c r="BT925" s="355"/>
      <c r="BU925" s="355"/>
      <c r="BV925" s="355"/>
      <c r="BW925" s="355"/>
    </row>
    <row r="926" spans="1:75" x14ac:dyDescent="0.15">
      <c r="A926" s="356"/>
      <c r="B926" s="355"/>
      <c r="C926" s="355"/>
      <c r="D926" s="355"/>
      <c r="E926" s="355"/>
      <c r="F926" s="355"/>
      <c r="G926" s="355"/>
      <c r="O926" s="356"/>
      <c r="P926" s="355"/>
      <c r="Q926" s="355"/>
      <c r="R926" s="355"/>
      <c r="S926" s="355"/>
      <c r="T926" s="355"/>
      <c r="U926" s="355"/>
      <c r="V926" s="355"/>
      <c r="W926" s="355"/>
      <c r="AG926" s="355"/>
      <c r="AH926" s="355"/>
      <c r="AI926" s="355"/>
      <c r="AJ926" s="355"/>
      <c r="AK926" s="355"/>
      <c r="AL926" s="355"/>
      <c r="AM926" s="355"/>
      <c r="AU926" s="379">
        <v>71939</v>
      </c>
      <c r="AV926" s="375"/>
      <c r="AW926" s="375"/>
      <c r="AX926" s="375"/>
      <c r="AY926" s="375"/>
      <c r="AZ926" s="375"/>
      <c r="BA926" s="375"/>
      <c r="BB926" s="375"/>
      <c r="BC926" s="375"/>
      <c r="BD926" s="375"/>
      <c r="BE926" s="375"/>
      <c r="BF926" s="375">
        <v>7.1249999999999994E-2</v>
      </c>
      <c r="BG926" s="375"/>
      <c r="BH926" s="375"/>
      <c r="BI926" s="373">
        <f t="shared" si="41"/>
        <v>7.1249999999999994E-2</v>
      </c>
      <c r="BT926" s="355"/>
      <c r="BU926" s="355"/>
      <c r="BV926" s="355"/>
      <c r="BW926" s="355"/>
    </row>
    <row r="927" spans="1:75" x14ac:dyDescent="0.15">
      <c r="A927" s="356"/>
      <c r="B927" s="355"/>
      <c r="C927" s="355"/>
      <c r="D927" s="355"/>
      <c r="E927" s="355"/>
      <c r="F927" s="355"/>
      <c r="G927" s="355"/>
      <c r="O927" s="356"/>
      <c r="P927" s="355"/>
      <c r="Q927" s="355"/>
      <c r="R927" s="355"/>
      <c r="S927" s="355"/>
      <c r="T927" s="355"/>
      <c r="U927" s="355"/>
      <c r="V927" s="355"/>
      <c r="W927" s="355"/>
      <c r="AG927" s="355"/>
      <c r="AH927" s="355"/>
      <c r="AI927" s="355"/>
      <c r="AJ927" s="355"/>
      <c r="AK927" s="355"/>
      <c r="AL927" s="355"/>
      <c r="AM927" s="355"/>
      <c r="AU927" s="379">
        <v>71970</v>
      </c>
      <c r="AV927" s="375"/>
      <c r="AW927" s="375"/>
      <c r="AX927" s="375"/>
      <c r="AY927" s="375"/>
      <c r="AZ927" s="375"/>
      <c r="BA927" s="375"/>
      <c r="BB927" s="375"/>
      <c r="BC927" s="375"/>
      <c r="BD927" s="375"/>
      <c r="BE927" s="375"/>
      <c r="BF927" s="375">
        <v>7.1249999999999994E-2</v>
      </c>
      <c r="BG927" s="375"/>
      <c r="BH927" s="375"/>
      <c r="BI927" s="373">
        <f t="shared" si="41"/>
        <v>7.1249999999999994E-2</v>
      </c>
      <c r="BT927" s="355"/>
      <c r="BU927" s="355"/>
      <c r="BV927" s="355"/>
      <c r="BW927" s="355"/>
    </row>
    <row r="928" spans="1:75" x14ac:dyDescent="0.15">
      <c r="A928" s="356"/>
      <c r="B928" s="355"/>
      <c r="C928" s="355"/>
      <c r="D928" s="355"/>
      <c r="E928" s="355"/>
      <c r="F928" s="355"/>
      <c r="G928" s="355"/>
      <c r="O928" s="356"/>
      <c r="P928" s="355"/>
      <c r="Q928" s="355"/>
      <c r="R928" s="355"/>
      <c r="S928" s="355"/>
      <c r="T928" s="355"/>
      <c r="U928" s="355"/>
      <c r="V928" s="355"/>
      <c r="W928" s="355"/>
      <c r="AG928" s="355"/>
      <c r="AH928" s="355"/>
      <c r="AI928" s="355"/>
      <c r="AJ928" s="355"/>
      <c r="AK928" s="355"/>
      <c r="AL928" s="355"/>
      <c r="AM928" s="355"/>
      <c r="AU928" s="379">
        <v>72001</v>
      </c>
      <c r="AV928" s="375"/>
      <c r="AW928" s="375"/>
      <c r="AX928" s="375"/>
      <c r="AY928" s="375"/>
      <c r="AZ928" s="375"/>
      <c r="BA928" s="375"/>
      <c r="BB928" s="375"/>
      <c r="BC928" s="375"/>
      <c r="BD928" s="375"/>
      <c r="BE928" s="375"/>
      <c r="BF928" s="375">
        <v>7.1249999999999994E-2</v>
      </c>
      <c r="BG928" s="375"/>
      <c r="BH928" s="375"/>
      <c r="BI928" s="373">
        <f t="shared" si="41"/>
        <v>7.1249999999999994E-2</v>
      </c>
      <c r="BT928" s="355"/>
      <c r="BU928" s="355"/>
      <c r="BV928" s="355"/>
      <c r="BW928" s="355"/>
    </row>
    <row r="929" spans="1:75" x14ac:dyDescent="0.15">
      <c r="A929" s="356"/>
      <c r="B929" s="355"/>
      <c r="C929" s="355"/>
      <c r="D929" s="355"/>
      <c r="E929" s="355"/>
      <c r="F929" s="355"/>
      <c r="G929" s="355"/>
      <c r="O929" s="356"/>
      <c r="P929" s="355"/>
      <c r="Q929" s="355"/>
      <c r="R929" s="355"/>
      <c r="S929" s="355"/>
      <c r="T929" s="355"/>
      <c r="U929" s="355"/>
      <c r="V929" s="355"/>
      <c r="W929" s="355"/>
      <c r="AG929" s="355"/>
      <c r="AH929" s="355"/>
      <c r="AI929" s="355"/>
      <c r="AJ929" s="355"/>
      <c r="AK929" s="355"/>
      <c r="AL929" s="355"/>
      <c r="AM929" s="355"/>
      <c r="AU929" s="379">
        <v>72029</v>
      </c>
      <c r="AV929" s="375"/>
      <c r="AW929" s="375"/>
      <c r="AX929" s="375"/>
      <c r="AY929" s="375"/>
      <c r="AZ929" s="375"/>
      <c r="BA929" s="375"/>
      <c r="BB929" s="375"/>
      <c r="BC929" s="375"/>
      <c r="BD929" s="375"/>
      <c r="BE929" s="375"/>
      <c r="BF929" s="375">
        <v>7.1249999999999994E-2</v>
      </c>
      <c r="BG929" s="375"/>
      <c r="BH929" s="375"/>
      <c r="BI929" s="373">
        <f t="shared" si="41"/>
        <v>7.1249999999999994E-2</v>
      </c>
      <c r="BT929" s="355"/>
      <c r="BU929" s="355"/>
      <c r="BV929" s="355"/>
      <c r="BW929" s="355"/>
    </row>
    <row r="930" spans="1:75" x14ac:dyDescent="0.15">
      <c r="A930" s="356"/>
      <c r="B930" s="355"/>
      <c r="C930" s="355"/>
      <c r="D930" s="355"/>
      <c r="E930" s="355"/>
      <c r="F930" s="355"/>
      <c r="G930" s="355"/>
      <c r="O930" s="356"/>
      <c r="P930" s="355"/>
      <c r="Q930" s="355"/>
      <c r="R930" s="355"/>
      <c r="S930" s="355"/>
      <c r="T930" s="355"/>
      <c r="U930" s="355"/>
      <c r="V930" s="355"/>
      <c r="W930" s="355"/>
      <c r="AG930" s="355"/>
      <c r="AH930" s="355"/>
      <c r="AI930" s="355"/>
      <c r="AJ930" s="355"/>
      <c r="AK930" s="355"/>
      <c r="AL930" s="355"/>
      <c r="AM930" s="355"/>
      <c r="AU930" s="379">
        <v>72060</v>
      </c>
      <c r="AV930" s="375"/>
      <c r="AW930" s="375"/>
      <c r="AX930" s="375"/>
      <c r="AY930" s="375"/>
      <c r="AZ930" s="375"/>
      <c r="BA930" s="375"/>
      <c r="BB930" s="375"/>
      <c r="BC930" s="375"/>
      <c r="BD930" s="375"/>
      <c r="BE930" s="375"/>
      <c r="BF930" s="375">
        <v>7.1249999999999994E-2</v>
      </c>
      <c r="BG930" s="375"/>
      <c r="BH930" s="375"/>
      <c r="BI930" s="373">
        <f t="shared" si="41"/>
        <v>7.1249999999999994E-2</v>
      </c>
      <c r="BT930" s="355"/>
      <c r="BU930" s="355"/>
      <c r="BV930" s="355"/>
      <c r="BW930" s="355"/>
    </row>
    <row r="931" spans="1:75" x14ac:dyDescent="0.15">
      <c r="A931" s="356"/>
      <c r="B931" s="355"/>
      <c r="C931" s="355"/>
      <c r="D931" s="355"/>
      <c r="E931" s="355"/>
      <c r="F931" s="355"/>
      <c r="G931" s="355"/>
      <c r="O931" s="356"/>
      <c r="P931" s="355"/>
      <c r="Q931" s="355"/>
      <c r="R931" s="355"/>
      <c r="S931" s="355"/>
      <c r="T931" s="355"/>
      <c r="U931" s="355"/>
      <c r="V931" s="355"/>
      <c r="W931" s="355"/>
      <c r="AG931" s="355"/>
      <c r="AH931" s="355"/>
      <c r="AI931" s="355"/>
      <c r="AJ931" s="355"/>
      <c r="AK931" s="355"/>
      <c r="AL931" s="355"/>
      <c r="AM931" s="355"/>
      <c r="AU931" s="379">
        <v>72090</v>
      </c>
      <c r="AV931" s="375"/>
      <c r="AW931" s="375"/>
      <c r="AX931" s="375"/>
      <c r="AY931" s="375"/>
      <c r="AZ931" s="375"/>
      <c r="BA931" s="375"/>
      <c r="BB931" s="375"/>
      <c r="BC931" s="375"/>
      <c r="BD931" s="375"/>
      <c r="BE931" s="375"/>
      <c r="BF931" s="375">
        <v>7.1249999999999994E-2</v>
      </c>
      <c r="BG931" s="375"/>
      <c r="BH931" s="375"/>
      <c r="BI931" s="373">
        <f t="shared" si="41"/>
        <v>7.1249999999999994E-2</v>
      </c>
      <c r="BT931" s="355"/>
      <c r="BU931" s="355"/>
      <c r="BV931" s="355"/>
      <c r="BW931" s="355"/>
    </row>
    <row r="932" spans="1:75" x14ac:dyDescent="0.15">
      <c r="A932" s="356"/>
      <c r="B932" s="355"/>
      <c r="C932" s="355"/>
      <c r="D932" s="355"/>
      <c r="E932" s="355"/>
      <c r="F932" s="355"/>
      <c r="G932" s="355"/>
      <c r="O932" s="356"/>
      <c r="P932" s="355"/>
      <c r="Q932" s="355"/>
      <c r="R932" s="355"/>
      <c r="S932" s="355"/>
      <c r="T932" s="355"/>
      <c r="U932" s="355"/>
      <c r="V932" s="355"/>
      <c r="W932" s="355"/>
      <c r="AG932" s="355"/>
      <c r="AH932" s="355"/>
      <c r="AI932" s="355"/>
      <c r="AJ932" s="355"/>
      <c r="AK932" s="355"/>
      <c r="AL932" s="355"/>
      <c r="AM932" s="355"/>
      <c r="AU932" s="379">
        <v>72121</v>
      </c>
      <c r="AV932" s="375"/>
      <c r="AW932" s="375"/>
      <c r="AX932" s="375"/>
      <c r="AY932" s="375"/>
      <c r="AZ932" s="375"/>
      <c r="BA932" s="375"/>
      <c r="BB932" s="375"/>
      <c r="BC932" s="375"/>
      <c r="BD932" s="375"/>
      <c r="BE932" s="375"/>
      <c r="BF932" s="375">
        <v>7.1249999999999994E-2</v>
      </c>
      <c r="BG932" s="375"/>
      <c r="BH932" s="375"/>
      <c r="BI932" s="373">
        <f t="shared" si="41"/>
        <v>7.1249999999999994E-2</v>
      </c>
      <c r="BT932" s="355"/>
      <c r="BU932" s="355"/>
      <c r="BV932" s="355"/>
      <c r="BW932" s="355"/>
    </row>
    <row r="933" spans="1:75" x14ac:dyDescent="0.15">
      <c r="A933" s="356"/>
      <c r="B933" s="355"/>
      <c r="C933" s="355"/>
      <c r="D933" s="355"/>
      <c r="E933" s="355"/>
      <c r="F933" s="355"/>
      <c r="G933" s="355"/>
      <c r="O933" s="356"/>
      <c r="P933" s="355"/>
      <c r="Q933" s="355"/>
      <c r="R933" s="355"/>
      <c r="S933" s="355"/>
      <c r="T933" s="355"/>
      <c r="U933" s="355"/>
      <c r="V933" s="355"/>
      <c r="W933" s="355"/>
      <c r="AG933" s="355"/>
      <c r="AH933" s="355"/>
      <c r="AI933" s="355"/>
      <c r="AJ933" s="355"/>
      <c r="AK933" s="355"/>
      <c r="AL933" s="355"/>
      <c r="AM933" s="355"/>
      <c r="AU933" s="379">
        <v>72151</v>
      </c>
      <c r="AV933" s="375"/>
      <c r="AW933" s="375"/>
      <c r="AX933" s="375"/>
      <c r="AY933" s="375"/>
      <c r="AZ933" s="375"/>
      <c r="BA933" s="375"/>
      <c r="BB933" s="375"/>
      <c r="BC933" s="375"/>
      <c r="BD933" s="375"/>
      <c r="BE933" s="375"/>
      <c r="BF933" s="375">
        <v>7.1249999999999994E-2</v>
      </c>
      <c r="BG933" s="375"/>
      <c r="BH933" s="375"/>
      <c r="BI933" s="373">
        <f t="shared" si="41"/>
        <v>7.1249999999999994E-2</v>
      </c>
      <c r="BT933" s="355"/>
      <c r="BU933" s="355"/>
      <c r="BV933" s="355"/>
      <c r="BW933" s="355"/>
    </row>
    <row r="934" spans="1:75" x14ac:dyDescent="0.15">
      <c r="A934" s="356"/>
      <c r="B934" s="355"/>
      <c r="C934" s="355"/>
      <c r="D934" s="355"/>
      <c r="E934" s="355"/>
      <c r="F934" s="355"/>
      <c r="G934" s="355"/>
      <c r="O934" s="356"/>
      <c r="P934" s="355"/>
      <c r="Q934" s="355"/>
      <c r="R934" s="355"/>
      <c r="S934" s="355"/>
      <c r="T934" s="355"/>
      <c r="U934" s="355"/>
      <c r="V934" s="355"/>
      <c r="W934" s="355"/>
      <c r="AG934" s="355"/>
      <c r="AH934" s="355"/>
      <c r="AI934" s="355"/>
      <c r="AJ934" s="355"/>
      <c r="AK934" s="355"/>
      <c r="AL934" s="355"/>
      <c r="AM934" s="355"/>
      <c r="AU934" s="379">
        <v>72182</v>
      </c>
      <c r="AV934" s="375"/>
      <c r="AW934" s="375"/>
      <c r="AX934" s="375"/>
      <c r="AY934" s="375"/>
      <c r="AZ934" s="375"/>
      <c r="BA934" s="375"/>
      <c r="BB934" s="375"/>
      <c r="BC934" s="375"/>
      <c r="BD934" s="375"/>
      <c r="BE934" s="375"/>
      <c r="BF934" s="375">
        <v>7.1249999999999994E-2</v>
      </c>
      <c r="BG934" s="375"/>
      <c r="BH934" s="375"/>
      <c r="BI934" s="373">
        <f t="shared" si="41"/>
        <v>7.1249999999999994E-2</v>
      </c>
      <c r="BT934" s="355"/>
      <c r="BU934" s="355"/>
      <c r="BV934" s="355"/>
      <c r="BW934" s="355"/>
    </row>
    <row r="935" spans="1:75" x14ac:dyDescent="0.15">
      <c r="A935" s="356"/>
      <c r="B935" s="355"/>
      <c r="C935" s="355"/>
      <c r="D935" s="355"/>
      <c r="E935" s="355"/>
      <c r="F935" s="355"/>
      <c r="G935" s="355"/>
      <c r="O935" s="356"/>
      <c r="P935" s="355"/>
      <c r="Q935" s="355"/>
      <c r="R935" s="355"/>
      <c r="S935" s="355"/>
      <c r="T935" s="355"/>
      <c r="U935" s="355"/>
      <c r="V935" s="355"/>
      <c r="W935" s="355"/>
      <c r="AG935" s="355"/>
      <c r="AH935" s="355"/>
      <c r="AI935" s="355"/>
      <c r="AJ935" s="355"/>
      <c r="AK935" s="355"/>
      <c r="AL935" s="355"/>
      <c r="AM935" s="355"/>
      <c r="AU935" s="379">
        <v>72213</v>
      </c>
      <c r="AV935" s="375"/>
      <c r="AW935" s="375"/>
      <c r="AX935" s="375"/>
      <c r="AY935" s="375"/>
      <c r="AZ935" s="375"/>
      <c r="BA935" s="375"/>
      <c r="BB935" s="375"/>
      <c r="BC935" s="375"/>
      <c r="BD935" s="375"/>
      <c r="BE935" s="375"/>
      <c r="BF935" s="375">
        <v>7.1249999999999994E-2</v>
      </c>
      <c r="BG935" s="375"/>
      <c r="BH935" s="375"/>
      <c r="BI935" s="373">
        <f t="shared" si="41"/>
        <v>7.1249999999999994E-2</v>
      </c>
      <c r="BT935" s="355"/>
      <c r="BU935" s="355"/>
      <c r="BV935" s="355"/>
      <c r="BW935" s="355"/>
    </row>
    <row r="936" spans="1:75" x14ac:dyDescent="0.15">
      <c r="A936" s="356"/>
      <c r="B936" s="355"/>
      <c r="C936" s="355"/>
      <c r="D936" s="355"/>
      <c r="E936" s="355"/>
      <c r="F936" s="355"/>
      <c r="G936" s="355"/>
      <c r="O936" s="356"/>
      <c r="P936" s="355"/>
      <c r="Q936" s="355"/>
      <c r="R936" s="355"/>
      <c r="S936" s="355"/>
      <c r="T936" s="355"/>
      <c r="U936" s="355"/>
      <c r="V936" s="355"/>
      <c r="W936" s="355"/>
      <c r="AG936" s="355"/>
      <c r="AH936" s="355"/>
      <c r="AI936" s="355"/>
      <c r="AJ936" s="355"/>
      <c r="AK936" s="355"/>
      <c r="AL936" s="355"/>
      <c r="AM936" s="355"/>
      <c r="AU936" s="379">
        <v>72243</v>
      </c>
      <c r="AV936" s="375"/>
      <c r="AW936" s="375"/>
      <c r="AX936" s="375"/>
      <c r="AY936" s="375"/>
      <c r="AZ936" s="375"/>
      <c r="BA936" s="375"/>
      <c r="BB936" s="375"/>
      <c r="BC936" s="375"/>
      <c r="BD936" s="375"/>
      <c r="BE936" s="375"/>
      <c r="BF936" s="375">
        <v>7.1249999999999994E-2</v>
      </c>
      <c r="BG936" s="375"/>
      <c r="BH936" s="375"/>
      <c r="BI936" s="373">
        <f t="shared" si="41"/>
        <v>7.1249999999999994E-2</v>
      </c>
      <c r="BT936" s="355"/>
      <c r="BU936" s="355"/>
      <c r="BV936" s="355"/>
      <c r="BW936" s="355"/>
    </row>
    <row r="937" spans="1:75" x14ac:dyDescent="0.15">
      <c r="A937" s="356"/>
      <c r="B937" s="355"/>
      <c r="C937" s="355"/>
      <c r="D937" s="355"/>
      <c r="E937" s="355"/>
      <c r="F937" s="355"/>
      <c r="G937" s="355"/>
      <c r="O937" s="356"/>
      <c r="P937" s="355"/>
      <c r="Q937" s="355"/>
      <c r="R937" s="355"/>
      <c r="S937" s="355"/>
      <c r="T937" s="355"/>
      <c r="U937" s="355"/>
      <c r="V937" s="355"/>
      <c r="W937" s="355"/>
      <c r="AG937" s="355"/>
      <c r="AH937" s="355"/>
      <c r="AI937" s="355"/>
      <c r="AJ937" s="355"/>
      <c r="AK937" s="355"/>
      <c r="AL937" s="355"/>
      <c r="AM937" s="355"/>
      <c r="AU937" s="379">
        <v>72274</v>
      </c>
      <c r="AV937" s="375"/>
      <c r="AW937" s="375"/>
      <c r="AX937" s="375"/>
      <c r="AY937" s="375"/>
      <c r="AZ937" s="375"/>
      <c r="BA937" s="375"/>
      <c r="BB937" s="375"/>
      <c r="BC937" s="375"/>
      <c r="BD937" s="375"/>
      <c r="BE937" s="375"/>
      <c r="BF937" s="375">
        <v>7.1249999999999994E-2</v>
      </c>
      <c r="BG937" s="375"/>
      <c r="BH937" s="375"/>
      <c r="BI937" s="373">
        <f t="shared" si="41"/>
        <v>7.1249999999999994E-2</v>
      </c>
      <c r="BT937" s="355"/>
      <c r="BU937" s="355"/>
      <c r="BV937" s="355"/>
      <c r="BW937" s="355"/>
    </row>
    <row r="938" spans="1:75" x14ac:dyDescent="0.15">
      <c r="A938" s="356"/>
      <c r="B938" s="355"/>
      <c r="C938" s="355"/>
      <c r="D938" s="355"/>
      <c r="E938" s="355"/>
      <c r="F938" s="355"/>
      <c r="G938" s="355"/>
      <c r="O938" s="356"/>
      <c r="P938" s="355"/>
      <c r="Q938" s="355"/>
      <c r="R938" s="355"/>
      <c r="S938" s="355"/>
      <c r="T938" s="355"/>
      <c r="U938" s="355"/>
      <c r="V938" s="355"/>
      <c r="W938" s="355"/>
      <c r="AG938" s="355"/>
      <c r="AH938" s="355"/>
      <c r="AI938" s="355"/>
      <c r="AJ938" s="355"/>
      <c r="AK938" s="355"/>
      <c r="AL938" s="355"/>
      <c r="AM938" s="355"/>
      <c r="AU938" s="379">
        <v>72304</v>
      </c>
      <c r="AV938" s="375"/>
      <c r="AW938" s="375"/>
      <c r="AX938" s="375"/>
      <c r="AY938" s="375"/>
      <c r="AZ938" s="375"/>
      <c r="BA938" s="375"/>
      <c r="BB938" s="375"/>
      <c r="BC938" s="375"/>
      <c r="BD938" s="375"/>
      <c r="BE938" s="375"/>
      <c r="BF938" s="375">
        <v>7.1249999999999994E-2</v>
      </c>
      <c r="BG938" s="375"/>
      <c r="BH938" s="375"/>
      <c r="BI938" s="373">
        <f t="shared" si="41"/>
        <v>7.1249999999999994E-2</v>
      </c>
      <c r="BT938" s="355"/>
      <c r="BU938" s="355"/>
      <c r="BV938" s="355"/>
      <c r="BW938" s="355"/>
    </row>
    <row r="939" spans="1:75" x14ac:dyDescent="0.15">
      <c r="A939" s="356"/>
      <c r="B939" s="355"/>
      <c r="C939" s="355"/>
      <c r="D939" s="355"/>
      <c r="E939" s="355"/>
      <c r="F939" s="355"/>
      <c r="G939" s="355"/>
      <c r="O939" s="356"/>
      <c r="P939" s="355"/>
      <c r="Q939" s="355"/>
      <c r="R939" s="355"/>
      <c r="S939" s="355"/>
      <c r="T939" s="355"/>
      <c r="U939" s="355"/>
      <c r="V939" s="355"/>
      <c r="W939" s="355"/>
      <c r="AG939" s="355"/>
      <c r="AH939" s="355"/>
      <c r="AI939" s="355"/>
      <c r="AJ939" s="355"/>
      <c r="AK939" s="355"/>
      <c r="AL939" s="355"/>
      <c r="AM939" s="355"/>
      <c r="AU939" s="379">
        <v>72335</v>
      </c>
      <c r="AV939" s="375"/>
      <c r="AW939" s="375"/>
      <c r="AX939" s="375"/>
      <c r="AY939" s="375"/>
      <c r="AZ939" s="375"/>
      <c r="BA939" s="375"/>
      <c r="BB939" s="375"/>
      <c r="BC939" s="375"/>
      <c r="BD939" s="375"/>
      <c r="BE939" s="375"/>
      <c r="BF939" s="375">
        <v>7.1249999999999994E-2</v>
      </c>
      <c r="BG939" s="375"/>
      <c r="BH939" s="375"/>
      <c r="BI939" s="373">
        <f t="shared" si="41"/>
        <v>7.1249999999999994E-2</v>
      </c>
      <c r="BT939" s="355"/>
      <c r="BU939" s="355"/>
      <c r="BV939" s="355"/>
      <c r="BW939" s="355"/>
    </row>
    <row r="940" spans="1:75" x14ac:dyDescent="0.15">
      <c r="A940" s="356"/>
      <c r="B940" s="355"/>
      <c r="C940" s="355"/>
      <c r="D940" s="355"/>
      <c r="E940" s="355"/>
      <c r="F940" s="355"/>
      <c r="G940" s="355"/>
      <c r="O940" s="356"/>
      <c r="P940" s="355"/>
      <c r="Q940" s="355"/>
      <c r="R940" s="355"/>
      <c r="S940" s="355"/>
      <c r="T940" s="355"/>
      <c r="U940" s="355"/>
      <c r="V940" s="355"/>
      <c r="W940" s="355"/>
      <c r="AG940" s="355"/>
      <c r="AH940" s="355"/>
      <c r="AI940" s="355"/>
      <c r="AJ940" s="355"/>
      <c r="AK940" s="355"/>
      <c r="AL940" s="355"/>
      <c r="AM940" s="355"/>
      <c r="AU940" s="379">
        <v>72366</v>
      </c>
      <c r="AV940" s="375"/>
      <c r="AW940" s="375"/>
      <c r="AX940" s="375"/>
      <c r="AY940" s="375"/>
      <c r="AZ940" s="375"/>
      <c r="BA940" s="375"/>
      <c r="BB940" s="375"/>
      <c r="BC940" s="375"/>
      <c r="BD940" s="375"/>
      <c r="BE940" s="375"/>
      <c r="BF940" s="375">
        <v>7.1249999999999994E-2</v>
      </c>
      <c r="BG940" s="375"/>
      <c r="BH940" s="375"/>
      <c r="BI940" s="373">
        <f t="shared" si="41"/>
        <v>7.1249999999999994E-2</v>
      </c>
      <c r="BT940" s="355"/>
      <c r="BU940" s="355"/>
      <c r="BV940" s="355"/>
      <c r="BW940" s="355"/>
    </row>
    <row r="941" spans="1:75" x14ac:dyDescent="0.15">
      <c r="A941" s="356"/>
      <c r="B941" s="355"/>
      <c r="C941" s="355"/>
      <c r="D941" s="355"/>
      <c r="E941" s="355"/>
      <c r="F941" s="355"/>
      <c r="G941" s="355"/>
      <c r="O941" s="356"/>
      <c r="P941" s="355"/>
      <c r="Q941" s="355"/>
      <c r="R941" s="355"/>
      <c r="S941" s="355"/>
      <c r="T941" s="355"/>
      <c r="U941" s="355"/>
      <c r="V941" s="355"/>
      <c r="W941" s="355"/>
      <c r="AG941" s="355"/>
      <c r="AH941" s="355"/>
      <c r="AI941" s="355"/>
      <c r="AJ941" s="355"/>
      <c r="AK941" s="355"/>
      <c r="AL941" s="355"/>
      <c r="AM941" s="355"/>
      <c r="AU941" s="379">
        <v>72394</v>
      </c>
      <c r="AV941" s="375"/>
      <c r="AW941" s="375"/>
      <c r="AX941" s="375"/>
      <c r="AY941" s="375"/>
      <c r="AZ941" s="375"/>
      <c r="BA941" s="375"/>
      <c r="BB941" s="375"/>
      <c r="BC941" s="375"/>
      <c r="BD941" s="375"/>
      <c r="BE941" s="375"/>
      <c r="BF941" s="375">
        <v>7.1249999999999994E-2</v>
      </c>
      <c r="BG941" s="375"/>
      <c r="BH941" s="375"/>
      <c r="BI941" s="373">
        <f t="shared" si="41"/>
        <v>7.1249999999999994E-2</v>
      </c>
      <c r="BT941" s="355"/>
      <c r="BU941" s="355"/>
      <c r="BV941" s="355"/>
      <c r="BW941" s="355"/>
    </row>
    <row r="942" spans="1:75" x14ac:dyDescent="0.15">
      <c r="A942" s="356"/>
      <c r="B942" s="355"/>
      <c r="C942" s="355"/>
      <c r="D942" s="355"/>
      <c r="E942" s="355"/>
      <c r="F942" s="355"/>
      <c r="G942" s="355"/>
      <c r="O942" s="356"/>
      <c r="P942" s="355"/>
      <c r="Q942" s="355"/>
      <c r="R942" s="355"/>
      <c r="S942" s="355"/>
      <c r="T942" s="355"/>
      <c r="U942" s="355"/>
      <c r="V942" s="355"/>
      <c r="W942" s="355"/>
      <c r="AG942" s="355"/>
      <c r="AH942" s="355"/>
      <c r="AI942" s="355"/>
      <c r="AJ942" s="355"/>
      <c r="AK942" s="355"/>
      <c r="AL942" s="355"/>
      <c r="AM942" s="355"/>
      <c r="AU942" s="379">
        <v>72425</v>
      </c>
      <c r="AV942" s="375"/>
      <c r="AW942" s="375"/>
      <c r="AX942" s="375"/>
      <c r="AY942" s="375"/>
      <c r="AZ942" s="375"/>
      <c r="BA942" s="375"/>
      <c r="BB942" s="375"/>
      <c r="BC942" s="375"/>
      <c r="BD942" s="375"/>
      <c r="BE942" s="375"/>
      <c r="BF942" s="375">
        <v>7.1249999999999994E-2</v>
      </c>
      <c r="BG942" s="375"/>
      <c r="BH942" s="375"/>
      <c r="BI942" s="373">
        <f t="shared" si="41"/>
        <v>7.1249999999999994E-2</v>
      </c>
      <c r="BT942" s="355"/>
      <c r="BU942" s="355"/>
      <c r="BV942" s="355"/>
      <c r="BW942" s="355"/>
    </row>
    <row r="943" spans="1:75" x14ac:dyDescent="0.15">
      <c r="A943" s="356"/>
      <c r="B943" s="355"/>
      <c r="C943" s="355"/>
      <c r="D943" s="355"/>
      <c r="E943" s="355"/>
      <c r="F943" s="355"/>
      <c r="G943" s="355"/>
      <c r="O943" s="356"/>
      <c r="P943" s="355"/>
      <c r="Q943" s="355"/>
      <c r="R943" s="355"/>
      <c r="S943" s="355"/>
      <c r="T943" s="355"/>
      <c r="U943" s="355"/>
      <c r="V943" s="355"/>
      <c r="W943" s="355"/>
      <c r="AG943" s="355"/>
      <c r="AH943" s="355"/>
      <c r="AI943" s="355"/>
      <c r="AJ943" s="355"/>
      <c r="AK943" s="355"/>
      <c r="AL943" s="355"/>
      <c r="AM943" s="355"/>
      <c r="AU943" s="379">
        <v>72455</v>
      </c>
      <c r="AV943" s="375"/>
      <c r="AW943" s="375"/>
      <c r="AX943" s="375"/>
      <c r="AY943" s="375"/>
      <c r="AZ943" s="375"/>
      <c r="BA943" s="375"/>
      <c r="BB943" s="375"/>
      <c r="BC943" s="375"/>
      <c r="BD943" s="375"/>
      <c r="BE943" s="375"/>
      <c r="BF943" s="375">
        <v>7.1249999999999994E-2</v>
      </c>
      <c r="BG943" s="375"/>
      <c r="BH943" s="375"/>
      <c r="BI943" s="373">
        <f t="shared" si="41"/>
        <v>7.1249999999999994E-2</v>
      </c>
      <c r="BT943" s="355"/>
      <c r="BU943" s="355"/>
      <c r="BV943" s="355"/>
      <c r="BW943" s="355"/>
    </row>
    <row r="944" spans="1:75" x14ac:dyDescent="0.15">
      <c r="A944" s="356"/>
      <c r="B944" s="355"/>
      <c r="C944" s="355"/>
      <c r="D944" s="355"/>
      <c r="E944" s="355"/>
      <c r="F944" s="355"/>
      <c r="G944" s="355"/>
      <c r="O944" s="356"/>
      <c r="P944" s="355"/>
      <c r="Q944" s="355"/>
      <c r="R944" s="355"/>
      <c r="S944" s="355"/>
      <c r="T944" s="355"/>
      <c r="U944" s="355"/>
      <c r="V944" s="355"/>
      <c r="W944" s="355"/>
      <c r="AG944" s="355"/>
      <c r="AH944" s="355"/>
      <c r="AI944" s="355"/>
      <c r="AJ944" s="355"/>
      <c r="AK944" s="355"/>
      <c r="AL944" s="355"/>
      <c r="AM944" s="355"/>
      <c r="AU944" s="379">
        <v>72486</v>
      </c>
      <c r="AV944" s="375"/>
      <c r="AW944" s="375"/>
      <c r="AX944" s="375"/>
      <c r="AY944" s="375"/>
      <c r="AZ944" s="375"/>
      <c r="BA944" s="375"/>
      <c r="BB944" s="375"/>
      <c r="BC944" s="375"/>
      <c r="BD944" s="375"/>
      <c r="BE944" s="375"/>
      <c r="BF944" s="375">
        <v>7.1249999999999994E-2</v>
      </c>
      <c r="BG944" s="375"/>
      <c r="BH944" s="375"/>
      <c r="BI944" s="373">
        <f t="shared" si="41"/>
        <v>7.1249999999999994E-2</v>
      </c>
      <c r="BT944" s="355"/>
      <c r="BU944" s="355"/>
      <c r="BV944" s="355"/>
      <c r="BW944" s="355"/>
    </row>
    <row r="945" spans="1:75" x14ac:dyDescent="0.15">
      <c r="A945" s="356"/>
      <c r="B945" s="355"/>
      <c r="C945" s="355"/>
      <c r="D945" s="355"/>
      <c r="E945" s="355"/>
      <c r="F945" s="355"/>
      <c r="G945" s="355"/>
      <c r="O945" s="356"/>
      <c r="P945" s="355"/>
      <c r="Q945" s="355"/>
      <c r="R945" s="355"/>
      <c r="S945" s="355"/>
      <c r="T945" s="355"/>
      <c r="U945" s="355"/>
      <c r="V945" s="355"/>
      <c r="W945" s="355"/>
      <c r="AG945" s="355"/>
      <c r="AH945" s="355"/>
      <c r="AI945" s="355"/>
      <c r="AJ945" s="355"/>
      <c r="AK945" s="355"/>
      <c r="AL945" s="355"/>
      <c r="AM945" s="355"/>
      <c r="AU945" s="379">
        <v>72516</v>
      </c>
      <c r="AV945" s="375"/>
      <c r="AW945" s="375"/>
      <c r="AX945" s="375"/>
      <c r="AY945" s="375"/>
      <c r="AZ945" s="375"/>
      <c r="BA945" s="375"/>
      <c r="BB945" s="375"/>
      <c r="BC945" s="375"/>
      <c r="BD945" s="375"/>
      <c r="BE945" s="375"/>
      <c r="BF945" s="375">
        <v>7.1249999999999994E-2</v>
      </c>
      <c r="BG945" s="375"/>
      <c r="BH945" s="375"/>
      <c r="BI945" s="373">
        <f t="shared" si="41"/>
        <v>7.1249999999999994E-2</v>
      </c>
      <c r="BT945" s="355"/>
      <c r="BU945" s="355"/>
      <c r="BV945" s="355"/>
      <c r="BW945" s="355"/>
    </row>
    <row r="946" spans="1:75" x14ac:dyDescent="0.15">
      <c r="A946" s="356"/>
      <c r="B946" s="355"/>
      <c r="C946" s="355"/>
      <c r="D946" s="355"/>
      <c r="E946" s="355"/>
      <c r="F946" s="355"/>
      <c r="G946" s="355"/>
      <c r="O946" s="356"/>
      <c r="P946" s="355"/>
      <c r="Q946" s="355"/>
      <c r="R946" s="355"/>
      <c r="S946" s="355"/>
      <c r="T946" s="355"/>
      <c r="U946" s="355"/>
      <c r="V946" s="355"/>
      <c r="W946" s="355"/>
      <c r="AG946" s="355"/>
      <c r="AH946" s="355"/>
      <c r="AI946" s="355"/>
      <c r="AJ946" s="355"/>
      <c r="AK946" s="355"/>
      <c r="AL946" s="355"/>
      <c r="AM946" s="355"/>
      <c r="AU946" s="379">
        <v>72547</v>
      </c>
      <c r="AV946" s="375"/>
      <c r="AW946" s="375"/>
      <c r="AX946" s="375"/>
      <c r="AY946" s="375"/>
      <c r="AZ946" s="375"/>
      <c r="BA946" s="375"/>
      <c r="BB946" s="375"/>
      <c r="BC946" s="375"/>
      <c r="BD946" s="375"/>
      <c r="BE946" s="375"/>
      <c r="BF946" s="375">
        <v>7.1249999999999994E-2</v>
      </c>
      <c r="BG946" s="375"/>
      <c r="BH946" s="375"/>
      <c r="BI946" s="373">
        <f t="shared" si="41"/>
        <v>7.1249999999999994E-2</v>
      </c>
      <c r="BT946" s="355"/>
      <c r="BU946" s="355"/>
      <c r="BV946" s="355"/>
      <c r="BW946" s="355"/>
    </row>
    <row r="947" spans="1:75" x14ac:dyDescent="0.15">
      <c r="A947" s="356"/>
      <c r="B947" s="355"/>
      <c r="C947" s="355"/>
      <c r="D947" s="355"/>
      <c r="E947" s="355"/>
      <c r="F947" s="355"/>
      <c r="G947" s="355"/>
      <c r="O947" s="356"/>
      <c r="P947" s="355"/>
      <c r="Q947" s="355"/>
      <c r="R947" s="355"/>
      <c r="S947" s="355"/>
      <c r="T947" s="355"/>
      <c r="U947" s="355"/>
      <c r="V947" s="355"/>
      <c r="W947" s="355"/>
      <c r="AG947" s="355"/>
      <c r="AH947" s="355"/>
      <c r="AI947" s="355"/>
      <c r="AJ947" s="355"/>
      <c r="AK947" s="355"/>
      <c r="AL947" s="355"/>
      <c r="AM947" s="355"/>
      <c r="AU947" s="379">
        <v>72578</v>
      </c>
      <c r="AV947" s="375"/>
      <c r="AW947" s="375"/>
      <c r="AX947" s="375"/>
      <c r="AY947" s="375"/>
      <c r="AZ947" s="375"/>
      <c r="BA947" s="375"/>
      <c r="BB947" s="375"/>
      <c r="BC947" s="375"/>
      <c r="BD947" s="375"/>
      <c r="BE947" s="375"/>
      <c r="BF947" s="375">
        <v>7.1249999999999994E-2</v>
      </c>
      <c r="BG947" s="375"/>
      <c r="BH947" s="375"/>
      <c r="BI947" s="373">
        <f t="shared" si="41"/>
        <v>7.1249999999999994E-2</v>
      </c>
      <c r="BT947" s="355"/>
      <c r="BU947" s="355"/>
      <c r="BV947" s="355"/>
      <c r="BW947" s="355"/>
    </row>
    <row r="948" spans="1:75" x14ac:dyDescent="0.15">
      <c r="A948" s="356"/>
      <c r="B948" s="355"/>
      <c r="C948" s="355"/>
      <c r="D948" s="355"/>
      <c r="E948" s="355"/>
      <c r="F948" s="355"/>
      <c r="G948" s="355"/>
      <c r="O948" s="356"/>
      <c r="P948" s="355"/>
      <c r="Q948" s="355"/>
      <c r="R948" s="355"/>
      <c r="S948" s="355"/>
      <c r="T948" s="355"/>
      <c r="U948" s="355"/>
      <c r="V948" s="355"/>
      <c r="W948" s="355"/>
      <c r="AG948" s="355"/>
      <c r="AH948" s="355"/>
      <c r="AI948" s="355"/>
      <c r="AJ948" s="355"/>
      <c r="AK948" s="355"/>
      <c r="AL948" s="355"/>
      <c r="AM948" s="355"/>
      <c r="AU948" s="379">
        <v>72608</v>
      </c>
      <c r="AV948" s="375"/>
      <c r="AW948" s="375"/>
      <c r="AX948" s="375"/>
      <c r="AY948" s="375"/>
      <c r="AZ948" s="375"/>
      <c r="BA948" s="375"/>
      <c r="BB948" s="375"/>
      <c r="BC948" s="375"/>
      <c r="BD948" s="375"/>
      <c r="BE948" s="375"/>
      <c r="BF948" s="375">
        <v>7.1249999999999994E-2</v>
      </c>
      <c r="BG948" s="375"/>
      <c r="BH948" s="375"/>
      <c r="BI948" s="373">
        <f t="shared" si="41"/>
        <v>7.1249999999999994E-2</v>
      </c>
      <c r="BT948" s="355"/>
      <c r="BU948" s="355"/>
      <c r="BV948" s="355"/>
      <c r="BW948" s="355"/>
    </row>
    <row r="949" spans="1:75" x14ac:dyDescent="0.15">
      <c r="A949" s="356"/>
      <c r="B949" s="355"/>
      <c r="C949" s="355"/>
      <c r="D949" s="355"/>
      <c r="E949" s="355"/>
      <c r="F949" s="355"/>
      <c r="G949" s="355"/>
      <c r="O949" s="356"/>
      <c r="P949" s="355"/>
      <c r="Q949" s="355"/>
      <c r="R949" s="355"/>
      <c r="S949" s="355"/>
      <c r="T949" s="355"/>
      <c r="U949" s="355"/>
      <c r="V949" s="355"/>
      <c r="W949" s="355"/>
      <c r="AG949" s="355"/>
      <c r="AH949" s="355"/>
      <c r="AI949" s="355"/>
      <c r="AJ949" s="355"/>
      <c r="AK949" s="355"/>
      <c r="AL949" s="355"/>
      <c r="AM949" s="355"/>
      <c r="AU949" s="379">
        <v>72639</v>
      </c>
      <c r="AV949" s="375"/>
      <c r="AW949" s="375"/>
      <c r="AX949" s="375"/>
      <c r="AY949" s="375"/>
      <c r="AZ949" s="375"/>
      <c r="BA949" s="375"/>
      <c r="BB949" s="375"/>
      <c r="BC949" s="375"/>
      <c r="BD949" s="375"/>
      <c r="BE949" s="375"/>
      <c r="BF949" s="375">
        <v>7.1249999999999994E-2</v>
      </c>
      <c r="BG949" s="375"/>
      <c r="BH949" s="375"/>
      <c r="BI949" s="373">
        <f t="shared" si="41"/>
        <v>7.1249999999999994E-2</v>
      </c>
      <c r="BT949" s="355"/>
      <c r="BU949" s="355"/>
      <c r="BV949" s="355"/>
      <c r="BW949" s="355"/>
    </row>
    <row r="950" spans="1:75" x14ac:dyDescent="0.15">
      <c r="A950" s="356"/>
      <c r="B950" s="355"/>
      <c r="C950" s="355"/>
      <c r="D950" s="355"/>
      <c r="E950" s="355"/>
      <c r="F950" s="355"/>
      <c r="G950" s="355"/>
      <c r="O950" s="356"/>
      <c r="P950" s="355"/>
      <c r="Q950" s="355"/>
      <c r="R950" s="355"/>
      <c r="S950" s="355"/>
      <c r="T950" s="355"/>
      <c r="U950" s="355"/>
      <c r="V950" s="355"/>
      <c r="W950" s="355"/>
      <c r="AG950" s="355"/>
      <c r="AH950" s="355"/>
      <c r="AI950" s="355"/>
      <c r="AJ950" s="355"/>
      <c r="AK950" s="355"/>
      <c r="AL950" s="355"/>
      <c r="AM950" s="355"/>
      <c r="AU950" s="379">
        <v>72669</v>
      </c>
      <c r="AV950" s="375"/>
      <c r="AW950" s="375"/>
      <c r="AX950" s="375"/>
      <c r="AY950" s="375"/>
      <c r="AZ950" s="375"/>
      <c r="BA950" s="375"/>
      <c r="BB950" s="375"/>
      <c r="BC950" s="375"/>
      <c r="BD950" s="375"/>
      <c r="BE950" s="375"/>
      <c r="BF950" s="375">
        <v>7.1249999999999994E-2</v>
      </c>
      <c r="BG950" s="375"/>
      <c r="BH950" s="375"/>
      <c r="BI950" s="373">
        <f t="shared" si="41"/>
        <v>7.1249999999999994E-2</v>
      </c>
      <c r="BT950" s="355"/>
      <c r="BU950" s="355"/>
      <c r="BV950" s="355"/>
      <c r="BW950" s="355"/>
    </row>
    <row r="951" spans="1:75" x14ac:dyDescent="0.15">
      <c r="A951" s="356"/>
      <c r="B951" s="355"/>
      <c r="C951" s="355"/>
      <c r="D951" s="355"/>
      <c r="E951" s="355"/>
      <c r="F951" s="355"/>
      <c r="G951" s="355"/>
      <c r="O951" s="356"/>
      <c r="P951" s="355"/>
      <c r="Q951" s="355"/>
      <c r="R951" s="355"/>
      <c r="S951" s="355"/>
      <c r="T951" s="355"/>
      <c r="U951" s="355"/>
      <c r="V951" s="355"/>
      <c r="W951" s="355"/>
      <c r="AG951" s="355"/>
      <c r="AH951" s="355"/>
      <c r="AI951" s="355"/>
      <c r="AJ951" s="355"/>
      <c r="AK951" s="355"/>
      <c r="AL951" s="355"/>
      <c r="AM951" s="355"/>
      <c r="AU951" s="379">
        <v>72700</v>
      </c>
      <c r="AV951" s="375"/>
      <c r="AW951" s="375"/>
      <c r="AX951" s="375"/>
      <c r="AY951" s="375"/>
      <c r="AZ951" s="375"/>
      <c r="BA951" s="375"/>
      <c r="BB951" s="375"/>
      <c r="BC951" s="375"/>
      <c r="BD951" s="375"/>
      <c r="BE951" s="375"/>
      <c r="BF951" s="375">
        <v>7.1249999999999994E-2</v>
      </c>
      <c r="BG951" s="375"/>
      <c r="BH951" s="375"/>
      <c r="BI951" s="373">
        <f t="shared" si="41"/>
        <v>7.1249999999999994E-2</v>
      </c>
      <c r="BT951" s="355"/>
      <c r="BU951" s="355"/>
      <c r="BV951" s="355"/>
      <c r="BW951" s="355"/>
    </row>
    <row r="952" spans="1:75" x14ac:dyDescent="0.15">
      <c r="A952" s="356"/>
      <c r="B952" s="355"/>
      <c r="C952" s="355"/>
      <c r="D952" s="355"/>
      <c r="E952" s="355"/>
      <c r="F952" s="355"/>
      <c r="G952" s="355"/>
      <c r="O952" s="356"/>
      <c r="P952" s="355"/>
      <c r="Q952" s="355"/>
      <c r="R952" s="355"/>
      <c r="S952" s="355"/>
      <c r="T952" s="355"/>
      <c r="U952" s="355"/>
      <c r="V952" s="355"/>
      <c r="W952" s="355"/>
      <c r="AG952" s="355"/>
      <c r="AH952" s="355"/>
      <c r="AI952" s="355"/>
      <c r="AJ952" s="355"/>
      <c r="AK952" s="355"/>
      <c r="AL952" s="355"/>
      <c r="AM952" s="355"/>
      <c r="AU952" s="379">
        <v>72731</v>
      </c>
      <c r="AV952" s="375"/>
      <c r="AW952" s="375"/>
      <c r="AX952" s="375"/>
      <c r="AY952" s="375"/>
      <c r="AZ952" s="375"/>
      <c r="BA952" s="375"/>
      <c r="BB952" s="375"/>
      <c r="BC952" s="375"/>
      <c r="BD952" s="375"/>
      <c r="BE952" s="375"/>
      <c r="BF952" s="375">
        <v>7.1249999999999994E-2</v>
      </c>
      <c r="BG952" s="375"/>
      <c r="BH952" s="375"/>
      <c r="BI952" s="373">
        <f t="shared" si="41"/>
        <v>7.1249999999999994E-2</v>
      </c>
      <c r="BT952" s="355"/>
      <c r="BU952" s="355"/>
      <c r="BV952" s="355"/>
      <c r="BW952" s="355"/>
    </row>
    <row r="953" spans="1:75" x14ac:dyDescent="0.15">
      <c r="A953" s="356"/>
      <c r="B953" s="355"/>
      <c r="C953" s="355"/>
      <c r="D953" s="355"/>
      <c r="E953" s="355"/>
      <c r="F953" s="355"/>
      <c r="G953" s="355"/>
      <c r="O953" s="356"/>
      <c r="P953" s="355"/>
      <c r="Q953" s="355"/>
      <c r="R953" s="355"/>
      <c r="S953" s="355"/>
      <c r="T953" s="355"/>
      <c r="U953" s="355"/>
      <c r="V953" s="355"/>
      <c r="W953" s="355"/>
      <c r="AG953" s="355"/>
      <c r="AH953" s="355"/>
      <c r="AI953" s="355"/>
      <c r="AJ953" s="355"/>
      <c r="AK953" s="355"/>
      <c r="AL953" s="355"/>
      <c r="AM953" s="355"/>
      <c r="AU953" s="379">
        <v>72759</v>
      </c>
      <c r="AV953" s="375"/>
      <c r="AW953" s="375"/>
      <c r="AX953" s="375"/>
      <c r="AY953" s="375"/>
      <c r="AZ953" s="375"/>
      <c r="BA953" s="375"/>
      <c r="BB953" s="375"/>
      <c r="BC953" s="375"/>
      <c r="BD953" s="375"/>
      <c r="BE953" s="375"/>
      <c r="BF953" s="375">
        <v>7.1249999999999994E-2</v>
      </c>
      <c r="BG953" s="375"/>
      <c r="BH953" s="375"/>
      <c r="BI953" s="373">
        <f t="shared" si="41"/>
        <v>7.1249999999999994E-2</v>
      </c>
      <c r="BT953" s="355"/>
      <c r="BU953" s="355"/>
      <c r="BV953" s="355"/>
      <c r="BW953" s="355"/>
    </row>
    <row r="954" spans="1:75" x14ac:dyDescent="0.15">
      <c r="A954" s="356"/>
      <c r="B954" s="355"/>
      <c r="C954" s="355"/>
      <c r="D954" s="355"/>
      <c r="E954" s="355"/>
      <c r="F954" s="355"/>
      <c r="G954" s="355"/>
      <c r="O954" s="356"/>
      <c r="P954" s="355"/>
      <c r="Q954" s="355"/>
      <c r="R954" s="355"/>
      <c r="S954" s="355"/>
      <c r="T954" s="355"/>
      <c r="U954" s="355"/>
      <c r="V954" s="355"/>
      <c r="W954" s="355"/>
      <c r="AG954" s="355"/>
      <c r="AH954" s="355"/>
      <c r="AI954" s="355"/>
      <c r="AJ954" s="355"/>
      <c r="AK954" s="355"/>
      <c r="AL954" s="355"/>
      <c r="AM954" s="355"/>
      <c r="AU954" s="379">
        <v>72790</v>
      </c>
      <c r="AV954" s="375"/>
      <c r="AW954" s="375"/>
      <c r="AX954" s="375"/>
      <c r="AY954" s="375"/>
      <c r="AZ954" s="375"/>
      <c r="BA954" s="375"/>
      <c r="BB954" s="375"/>
      <c r="BC954" s="375"/>
      <c r="BD954" s="375"/>
      <c r="BE954" s="375"/>
      <c r="BF954" s="375">
        <v>7.1249999999999994E-2</v>
      </c>
      <c r="BG954" s="375"/>
      <c r="BH954" s="375"/>
      <c r="BI954" s="373">
        <f t="shared" si="41"/>
        <v>7.1249999999999994E-2</v>
      </c>
      <c r="BT954" s="355"/>
      <c r="BU954" s="355"/>
      <c r="BV954" s="355"/>
      <c r="BW954" s="355"/>
    </row>
    <row r="955" spans="1:75" x14ac:dyDescent="0.15">
      <c r="A955" s="356"/>
      <c r="B955" s="355"/>
      <c r="C955" s="355"/>
      <c r="D955" s="355"/>
      <c r="E955" s="355"/>
      <c r="F955" s="355"/>
      <c r="G955" s="355"/>
      <c r="O955" s="356"/>
      <c r="P955" s="355"/>
      <c r="Q955" s="355"/>
      <c r="R955" s="355"/>
      <c r="S955" s="355"/>
      <c r="T955" s="355"/>
      <c r="U955" s="355"/>
      <c r="V955" s="355"/>
      <c r="W955" s="355"/>
      <c r="AG955" s="355"/>
      <c r="AH955" s="355"/>
      <c r="AI955" s="355"/>
      <c r="AJ955" s="355"/>
      <c r="AK955" s="355"/>
      <c r="AL955" s="355"/>
      <c r="AM955" s="355"/>
      <c r="AU955" s="379">
        <v>72820</v>
      </c>
      <c r="AV955" s="375"/>
      <c r="AW955" s="375"/>
      <c r="AX955" s="375"/>
      <c r="AY955" s="375"/>
      <c r="AZ955" s="375"/>
      <c r="BA955" s="375"/>
      <c r="BB955" s="375"/>
      <c r="BC955" s="375"/>
      <c r="BD955" s="375"/>
      <c r="BE955" s="375"/>
      <c r="BF955" s="375">
        <v>7.1249999999999994E-2</v>
      </c>
      <c r="BG955" s="375"/>
      <c r="BH955" s="375"/>
      <c r="BI955" s="373">
        <f t="shared" si="41"/>
        <v>7.1249999999999994E-2</v>
      </c>
      <c r="BT955" s="355"/>
      <c r="BU955" s="355"/>
      <c r="BV955" s="355"/>
      <c r="BW955" s="355"/>
    </row>
    <row r="956" spans="1:75" x14ac:dyDescent="0.15">
      <c r="A956" s="356"/>
      <c r="B956" s="355"/>
      <c r="C956" s="355"/>
      <c r="D956" s="355"/>
      <c r="E956" s="355"/>
      <c r="F956" s="355"/>
      <c r="G956" s="355"/>
      <c r="O956" s="356"/>
      <c r="P956" s="355"/>
      <c r="Q956" s="355"/>
      <c r="R956" s="355"/>
      <c r="S956" s="355"/>
      <c r="T956" s="355"/>
      <c r="U956" s="355"/>
      <c r="V956" s="355"/>
      <c r="W956" s="355"/>
      <c r="AG956" s="355"/>
      <c r="AH956" s="355"/>
      <c r="AI956" s="355"/>
      <c r="AJ956" s="355"/>
      <c r="AK956" s="355"/>
      <c r="AL956" s="355"/>
      <c r="AM956" s="355"/>
      <c r="AU956" s="379">
        <v>72851</v>
      </c>
      <c r="AV956" s="375"/>
      <c r="AW956" s="375"/>
      <c r="AX956" s="375"/>
      <c r="AY956" s="375"/>
      <c r="AZ956" s="375"/>
      <c r="BA956" s="375"/>
      <c r="BB956" s="375"/>
      <c r="BC956" s="375"/>
      <c r="BD956" s="375"/>
      <c r="BE956" s="375"/>
      <c r="BF956" s="375">
        <v>7.1249999999999994E-2</v>
      </c>
      <c r="BG956" s="375"/>
      <c r="BH956" s="375"/>
      <c r="BI956" s="373">
        <f t="shared" si="41"/>
        <v>7.1249999999999994E-2</v>
      </c>
      <c r="BT956" s="355"/>
      <c r="BU956" s="355"/>
      <c r="BV956" s="355"/>
      <c r="BW956" s="355"/>
    </row>
    <row r="957" spans="1:75" x14ac:dyDescent="0.15">
      <c r="A957" s="356"/>
      <c r="B957" s="355"/>
      <c r="C957" s="355"/>
      <c r="D957" s="355"/>
      <c r="E957" s="355"/>
      <c r="F957" s="355"/>
      <c r="G957" s="355"/>
      <c r="O957" s="356"/>
      <c r="P957" s="355"/>
      <c r="Q957" s="355"/>
      <c r="R957" s="355"/>
      <c r="S957" s="355"/>
      <c r="T957" s="355"/>
      <c r="U957" s="355"/>
      <c r="V957" s="355"/>
      <c r="W957" s="355"/>
      <c r="AG957" s="355"/>
      <c r="AH957" s="355"/>
      <c r="AI957" s="355"/>
      <c r="AJ957" s="355"/>
      <c r="AK957" s="355"/>
      <c r="AL957" s="355"/>
      <c r="AM957" s="355"/>
      <c r="AU957" s="379">
        <v>72881</v>
      </c>
      <c r="AV957" s="375"/>
      <c r="AW957" s="375"/>
      <c r="AX957" s="375"/>
      <c r="AY957" s="375"/>
      <c r="AZ957" s="375"/>
      <c r="BA957" s="375"/>
      <c r="BB957" s="375"/>
      <c r="BC957" s="375"/>
      <c r="BD957" s="375"/>
      <c r="BE957" s="375"/>
      <c r="BF957" s="375">
        <v>7.1249999999999994E-2</v>
      </c>
      <c r="BG957" s="375"/>
      <c r="BH957" s="375"/>
      <c r="BI957" s="373">
        <f t="shared" si="41"/>
        <v>7.1249999999999994E-2</v>
      </c>
      <c r="BT957" s="355"/>
      <c r="BU957" s="355"/>
      <c r="BV957" s="355"/>
      <c r="BW957" s="355"/>
    </row>
    <row r="958" spans="1:75" x14ac:dyDescent="0.15">
      <c r="A958" s="356"/>
      <c r="B958" s="355"/>
      <c r="C958" s="355"/>
      <c r="D958" s="355"/>
      <c r="E958" s="355"/>
      <c r="F958" s="355"/>
      <c r="G958" s="355"/>
      <c r="O958" s="356"/>
      <c r="P958" s="355"/>
      <c r="Q958" s="355"/>
      <c r="R958" s="355"/>
      <c r="S958" s="355"/>
      <c r="T958" s="355"/>
      <c r="U958" s="355"/>
      <c r="V958" s="355"/>
      <c r="W958" s="355"/>
      <c r="AG958" s="355"/>
      <c r="AH958" s="355"/>
      <c r="AI958" s="355"/>
      <c r="AJ958" s="355"/>
      <c r="AK958" s="355"/>
      <c r="AL958" s="355"/>
      <c r="AM958" s="355"/>
      <c r="AU958" s="379">
        <v>72912</v>
      </c>
      <c r="AV958" s="375"/>
      <c r="AW958" s="375"/>
      <c r="AX958" s="375"/>
      <c r="AY958" s="375"/>
      <c r="AZ958" s="375"/>
      <c r="BA958" s="375"/>
      <c r="BB958" s="375"/>
      <c r="BC958" s="375"/>
      <c r="BD958" s="375"/>
      <c r="BE958" s="375"/>
      <c r="BF958" s="375">
        <v>7.1249999999999994E-2</v>
      </c>
      <c r="BG958" s="375"/>
      <c r="BH958" s="375"/>
      <c r="BI958" s="373">
        <f t="shared" si="41"/>
        <v>7.1249999999999994E-2</v>
      </c>
      <c r="BT958" s="355"/>
      <c r="BU958" s="355"/>
      <c r="BV958" s="355"/>
      <c r="BW958" s="355"/>
    </row>
    <row r="959" spans="1:75" x14ac:dyDescent="0.15">
      <c r="A959" s="356"/>
      <c r="B959" s="355"/>
      <c r="C959" s="355"/>
      <c r="D959" s="355"/>
      <c r="E959" s="355"/>
      <c r="F959" s="355"/>
      <c r="G959" s="355"/>
      <c r="O959" s="356"/>
      <c r="P959" s="355"/>
      <c r="Q959" s="355"/>
      <c r="R959" s="355"/>
      <c r="S959" s="355"/>
      <c r="T959" s="355"/>
      <c r="U959" s="355"/>
      <c r="V959" s="355"/>
      <c r="W959" s="355"/>
      <c r="AG959" s="355"/>
      <c r="AH959" s="355"/>
      <c r="AI959" s="355"/>
      <c r="AJ959" s="355"/>
      <c r="AK959" s="355"/>
      <c r="AL959" s="355"/>
      <c r="AM959" s="355"/>
      <c r="AU959" s="379">
        <v>72943</v>
      </c>
      <c r="AV959" s="375"/>
      <c r="AW959" s="375"/>
      <c r="AX959" s="375"/>
      <c r="AY959" s="375"/>
      <c r="AZ959" s="375"/>
      <c r="BA959" s="375"/>
      <c r="BB959" s="375"/>
      <c r="BC959" s="375"/>
      <c r="BD959" s="375"/>
      <c r="BE959" s="375"/>
      <c r="BF959" s="375">
        <v>7.1249999999999994E-2</v>
      </c>
      <c r="BG959" s="375"/>
      <c r="BH959" s="375"/>
      <c r="BI959" s="373">
        <f t="shared" si="41"/>
        <v>7.1249999999999994E-2</v>
      </c>
      <c r="BT959" s="355"/>
      <c r="BU959" s="355"/>
      <c r="BV959" s="355"/>
      <c r="BW959" s="355"/>
    </row>
    <row r="960" spans="1:75" x14ac:dyDescent="0.15">
      <c r="A960" s="356"/>
      <c r="B960" s="355"/>
      <c r="C960" s="355"/>
      <c r="D960" s="355"/>
      <c r="E960" s="355"/>
      <c r="F960" s="355"/>
      <c r="G960" s="355"/>
      <c r="O960" s="356"/>
      <c r="P960" s="355"/>
      <c r="Q960" s="355"/>
      <c r="R960" s="355"/>
      <c r="S960" s="355"/>
      <c r="T960" s="355"/>
      <c r="U960" s="355"/>
      <c r="V960" s="355"/>
      <c r="W960" s="355"/>
      <c r="AG960" s="355"/>
      <c r="AH960" s="355"/>
      <c r="AI960" s="355"/>
      <c r="AJ960" s="355"/>
      <c r="AK960" s="355"/>
      <c r="AL960" s="355"/>
      <c r="AM960" s="355"/>
      <c r="AU960" s="379">
        <v>72973</v>
      </c>
      <c r="AV960" s="375"/>
      <c r="AW960" s="375"/>
      <c r="AX960" s="375"/>
      <c r="AY960" s="375"/>
      <c r="AZ960" s="375"/>
      <c r="BA960" s="375"/>
      <c r="BB960" s="375"/>
      <c r="BC960" s="375"/>
      <c r="BD960" s="375"/>
      <c r="BE960" s="375"/>
      <c r="BF960" s="375">
        <v>7.1249999999999994E-2</v>
      </c>
      <c r="BG960" s="375"/>
      <c r="BH960" s="375"/>
      <c r="BI960" s="373">
        <f t="shared" si="41"/>
        <v>7.1249999999999994E-2</v>
      </c>
      <c r="BT960" s="355"/>
      <c r="BU960" s="355"/>
      <c r="BV960" s="355"/>
      <c r="BW960" s="355"/>
    </row>
    <row r="961" spans="1:75" x14ac:dyDescent="0.15">
      <c r="A961" s="356"/>
      <c r="B961" s="355"/>
      <c r="C961" s="355"/>
      <c r="D961" s="355"/>
      <c r="E961" s="355"/>
      <c r="F961" s="355"/>
      <c r="G961" s="355"/>
      <c r="O961" s="356"/>
      <c r="P961" s="355"/>
      <c r="Q961" s="355"/>
      <c r="R961" s="355"/>
      <c r="S961" s="355"/>
      <c r="T961" s="355"/>
      <c r="U961" s="355"/>
      <c r="V961" s="355"/>
      <c r="W961" s="355"/>
      <c r="AG961" s="355"/>
      <c r="AH961" s="355"/>
      <c r="AI961" s="355"/>
      <c r="AJ961" s="355"/>
      <c r="AK961" s="355"/>
      <c r="AL961" s="355"/>
      <c r="AM961" s="355"/>
      <c r="AU961" s="379">
        <v>73004</v>
      </c>
      <c r="AV961" s="375"/>
      <c r="AW961" s="375"/>
      <c r="AX961" s="375"/>
      <c r="AY961" s="375"/>
      <c r="AZ961" s="375"/>
      <c r="BA961" s="375"/>
      <c r="BB961" s="375"/>
      <c r="BC961" s="375"/>
      <c r="BD961" s="375"/>
      <c r="BE961" s="375"/>
      <c r="BF961" s="375">
        <v>7.1249999999999994E-2</v>
      </c>
      <c r="BG961" s="375"/>
      <c r="BH961" s="375"/>
      <c r="BI961" s="373">
        <f t="shared" si="41"/>
        <v>7.1249999999999994E-2</v>
      </c>
      <c r="BT961" s="355"/>
      <c r="BU961" s="355"/>
      <c r="BV961" s="355"/>
      <c r="BW961" s="355"/>
    </row>
    <row r="962" spans="1:75" x14ac:dyDescent="0.15">
      <c r="A962" s="356"/>
      <c r="B962" s="355"/>
      <c r="C962" s="355"/>
      <c r="D962" s="355"/>
      <c r="E962" s="355"/>
      <c r="F962" s="355"/>
      <c r="G962" s="355"/>
      <c r="O962" s="356"/>
      <c r="P962" s="355"/>
      <c r="Q962" s="355"/>
      <c r="R962" s="355"/>
      <c r="S962" s="355"/>
      <c r="T962" s="355"/>
      <c r="U962" s="355"/>
      <c r="V962" s="355"/>
      <c r="W962" s="355"/>
      <c r="AG962" s="355"/>
      <c r="AH962" s="355"/>
      <c r="AI962" s="355"/>
      <c r="AJ962" s="355"/>
      <c r="AK962" s="355"/>
      <c r="AL962" s="355"/>
      <c r="AM962" s="355"/>
      <c r="AU962" s="379">
        <v>73034</v>
      </c>
      <c r="AV962" s="375"/>
      <c r="AW962" s="375"/>
      <c r="AX962" s="375"/>
      <c r="AY962" s="375"/>
      <c r="AZ962" s="375"/>
      <c r="BA962" s="375"/>
      <c r="BB962" s="375"/>
      <c r="BC962" s="375"/>
      <c r="BD962" s="375"/>
      <c r="BE962" s="375"/>
      <c r="BF962" s="375">
        <v>7.1249999999999994E-2</v>
      </c>
      <c r="BG962" s="375"/>
      <c r="BH962" s="375"/>
      <c r="BI962" s="373">
        <f t="shared" si="41"/>
        <v>7.1249999999999994E-2</v>
      </c>
      <c r="BT962" s="355"/>
      <c r="BU962" s="355"/>
      <c r="BV962" s="355"/>
      <c r="BW962" s="355"/>
    </row>
    <row r="963" spans="1:75" x14ac:dyDescent="0.15">
      <c r="A963" s="356"/>
      <c r="B963" s="355"/>
      <c r="C963" s="355"/>
      <c r="D963" s="355"/>
      <c r="E963" s="355"/>
      <c r="F963" s="355"/>
      <c r="G963" s="355"/>
      <c r="O963" s="356"/>
      <c r="P963" s="355"/>
      <c r="Q963" s="355"/>
      <c r="R963" s="355"/>
      <c r="S963" s="355"/>
      <c r="T963" s="355"/>
      <c r="U963" s="355"/>
      <c r="V963" s="355"/>
      <c r="W963" s="355"/>
      <c r="AG963" s="355"/>
      <c r="AH963" s="355"/>
      <c r="AI963" s="355"/>
      <c r="AJ963" s="355"/>
      <c r="AK963" s="355"/>
      <c r="AL963" s="355"/>
      <c r="AM963" s="355"/>
      <c r="AU963" s="379">
        <v>73065</v>
      </c>
      <c r="AV963" s="375"/>
      <c r="AW963" s="375"/>
      <c r="AX963" s="375"/>
      <c r="AY963" s="375"/>
      <c r="AZ963" s="375"/>
      <c r="BA963" s="375"/>
      <c r="BB963" s="375"/>
      <c r="BC963" s="375"/>
      <c r="BD963" s="375"/>
      <c r="BE963" s="375"/>
      <c r="BF963" s="375">
        <v>7.1249999999999994E-2</v>
      </c>
      <c r="BG963" s="375"/>
      <c r="BH963" s="375"/>
      <c r="BI963" s="373">
        <f t="shared" si="41"/>
        <v>7.1249999999999994E-2</v>
      </c>
      <c r="BT963" s="355"/>
      <c r="BU963" s="355"/>
      <c r="BV963" s="355"/>
      <c r="BW963" s="355"/>
    </row>
    <row r="964" spans="1:75" x14ac:dyDescent="0.15">
      <c r="A964" s="356"/>
      <c r="B964" s="355"/>
      <c r="C964" s="355"/>
      <c r="D964" s="355"/>
      <c r="E964" s="355"/>
      <c r="F964" s="355"/>
      <c r="G964" s="355"/>
      <c r="O964" s="356"/>
      <c r="P964" s="355"/>
      <c r="Q964" s="355"/>
      <c r="R964" s="355"/>
      <c r="S964" s="355"/>
      <c r="T964" s="355"/>
      <c r="U964" s="355"/>
      <c r="V964" s="355"/>
      <c r="W964" s="355"/>
      <c r="AG964" s="355"/>
      <c r="AH964" s="355"/>
      <c r="AI964" s="355"/>
      <c r="AJ964" s="355"/>
      <c r="AK964" s="355"/>
      <c r="AL964" s="355"/>
      <c r="AM964" s="355"/>
      <c r="AU964" s="379">
        <v>73096</v>
      </c>
      <c r="AV964" s="375"/>
      <c r="AW964" s="375"/>
      <c r="AX964" s="375"/>
      <c r="AY964" s="375"/>
      <c r="AZ964" s="375"/>
      <c r="BA964" s="375"/>
      <c r="BB964" s="375"/>
      <c r="BC964" s="375"/>
      <c r="BD964" s="375"/>
      <c r="BE964" s="375"/>
      <c r="BF964" s="375">
        <v>7.1249999999999994E-2</v>
      </c>
      <c r="BG964" s="375"/>
      <c r="BH964" s="375"/>
      <c r="BI964" s="373">
        <f t="shared" si="41"/>
        <v>7.1249999999999994E-2</v>
      </c>
      <c r="BT964" s="355"/>
      <c r="BU964" s="355"/>
      <c r="BV964" s="355"/>
      <c r="BW964" s="355"/>
    </row>
    <row r="965" spans="1:75" x14ac:dyDescent="0.15">
      <c r="A965" s="356"/>
      <c r="B965" s="355"/>
      <c r="C965" s="355"/>
      <c r="D965" s="355"/>
      <c r="E965" s="355"/>
      <c r="F965" s="355"/>
      <c r="G965" s="355"/>
      <c r="O965" s="356"/>
      <c r="P965" s="355"/>
      <c r="Q965" s="355"/>
      <c r="R965" s="355"/>
      <c r="S965" s="355"/>
      <c r="T965" s="355"/>
      <c r="U965" s="355"/>
      <c r="V965" s="355"/>
      <c r="W965" s="355"/>
      <c r="AG965" s="355"/>
      <c r="AH965" s="355"/>
      <c r="AI965" s="355"/>
      <c r="AJ965" s="355"/>
      <c r="AK965" s="355"/>
      <c r="AL965" s="355"/>
      <c r="AM965" s="355"/>
      <c r="AU965" s="379">
        <v>73124</v>
      </c>
      <c r="AV965" s="375"/>
      <c r="AW965" s="375"/>
      <c r="AX965" s="375"/>
      <c r="AY965" s="375"/>
      <c r="AZ965" s="375"/>
      <c r="BA965" s="375"/>
      <c r="BB965" s="375"/>
      <c r="BC965" s="375"/>
      <c r="BD965" s="375"/>
      <c r="BE965" s="375"/>
      <c r="BF965" s="375">
        <v>7.1249999999999994E-2</v>
      </c>
      <c r="BG965" s="375"/>
      <c r="BH965" s="375"/>
      <c r="BI965" s="373">
        <f t="shared" si="41"/>
        <v>7.1249999999999994E-2</v>
      </c>
      <c r="BT965" s="355"/>
      <c r="BU965" s="355"/>
      <c r="BV965" s="355"/>
      <c r="BW965" s="355"/>
    </row>
    <row r="966" spans="1:75" x14ac:dyDescent="0.15">
      <c r="A966" s="356"/>
      <c r="B966" s="355"/>
      <c r="C966" s="355"/>
      <c r="D966" s="355"/>
      <c r="E966" s="355"/>
      <c r="F966" s="355"/>
      <c r="G966" s="355"/>
      <c r="O966" s="356"/>
      <c r="P966" s="355"/>
      <c r="Q966" s="355"/>
      <c r="R966" s="355"/>
      <c r="S966" s="355"/>
      <c r="T966" s="355"/>
      <c r="U966" s="355"/>
      <c r="V966" s="355"/>
      <c r="W966" s="355"/>
      <c r="AG966" s="355"/>
      <c r="AH966" s="355"/>
      <c r="AI966" s="355"/>
      <c r="AJ966" s="355"/>
      <c r="AK966" s="355"/>
      <c r="AL966" s="355"/>
      <c r="AM966" s="355"/>
      <c r="AU966" s="379">
        <v>73155</v>
      </c>
      <c r="AV966" s="375"/>
      <c r="AW966" s="375"/>
      <c r="AX966" s="375"/>
      <c r="AY966" s="375"/>
      <c r="AZ966" s="375"/>
      <c r="BA966" s="375"/>
      <c r="BB966" s="375"/>
      <c r="BC966" s="375"/>
      <c r="BD966" s="375"/>
      <c r="BE966" s="375"/>
      <c r="BF966" s="375">
        <v>7.1249999999999994E-2</v>
      </c>
      <c r="BG966" s="375"/>
      <c r="BH966" s="375"/>
      <c r="BI966" s="373">
        <f t="shared" si="41"/>
        <v>7.1249999999999994E-2</v>
      </c>
      <c r="BT966" s="355"/>
      <c r="BU966" s="355"/>
      <c r="BV966" s="355"/>
      <c r="BW966" s="355"/>
    </row>
    <row r="967" spans="1:75" x14ac:dyDescent="0.15">
      <c r="A967" s="356"/>
      <c r="B967" s="355"/>
      <c r="C967" s="355"/>
      <c r="D967" s="355"/>
      <c r="E967" s="355"/>
      <c r="F967" s="355"/>
      <c r="G967" s="355"/>
      <c r="O967" s="356"/>
      <c r="P967" s="355"/>
      <c r="Q967" s="355"/>
      <c r="R967" s="355"/>
      <c r="S967" s="355"/>
      <c r="T967" s="355"/>
      <c r="U967" s="355"/>
      <c r="V967" s="355"/>
      <c r="W967" s="355"/>
      <c r="AG967" s="355"/>
      <c r="AH967" s="355"/>
      <c r="AI967" s="355"/>
      <c r="AJ967" s="355"/>
      <c r="AK967" s="355"/>
      <c r="AL967" s="355"/>
      <c r="AM967" s="355"/>
      <c r="AU967" s="379">
        <v>73185</v>
      </c>
      <c r="AV967" s="375"/>
      <c r="AW967" s="375"/>
      <c r="AX967" s="375"/>
      <c r="AY967" s="375"/>
      <c r="AZ967" s="375"/>
      <c r="BA967" s="375"/>
      <c r="BB967" s="375"/>
      <c r="BC967" s="375"/>
      <c r="BD967" s="375"/>
      <c r="BE967" s="375"/>
      <c r="BF967" s="375">
        <v>7.1249999999999994E-2</v>
      </c>
      <c r="BG967" s="375"/>
      <c r="BH967" s="375"/>
      <c r="BI967" s="373">
        <f t="shared" ref="BI967:BI1030" si="42">+AVERAGE(AV967:BH967)</f>
        <v>7.1249999999999994E-2</v>
      </c>
      <c r="BT967" s="355"/>
      <c r="BU967" s="355"/>
      <c r="BV967" s="355"/>
      <c r="BW967" s="355"/>
    </row>
    <row r="968" spans="1:75" x14ac:dyDescent="0.15">
      <c r="A968" s="356"/>
      <c r="B968" s="355"/>
      <c r="C968" s="355"/>
      <c r="D968" s="355"/>
      <c r="E968" s="355"/>
      <c r="F968" s="355"/>
      <c r="G968" s="355"/>
      <c r="O968" s="356"/>
      <c r="P968" s="355"/>
      <c r="Q968" s="355"/>
      <c r="R968" s="355"/>
      <c r="S968" s="355"/>
      <c r="T968" s="355"/>
      <c r="U968" s="355"/>
      <c r="V968" s="355"/>
      <c r="W968" s="355"/>
      <c r="AG968" s="355"/>
      <c r="AH968" s="355"/>
      <c r="AI968" s="355"/>
      <c r="AJ968" s="355"/>
      <c r="AK968" s="355"/>
      <c r="AL968" s="355"/>
      <c r="AM968" s="355"/>
      <c r="AU968" s="379">
        <v>73216</v>
      </c>
      <c r="AV968" s="375"/>
      <c r="AW968" s="375"/>
      <c r="AX968" s="375"/>
      <c r="AY968" s="375"/>
      <c r="AZ968" s="375"/>
      <c r="BA968" s="375"/>
      <c r="BB968" s="375"/>
      <c r="BC968" s="375"/>
      <c r="BD968" s="375"/>
      <c r="BE968" s="375"/>
      <c r="BF968" s="375">
        <v>7.1249999999999994E-2</v>
      </c>
      <c r="BG968" s="375"/>
      <c r="BH968" s="375"/>
      <c r="BI968" s="373">
        <f t="shared" si="42"/>
        <v>7.1249999999999994E-2</v>
      </c>
      <c r="BT968" s="355"/>
      <c r="BU968" s="355"/>
      <c r="BV968" s="355"/>
      <c r="BW968" s="355"/>
    </row>
    <row r="969" spans="1:75" x14ac:dyDescent="0.15">
      <c r="A969" s="356"/>
      <c r="B969" s="355"/>
      <c r="C969" s="355"/>
      <c r="D969" s="355"/>
      <c r="E969" s="355"/>
      <c r="F969" s="355"/>
      <c r="G969" s="355"/>
      <c r="O969" s="356"/>
      <c r="P969" s="355"/>
      <c r="Q969" s="355"/>
      <c r="R969" s="355"/>
      <c r="S969" s="355"/>
      <c r="T969" s="355"/>
      <c r="U969" s="355"/>
      <c r="V969" s="355"/>
      <c r="W969" s="355"/>
      <c r="AG969" s="355"/>
      <c r="AH969" s="355"/>
      <c r="AI969" s="355"/>
      <c r="AJ969" s="355"/>
      <c r="AK969" s="355"/>
      <c r="AL969" s="355"/>
      <c r="AM969" s="355"/>
      <c r="AU969" s="379">
        <v>73246</v>
      </c>
      <c r="AV969" s="375"/>
      <c r="AW969" s="375"/>
      <c r="AX969" s="375"/>
      <c r="AY969" s="375"/>
      <c r="AZ969" s="375"/>
      <c r="BA969" s="375"/>
      <c r="BB969" s="375"/>
      <c r="BC969" s="375"/>
      <c r="BD969" s="375"/>
      <c r="BE969" s="375"/>
      <c r="BF969" s="375">
        <v>7.1249999999999994E-2</v>
      </c>
      <c r="BG969" s="375"/>
      <c r="BH969" s="375"/>
      <c r="BI969" s="373">
        <f t="shared" si="42"/>
        <v>7.1249999999999994E-2</v>
      </c>
      <c r="BT969" s="355"/>
      <c r="BU969" s="355"/>
      <c r="BV969" s="355"/>
      <c r="BW969" s="355"/>
    </row>
    <row r="970" spans="1:75" x14ac:dyDescent="0.15">
      <c r="A970" s="356"/>
      <c r="B970" s="355"/>
      <c r="C970" s="355"/>
      <c r="D970" s="355"/>
      <c r="E970" s="355"/>
      <c r="F970" s="355"/>
      <c r="G970" s="355"/>
      <c r="O970" s="356"/>
      <c r="P970" s="355"/>
      <c r="Q970" s="355"/>
      <c r="R970" s="355"/>
      <c r="S970" s="355"/>
      <c r="T970" s="355"/>
      <c r="U970" s="355"/>
      <c r="V970" s="355"/>
      <c r="W970" s="355"/>
      <c r="AG970" s="355"/>
      <c r="AH970" s="355"/>
      <c r="AI970" s="355"/>
      <c r="AJ970" s="355"/>
      <c r="AK970" s="355"/>
      <c r="AL970" s="355"/>
      <c r="AM970" s="355"/>
      <c r="AU970" s="379">
        <v>73277</v>
      </c>
      <c r="AV970" s="375"/>
      <c r="AW970" s="375"/>
      <c r="AX970" s="375"/>
      <c r="AY970" s="375"/>
      <c r="AZ970" s="375"/>
      <c r="BA970" s="375"/>
      <c r="BB970" s="375"/>
      <c r="BC970" s="375"/>
      <c r="BD970" s="375"/>
      <c r="BE970" s="375"/>
      <c r="BF970" s="375">
        <v>7.1249999999999994E-2</v>
      </c>
      <c r="BG970" s="375"/>
      <c r="BH970" s="375"/>
      <c r="BI970" s="373">
        <f t="shared" si="42"/>
        <v>7.1249999999999994E-2</v>
      </c>
      <c r="BT970" s="355"/>
      <c r="BU970" s="355"/>
      <c r="BV970" s="355"/>
      <c r="BW970" s="355"/>
    </row>
    <row r="971" spans="1:75" x14ac:dyDescent="0.15">
      <c r="A971" s="356"/>
      <c r="B971" s="355"/>
      <c r="C971" s="355"/>
      <c r="D971" s="355"/>
      <c r="E971" s="355"/>
      <c r="F971" s="355"/>
      <c r="G971" s="355"/>
      <c r="O971" s="356"/>
      <c r="P971" s="355"/>
      <c r="Q971" s="355"/>
      <c r="R971" s="355"/>
      <c r="S971" s="355"/>
      <c r="T971" s="355"/>
      <c r="U971" s="355"/>
      <c r="V971" s="355"/>
      <c r="W971" s="355"/>
      <c r="AG971" s="355"/>
      <c r="AH971" s="355"/>
      <c r="AI971" s="355"/>
      <c r="AJ971" s="355"/>
      <c r="AK971" s="355"/>
      <c r="AL971" s="355"/>
      <c r="AM971" s="355"/>
      <c r="AU971" s="379">
        <v>73308</v>
      </c>
      <c r="AV971" s="375"/>
      <c r="AW971" s="375"/>
      <c r="AX971" s="375"/>
      <c r="AY971" s="375"/>
      <c r="AZ971" s="375"/>
      <c r="BA971" s="375"/>
      <c r="BB971" s="375"/>
      <c r="BC971" s="375"/>
      <c r="BD971" s="375"/>
      <c r="BE971" s="375"/>
      <c r="BF971" s="375">
        <v>7.1249999999999994E-2</v>
      </c>
      <c r="BG971" s="375"/>
      <c r="BH971" s="375"/>
      <c r="BI971" s="373">
        <f t="shared" si="42"/>
        <v>7.1249999999999994E-2</v>
      </c>
      <c r="BT971" s="355"/>
      <c r="BU971" s="355"/>
      <c r="BV971" s="355"/>
      <c r="BW971" s="355"/>
    </row>
    <row r="972" spans="1:75" x14ac:dyDescent="0.15">
      <c r="A972" s="356"/>
      <c r="B972" s="355"/>
      <c r="C972" s="355"/>
      <c r="D972" s="355"/>
      <c r="E972" s="355"/>
      <c r="F972" s="355"/>
      <c r="G972" s="355"/>
      <c r="O972" s="356"/>
      <c r="P972" s="355"/>
      <c r="Q972" s="355"/>
      <c r="R972" s="355"/>
      <c r="S972" s="355"/>
      <c r="T972" s="355"/>
      <c r="U972" s="355"/>
      <c r="V972" s="355"/>
      <c r="W972" s="355"/>
      <c r="AG972" s="355"/>
      <c r="AH972" s="355"/>
      <c r="AI972" s="355"/>
      <c r="AJ972" s="355"/>
      <c r="AK972" s="355"/>
      <c r="AL972" s="355"/>
      <c r="AM972" s="355"/>
      <c r="AU972" s="379">
        <v>73338</v>
      </c>
      <c r="AV972" s="375"/>
      <c r="AW972" s="375"/>
      <c r="AX972" s="375"/>
      <c r="AY972" s="375"/>
      <c r="AZ972" s="375"/>
      <c r="BA972" s="375"/>
      <c r="BB972" s="375"/>
      <c r="BC972" s="375"/>
      <c r="BD972" s="375"/>
      <c r="BE972" s="375"/>
      <c r="BF972" s="375">
        <v>7.1249999999999994E-2</v>
      </c>
      <c r="BG972" s="375"/>
      <c r="BH972" s="375"/>
      <c r="BI972" s="373">
        <f t="shared" si="42"/>
        <v>7.1249999999999994E-2</v>
      </c>
      <c r="BT972" s="355"/>
      <c r="BU972" s="355"/>
      <c r="BV972" s="355"/>
      <c r="BW972" s="355"/>
    </row>
    <row r="973" spans="1:75" x14ac:dyDescent="0.15">
      <c r="A973" s="356"/>
      <c r="B973" s="355"/>
      <c r="C973" s="355"/>
      <c r="D973" s="355"/>
      <c r="E973" s="355"/>
      <c r="F973" s="355"/>
      <c r="G973" s="355"/>
      <c r="O973" s="356"/>
      <c r="P973" s="355"/>
      <c r="Q973" s="355"/>
      <c r="R973" s="355"/>
      <c r="S973" s="355"/>
      <c r="T973" s="355"/>
      <c r="U973" s="355"/>
      <c r="V973" s="355"/>
      <c r="W973" s="355"/>
      <c r="AG973" s="355"/>
      <c r="AH973" s="355"/>
      <c r="AI973" s="355"/>
      <c r="AJ973" s="355"/>
      <c r="AK973" s="355"/>
      <c r="AL973" s="355"/>
      <c r="AM973" s="355"/>
      <c r="AU973" s="379">
        <v>73369</v>
      </c>
      <c r="AV973" s="375"/>
      <c r="AW973" s="375"/>
      <c r="AX973" s="375"/>
      <c r="AY973" s="375"/>
      <c r="AZ973" s="375"/>
      <c r="BA973" s="375"/>
      <c r="BB973" s="375"/>
      <c r="BC973" s="375"/>
      <c r="BD973" s="375"/>
      <c r="BE973" s="375"/>
      <c r="BF973" s="375">
        <v>7.1249999999999994E-2</v>
      </c>
      <c r="BG973" s="375"/>
      <c r="BH973" s="375"/>
      <c r="BI973" s="373">
        <f t="shared" si="42"/>
        <v>7.1249999999999994E-2</v>
      </c>
      <c r="BT973" s="355"/>
      <c r="BU973" s="355"/>
      <c r="BV973" s="355"/>
      <c r="BW973" s="355"/>
    </row>
    <row r="974" spans="1:75" x14ac:dyDescent="0.15">
      <c r="A974" s="356"/>
      <c r="B974" s="355"/>
      <c r="C974" s="355"/>
      <c r="D974" s="355"/>
      <c r="E974" s="355"/>
      <c r="F974" s="355"/>
      <c r="G974" s="355"/>
      <c r="O974" s="356"/>
      <c r="P974" s="355"/>
      <c r="Q974" s="355"/>
      <c r="R974" s="355"/>
      <c r="S974" s="355"/>
      <c r="T974" s="355"/>
      <c r="U974" s="355"/>
      <c r="V974" s="355"/>
      <c r="W974" s="355"/>
      <c r="AG974" s="355"/>
      <c r="AH974" s="355"/>
      <c r="AI974" s="355"/>
      <c r="AJ974" s="355"/>
      <c r="AK974" s="355"/>
      <c r="AL974" s="355"/>
      <c r="AM974" s="355"/>
      <c r="AU974" s="379">
        <v>73399</v>
      </c>
      <c r="AV974" s="375"/>
      <c r="AW974" s="375"/>
      <c r="AX974" s="375"/>
      <c r="AY974" s="375"/>
      <c r="AZ974" s="375"/>
      <c r="BA974" s="375"/>
      <c r="BB974" s="375"/>
      <c r="BC974" s="375"/>
      <c r="BD974" s="375"/>
      <c r="BE974" s="375"/>
      <c r="BF974" s="375">
        <v>7.1249999999999994E-2</v>
      </c>
      <c r="BG974" s="375"/>
      <c r="BH974" s="375"/>
      <c r="BI974" s="373">
        <f t="shared" si="42"/>
        <v>7.1249999999999994E-2</v>
      </c>
      <c r="BT974" s="355"/>
      <c r="BU974" s="355"/>
      <c r="BV974" s="355"/>
      <c r="BW974" s="355"/>
    </row>
    <row r="975" spans="1:75" x14ac:dyDescent="0.15">
      <c r="A975" s="356"/>
      <c r="B975" s="355"/>
      <c r="C975" s="355"/>
      <c r="D975" s="355"/>
      <c r="E975" s="355"/>
      <c r="F975" s="355"/>
      <c r="G975" s="355"/>
      <c r="O975" s="356"/>
      <c r="P975" s="355"/>
      <c r="Q975" s="355"/>
      <c r="R975" s="355"/>
      <c r="S975" s="355"/>
      <c r="T975" s="355"/>
      <c r="U975" s="355"/>
      <c r="V975" s="355"/>
      <c r="W975" s="355"/>
      <c r="AG975" s="355"/>
      <c r="AH975" s="355"/>
      <c r="AI975" s="355"/>
      <c r="AJ975" s="355"/>
      <c r="AK975" s="355"/>
      <c r="AL975" s="355"/>
      <c r="AM975" s="355"/>
      <c r="AU975" s="379">
        <v>73430</v>
      </c>
      <c r="AV975" s="375"/>
      <c r="AW975" s="375"/>
      <c r="AX975" s="375"/>
      <c r="AY975" s="375"/>
      <c r="AZ975" s="375"/>
      <c r="BA975" s="375"/>
      <c r="BB975" s="375"/>
      <c r="BC975" s="375"/>
      <c r="BD975" s="375"/>
      <c r="BE975" s="375"/>
      <c r="BF975" s="375">
        <v>7.1249999999999994E-2</v>
      </c>
      <c r="BG975" s="375"/>
      <c r="BH975" s="375"/>
      <c r="BI975" s="373">
        <f t="shared" si="42"/>
        <v>7.1249999999999994E-2</v>
      </c>
      <c r="BT975" s="355"/>
      <c r="BU975" s="355"/>
      <c r="BV975" s="355"/>
      <c r="BW975" s="355"/>
    </row>
    <row r="976" spans="1:75" x14ac:dyDescent="0.15">
      <c r="A976" s="356"/>
      <c r="B976" s="355"/>
      <c r="C976" s="355"/>
      <c r="D976" s="355"/>
      <c r="E976" s="355"/>
      <c r="F976" s="355"/>
      <c r="G976" s="355"/>
      <c r="O976" s="356"/>
      <c r="P976" s="355"/>
      <c r="Q976" s="355"/>
      <c r="R976" s="355"/>
      <c r="S976" s="355"/>
      <c r="T976" s="355"/>
      <c r="U976" s="355"/>
      <c r="V976" s="355"/>
      <c r="W976" s="355"/>
      <c r="AG976" s="355"/>
      <c r="AH976" s="355"/>
      <c r="AI976" s="355"/>
      <c r="AJ976" s="355"/>
      <c r="AK976" s="355"/>
      <c r="AL976" s="355"/>
      <c r="AM976" s="355"/>
      <c r="AU976" s="379">
        <v>73461</v>
      </c>
      <c r="AV976" s="375"/>
      <c r="AW976" s="375"/>
      <c r="AX976" s="375"/>
      <c r="AY976" s="375"/>
      <c r="AZ976" s="375"/>
      <c r="BA976" s="375"/>
      <c r="BB976" s="375"/>
      <c r="BC976" s="375"/>
      <c r="BD976" s="375"/>
      <c r="BE976" s="375"/>
      <c r="BF976" s="375">
        <v>7.1249999999999994E-2</v>
      </c>
      <c r="BG976" s="375"/>
      <c r="BH976" s="375"/>
      <c r="BI976" s="373">
        <f t="shared" si="42"/>
        <v>7.1249999999999994E-2</v>
      </c>
      <c r="BT976" s="355"/>
      <c r="BU976" s="355"/>
      <c r="BV976" s="355"/>
      <c r="BW976" s="355"/>
    </row>
    <row r="977" spans="1:75" x14ac:dyDescent="0.15">
      <c r="A977" s="356"/>
      <c r="B977" s="355"/>
      <c r="C977" s="355"/>
      <c r="D977" s="355"/>
      <c r="E977" s="355"/>
      <c r="F977" s="355"/>
      <c r="G977" s="355"/>
      <c r="O977" s="356"/>
      <c r="P977" s="355"/>
      <c r="Q977" s="355"/>
      <c r="R977" s="355"/>
      <c r="S977" s="355"/>
      <c r="T977" s="355"/>
      <c r="U977" s="355"/>
      <c r="V977" s="355"/>
      <c r="W977" s="355"/>
      <c r="AG977" s="355"/>
      <c r="AH977" s="355"/>
      <c r="AI977" s="355"/>
      <c r="AJ977" s="355"/>
      <c r="AK977" s="355"/>
      <c r="AL977" s="355"/>
      <c r="AM977" s="355"/>
      <c r="AU977" s="379">
        <v>73489</v>
      </c>
      <c r="AV977" s="375"/>
      <c r="AW977" s="375"/>
      <c r="AX977" s="375"/>
      <c r="AY977" s="375"/>
      <c r="AZ977" s="375"/>
      <c r="BA977" s="375"/>
      <c r="BB977" s="375"/>
      <c r="BC977" s="375"/>
      <c r="BD977" s="375"/>
      <c r="BE977" s="375"/>
      <c r="BF977" s="375">
        <v>7.1249999999999994E-2</v>
      </c>
      <c r="BG977" s="375"/>
      <c r="BH977" s="375"/>
      <c r="BI977" s="373">
        <f t="shared" si="42"/>
        <v>7.1249999999999994E-2</v>
      </c>
      <c r="BT977" s="355"/>
      <c r="BU977" s="355"/>
      <c r="BV977" s="355"/>
      <c r="BW977" s="355"/>
    </row>
    <row r="978" spans="1:75" x14ac:dyDescent="0.15">
      <c r="A978" s="356"/>
      <c r="B978" s="355"/>
      <c r="C978" s="355"/>
      <c r="D978" s="355"/>
      <c r="E978" s="355"/>
      <c r="F978" s="355"/>
      <c r="G978" s="355"/>
      <c r="O978" s="356"/>
      <c r="P978" s="355"/>
      <c r="Q978" s="355"/>
      <c r="R978" s="355"/>
      <c r="S978" s="355"/>
      <c r="T978" s="355"/>
      <c r="U978" s="355"/>
      <c r="V978" s="355"/>
      <c r="W978" s="355"/>
      <c r="AG978" s="355"/>
      <c r="AH978" s="355"/>
      <c r="AI978" s="355"/>
      <c r="AJ978" s="355"/>
      <c r="AK978" s="355"/>
      <c r="AL978" s="355"/>
      <c r="AM978" s="355"/>
      <c r="AU978" s="379">
        <v>73520</v>
      </c>
      <c r="AV978" s="375"/>
      <c r="AW978" s="375"/>
      <c r="AX978" s="375"/>
      <c r="AY978" s="375"/>
      <c r="AZ978" s="375"/>
      <c r="BA978" s="375"/>
      <c r="BB978" s="375"/>
      <c r="BC978" s="375"/>
      <c r="BD978" s="375"/>
      <c r="BE978" s="375"/>
      <c r="BF978" s="375">
        <v>7.1249999999999994E-2</v>
      </c>
      <c r="BG978" s="375"/>
      <c r="BH978" s="375"/>
      <c r="BI978" s="373">
        <f t="shared" si="42"/>
        <v>7.1249999999999994E-2</v>
      </c>
      <c r="BT978" s="355"/>
      <c r="BU978" s="355"/>
      <c r="BV978" s="355"/>
      <c r="BW978" s="355"/>
    </row>
    <row r="979" spans="1:75" x14ac:dyDescent="0.15">
      <c r="A979" s="356"/>
      <c r="B979" s="355"/>
      <c r="C979" s="355"/>
      <c r="D979" s="355"/>
      <c r="E979" s="355"/>
      <c r="F979" s="355"/>
      <c r="G979" s="355"/>
      <c r="O979" s="356"/>
      <c r="P979" s="355"/>
      <c r="Q979" s="355"/>
      <c r="R979" s="355"/>
      <c r="S979" s="355"/>
      <c r="T979" s="355"/>
      <c r="U979" s="355"/>
      <c r="V979" s="355"/>
      <c r="W979" s="355"/>
      <c r="AG979" s="355"/>
      <c r="AH979" s="355"/>
      <c r="AI979" s="355"/>
      <c r="AJ979" s="355"/>
      <c r="AK979" s="355"/>
      <c r="AL979" s="355"/>
      <c r="AM979" s="355"/>
      <c r="AU979" s="379">
        <v>73550</v>
      </c>
      <c r="AV979" s="375"/>
      <c r="AW979" s="375"/>
      <c r="AX979" s="375"/>
      <c r="AY979" s="375"/>
      <c r="AZ979" s="375"/>
      <c r="BA979" s="375"/>
      <c r="BB979" s="375"/>
      <c r="BC979" s="375"/>
      <c r="BD979" s="375"/>
      <c r="BE979" s="375"/>
      <c r="BF979" s="375">
        <v>7.1249999999999994E-2</v>
      </c>
      <c r="BG979" s="375"/>
      <c r="BH979" s="375"/>
      <c r="BI979" s="373">
        <f t="shared" si="42"/>
        <v>7.1249999999999994E-2</v>
      </c>
      <c r="BT979" s="355"/>
      <c r="BU979" s="355"/>
      <c r="BV979" s="355"/>
      <c r="BW979" s="355"/>
    </row>
    <row r="980" spans="1:75" x14ac:dyDescent="0.15">
      <c r="A980" s="356"/>
      <c r="B980" s="355"/>
      <c r="C980" s="355"/>
      <c r="D980" s="355"/>
      <c r="E980" s="355"/>
      <c r="F980" s="355"/>
      <c r="G980" s="355"/>
      <c r="O980" s="356"/>
      <c r="P980" s="355"/>
      <c r="Q980" s="355"/>
      <c r="R980" s="355"/>
      <c r="S980" s="355"/>
      <c r="T980" s="355"/>
      <c r="U980" s="355"/>
      <c r="V980" s="355"/>
      <c r="W980" s="355"/>
      <c r="AG980" s="355"/>
      <c r="AH980" s="355"/>
      <c r="AI980" s="355"/>
      <c r="AJ980" s="355"/>
      <c r="AK980" s="355"/>
      <c r="AL980" s="355"/>
      <c r="AM980" s="355"/>
      <c r="AU980" s="379">
        <v>73581</v>
      </c>
      <c r="AV980" s="375"/>
      <c r="AW980" s="375"/>
      <c r="AX980" s="375"/>
      <c r="AY980" s="375"/>
      <c r="AZ980" s="375"/>
      <c r="BA980" s="375"/>
      <c r="BB980" s="375"/>
      <c r="BC980" s="375"/>
      <c r="BD980" s="375"/>
      <c r="BE980" s="375"/>
      <c r="BF980" s="375">
        <v>7.1249999999999994E-2</v>
      </c>
      <c r="BG980" s="375"/>
      <c r="BH980" s="375"/>
      <c r="BI980" s="373">
        <f t="shared" si="42"/>
        <v>7.1249999999999994E-2</v>
      </c>
      <c r="BT980" s="355"/>
      <c r="BU980" s="355"/>
      <c r="BV980" s="355"/>
      <c r="BW980" s="355"/>
    </row>
    <row r="981" spans="1:75" x14ac:dyDescent="0.15">
      <c r="A981" s="356"/>
      <c r="B981" s="355"/>
      <c r="C981" s="355"/>
      <c r="D981" s="355"/>
      <c r="E981" s="355"/>
      <c r="F981" s="355"/>
      <c r="G981" s="355"/>
      <c r="O981" s="356"/>
      <c r="P981" s="355"/>
      <c r="Q981" s="355"/>
      <c r="R981" s="355"/>
      <c r="S981" s="355"/>
      <c r="T981" s="355"/>
      <c r="U981" s="355"/>
      <c r="V981" s="355"/>
      <c r="W981" s="355"/>
      <c r="AG981" s="355"/>
      <c r="AH981" s="355"/>
      <c r="AI981" s="355"/>
      <c r="AJ981" s="355"/>
      <c r="AK981" s="355"/>
      <c r="AL981" s="355"/>
      <c r="AM981" s="355"/>
      <c r="AU981" s="379">
        <v>73611</v>
      </c>
      <c r="AV981" s="375"/>
      <c r="AW981" s="375"/>
      <c r="AX981" s="375"/>
      <c r="AY981" s="375"/>
      <c r="AZ981" s="375"/>
      <c r="BA981" s="375"/>
      <c r="BB981" s="375"/>
      <c r="BC981" s="375"/>
      <c r="BD981" s="375"/>
      <c r="BE981" s="375"/>
      <c r="BF981" s="375">
        <v>7.1249999999999994E-2</v>
      </c>
      <c r="BG981" s="375"/>
      <c r="BH981" s="375"/>
      <c r="BI981" s="373">
        <f t="shared" si="42"/>
        <v>7.1249999999999994E-2</v>
      </c>
      <c r="BT981" s="355"/>
      <c r="BU981" s="355"/>
      <c r="BV981" s="355"/>
      <c r="BW981" s="355"/>
    </row>
    <row r="982" spans="1:75" x14ac:dyDescent="0.15">
      <c r="A982" s="356"/>
      <c r="B982" s="355"/>
      <c r="C982" s="355"/>
      <c r="D982" s="355"/>
      <c r="E982" s="355"/>
      <c r="F982" s="355"/>
      <c r="G982" s="355"/>
      <c r="O982" s="356"/>
      <c r="P982" s="355"/>
      <c r="Q982" s="355"/>
      <c r="R982" s="355"/>
      <c r="S982" s="355"/>
      <c r="T982" s="355"/>
      <c r="U982" s="355"/>
      <c r="V982" s="355"/>
      <c r="W982" s="355"/>
      <c r="AG982" s="355"/>
      <c r="AH982" s="355"/>
      <c r="AI982" s="355"/>
      <c r="AJ982" s="355"/>
      <c r="AK982" s="355"/>
      <c r="AL982" s="355"/>
      <c r="AM982" s="355"/>
      <c r="AU982" s="379">
        <v>73642</v>
      </c>
      <c r="AV982" s="375"/>
      <c r="AW982" s="375"/>
      <c r="AX982" s="375"/>
      <c r="AY982" s="375"/>
      <c r="AZ982" s="375"/>
      <c r="BA982" s="375"/>
      <c r="BB982" s="375"/>
      <c r="BC982" s="375"/>
      <c r="BD982" s="375"/>
      <c r="BE982" s="375"/>
      <c r="BF982" s="375">
        <v>7.1249999999999994E-2</v>
      </c>
      <c r="BG982" s="375"/>
      <c r="BH982" s="375"/>
      <c r="BI982" s="373">
        <f t="shared" si="42"/>
        <v>7.1249999999999994E-2</v>
      </c>
      <c r="BT982" s="355"/>
      <c r="BU982" s="355"/>
      <c r="BV982" s="355"/>
      <c r="BW982" s="355"/>
    </row>
    <row r="983" spans="1:75" x14ac:dyDescent="0.15">
      <c r="A983" s="356"/>
      <c r="B983" s="355"/>
      <c r="C983" s="355"/>
      <c r="D983" s="355"/>
      <c r="E983" s="355"/>
      <c r="F983" s="355"/>
      <c r="G983" s="355"/>
      <c r="O983" s="356"/>
      <c r="P983" s="355"/>
      <c r="Q983" s="355"/>
      <c r="R983" s="355"/>
      <c r="S983" s="355"/>
      <c r="T983" s="355"/>
      <c r="U983" s="355"/>
      <c r="V983" s="355"/>
      <c r="W983" s="355"/>
      <c r="AG983" s="355"/>
      <c r="AH983" s="355"/>
      <c r="AI983" s="355"/>
      <c r="AJ983" s="355"/>
      <c r="AK983" s="355"/>
      <c r="AL983" s="355"/>
      <c r="AM983" s="355"/>
      <c r="AU983" s="379">
        <v>73673</v>
      </c>
      <c r="AV983" s="375"/>
      <c r="AW983" s="375"/>
      <c r="AX983" s="375"/>
      <c r="AY983" s="375"/>
      <c r="AZ983" s="375"/>
      <c r="BA983" s="375"/>
      <c r="BB983" s="375"/>
      <c r="BC983" s="375"/>
      <c r="BD983" s="375"/>
      <c r="BE983" s="375"/>
      <c r="BF983" s="375">
        <v>7.1249999999999994E-2</v>
      </c>
      <c r="BG983" s="375"/>
      <c r="BH983" s="375"/>
      <c r="BI983" s="373">
        <f t="shared" si="42"/>
        <v>7.1249999999999994E-2</v>
      </c>
      <c r="BT983" s="355"/>
      <c r="BU983" s="355"/>
      <c r="BV983" s="355"/>
      <c r="BW983" s="355"/>
    </row>
    <row r="984" spans="1:75" x14ac:dyDescent="0.15">
      <c r="A984" s="356"/>
      <c r="B984" s="355"/>
      <c r="C984" s="355"/>
      <c r="D984" s="355"/>
      <c r="E984" s="355"/>
      <c r="F984" s="355"/>
      <c r="G984" s="355"/>
      <c r="O984" s="356"/>
      <c r="P984" s="355"/>
      <c r="Q984" s="355"/>
      <c r="R984" s="355"/>
      <c r="S984" s="355"/>
      <c r="T984" s="355"/>
      <c r="U984" s="355"/>
      <c r="V984" s="355"/>
      <c r="W984" s="355"/>
      <c r="AG984" s="355"/>
      <c r="AH984" s="355"/>
      <c r="AI984" s="355"/>
      <c r="AJ984" s="355"/>
      <c r="AK984" s="355"/>
      <c r="AL984" s="355"/>
      <c r="AM984" s="355"/>
      <c r="AU984" s="379">
        <v>73703</v>
      </c>
      <c r="AV984" s="375"/>
      <c r="AW984" s="375"/>
      <c r="AX984" s="375"/>
      <c r="AY984" s="375"/>
      <c r="AZ984" s="375"/>
      <c r="BA984" s="375"/>
      <c r="BB984" s="375"/>
      <c r="BC984" s="375"/>
      <c r="BD984" s="375"/>
      <c r="BE984" s="375"/>
      <c r="BF984" s="375">
        <v>7.1249999999999994E-2</v>
      </c>
      <c r="BG984" s="375"/>
      <c r="BH984" s="375"/>
      <c r="BI984" s="373">
        <f t="shared" si="42"/>
        <v>7.1249999999999994E-2</v>
      </c>
      <c r="BT984" s="355"/>
      <c r="BU984" s="355"/>
      <c r="BV984" s="355"/>
      <c r="BW984" s="355"/>
    </row>
    <row r="985" spans="1:75" x14ac:dyDescent="0.15">
      <c r="A985" s="356"/>
      <c r="B985" s="355"/>
      <c r="C985" s="355"/>
      <c r="D985" s="355"/>
      <c r="E985" s="355"/>
      <c r="F985" s="355"/>
      <c r="G985" s="355"/>
      <c r="O985" s="356"/>
      <c r="P985" s="355"/>
      <c r="Q985" s="355"/>
      <c r="R985" s="355"/>
      <c r="S985" s="355"/>
      <c r="T985" s="355"/>
      <c r="U985" s="355"/>
      <c r="V985" s="355"/>
      <c r="W985" s="355"/>
      <c r="AG985" s="355"/>
      <c r="AH985" s="355"/>
      <c r="AI985" s="355"/>
      <c r="AJ985" s="355"/>
      <c r="AK985" s="355"/>
      <c r="AL985" s="355"/>
      <c r="AM985" s="355"/>
      <c r="AU985" s="379">
        <v>73734</v>
      </c>
      <c r="AV985" s="375"/>
      <c r="AW985" s="375"/>
      <c r="AX985" s="375"/>
      <c r="AY985" s="375"/>
      <c r="AZ985" s="375"/>
      <c r="BA985" s="375"/>
      <c r="BB985" s="375"/>
      <c r="BC985" s="375"/>
      <c r="BD985" s="375"/>
      <c r="BE985" s="375"/>
      <c r="BF985" s="375">
        <v>7.1249999999999994E-2</v>
      </c>
      <c r="BG985" s="375"/>
      <c r="BH985" s="375"/>
      <c r="BI985" s="373">
        <f t="shared" si="42"/>
        <v>7.1249999999999994E-2</v>
      </c>
      <c r="BT985" s="355"/>
      <c r="BU985" s="355"/>
      <c r="BV985" s="355"/>
      <c r="BW985" s="355"/>
    </row>
    <row r="986" spans="1:75" x14ac:dyDescent="0.15">
      <c r="A986" s="356"/>
      <c r="B986" s="355"/>
      <c r="C986" s="355"/>
      <c r="D986" s="355"/>
      <c r="E986" s="355"/>
      <c r="F986" s="355"/>
      <c r="G986" s="355"/>
      <c r="O986" s="356"/>
      <c r="P986" s="355"/>
      <c r="Q986" s="355"/>
      <c r="R986" s="355"/>
      <c r="S986" s="355"/>
      <c r="T986" s="355"/>
      <c r="U986" s="355"/>
      <c r="V986" s="355"/>
      <c r="W986" s="355"/>
      <c r="AG986" s="355"/>
      <c r="AH986" s="355"/>
      <c r="AI986" s="355"/>
      <c r="AJ986" s="355"/>
      <c r="AK986" s="355"/>
      <c r="AL986" s="355"/>
      <c r="AM986" s="355"/>
      <c r="AU986" s="379">
        <v>73764</v>
      </c>
      <c r="AV986" s="375"/>
      <c r="AW986" s="375"/>
      <c r="AX986" s="375"/>
      <c r="AY986" s="375"/>
      <c r="AZ986" s="375"/>
      <c r="BA986" s="375"/>
      <c r="BB986" s="375"/>
      <c r="BC986" s="375"/>
      <c r="BD986" s="375"/>
      <c r="BE986" s="375"/>
      <c r="BF986" s="375">
        <v>7.1249999999999994E-2</v>
      </c>
      <c r="BG986" s="375"/>
      <c r="BH986" s="375"/>
      <c r="BI986" s="373">
        <f t="shared" si="42"/>
        <v>7.1249999999999994E-2</v>
      </c>
      <c r="BT986" s="355"/>
      <c r="BU986" s="355"/>
      <c r="BV986" s="355"/>
      <c r="BW986" s="355"/>
    </row>
    <row r="987" spans="1:75" x14ac:dyDescent="0.15">
      <c r="A987" s="356"/>
      <c r="B987" s="355"/>
      <c r="C987" s="355"/>
      <c r="D987" s="355"/>
      <c r="E987" s="355"/>
      <c r="F987" s="355"/>
      <c r="G987" s="355"/>
      <c r="O987" s="356"/>
      <c r="P987" s="355"/>
      <c r="Q987" s="355"/>
      <c r="R987" s="355"/>
      <c r="S987" s="355"/>
      <c r="T987" s="355"/>
      <c r="U987" s="355"/>
      <c r="V987" s="355"/>
      <c r="W987" s="355"/>
      <c r="AG987" s="355"/>
      <c r="AH987" s="355"/>
      <c r="AI987" s="355"/>
      <c r="AJ987" s="355"/>
      <c r="AK987" s="355"/>
      <c r="AL987" s="355"/>
      <c r="AM987" s="355"/>
      <c r="AU987" s="379">
        <v>73795</v>
      </c>
      <c r="AV987" s="375"/>
      <c r="AW987" s="375"/>
      <c r="AX987" s="375"/>
      <c r="AY987" s="375"/>
      <c r="AZ987" s="375"/>
      <c r="BA987" s="375"/>
      <c r="BB987" s="375"/>
      <c r="BC987" s="375"/>
      <c r="BD987" s="375"/>
      <c r="BE987" s="375"/>
      <c r="BF987" s="375">
        <v>7.1249999999999994E-2</v>
      </c>
      <c r="BG987" s="375"/>
      <c r="BH987" s="375"/>
      <c r="BI987" s="373">
        <f t="shared" si="42"/>
        <v>7.1249999999999994E-2</v>
      </c>
      <c r="BT987" s="355"/>
      <c r="BU987" s="355"/>
      <c r="BV987" s="355"/>
      <c r="BW987" s="355"/>
    </row>
    <row r="988" spans="1:75" x14ac:dyDescent="0.15">
      <c r="A988" s="356"/>
      <c r="B988" s="355"/>
      <c r="C988" s="355"/>
      <c r="D988" s="355"/>
      <c r="E988" s="355"/>
      <c r="F988" s="355"/>
      <c r="G988" s="355"/>
      <c r="O988" s="356"/>
      <c r="P988" s="355"/>
      <c r="Q988" s="355"/>
      <c r="R988" s="355"/>
      <c r="S988" s="355"/>
      <c r="T988" s="355"/>
      <c r="U988" s="355"/>
      <c r="V988" s="355"/>
      <c r="W988" s="355"/>
      <c r="AG988" s="355"/>
      <c r="AH988" s="355"/>
      <c r="AI988" s="355"/>
      <c r="AJ988" s="355"/>
      <c r="AK988" s="355"/>
      <c r="AL988" s="355"/>
      <c r="AM988" s="355"/>
      <c r="AU988" s="379">
        <v>73826</v>
      </c>
      <c r="AV988" s="375"/>
      <c r="AW988" s="375"/>
      <c r="AX988" s="375"/>
      <c r="AY988" s="375"/>
      <c r="AZ988" s="375"/>
      <c r="BA988" s="375"/>
      <c r="BB988" s="375"/>
      <c r="BC988" s="375"/>
      <c r="BD988" s="375"/>
      <c r="BE988" s="375"/>
      <c r="BF988" s="375">
        <v>7.1249999999999994E-2</v>
      </c>
      <c r="BG988" s="375"/>
      <c r="BH988" s="375"/>
      <c r="BI988" s="373">
        <f t="shared" si="42"/>
        <v>7.1249999999999994E-2</v>
      </c>
      <c r="BT988" s="355"/>
      <c r="BU988" s="355"/>
      <c r="BV988" s="355"/>
      <c r="BW988" s="355"/>
    </row>
    <row r="989" spans="1:75" x14ac:dyDescent="0.15">
      <c r="A989" s="356"/>
      <c r="B989" s="355"/>
      <c r="C989" s="355"/>
      <c r="D989" s="355"/>
      <c r="E989" s="355"/>
      <c r="F989" s="355"/>
      <c r="G989" s="355"/>
      <c r="O989" s="356"/>
      <c r="P989" s="355"/>
      <c r="Q989" s="355"/>
      <c r="R989" s="355"/>
      <c r="S989" s="355"/>
      <c r="T989" s="355"/>
      <c r="U989" s="355"/>
      <c r="V989" s="355"/>
      <c r="W989" s="355"/>
      <c r="AG989" s="355"/>
      <c r="AH989" s="355"/>
      <c r="AI989" s="355"/>
      <c r="AJ989" s="355"/>
      <c r="AK989" s="355"/>
      <c r="AL989" s="355"/>
      <c r="AM989" s="355"/>
      <c r="AU989" s="379">
        <v>73854</v>
      </c>
      <c r="AV989" s="375"/>
      <c r="AW989" s="375"/>
      <c r="AX989" s="375"/>
      <c r="AY989" s="375"/>
      <c r="AZ989" s="375"/>
      <c r="BA989" s="375"/>
      <c r="BB989" s="375"/>
      <c r="BC989" s="375"/>
      <c r="BD989" s="375"/>
      <c r="BE989" s="375"/>
      <c r="BF989" s="375">
        <v>7.1249999999999994E-2</v>
      </c>
      <c r="BG989" s="375"/>
      <c r="BH989" s="375"/>
      <c r="BI989" s="373">
        <f t="shared" si="42"/>
        <v>7.1249999999999994E-2</v>
      </c>
      <c r="BT989" s="355"/>
      <c r="BU989" s="355"/>
      <c r="BV989" s="355"/>
      <c r="BW989" s="355"/>
    </row>
    <row r="990" spans="1:75" x14ac:dyDescent="0.15">
      <c r="A990" s="356"/>
      <c r="B990" s="355"/>
      <c r="C990" s="355"/>
      <c r="D990" s="355"/>
      <c r="E990" s="355"/>
      <c r="F990" s="355"/>
      <c r="G990" s="355"/>
      <c r="O990" s="356"/>
      <c r="P990" s="355"/>
      <c r="Q990" s="355"/>
      <c r="R990" s="355"/>
      <c r="S990" s="355"/>
      <c r="T990" s="355"/>
      <c r="U990" s="355"/>
      <c r="V990" s="355"/>
      <c r="W990" s="355"/>
      <c r="AG990" s="355"/>
      <c r="AH990" s="355"/>
      <c r="AI990" s="355"/>
      <c r="AJ990" s="355"/>
      <c r="AK990" s="355"/>
      <c r="AL990" s="355"/>
      <c r="AM990" s="355"/>
      <c r="AU990" s="379">
        <v>73885</v>
      </c>
      <c r="AV990" s="375"/>
      <c r="AW990" s="375"/>
      <c r="AX990" s="375"/>
      <c r="AY990" s="375"/>
      <c r="AZ990" s="375"/>
      <c r="BA990" s="375"/>
      <c r="BB990" s="375"/>
      <c r="BC990" s="375"/>
      <c r="BD990" s="375"/>
      <c r="BE990" s="375"/>
      <c r="BF990" s="375">
        <v>7.1249999999999994E-2</v>
      </c>
      <c r="BG990" s="375"/>
      <c r="BH990" s="375"/>
      <c r="BI990" s="373">
        <f t="shared" si="42"/>
        <v>7.1249999999999994E-2</v>
      </c>
      <c r="BT990" s="355"/>
      <c r="BU990" s="355"/>
      <c r="BV990" s="355"/>
      <c r="BW990" s="355"/>
    </row>
    <row r="991" spans="1:75" x14ac:dyDescent="0.15">
      <c r="A991" s="356"/>
      <c r="B991" s="355"/>
      <c r="C991" s="355"/>
      <c r="D991" s="355"/>
      <c r="E991" s="355"/>
      <c r="F991" s="355"/>
      <c r="G991" s="355"/>
      <c r="O991" s="356"/>
      <c r="P991" s="355"/>
      <c r="Q991" s="355"/>
      <c r="R991" s="355"/>
      <c r="S991" s="355"/>
      <c r="T991" s="355"/>
      <c r="U991" s="355"/>
      <c r="V991" s="355"/>
      <c r="W991" s="355"/>
      <c r="AG991" s="355"/>
      <c r="AH991" s="355"/>
      <c r="AI991" s="355"/>
      <c r="AJ991" s="355"/>
      <c r="AK991" s="355"/>
      <c r="AL991" s="355"/>
      <c r="AM991" s="355"/>
      <c r="AU991" s="379">
        <v>73915</v>
      </c>
      <c r="AV991" s="375"/>
      <c r="AW991" s="375"/>
      <c r="AX991" s="375"/>
      <c r="AY991" s="375"/>
      <c r="AZ991" s="375"/>
      <c r="BA991" s="375"/>
      <c r="BB991" s="375"/>
      <c r="BC991" s="375"/>
      <c r="BD991" s="375"/>
      <c r="BE991" s="375"/>
      <c r="BF991" s="375">
        <v>7.1249999999999994E-2</v>
      </c>
      <c r="BG991" s="375"/>
      <c r="BH991" s="375"/>
      <c r="BI991" s="373">
        <f t="shared" si="42"/>
        <v>7.1249999999999994E-2</v>
      </c>
      <c r="BT991" s="355"/>
      <c r="BU991" s="355"/>
      <c r="BV991" s="355"/>
      <c r="BW991" s="355"/>
    </row>
    <row r="992" spans="1:75" x14ac:dyDescent="0.15">
      <c r="A992" s="356"/>
      <c r="B992" s="355"/>
      <c r="C992" s="355"/>
      <c r="D992" s="355"/>
      <c r="E992" s="355"/>
      <c r="F992" s="355"/>
      <c r="G992" s="355"/>
      <c r="O992" s="356"/>
      <c r="P992" s="355"/>
      <c r="Q992" s="355"/>
      <c r="R992" s="355"/>
      <c r="S992" s="355"/>
      <c r="T992" s="355"/>
      <c r="U992" s="355"/>
      <c r="V992" s="355"/>
      <c r="W992" s="355"/>
      <c r="AG992" s="355"/>
      <c r="AH992" s="355"/>
      <c r="AI992" s="355"/>
      <c r="AJ992" s="355"/>
      <c r="AK992" s="355"/>
      <c r="AL992" s="355"/>
      <c r="AM992" s="355"/>
      <c r="AU992" s="379">
        <v>73946</v>
      </c>
      <c r="AV992" s="375"/>
      <c r="AW992" s="375"/>
      <c r="AX992" s="375"/>
      <c r="AY992" s="375"/>
      <c r="AZ992" s="375"/>
      <c r="BA992" s="375"/>
      <c r="BB992" s="375"/>
      <c r="BC992" s="375"/>
      <c r="BD992" s="375"/>
      <c r="BE992" s="375"/>
      <c r="BF992" s="375">
        <v>7.1249999999999994E-2</v>
      </c>
      <c r="BG992" s="375"/>
      <c r="BH992" s="375"/>
      <c r="BI992" s="373">
        <f t="shared" si="42"/>
        <v>7.1249999999999994E-2</v>
      </c>
      <c r="BT992" s="355"/>
      <c r="BU992" s="355"/>
      <c r="BV992" s="355"/>
      <c r="BW992" s="355"/>
    </row>
    <row r="993" spans="1:75" x14ac:dyDescent="0.15">
      <c r="A993" s="356"/>
      <c r="B993" s="355"/>
      <c r="C993" s="355"/>
      <c r="D993" s="355"/>
      <c r="E993" s="355"/>
      <c r="F993" s="355"/>
      <c r="G993" s="355"/>
      <c r="O993" s="356"/>
      <c r="P993" s="355"/>
      <c r="Q993" s="355"/>
      <c r="R993" s="355"/>
      <c r="S993" s="355"/>
      <c r="T993" s="355"/>
      <c r="U993" s="355"/>
      <c r="V993" s="355"/>
      <c r="W993" s="355"/>
      <c r="AG993" s="355"/>
      <c r="AH993" s="355"/>
      <c r="AI993" s="355"/>
      <c r="AJ993" s="355"/>
      <c r="AK993" s="355"/>
      <c r="AL993" s="355"/>
      <c r="AM993" s="355"/>
      <c r="AU993" s="379">
        <v>73976</v>
      </c>
      <c r="AV993" s="375"/>
      <c r="AW993" s="375"/>
      <c r="AX993" s="375"/>
      <c r="AY993" s="375"/>
      <c r="AZ993" s="375"/>
      <c r="BA993" s="375"/>
      <c r="BB993" s="375"/>
      <c r="BC993" s="375"/>
      <c r="BD993" s="375"/>
      <c r="BE993" s="375"/>
      <c r="BF993" s="375">
        <v>7.1249999999999994E-2</v>
      </c>
      <c r="BG993" s="375"/>
      <c r="BH993" s="375"/>
      <c r="BI993" s="373">
        <f t="shared" si="42"/>
        <v>7.1249999999999994E-2</v>
      </c>
      <c r="BT993" s="355"/>
      <c r="BU993" s="355"/>
      <c r="BV993" s="355"/>
      <c r="BW993" s="355"/>
    </row>
    <row r="994" spans="1:75" x14ac:dyDescent="0.15">
      <c r="A994" s="356"/>
      <c r="B994" s="355"/>
      <c r="C994" s="355"/>
      <c r="D994" s="355"/>
      <c r="E994" s="355"/>
      <c r="F994" s="355"/>
      <c r="G994" s="355"/>
      <c r="O994" s="356"/>
      <c r="P994" s="355"/>
      <c r="Q994" s="355"/>
      <c r="R994" s="355"/>
      <c r="S994" s="355"/>
      <c r="T994" s="355"/>
      <c r="U994" s="355"/>
      <c r="V994" s="355"/>
      <c r="W994" s="355"/>
      <c r="AG994" s="355"/>
      <c r="AH994" s="355"/>
      <c r="AI994" s="355"/>
      <c r="AJ994" s="355"/>
      <c r="AK994" s="355"/>
      <c r="AL994" s="355"/>
      <c r="AM994" s="355"/>
      <c r="AU994" s="379">
        <v>74007</v>
      </c>
      <c r="AV994" s="375"/>
      <c r="AW994" s="375"/>
      <c r="AX994" s="375"/>
      <c r="AY994" s="375"/>
      <c r="AZ994" s="375"/>
      <c r="BA994" s="375"/>
      <c r="BB994" s="375"/>
      <c r="BC994" s="375"/>
      <c r="BD994" s="375"/>
      <c r="BE994" s="375"/>
      <c r="BF994" s="375">
        <v>7.1249999999999994E-2</v>
      </c>
      <c r="BG994" s="375"/>
      <c r="BH994" s="375"/>
      <c r="BI994" s="373">
        <f t="shared" si="42"/>
        <v>7.1249999999999994E-2</v>
      </c>
      <c r="BT994" s="355"/>
      <c r="BU994" s="355"/>
      <c r="BV994" s="355"/>
      <c r="BW994" s="355"/>
    </row>
    <row r="995" spans="1:75" x14ac:dyDescent="0.15">
      <c r="A995" s="356"/>
      <c r="B995" s="355"/>
      <c r="C995" s="355"/>
      <c r="D995" s="355"/>
      <c r="E995" s="355"/>
      <c r="F995" s="355"/>
      <c r="G995" s="355"/>
      <c r="O995" s="356"/>
      <c r="P995" s="355"/>
      <c r="Q995" s="355"/>
      <c r="R995" s="355"/>
      <c r="S995" s="355"/>
      <c r="T995" s="355"/>
      <c r="U995" s="355"/>
      <c r="V995" s="355"/>
      <c r="W995" s="355"/>
      <c r="AG995" s="355"/>
      <c r="AH995" s="355"/>
      <c r="AI995" s="355"/>
      <c r="AJ995" s="355"/>
      <c r="AK995" s="355"/>
      <c r="AL995" s="355"/>
      <c r="AM995" s="355"/>
      <c r="AU995" s="379">
        <v>74038</v>
      </c>
      <c r="AV995" s="375"/>
      <c r="AW995" s="375"/>
      <c r="AX995" s="375"/>
      <c r="AY995" s="375"/>
      <c r="AZ995" s="375"/>
      <c r="BA995" s="375"/>
      <c r="BB995" s="375"/>
      <c r="BC995" s="375"/>
      <c r="BD995" s="375"/>
      <c r="BE995" s="375"/>
      <c r="BF995" s="375">
        <v>7.1249999999999994E-2</v>
      </c>
      <c r="BG995" s="375"/>
      <c r="BH995" s="375"/>
      <c r="BI995" s="373">
        <f t="shared" si="42"/>
        <v>7.1249999999999994E-2</v>
      </c>
      <c r="BT995" s="355"/>
      <c r="BU995" s="355"/>
      <c r="BV995" s="355"/>
      <c r="BW995" s="355"/>
    </row>
    <row r="996" spans="1:75" x14ac:dyDescent="0.15">
      <c r="A996" s="356"/>
      <c r="B996" s="355"/>
      <c r="C996" s="355"/>
      <c r="D996" s="355"/>
      <c r="E996" s="355"/>
      <c r="F996" s="355"/>
      <c r="G996" s="355"/>
      <c r="O996" s="356"/>
      <c r="P996" s="355"/>
      <c r="Q996" s="355"/>
      <c r="R996" s="355"/>
      <c r="S996" s="355"/>
      <c r="T996" s="355"/>
      <c r="U996" s="355"/>
      <c r="V996" s="355"/>
      <c r="W996" s="355"/>
      <c r="AG996" s="355"/>
      <c r="AH996" s="355"/>
      <c r="AI996" s="355"/>
      <c r="AJ996" s="355"/>
      <c r="AK996" s="355"/>
      <c r="AL996" s="355"/>
      <c r="AM996" s="355"/>
      <c r="AU996" s="379">
        <v>74068</v>
      </c>
      <c r="AV996" s="375"/>
      <c r="AW996" s="375"/>
      <c r="AX996" s="375"/>
      <c r="AY996" s="375"/>
      <c r="AZ996" s="375"/>
      <c r="BA996" s="375"/>
      <c r="BB996" s="375"/>
      <c r="BC996" s="375"/>
      <c r="BD996" s="375"/>
      <c r="BE996" s="375"/>
      <c r="BF996" s="375">
        <v>7.1249999999999994E-2</v>
      </c>
      <c r="BG996" s="375"/>
      <c r="BH996" s="375"/>
      <c r="BI996" s="373">
        <f t="shared" si="42"/>
        <v>7.1249999999999994E-2</v>
      </c>
      <c r="BT996" s="355"/>
      <c r="BU996" s="355"/>
      <c r="BV996" s="355"/>
      <c r="BW996" s="355"/>
    </row>
    <row r="997" spans="1:75" x14ac:dyDescent="0.15">
      <c r="A997" s="356"/>
      <c r="B997" s="355"/>
      <c r="C997" s="355"/>
      <c r="D997" s="355"/>
      <c r="E997" s="355"/>
      <c r="F997" s="355"/>
      <c r="G997" s="355"/>
      <c r="O997" s="356"/>
      <c r="P997" s="355"/>
      <c r="Q997" s="355"/>
      <c r="R997" s="355"/>
      <c r="S997" s="355"/>
      <c r="T997" s="355"/>
      <c r="U997" s="355"/>
      <c r="V997" s="355"/>
      <c r="W997" s="355"/>
      <c r="AG997" s="355"/>
      <c r="AH997" s="355"/>
      <c r="AI997" s="355"/>
      <c r="AJ997" s="355"/>
      <c r="AK997" s="355"/>
      <c r="AL997" s="355"/>
      <c r="AM997" s="355"/>
      <c r="AU997" s="379">
        <v>74099</v>
      </c>
      <c r="AV997" s="375"/>
      <c r="AW997" s="375"/>
      <c r="AX997" s="375"/>
      <c r="AY997" s="375"/>
      <c r="AZ997" s="375"/>
      <c r="BA997" s="375"/>
      <c r="BB997" s="375"/>
      <c r="BC997" s="375"/>
      <c r="BD997" s="375"/>
      <c r="BE997" s="375"/>
      <c r="BF997" s="375">
        <v>7.1249999999999994E-2</v>
      </c>
      <c r="BG997" s="375"/>
      <c r="BH997" s="375"/>
      <c r="BI997" s="373">
        <f t="shared" si="42"/>
        <v>7.1249999999999994E-2</v>
      </c>
      <c r="BT997" s="355"/>
      <c r="BU997" s="355"/>
      <c r="BV997" s="355"/>
      <c r="BW997" s="355"/>
    </row>
    <row r="998" spans="1:75" x14ac:dyDescent="0.15">
      <c r="A998" s="356"/>
      <c r="B998" s="355"/>
      <c r="C998" s="355"/>
      <c r="D998" s="355"/>
      <c r="E998" s="355"/>
      <c r="F998" s="355"/>
      <c r="G998" s="355"/>
      <c r="O998" s="356"/>
      <c r="P998" s="355"/>
      <c r="Q998" s="355"/>
      <c r="R998" s="355"/>
      <c r="S998" s="355"/>
      <c r="T998" s="355"/>
      <c r="U998" s="355"/>
      <c r="V998" s="355"/>
      <c r="W998" s="355"/>
      <c r="AG998" s="355"/>
      <c r="AH998" s="355"/>
      <c r="AI998" s="355"/>
      <c r="AJ998" s="355"/>
      <c r="AK998" s="355"/>
      <c r="AL998" s="355"/>
      <c r="AM998" s="355"/>
      <c r="AU998" s="379">
        <v>74129</v>
      </c>
      <c r="AV998" s="375"/>
      <c r="AW998" s="375"/>
      <c r="AX998" s="375"/>
      <c r="AY998" s="375"/>
      <c r="AZ998" s="375"/>
      <c r="BA998" s="375"/>
      <c r="BB998" s="375"/>
      <c r="BC998" s="375"/>
      <c r="BD998" s="375"/>
      <c r="BE998" s="375"/>
      <c r="BF998" s="375">
        <v>7.1249999999999994E-2</v>
      </c>
      <c r="BG998" s="375"/>
      <c r="BH998" s="375"/>
      <c r="BI998" s="373">
        <f t="shared" si="42"/>
        <v>7.1249999999999994E-2</v>
      </c>
      <c r="BT998" s="355"/>
      <c r="BU998" s="355"/>
      <c r="BV998" s="355"/>
      <c r="BW998" s="355"/>
    </row>
    <row r="999" spans="1:75" x14ac:dyDescent="0.15">
      <c r="A999" s="356"/>
      <c r="B999" s="355"/>
      <c r="C999" s="355"/>
      <c r="D999" s="355"/>
      <c r="E999" s="355"/>
      <c r="F999" s="355"/>
      <c r="G999" s="355"/>
      <c r="O999" s="356"/>
      <c r="P999" s="355"/>
      <c r="Q999" s="355"/>
      <c r="R999" s="355"/>
      <c r="S999" s="355"/>
      <c r="T999" s="355"/>
      <c r="U999" s="355"/>
      <c r="V999" s="355"/>
      <c r="W999" s="355"/>
      <c r="AG999" s="355"/>
      <c r="AH999" s="355"/>
      <c r="AI999" s="355"/>
      <c r="AJ999" s="355"/>
      <c r="AK999" s="355"/>
      <c r="AL999" s="355"/>
      <c r="AM999" s="355"/>
      <c r="AU999" s="379">
        <v>74160</v>
      </c>
      <c r="AV999" s="375"/>
      <c r="AW999" s="375"/>
      <c r="AX999" s="375"/>
      <c r="AY999" s="375"/>
      <c r="AZ999" s="375"/>
      <c r="BA999" s="375"/>
      <c r="BB999" s="375"/>
      <c r="BC999" s="375"/>
      <c r="BD999" s="375"/>
      <c r="BE999" s="375"/>
      <c r="BF999" s="375">
        <v>7.1249999999999994E-2</v>
      </c>
      <c r="BG999" s="375"/>
      <c r="BH999" s="375"/>
      <c r="BI999" s="373">
        <f t="shared" si="42"/>
        <v>7.1249999999999994E-2</v>
      </c>
      <c r="BT999" s="355"/>
      <c r="BU999" s="355"/>
      <c r="BV999" s="355"/>
      <c r="BW999" s="355"/>
    </row>
    <row r="1000" spans="1:75" x14ac:dyDescent="0.15">
      <c r="A1000" s="356"/>
      <c r="B1000" s="355"/>
      <c r="C1000" s="355"/>
      <c r="D1000" s="355"/>
      <c r="E1000" s="355"/>
      <c r="F1000" s="355"/>
      <c r="G1000" s="355"/>
      <c r="O1000" s="356"/>
      <c r="P1000" s="355"/>
      <c r="Q1000" s="355"/>
      <c r="R1000" s="355"/>
      <c r="S1000" s="355"/>
      <c r="T1000" s="355"/>
      <c r="U1000" s="355"/>
      <c r="V1000" s="355"/>
      <c r="W1000" s="355"/>
      <c r="AG1000" s="355"/>
      <c r="AH1000" s="355"/>
      <c r="AI1000" s="355"/>
      <c r="AJ1000" s="355"/>
      <c r="AK1000" s="355"/>
      <c r="AL1000" s="355"/>
      <c r="AM1000" s="355"/>
      <c r="AU1000" s="379">
        <v>74191</v>
      </c>
      <c r="AV1000" s="375"/>
      <c r="AW1000" s="375"/>
      <c r="AX1000" s="375"/>
      <c r="AY1000" s="375"/>
      <c r="AZ1000" s="375"/>
      <c r="BA1000" s="375"/>
      <c r="BB1000" s="375"/>
      <c r="BC1000" s="375"/>
      <c r="BD1000" s="375"/>
      <c r="BE1000" s="375"/>
      <c r="BF1000" s="375">
        <v>7.1249999999999994E-2</v>
      </c>
      <c r="BG1000" s="375"/>
      <c r="BH1000" s="375"/>
      <c r="BI1000" s="373">
        <f t="shared" si="42"/>
        <v>7.1249999999999994E-2</v>
      </c>
      <c r="BT1000" s="355"/>
      <c r="BU1000" s="355"/>
      <c r="BV1000" s="355"/>
      <c r="BW1000" s="355"/>
    </row>
    <row r="1001" spans="1:75" x14ac:dyDescent="0.15">
      <c r="A1001" s="356"/>
      <c r="B1001" s="355"/>
      <c r="C1001" s="355"/>
      <c r="D1001" s="355"/>
      <c r="E1001" s="355"/>
      <c r="F1001" s="355"/>
      <c r="G1001" s="355"/>
      <c r="O1001" s="356"/>
      <c r="P1001" s="355"/>
      <c r="Q1001" s="355"/>
      <c r="R1001" s="355"/>
      <c r="S1001" s="355"/>
      <c r="T1001" s="355"/>
      <c r="U1001" s="355"/>
      <c r="V1001" s="355"/>
      <c r="W1001" s="355"/>
      <c r="AG1001" s="355"/>
      <c r="AH1001" s="355"/>
      <c r="AI1001" s="355"/>
      <c r="AJ1001" s="355"/>
      <c r="AK1001" s="355"/>
      <c r="AL1001" s="355"/>
      <c r="AM1001" s="355"/>
      <c r="AU1001" s="379">
        <v>74219</v>
      </c>
      <c r="AV1001" s="375"/>
      <c r="AW1001" s="375"/>
      <c r="AX1001" s="375"/>
      <c r="AY1001" s="375"/>
      <c r="AZ1001" s="375"/>
      <c r="BA1001" s="375"/>
      <c r="BB1001" s="375"/>
      <c r="BC1001" s="375"/>
      <c r="BD1001" s="375"/>
      <c r="BE1001" s="375"/>
      <c r="BF1001" s="375">
        <v>7.1249999999999994E-2</v>
      </c>
      <c r="BG1001" s="375"/>
      <c r="BH1001" s="375"/>
      <c r="BI1001" s="373">
        <f t="shared" si="42"/>
        <v>7.1249999999999994E-2</v>
      </c>
      <c r="BT1001" s="355"/>
      <c r="BU1001" s="355"/>
      <c r="BV1001" s="355"/>
      <c r="BW1001" s="355"/>
    </row>
    <row r="1002" spans="1:75" x14ac:dyDescent="0.15">
      <c r="A1002" s="356"/>
      <c r="B1002" s="355"/>
      <c r="C1002" s="355"/>
      <c r="D1002" s="355"/>
      <c r="E1002" s="355"/>
      <c r="F1002" s="355"/>
      <c r="G1002" s="355"/>
      <c r="O1002" s="356"/>
      <c r="P1002" s="355"/>
      <c r="Q1002" s="355"/>
      <c r="R1002" s="355"/>
      <c r="S1002" s="355"/>
      <c r="T1002" s="355"/>
      <c r="U1002" s="355"/>
      <c r="V1002" s="355"/>
      <c r="W1002" s="355"/>
      <c r="AG1002" s="355"/>
      <c r="AH1002" s="355"/>
      <c r="AI1002" s="355"/>
      <c r="AJ1002" s="355"/>
      <c r="AK1002" s="355"/>
      <c r="AL1002" s="355"/>
      <c r="AM1002" s="355"/>
      <c r="AU1002" s="379">
        <v>74250</v>
      </c>
      <c r="AV1002" s="375"/>
      <c r="AW1002" s="375"/>
      <c r="AX1002" s="375"/>
      <c r="AY1002" s="375"/>
      <c r="AZ1002" s="375"/>
      <c r="BA1002" s="375"/>
      <c r="BB1002" s="375"/>
      <c r="BC1002" s="375"/>
      <c r="BD1002" s="375"/>
      <c r="BE1002" s="375"/>
      <c r="BF1002" s="375">
        <v>7.1249999999999994E-2</v>
      </c>
      <c r="BG1002" s="375"/>
      <c r="BH1002" s="375"/>
      <c r="BI1002" s="373">
        <f t="shared" si="42"/>
        <v>7.1249999999999994E-2</v>
      </c>
      <c r="BT1002" s="355"/>
      <c r="BU1002" s="355"/>
      <c r="BV1002" s="355"/>
      <c r="BW1002" s="355"/>
    </row>
    <row r="1003" spans="1:75" x14ac:dyDescent="0.15">
      <c r="A1003" s="356"/>
      <c r="B1003" s="355"/>
      <c r="C1003" s="355"/>
      <c r="D1003" s="355"/>
      <c r="E1003" s="355"/>
      <c r="F1003" s="355"/>
      <c r="G1003" s="355"/>
      <c r="O1003" s="356"/>
      <c r="P1003" s="355"/>
      <c r="Q1003" s="355"/>
      <c r="R1003" s="355"/>
      <c r="S1003" s="355"/>
      <c r="T1003" s="355"/>
      <c r="U1003" s="355"/>
      <c r="V1003" s="355"/>
      <c r="W1003" s="355"/>
      <c r="AG1003" s="355"/>
      <c r="AH1003" s="355"/>
      <c r="AI1003" s="355"/>
      <c r="AJ1003" s="355"/>
      <c r="AK1003" s="355"/>
      <c r="AL1003" s="355"/>
      <c r="AM1003" s="355"/>
      <c r="AU1003" s="379">
        <v>74280</v>
      </c>
      <c r="AV1003" s="375"/>
      <c r="AW1003" s="375"/>
      <c r="AX1003" s="375"/>
      <c r="AY1003" s="375"/>
      <c r="AZ1003" s="375"/>
      <c r="BA1003" s="375"/>
      <c r="BB1003" s="375"/>
      <c r="BC1003" s="375"/>
      <c r="BD1003" s="375"/>
      <c r="BE1003" s="375"/>
      <c r="BF1003" s="375">
        <v>7.1249999999999994E-2</v>
      </c>
      <c r="BG1003" s="375"/>
      <c r="BH1003" s="375"/>
      <c r="BI1003" s="373">
        <f t="shared" si="42"/>
        <v>7.1249999999999994E-2</v>
      </c>
      <c r="BT1003" s="355"/>
      <c r="BU1003" s="355"/>
      <c r="BV1003" s="355"/>
      <c r="BW1003" s="355"/>
    </row>
    <row r="1004" spans="1:75" x14ac:dyDescent="0.15">
      <c r="A1004" s="356"/>
      <c r="B1004" s="355"/>
      <c r="C1004" s="355"/>
      <c r="D1004" s="355"/>
      <c r="E1004" s="355"/>
      <c r="F1004" s="355"/>
      <c r="G1004" s="355"/>
      <c r="O1004" s="356"/>
      <c r="P1004" s="355"/>
      <c r="Q1004" s="355"/>
      <c r="R1004" s="355"/>
      <c r="S1004" s="355"/>
      <c r="T1004" s="355"/>
      <c r="U1004" s="355"/>
      <c r="V1004" s="355"/>
      <c r="W1004" s="355"/>
      <c r="AG1004" s="355"/>
      <c r="AH1004" s="355"/>
      <c r="AI1004" s="355"/>
      <c r="AJ1004" s="355"/>
      <c r="AK1004" s="355"/>
      <c r="AL1004" s="355"/>
      <c r="AM1004" s="355"/>
      <c r="AU1004" s="379">
        <v>74311</v>
      </c>
      <c r="AV1004" s="375"/>
      <c r="AW1004" s="375"/>
      <c r="AX1004" s="375"/>
      <c r="AY1004" s="375"/>
      <c r="AZ1004" s="375"/>
      <c r="BA1004" s="375"/>
      <c r="BB1004" s="375"/>
      <c r="BC1004" s="375"/>
      <c r="BD1004" s="375"/>
      <c r="BE1004" s="375"/>
      <c r="BF1004" s="375">
        <v>7.1249999999999994E-2</v>
      </c>
      <c r="BG1004" s="375"/>
      <c r="BH1004" s="375"/>
      <c r="BI1004" s="373">
        <f t="shared" si="42"/>
        <v>7.1249999999999994E-2</v>
      </c>
      <c r="BT1004" s="355"/>
      <c r="BU1004" s="355"/>
      <c r="BV1004" s="355"/>
      <c r="BW1004" s="355"/>
    </row>
    <row r="1005" spans="1:75" x14ac:dyDescent="0.15">
      <c r="A1005" s="356"/>
      <c r="B1005" s="355"/>
      <c r="C1005" s="355"/>
      <c r="D1005" s="355"/>
      <c r="E1005" s="355"/>
      <c r="F1005" s="355"/>
      <c r="G1005" s="355"/>
      <c r="O1005" s="356"/>
      <c r="P1005" s="355"/>
      <c r="Q1005" s="355"/>
      <c r="R1005" s="355"/>
      <c r="S1005" s="355"/>
      <c r="T1005" s="355"/>
      <c r="U1005" s="355"/>
      <c r="V1005" s="355"/>
      <c r="W1005" s="355"/>
      <c r="AG1005" s="355"/>
      <c r="AH1005" s="355"/>
      <c r="AI1005" s="355"/>
      <c r="AJ1005" s="355"/>
      <c r="AK1005" s="355"/>
      <c r="AL1005" s="355"/>
      <c r="AM1005" s="355"/>
      <c r="AU1005" s="379">
        <v>74341</v>
      </c>
      <c r="AV1005" s="375"/>
      <c r="AW1005" s="375"/>
      <c r="AX1005" s="375"/>
      <c r="AY1005" s="375"/>
      <c r="AZ1005" s="375"/>
      <c r="BA1005" s="375"/>
      <c r="BB1005" s="375"/>
      <c r="BC1005" s="375"/>
      <c r="BD1005" s="375"/>
      <c r="BE1005" s="375"/>
      <c r="BF1005" s="375">
        <v>7.1249999999999994E-2</v>
      </c>
      <c r="BG1005" s="375"/>
      <c r="BH1005" s="375"/>
      <c r="BI1005" s="373">
        <f t="shared" si="42"/>
        <v>7.1249999999999994E-2</v>
      </c>
      <c r="BT1005" s="355"/>
      <c r="BU1005" s="355"/>
      <c r="BV1005" s="355"/>
      <c r="BW1005" s="355"/>
    </row>
    <row r="1006" spans="1:75" x14ac:dyDescent="0.15">
      <c r="A1006" s="356"/>
      <c r="B1006" s="355"/>
      <c r="C1006" s="355"/>
      <c r="D1006" s="355"/>
      <c r="E1006" s="355"/>
      <c r="F1006" s="355"/>
      <c r="G1006" s="355"/>
      <c r="O1006" s="356"/>
      <c r="P1006" s="355"/>
      <c r="Q1006" s="355"/>
      <c r="R1006" s="355"/>
      <c r="S1006" s="355"/>
      <c r="T1006" s="355"/>
      <c r="U1006" s="355"/>
      <c r="V1006" s="355"/>
      <c r="W1006" s="355"/>
      <c r="AG1006" s="355"/>
      <c r="AH1006" s="355"/>
      <c r="AI1006" s="355"/>
      <c r="AJ1006" s="355"/>
      <c r="AK1006" s="355"/>
      <c r="AL1006" s="355"/>
      <c r="AM1006" s="355"/>
      <c r="AU1006" s="379">
        <v>74372</v>
      </c>
      <c r="AV1006" s="375"/>
      <c r="AW1006" s="375"/>
      <c r="AX1006" s="375"/>
      <c r="AY1006" s="375"/>
      <c r="AZ1006" s="375"/>
      <c r="BA1006" s="375"/>
      <c r="BB1006" s="375"/>
      <c r="BC1006" s="375"/>
      <c r="BD1006" s="375"/>
      <c r="BE1006" s="375"/>
      <c r="BF1006" s="375">
        <v>7.1249999999999994E-2</v>
      </c>
      <c r="BG1006" s="375"/>
      <c r="BH1006" s="375"/>
      <c r="BI1006" s="373">
        <f t="shared" si="42"/>
        <v>7.1249999999999994E-2</v>
      </c>
      <c r="BT1006" s="355"/>
      <c r="BU1006" s="355"/>
      <c r="BV1006" s="355"/>
      <c r="BW1006" s="355"/>
    </row>
    <row r="1007" spans="1:75" x14ac:dyDescent="0.15">
      <c r="A1007" s="356"/>
      <c r="B1007" s="355"/>
      <c r="C1007" s="355"/>
      <c r="D1007" s="355"/>
      <c r="E1007" s="355"/>
      <c r="F1007" s="355"/>
      <c r="G1007" s="355"/>
      <c r="O1007" s="356"/>
      <c r="P1007" s="355"/>
      <c r="Q1007" s="355"/>
      <c r="R1007" s="355"/>
      <c r="S1007" s="355"/>
      <c r="T1007" s="355"/>
      <c r="U1007" s="355"/>
      <c r="V1007" s="355"/>
      <c r="W1007" s="355"/>
      <c r="AG1007" s="355"/>
      <c r="AH1007" s="355"/>
      <c r="AI1007" s="355"/>
      <c r="AJ1007" s="355"/>
      <c r="AK1007" s="355"/>
      <c r="AL1007" s="355"/>
      <c r="AM1007" s="355"/>
      <c r="AU1007" s="379">
        <v>74403</v>
      </c>
      <c r="AV1007" s="375"/>
      <c r="AW1007" s="375"/>
      <c r="AX1007" s="375"/>
      <c r="AY1007" s="375"/>
      <c r="AZ1007" s="375"/>
      <c r="BA1007" s="375"/>
      <c r="BB1007" s="375"/>
      <c r="BC1007" s="375"/>
      <c r="BD1007" s="375"/>
      <c r="BE1007" s="375"/>
      <c r="BF1007" s="375">
        <v>7.1249999999999994E-2</v>
      </c>
      <c r="BG1007" s="375"/>
      <c r="BH1007" s="375"/>
      <c r="BI1007" s="373">
        <f t="shared" si="42"/>
        <v>7.1249999999999994E-2</v>
      </c>
      <c r="BT1007" s="355"/>
      <c r="BU1007" s="355"/>
      <c r="BV1007" s="355"/>
      <c r="BW1007" s="355"/>
    </row>
    <row r="1008" spans="1:75" x14ac:dyDescent="0.15">
      <c r="A1008" s="356"/>
      <c r="B1008" s="355"/>
      <c r="C1008" s="355"/>
      <c r="D1008" s="355"/>
      <c r="E1008" s="355"/>
      <c r="F1008" s="355"/>
      <c r="G1008" s="355"/>
      <c r="O1008" s="356"/>
      <c r="P1008" s="355"/>
      <c r="Q1008" s="355"/>
      <c r="R1008" s="355"/>
      <c r="S1008" s="355"/>
      <c r="T1008" s="355"/>
      <c r="U1008" s="355"/>
      <c r="V1008" s="355"/>
      <c r="W1008" s="355"/>
      <c r="AG1008" s="355"/>
      <c r="AH1008" s="355"/>
      <c r="AI1008" s="355"/>
      <c r="AJ1008" s="355"/>
      <c r="AK1008" s="355"/>
      <c r="AL1008" s="355"/>
      <c r="AM1008" s="355"/>
      <c r="AU1008" s="379">
        <v>74433</v>
      </c>
      <c r="AV1008" s="375"/>
      <c r="AW1008" s="375"/>
      <c r="AX1008" s="375"/>
      <c r="AY1008" s="375"/>
      <c r="AZ1008" s="375"/>
      <c r="BA1008" s="375"/>
      <c r="BB1008" s="375"/>
      <c r="BC1008" s="375"/>
      <c r="BD1008" s="375"/>
      <c r="BE1008" s="375"/>
      <c r="BF1008" s="375">
        <v>7.1249999999999994E-2</v>
      </c>
      <c r="BG1008" s="375"/>
      <c r="BH1008" s="375"/>
      <c r="BI1008" s="373">
        <f t="shared" si="42"/>
        <v>7.1249999999999994E-2</v>
      </c>
      <c r="BT1008" s="355"/>
      <c r="BU1008" s="355"/>
      <c r="BV1008" s="355"/>
      <c r="BW1008" s="355"/>
    </row>
    <row r="1009" spans="1:75" x14ac:dyDescent="0.15">
      <c r="A1009" s="356"/>
      <c r="B1009" s="355"/>
      <c r="C1009" s="355"/>
      <c r="D1009" s="355"/>
      <c r="E1009" s="355"/>
      <c r="F1009" s="355"/>
      <c r="G1009" s="355"/>
      <c r="O1009" s="356"/>
      <c r="P1009" s="355"/>
      <c r="Q1009" s="355"/>
      <c r="R1009" s="355"/>
      <c r="S1009" s="355"/>
      <c r="T1009" s="355"/>
      <c r="U1009" s="355"/>
      <c r="V1009" s="355"/>
      <c r="W1009" s="355"/>
      <c r="AG1009" s="355"/>
      <c r="AH1009" s="355"/>
      <c r="AI1009" s="355"/>
      <c r="AJ1009" s="355"/>
      <c r="AK1009" s="355"/>
      <c r="AL1009" s="355"/>
      <c r="AM1009" s="355"/>
      <c r="AU1009" s="379">
        <v>74464</v>
      </c>
      <c r="AV1009" s="375"/>
      <c r="AW1009" s="375"/>
      <c r="AX1009" s="375"/>
      <c r="AY1009" s="375"/>
      <c r="AZ1009" s="375"/>
      <c r="BA1009" s="375"/>
      <c r="BB1009" s="375"/>
      <c r="BC1009" s="375"/>
      <c r="BD1009" s="375"/>
      <c r="BE1009" s="375"/>
      <c r="BF1009" s="375">
        <v>7.1249999999999994E-2</v>
      </c>
      <c r="BG1009" s="375"/>
      <c r="BH1009" s="375"/>
      <c r="BI1009" s="373">
        <f t="shared" si="42"/>
        <v>7.1249999999999994E-2</v>
      </c>
      <c r="BT1009" s="355"/>
      <c r="BU1009" s="355"/>
      <c r="BV1009" s="355"/>
      <c r="BW1009" s="355"/>
    </row>
    <row r="1010" spans="1:75" x14ac:dyDescent="0.15">
      <c r="A1010" s="356"/>
      <c r="B1010" s="355"/>
      <c r="C1010" s="355"/>
      <c r="D1010" s="355"/>
      <c r="E1010" s="355"/>
      <c r="F1010" s="355"/>
      <c r="G1010" s="355"/>
      <c r="O1010" s="356"/>
      <c r="P1010" s="355"/>
      <c r="Q1010" s="355"/>
      <c r="R1010" s="355"/>
      <c r="S1010" s="355"/>
      <c r="T1010" s="355"/>
      <c r="U1010" s="355"/>
      <c r="V1010" s="355"/>
      <c r="W1010" s="355"/>
      <c r="AG1010" s="355"/>
      <c r="AH1010" s="355"/>
      <c r="AI1010" s="355"/>
      <c r="AJ1010" s="355"/>
      <c r="AK1010" s="355"/>
      <c r="AL1010" s="355"/>
      <c r="AM1010" s="355"/>
      <c r="AU1010" s="379">
        <v>74494</v>
      </c>
      <c r="AV1010" s="375"/>
      <c r="AW1010" s="375"/>
      <c r="AX1010" s="375"/>
      <c r="AY1010" s="375"/>
      <c r="AZ1010" s="375"/>
      <c r="BA1010" s="375"/>
      <c r="BB1010" s="375"/>
      <c r="BC1010" s="375"/>
      <c r="BD1010" s="375"/>
      <c r="BE1010" s="375"/>
      <c r="BF1010" s="375">
        <v>7.1249999999999994E-2</v>
      </c>
      <c r="BG1010" s="375"/>
      <c r="BH1010" s="375"/>
      <c r="BI1010" s="373">
        <f t="shared" si="42"/>
        <v>7.1249999999999994E-2</v>
      </c>
      <c r="BT1010" s="355"/>
      <c r="BU1010" s="355"/>
      <c r="BV1010" s="355"/>
      <c r="BW1010" s="355"/>
    </row>
    <row r="1011" spans="1:75" x14ac:dyDescent="0.15">
      <c r="A1011" s="356"/>
      <c r="B1011" s="355"/>
      <c r="C1011" s="355"/>
      <c r="D1011" s="355"/>
      <c r="E1011" s="355"/>
      <c r="F1011" s="355"/>
      <c r="G1011" s="355"/>
      <c r="O1011" s="356"/>
      <c r="P1011" s="355"/>
      <c r="Q1011" s="355"/>
      <c r="R1011" s="355"/>
      <c r="S1011" s="355"/>
      <c r="T1011" s="355"/>
      <c r="U1011" s="355"/>
      <c r="V1011" s="355"/>
      <c r="W1011" s="355"/>
      <c r="AG1011" s="355"/>
      <c r="AH1011" s="355"/>
      <c r="AI1011" s="355"/>
      <c r="AJ1011" s="355"/>
      <c r="AK1011" s="355"/>
      <c r="AL1011" s="355"/>
      <c r="AM1011" s="355"/>
      <c r="AU1011" s="379">
        <v>74525</v>
      </c>
      <c r="AV1011" s="375"/>
      <c r="AW1011" s="375"/>
      <c r="AX1011" s="375"/>
      <c r="AY1011" s="375"/>
      <c r="AZ1011" s="375"/>
      <c r="BA1011" s="375"/>
      <c r="BB1011" s="375"/>
      <c r="BC1011" s="375"/>
      <c r="BD1011" s="375"/>
      <c r="BE1011" s="375"/>
      <c r="BF1011" s="375">
        <v>7.1249999999999994E-2</v>
      </c>
      <c r="BG1011" s="375"/>
      <c r="BH1011" s="375"/>
      <c r="BI1011" s="373">
        <f t="shared" si="42"/>
        <v>7.1249999999999994E-2</v>
      </c>
      <c r="BT1011" s="355"/>
      <c r="BU1011" s="355"/>
      <c r="BV1011" s="355"/>
      <c r="BW1011" s="355"/>
    </row>
    <row r="1012" spans="1:75" x14ac:dyDescent="0.15">
      <c r="A1012" s="356"/>
      <c r="B1012" s="355"/>
      <c r="C1012" s="355"/>
      <c r="D1012" s="355"/>
      <c r="E1012" s="355"/>
      <c r="F1012" s="355"/>
      <c r="G1012" s="355"/>
      <c r="O1012" s="356"/>
      <c r="P1012" s="355"/>
      <c r="Q1012" s="355"/>
      <c r="R1012" s="355"/>
      <c r="S1012" s="355"/>
      <c r="T1012" s="355"/>
      <c r="U1012" s="355"/>
      <c r="V1012" s="355"/>
      <c r="W1012" s="355"/>
      <c r="AG1012" s="355"/>
      <c r="AH1012" s="355"/>
      <c r="AI1012" s="355"/>
      <c r="AJ1012" s="355"/>
      <c r="AK1012" s="355"/>
      <c r="AL1012" s="355"/>
      <c r="AM1012" s="355"/>
      <c r="AU1012" s="379">
        <v>74556</v>
      </c>
      <c r="AV1012" s="375"/>
      <c r="AW1012" s="375"/>
      <c r="AX1012" s="375"/>
      <c r="AY1012" s="375"/>
      <c r="AZ1012" s="375"/>
      <c r="BA1012" s="375"/>
      <c r="BB1012" s="375"/>
      <c r="BC1012" s="375"/>
      <c r="BD1012" s="375"/>
      <c r="BE1012" s="375"/>
      <c r="BF1012" s="375">
        <v>7.1249999999999994E-2</v>
      </c>
      <c r="BG1012" s="375"/>
      <c r="BH1012" s="375"/>
      <c r="BI1012" s="373">
        <f t="shared" si="42"/>
        <v>7.1249999999999994E-2</v>
      </c>
      <c r="BT1012" s="355"/>
      <c r="BU1012" s="355"/>
      <c r="BV1012" s="355"/>
      <c r="BW1012" s="355"/>
    </row>
    <row r="1013" spans="1:75" x14ac:dyDescent="0.15">
      <c r="A1013" s="356"/>
      <c r="B1013" s="355"/>
      <c r="C1013" s="355"/>
      <c r="D1013" s="355"/>
      <c r="E1013" s="355"/>
      <c r="F1013" s="355"/>
      <c r="G1013" s="355"/>
      <c r="O1013" s="356"/>
      <c r="P1013" s="355"/>
      <c r="Q1013" s="355"/>
      <c r="R1013" s="355"/>
      <c r="S1013" s="355"/>
      <c r="T1013" s="355"/>
      <c r="U1013" s="355"/>
      <c r="V1013" s="355"/>
      <c r="W1013" s="355"/>
      <c r="AG1013" s="355"/>
      <c r="AH1013" s="355"/>
      <c r="AI1013" s="355"/>
      <c r="AJ1013" s="355"/>
      <c r="AK1013" s="355"/>
      <c r="AL1013" s="355"/>
      <c r="AM1013" s="355"/>
      <c r="AU1013" s="379">
        <v>74585</v>
      </c>
      <c r="AV1013" s="375"/>
      <c r="AW1013" s="375"/>
      <c r="AX1013" s="375"/>
      <c r="AY1013" s="375"/>
      <c r="AZ1013" s="375"/>
      <c r="BA1013" s="375"/>
      <c r="BB1013" s="375"/>
      <c r="BC1013" s="375"/>
      <c r="BD1013" s="375"/>
      <c r="BE1013" s="375"/>
      <c r="BF1013" s="375">
        <v>7.1249999999999994E-2</v>
      </c>
      <c r="BG1013" s="375"/>
      <c r="BH1013" s="375"/>
      <c r="BI1013" s="373">
        <f t="shared" si="42"/>
        <v>7.1249999999999994E-2</v>
      </c>
      <c r="BT1013" s="355"/>
      <c r="BU1013" s="355"/>
      <c r="BV1013" s="355"/>
      <c r="BW1013" s="355"/>
    </row>
    <row r="1014" spans="1:75" x14ac:dyDescent="0.15">
      <c r="A1014" s="356"/>
      <c r="B1014" s="355"/>
      <c r="C1014" s="355"/>
      <c r="D1014" s="355"/>
      <c r="E1014" s="355"/>
      <c r="F1014" s="355"/>
      <c r="G1014" s="355"/>
      <c r="O1014" s="356"/>
      <c r="P1014" s="355"/>
      <c r="Q1014" s="355"/>
      <c r="R1014" s="355"/>
      <c r="S1014" s="355"/>
      <c r="T1014" s="355"/>
      <c r="U1014" s="355"/>
      <c r="V1014" s="355"/>
      <c r="W1014" s="355"/>
      <c r="AG1014" s="355"/>
      <c r="AH1014" s="355"/>
      <c r="AI1014" s="355"/>
      <c r="AJ1014" s="355"/>
      <c r="AK1014" s="355"/>
      <c r="AL1014" s="355"/>
      <c r="AM1014" s="355"/>
      <c r="AU1014" s="379">
        <v>74616</v>
      </c>
      <c r="AV1014" s="375"/>
      <c r="AW1014" s="375"/>
      <c r="AX1014" s="375"/>
      <c r="AY1014" s="375"/>
      <c r="AZ1014" s="375"/>
      <c r="BA1014" s="375"/>
      <c r="BB1014" s="375"/>
      <c r="BC1014" s="375"/>
      <c r="BD1014" s="375"/>
      <c r="BE1014" s="375"/>
      <c r="BF1014" s="375">
        <v>7.1249999999999994E-2</v>
      </c>
      <c r="BG1014" s="375"/>
      <c r="BH1014" s="375"/>
      <c r="BI1014" s="373">
        <f t="shared" si="42"/>
        <v>7.1249999999999994E-2</v>
      </c>
      <c r="BT1014" s="355"/>
      <c r="BU1014" s="355"/>
      <c r="BV1014" s="355"/>
      <c r="BW1014" s="355"/>
    </row>
    <row r="1015" spans="1:75" x14ac:dyDescent="0.15">
      <c r="A1015" s="356"/>
      <c r="B1015" s="355"/>
      <c r="C1015" s="355"/>
      <c r="D1015" s="355"/>
      <c r="E1015" s="355"/>
      <c r="F1015" s="355"/>
      <c r="G1015" s="355"/>
      <c r="O1015" s="356"/>
      <c r="P1015" s="355"/>
      <c r="Q1015" s="355"/>
      <c r="R1015" s="355"/>
      <c r="S1015" s="355"/>
      <c r="T1015" s="355"/>
      <c r="U1015" s="355"/>
      <c r="V1015" s="355"/>
      <c r="W1015" s="355"/>
      <c r="AG1015" s="355"/>
      <c r="AH1015" s="355"/>
      <c r="AI1015" s="355"/>
      <c r="AJ1015" s="355"/>
      <c r="AK1015" s="355"/>
      <c r="AL1015" s="355"/>
      <c r="AM1015" s="355"/>
      <c r="AU1015" s="379">
        <v>74646</v>
      </c>
      <c r="AV1015" s="375"/>
      <c r="AW1015" s="375"/>
      <c r="AX1015" s="375"/>
      <c r="AY1015" s="375"/>
      <c r="AZ1015" s="375"/>
      <c r="BA1015" s="375"/>
      <c r="BB1015" s="375"/>
      <c r="BC1015" s="375"/>
      <c r="BD1015" s="375"/>
      <c r="BE1015" s="375"/>
      <c r="BF1015" s="375">
        <v>7.1249999999999994E-2</v>
      </c>
      <c r="BG1015" s="375"/>
      <c r="BH1015" s="375"/>
      <c r="BI1015" s="373">
        <f t="shared" si="42"/>
        <v>7.1249999999999994E-2</v>
      </c>
      <c r="BT1015" s="355"/>
      <c r="BU1015" s="355"/>
      <c r="BV1015" s="355"/>
      <c r="BW1015" s="355"/>
    </row>
    <row r="1016" spans="1:75" x14ac:dyDescent="0.15">
      <c r="A1016" s="356"/>
      <c r="B1016" s="355"/>
      <c r="C1016" s="355"/>
      <c r="D1016" s="355"/>
      <c r="E1016" s="355"/>
      <c r="F1016" s="355"/>
      <c r="G1016" s="355"/>
      <c r="O1016" s="356"/>
      <c r="P1016" s="355"/>
      <c r="Q1016" s="355"/>
      <c r="R1016" s="355"/>
      <c r="S1016" s="355"/>
      <c r="T1016" s="355"/>
      <c r="U1016" s="355"/>
      <c r="V1016" s="355"/>
      <c r="W1016" s="355"/>
      <c r="AG1016" s="355"/>
      <c r="AH1016" s="355"/>
      <c r="AI1016" s="355"/>
      <c r="AJ1016" s="355"/>
      <c r="AK1016" s="355"/>
      <c r="AL1016" s="355"/>
      <c r="AM1016" s="355"/>
      <c r="AU1016" s="379">
        <v>74677</v>
      </c>
      <c r="AV1016" s="375"/>
      <c r="AW1016" s="375"/>
      <c r="AX1016" s="375"/>
      <c r="AY1016" s="375"/>
      <c r="AZ1016" s="375"/>
      <c r="BA1016" s="375"/>
      <c r="BB1016" s="375"/>
      <c r="BC1016" s="375"/>
      <c r="BD1016" s="375"/>
      <c r="BE1016" s="375"/>
      <c r="BF1016" s="375">
        <v>7.1249999999999994E-2</v>
      </c>
      <c r="BG1016" s="375"/>
      <c r="BH1016" s="375"/>
      <c r="BI1016" s="373">
        <f t="shared" si="42"/>
        <v>7.1249999999999994E-2</v>
      </c>
      <c r="BT1016" s="355"/>
      <c r="BU1016" s="355"/>
      <c r="BV1016" s="355"/>
      <c r="BW1016" s="355"/>
    </row>
    <row r="1017" spans="1:75" x14ac:dyDescent="0.15">
      <c r="A1017" s="356"/>
      <c r="B1017" s="355"/>
      <c r="C1017" s="355"/>
      <c r="D1017" s="355"/>
      <c r="E1017" s="355"/>
      <c r="F1017" s="355"/>
      <c r="G1017" s="355"/>
      <c r="O1017" s="356"/>
      <c r="P1017" s="355"/>
      <c r="Q1017" s="355"/>
      <c r="R1017" s="355"/>
      <c r="S1017" s="355"/>
      <c r="T1017" s="355"/>
      <c r="U1017" s="355"/>
      <c r="V1017" s="355"/>
      <c r="W1017" s="355"/>
      <c r="AG1017" s="355"/>
      <c r="AH1017" s="355"/>
      <c r="AI1017" s="355"/>
      <c r="AJ1017" s="355"/>
      <c r="AK1017" s="355"/>
      <c r="AL1017" s="355"/>
      <c r="AM1017" s="355"/>
      <c r="AU1017" s="379">
        <v>74707</v>
      </c>
      <c r="AV1017" s="375"/>
      <c r="AW1017" s="375"/>
      <c r="AX1017" s="375"/>
      <c r="AY1017" s="375"/>
      <c r="AZ1017" s="375"/>
      <c r="BA1017" s="375"/>
      <c r="BB1017" s="375"/>
      <c r="BC1017" s="375"/>
      <c r="BD1017" s="375"/>
      <c r="BE1017" s="375"/>
      <c r="BF1017" s="375">
        <v>7.1249999999999994E-2</v>
      </c>
      <c r="BG1017" s="375"/>
      <c r="BH1017" s="375"/>
      <c r="BI1017" s="373">
        <f t="shared" si="42"/>
        <v>7.1249999999999994E-2</v>
      </c>
      <c r="BT1017" s="355"/>
      <c r="BU1017" s="355"/>
      <c r="BV1017" s="355"/>
      <c r="BW1017" s="355"/>
    </row>
    <row r="1018" spans="1:75" x14ac:dyDescent="0.15">
      <c r="A1018" s="356"/>
      <c r="B1018" s="355"/>
      <c r="C1018" s="355"/>
      <c r="D1018" s="355"/>
      <c r="E1018" s="355"/>
      <c r="F1018" s="355"/>
      <c r="G1018" s="355"/>
      <c r="O1018" s="356"/>
      <c r="P1018" s="355"/>
      <c r="Q1018" s="355"/>
      <c r="R1018" s="355"/>
      <c r="S1018" s="355"/>
      <c r="T1018" s="355"/>
      <c r="U1018" s="355"/>
      <c r="V1018" s="355"/>
      <c r="W1018" s="355"/>
      <c r="AG1018" s="355"/>
      <c r="AH1018" s="355"/>
      <c r="AI1018" s="355"/>
      <c r="AJ1018" s="355"/>
      <c r="AK1018" s="355"/>
      <c r="AL1018" s="355"/>
      <c r="AM1018" s="355"/>
      <c r="AU1018" s="379">
        <v>74738</v>
      </c>
      <c r="AV1018" s="375"/>
      <c r="AW1018" s="375"/>
      <c r="AX1018" s="375"/>
      <c r="AY1018" s="375"/>
      <c r="AZ1018" s="375"/>
      <c r="BA1018" s="375"/>
      <c r="BB1018" s="375"/>
      <c r="BC1018" s="375"/>
      <c r="BD1018" s="375"/>
      <c r="BE1018" s="375"/>
      <c r="BF1018" s="375">
        <v>7.1249999999999994E-2</v>
      </c>
      <c r="BG1018" s="375"/>
      <c r="BH1018" s="375"/>
      <c r="BI1018" s="373">
        <f t="shared" si="42"/>
        <v>7.1249999999999994E-2</v>
      </c>
      <c r="BT1018" s="355"/>
      <c r="BU1018" s="355"/>
      <c r="BV1018" s="355"/>
      <c r="BW1018" s="355"/>
    </row>
    <row r="1019" spans="1:75" x14ac:dyDescent="0.15">
      <c r="A1019" s="356"/>
      <c r="B1019" s="355"/>
      <c r="C1019" s="355"/>
      <c r="D1019" s="355"/>
      <c r="E1019" s="355"/>
      <c r="F1019" s="355"/>
      <c r="G1019" s="355"/>
      <c r="O1019" s="356"/>
      <c r="P1019" s="355"/>
      <c r="Q1019" s="355"/>
      <c r="R1019" s="355"/>
      <c r="S1019" s="355"/>
      <c r="T1019" s="355"/>
      <c r="U1019" s="355"/>
      <c r="V1019" s="355"/>
      <c r="W1019" s="355"/>
      <c r="AG1019" s="355"/>
      <c r="AH1019" s="355"/>
      <c r="AI1019" s="355"/>
      <c r="AJ1019" s="355"/>
      <c r="AK1019" s="355"/>
      <c r="AL1019" s="355"/>
      <c r="AM1019" s="355"/>
      <c r="AU1019" s="379">
        <v>74769</v>
      </c>
      <c r="AV1019" s="375"/>
      <c r="AW1019" s="375"/>
      <c r="AX1019" s="375"/>
      <c r="AY1019" s="375"/>
      <c r="AZ1019" s="375"/>
      <c r="BA1019" s="375"/>
      <c r="BB1019" s="375"/>
      <c r="BC1019" s="375"/>
      <c r="BD1019" s="375"/>
      <c r="BE1019" s="375"/>
      <c r="BF1019" s="375">
        <v>7.1249999999999994E-2</v>
      </c>
      <c r="BG1019" s="375"/>
      <c r="BH1019" s="375"/>
      <c r="BI1019" s="373">
        <f t="shared" si="42"/>
        <v>7.1249999999999994E-2</v>
      </c>
      <c r="BT1019" s="355"/>
      <c r="BU1019" s="355"/>
      <c r="BV1019" s="355"/>
      <c r="BW1019" s="355"/>
    </row>
    <row r="1020" spans="1:75" x14ac:dyDescent="0.15">
      <c r="A1020" s="356"/>
      <c r="B1020" s="355"/>
      <c r="C1020" s="355"/>
      <c r="D1020" s="355"/>
      <c r="E1020" s="355"/>
      <c r="F1020" s="355"/>
      <c r="G1020" s="355"/>
      <c r="O1020" s="356"/>
      <c r="P1020" s="355"/>
      <c r="Q1020" s="355"/>
      <c r="R1020" s="355"/>
      <c r="S1020" s="355"/>
      <c r="T1020" s="355"/>
      <c r="U1020" s="355"/>
      <c r="V1020" s="355"/>
      <c r="W1020" s="355"/>
      <c r="AG1020" s="355"/>
      <c r="AH1020" s="355"/>
      <c r="AI1020" s="355"/>
      <c r="AJ1020" s="355"/>
      <c r="AK1020" s="355"/>
      <c r="AL1020" s="355"/>
      <c r="AM1020" s="355"/>
      <c r="AU1020" s="379">
        <v>74799</v>
      </c>
      <c r="AV1020" s="375"/>
      <c r="AW1020" s="375"/>
      <c r="AX1020" s="375"/>
      <c r="AY1020" s="375"/>
      <c r="AZ1020" s="375"/>
      <c r="BA1020" s="375"/>
      <c r="BB1020" s="375"/>
      <c r="BC1020" s="375"/>
      <c r="BD1020" s="375"/>
      <c r="BE1020" s="375"/>
      <c r="BF1020" s="375">
        <v>7.1249999999999994E-2</v>
      </c>
      <c r="BG1020" s="375"/>
      <c r="BH1020" s="375"/>
      <c r="BI1020" s="373">
        <f t="shared" si="42"/>
        <v>7.1249999999999994E-2</v>
      </c>
      <c r="BT1020" s="355"/>
      <c r="BU1020" s="355"/>
      <c r="BV1020" s="355"/>
      <c r="BW1020" s="355"/>
    </row>
    <row r="1021" spans="1:75" x14ac:dyDescent="0.15">
      <c r="A1021" s="356"/>
      <c r="B1021" s="355"/>
      <c r="C1021" s="355"/>
      <c r="D1021" s="355"/>
      <c r="E1021" s="355"/>
      <c r="F1021" s="355"/>
      <c r="G1021" s="355"/>
      <c r="O1021" s="356"/>
      <c r="P1021" s="355"/>
      <c r="Q1021" s="355"/>
      <c r="R1021" s="355"/>
      <c r="S1021" s="355"/>
      <c r="T1021" s="355"/>
      <c r="U1021" s="355"/>
      <c r="V1021" s="355"/>
      <c r="W1021" s="355"/>
      <c r="AG1021" s="355"/>
      <c r="AH1021" s="355"/>
      <c r="AI1021" s="355"/>
      <c r="AJ1021" s="355"/>
      <c r="AK1021" s="355"/>
      <c r="AL1021" s="355"/>
      <c r="AM1021" s="355"/>
      <c r="AU1021" s="379">
        <v>74830</v>
      </c>
      <c r="AV1021" s="375"/>
      <c r="AW1021" s="375"/>
      <c r="AX1021" s="375"/>
      <c r="AY1021" s="375"/>
      <c r="AZ1021" s="375"/>
      <c r="BA1021" s="375"/>
      <c r="BB1021" s="375"/>
      <c r="BC1021" s="375"/>
      <c r="BD1021" s="375"/>
      <c r="BE1021" s="375"/>
      <c r="BF1021" s="375">
        <v>7.1249999999999994E-2</v>
      </c>
      <c r="BG1021" s="375"/>
      <c r="BH1021" s="375"/>
      <c r="BI1021" s="373">
        <f t="shared" si="42"/>
        <v>7.1249999999999994E-2</v>
      </c>
      <c r="BT1021" s="355"/>
      <c r="BU1021" s="355"/>
      <c r="BV1021" s="355"/>
      <c r="BW1021" s="355"/>
    </row>
    <row r="1022" spans="1:75" x14ac:dyDescent="0.15">
      <c r="A1022" s="356"/>
      <c r="B1022" s="355"/>
      <c r="C1022" s="355"/>
      <c r="D1022" s="355"/>
      <c r="E1022" s="355"/>
      <c r="F1022" s="355"/>
      <c r="G1022" s="355"/>
      <c r="O1022" s="356"/>
      <c r="P1022" s="355"/>
      <c r="Q1022" s="355"/>
      <c r="R1022" s="355"/>
      <c r="S1022" s="355"/>
      <c r="T1022" s="355"/>
      <c r="U1022" s="355"/>
      <c r="V1022" s="355"/>
      <c r="W1022" s="355"/>
      <c r="AG1022" s="355"/>
      <c r="AH1022" s="355"/>
      <c r="AI1022" s="355"/>
      <c r="AJ1022" s="355"/>
      <c r="AK1022" s="355"/>
      <c r="AL1022" s="355"/>
      <c r="AM1022" s="355"/>
      <c r="AU1022" s="379">
        <v>74860</v>
      </c>
      <c r="AV1022" s="375"/>
      <c r="AW1022" s="375"/>
      <c r="AX1022" s="375"/>
      <c r="AY1022" s="375"/>
      <c r="AZ1022" s="375"/>
      <c r="BA1022" s="375"/>
      <c r="BB1022" s="375"/>
      <c r="BC1022" s="375"/>
      <c r="BD1022" s="375"/>
      <c r="BE1022" s="375"/>
      <c r="BF1022" s="375">
        <v>7.1249999999999994E-2</v>
      </c>
      <c r="BG1022" s="375"/>
      <c r="BH1022" s="375"/>
      <c r="BI1022" s="373">
        <f t="shared" si="42"/>
        <v>7.1249999999999994E-2</v>
      </c>
      <c r="BT1022" s="355"/>
      <c r="BU1022" s="355"/>
      <c r="BV1022" s="355"/>
      <c r="BW1022" s="355"/>
    </row>
    <row r="1023" spans="1:75" x14ac:dyDescent="0.15">
      <c r="A1023" s="356"/>
      <c r="B1023" s="355"/>
      <c r="C1023" s="355"/>
      <c r="D1023" s="355"/>
      <c r="E1023" s="355"/>
      <c r="F1023" s="355"/>
      <c r="G1023" s="355"/>
      <c r="O1023" s="356"/>
      <c r="P1023" s="355"/>
      <c r="Q1023" s="355"/>
      <c r="R1023" s="355"/>
      <c r="S1023" s="355"/>
      <c r="T1023" s="355"/>
      <c r="U1023" s="355"/>
      <c r="V1023" s="355"/>
      <c r="W1023" s="355"/>
      <c r="AG1023" s="355"/>
      <c r="AH1023" s="355"/>
      <c r="AI1023" s="355"/>
      <c r="AJ1023" s="355"/>
      <c r="AK1023" s="355"/>
      <c r="AL1023" s="355"/>
      <c r="AM1023" s="355"/>
      <c r="AU1023" s="379">
        <v>74891</v>
      </c>
      <c r="AV1023" s="375"/>
      <c r="AW1023" s="375"/>
      <c r="AX1023" s="375"/>
      <c r="AY1023" s="375"/>
      <c r="AZ1023" s="375"/>
      <c r="BA1023" s="375"/>
      <c r="BB1023" s="375"/>
      <c r="BC1023" s="375"/>
      <c r="BD1023" s="375"/>
      <c r="BE1023" s="375"/>
      <c r="BF1023" s="375">
        <v>7.1249999999999994E-2</v>
      </c>
      <c r="BG1023" s="375"/>
      <c r="BH1023" s="375"/>
      <c r="BI1023" s="373">
        <f t="shared" si="42"/>
        <v>7.1249999999999994E-2</v>
      </c>
      <c r="BT1023" s="355"/>
      <c r="BU1023" s="355"/>
      <c r="BV1023" s="355"/>
      <c r="BW1023" s="355"/>
    </row>
    <row r="1024" spans="1:75" x14ac:dyDescent="0.15">
      <c r="A1024" s="356"/>
      <c r="B1024" s="355"/>
      <c r="C1024" s="355"/>
      <c r="D1024" s="355"/>
      <c r="E1024" s="355"/>
      <c r="F1024" s="355"/>
      <c r="G1024" s="355"/>
      <c r="O1024" s="356"/>
      <c r="P1024" s="355"/>
      <c r="Q1024" s="355"/>
      <c r="R1024" s="355"/>
      <c r="S1024" s="355"/>
      <c r="T1024" s="355"/>
      <c r="U1024" s="355"/>
      <c r="V1024" s="355"/>
      <c r="W1024" s="355"/>
      <c r="AG1024" s="355"/>
      <c r="AH1024" s="355"/>
      <c r="AI1024" s="355"/>
      <c r="AJ1024" s="355"/>
      <c r="AK1024" s="355"/>
      <c r="AL1024" s="355"/>
      <c r="AM1024" s="355"/>
      <c r="AU1024" s="379">
        <v>74922</v>
      </c>
      <c r="AV1024" s="375"/>
      <c r="AW1024" s="375"/>
      <c r="AX1024" s="375"/>
      <c r="AY1024" s="375"/>
      <c r="AZ1024" s="375"/>
      <c r="BA1024" s="375"/>
      <c r="BB1024" s="375"/>
      <c r="BC1024" s="375"/>
      <c r="BD1024" s="375"/>
      <c r="BE1024" s="375"/>
      <c r="BF1024" s="375">
        <v>7.1249999999999994E-2</v>
      </c>
      <c r="BG1024" s="375"/>
      <c r="BH1024" s="375"/>
      <c r="BI1024" s="373">
        <f t="shared" si="42"/>
        <v>7.1249999999999994E-2</v>
      </c>
      <c r="BT1024" s="355"/>
      <c r="BU1024" s="355"/>
      <c r="BV1024" s="355"/>
      <c r="BW1024" s="355"/>
    </row>
    <row r="1025" spans="1:75" x14ac:dyDescent="0.15">
      <c r="A1025" s="356"/>
      <c r="B1025" s="355"/>
      <c r="C1025" s="355"/>
      <c r="D1025" s="355"/>
      <c r="E1025" s="355"/>
      <c r="F1025" s="355"/>
      <c r="G1025" s="355"/>
      <c r="O1025" s="356"/>
      <c r="P1025" s="355"/>
      <c r="Q1025" s="355"/>
      <c r="R1025" s="355"/>
      <c r="S1025" s="355"/>
      <c r="T1025" s="355"/>
      <c r="U1025" s="355"/>
      <c r="V1025" s="355"/>
      <c r="W1025" s="355"/>
      <c r="AG1025" s="355"/>
      <c r="AH1025" s="355"/>
      <c r="AI1025" s="355"/>
      <c r="AJ1025" s="355"/>
      <c r="AK1025" s="355"/>
      <c r="AL1025" s="355"/>
      <c r="AM1025" s="355"/>
      <c r="AU1025" s="379">
        <v>74950</v>
      </c>
      <c r="AV1025" s="375"/>
      <c r="AW1025" s="375"/>
      <c r="AX1025" s="375"/>
      <c r="AY1025" s="375"/>
      <c r="AZ1025" s="375"/>
      <c r="BA1025" s="375"/>
      <c r="BB1025" s="375"/>
      <c r="BC1025" s="375"/>
      <c r="BD1025" s="375"/>
      <c r="BE1025" s="375"/>
      <c r="BF1025" s="375">
        <v>7.1249999999999994E-2</v>
      </c>
      <c r="BG1025" s="375"/>
      <c r="BH1025" s="375"/>
      <c r="BI1025" s="373">
        <f t="shared" si="42"/>
        <v>7.1249999999999994E-2</v>
      </c>
      <c r="BT1025" s="355"/>
      <c r="BU1025" s="355"/>
      <c r="BV1025" s="355"/>
      <c r="BW1025" s="355"/>
    </row>
    <row r="1026" spans="1:75" x14ac:dyDescent="0.15">
      <c r="A1026" s="356"/>
      <c r="B1026" s="355"/>
      <c r="C1026" s="355"/>
      <c r="D1026" s="355"/>
      <c r="E1026" s="355"/>
      <c r="F1026" s="355"/>
      <c r="G1026" s="355"/>
      <c r="O1026" s="356"/>
      <c r="P1026" s="355"/>
      <c r="Q1026" s="355"/>
      <c r="R1026" s="355"/>
      <c r="S1026" s="355"/>
      <c r="T1026" s="355"/>
      <c r="U1026" s="355"/>
      <c r="V1026" s="355"/>
      <c r="W1026" s="355"/>
      <c r="AG1026" s="355"/>
      <c r="AH1026" s="355"/>
      <c r="AI1026" s="355"/>
      <c r="AJ1026" s="355"/>
      <c r="AK1026" s="355"/>
      <c r="AL1026" s="355"/>
      <c r="AM1026" s="355"/>
      <c r="AU1026" s="379">
        <v>74981</v>
      </c>
      <c r="AV1026" s="375"/>
      <c r="AW1026" s="375"/>
      <c r="AX1026" s="375"/>
      <c r="AY1026" s="375"/>
      <c r="AZ1026" s="375"/>
      <c r="BA1026" s="375"/>
      <c r="BB1026" s="375"/>
      <c r="BC1026" s="375"/>
      <c r="BD1026" s="375"/>
      <c r="BE1026" s="375"/>
      <c r="BF1026" s="375">
        <v>7.1249999999999994E-2</v>
      </c>
      <c r="BG1026" s="375"/>
      <c r="BH1026" s="375"/>
      <c r="BI1026" s="373">
        <f t="shared" si="42"/>
        <v>7.1249999999999994E-2</v>
      </c>
      <c r="BT1026" s="355"/>
      <c r="BU1026" s="355"/>
      <c r="BV1026" s="355"/>
      <c r="BW1026" s="355"/>
    </row>
    <row r="1027" spans="1:75" x14ac:dyDescent="0.15">
      <c r="A1027" s="356"/>
      <c r="B1027" s="355"/>
      <c r="C1027" s="355"/>
      <c r="D1027" s="355"/>
      <c r="E1027" s="355"/>
      <c r="F1027" s="355"/>
      <c r="G1027" s="355"/>
      <c r="O1027" s="356"/>
      <c r="P1027" s="355"/>
      <c r="Q1027" s="355"/>
      <c r="R1027" s="355"/>
      <c r="S1027" s="355"/>
      <c r="T1027" s="355"/>
      <c r="U1027" s="355"/>
      <c r="V1027" s="355"/>
      <c r="W1027" s="355"/>
      <c r="AG1027" s="355"/>
      <c r="AH1027" s="355"/>
      <c r="AI1027" s="355"/>
      <c r="AJ1027" s="355"/>
      <c r="AK1027" s="355"/>
      <c r="AL1027" s="355"/>
      <c r="AM1027" s="355"/>
      <c r="AU1027" s="379">
        <v>75011</v>
      </c>
      <c r="AV1027" s="375"/>
      <c r="AW1027" s="375"/>
      <c r="AX1027" s="375"/>
      <c r="AY1027" s="375"/>
      <c r="AZ1027" s="375"/>
      <c r="BA1027" s="375"/>
      <c r="BB1027" s="375"/>
      <c r="BC1027" s="375"/>
      <c r="BD1027" s="375"/>
      <c r="BE1027" s="375"/>
      <c r="BF1027" s="375">
        <v>7.1249999999999994E-2</v>
      </c>
      <c r="BG1027" s="375"/>
      <c r="BH1027" s="375"/>
      <c r="BI1027" s="373">
        <f t="shared" si="42"/>
        <v>7.1249999999999994E-2</v>
      </c>
      <c r="BT1027" s="355"/>
      <c r="BU1027" s="355"/>
      <c r="BV1027" s="355"/>
      <c r="BW1027" s="355"/>
    </row>
    <row r="1028" spans="1:75" x14ac:dyDescent="0.15">
      <c r="A1028" s="356"/>
      <c r="B1028" s="355"/>
      <c r="C1028" s="355"/>
      <c r="D1028" s="355"/>
      <c r="E1028" s="355"/>
      <c r="F1028" s="355"/>
      <c r="G1028" s="355"/>
      <c r="O1028" s="356"/>
      <c r="P1028" s="355"/>
      <c r="Q1028" s="355"/>
      <c r="R1028" s="355"/>
      <c r="S1028" s="355"/>
      <c r="T1028" s="355"/>
      <c r="U1028" s="355"/>
      <c r="V1028" s="355"/>
      <c r="W1028" s="355"/>
      <c r="AG1028" s="355"/>
      <c r="AH1028" s="355"/>
      <c r="AI1028" s="355"/>
      <c r="AJ1028" s="355"/>
      <c r="AK1028" s="355"/>
      <c r="AL1028" s="355"/>
      <c r="AM1028" s="355"/>
      <c r="AU1028" s="379">
        <v>75042</v>
      </c>
      <c r="AV1028" s="375"/>
      <c r="AW1028" s="375"/>
      <c r="AX1028" s="375"/>
      <c r="AY1028" s="375"/>
      <c r="AZ1028" s="375"/>
      <c r="BA1028" s="375"/>
      <c r="BB1028" s="375"/>
      <c r="BC1028" s="375"/>
      <c r="BD1028" s="375"/>
      <c r="BE1028" s="375"/>
      <c r="BF1028" s="375">
        <v>7.1249999999999994E-2</v>
      </c>
      <c r="BG1028" s="375"/>
      <c r="BH1028" s="375"/>
      <c r="BI1028" s="373">
        <f t="shared" si="42"/>
        <v>7.1249999999999994E-2</v>
      </c>
      <c r="BT1028" s="355"/>
      <c r="BU1028" s="355"/>
      <c r="BV1028" s="355"/>
      <c r="BW1028" s="355"/>
    </row>
    <row r="1029" spans="1:75" x14ac:dyDescent="0.15">
      <c r="A1029" s="356"/>
      <c r="B1029" s="355"/>
      <c r="C1029" s="355"/>
      <c r="D1029" s="355"/>
      <c r="E1029" s="355"/>
      <c r="F1029" s="355"/>
      <c r="G1029" s="355"/>
      <c r="O1029" s="356"/>
      <c r="P1029" s="355"/>
      <c r="Q1029" s="355"/>
      <c r="R1029" s="355"/>
      <c r="S1029" s="355"/>
      <c r="T1029" s="355"/>
      <c r="U1029" s="355"/>
      <c r="V1029" s="355"/>
      <c r="W1029" s="355"/>
      <c r="AG1029" s="355"/>
      <c r="AH1029" s="355"/>
      <c r="AI1029" s="355"/>
      <c r="AJ1029" s="355"/>
      <c r="AK1029" s="355"/>
      <c r="AL1029" s="355"/>
      <c r="AM1029" s="355"/>
      <c r="AU1029" s="379">
        <v>75072</v>
      </c>
      <c r="AV1029" s="375"/>
      <c r="AW1029" s="375"/>
      <c r="AX1029" s="375"/>
      <c r="AY1029" s="375"/>
      <c r="AZ1029" s="375"/>
      <c r="BA1029" s="375"/>
      <c r="BB1029" s="375"/>
      <c r="BC1029" s="375"/>
      <c r="BD1029" s="375"/>
      <c r="BE1029" s="375"/>
      <c r="BF1029" s="375">
        <v>7.1249999999999994E-2</v>
      </c>
      <c r="BG1029" s="375"/>
      <c r="BH1029" s="375"/>
      <c r="BI1029" s="373">
        <f t="shared" si="42"/>
        <v>7.1249999999999994E-2</v>
      </c>
      <c r="BT1029" s="355"/>
      <c r="BU1029" s="355"/>
      <c r="BV1029" s="355"/>
      <c r="BW1029" s="355"/>
    </row>
    <row r="1030" spans="1:75" x14ac:dyDescent="0.15">
      <c r="A1030" s="356"/>
      <c r="B1030" s="355"/>
      <c r="C1030" s="355"/>
      <c r="D1030" s="355"/>
      <c r="E1030" s="355"/>
      <c r="F1030" s="355"/>
      <c r="G1030" s="355"/>
      <c r="O1030" s="356"/>
      <c r="P1030" s="355"/>
      <c r="Q1030" s="355"/>
      <c r="R1030" s="355"/>
      <c r="S1030" s="355"/>
      <c r="T1030" s="355"/>
      <c r="U1030" s="355"/>
      <c r="V1030" s="355"/>
      <c r="W1030" s="355"/>
      <c r="AG1030" s="355"/>
      <c r="AH1030" s="355"/>
      <c r="AI1030" s="355"/>
      <c r="AJ1030" s="355"/>
      <c r="AK1030" s="355"/>
      <c r="AL1030" s="355"/>
      <c r="AM1030" s="355"/>
      <c r="AU1030" s="379">
        <v>75103</v>
      </c>
      <c r="AV1030" s="375"/>
      <c r="AW1030" s="375"/>
      <c r="AX1030" s="375"/>
      <c r="AY1030" s="375"/>
      <c r="AZ1030" s="375"/>
      <c r="BA1030" s="375"/>
      <c r="BB1030" s="375"/>
      <c r="BC1030" s="375"/>
      <c r="BD1030" s="375"/>
      <c r="BE1030" s="375"/>
      <c r="BF1030" s="375">
        <v>7.1249999999999994E-2</v>
      </c>
      <c r="BG1030" s="375"/>
      <c r="BH1030" s="375"/>
      <c r="BI1030" s="373">
        <f t="shared" si="42"/>
        <v>7.1249999999999994E-2</v>
      </c>
      <c r="BT1030" s="355"/>
      <c r="BU1030" s="355"/>
      <c r="BV1030" s="355"/>
      <c r="BW1030" s="355"/>
    </row>
    <row r="1031" spans="1:75" x14ac:dyDescent="0.15">
      <c r="A1031" s="356"/>
      <c r="B1031" s="355"/>
      <c r="C1031" s="355"/>
      <c r="D1031" s="355"/>
      <c r="E1031" s="355"/>
      <c r="F1031" s="355"/>
      <c r="G1031" s="355"/>
      <c r="O1031" s="356"/>
      <c r="P1031" s="355"/>
      <c r="Q1031" s="355"/>
      <c r="R1031" s="355"/>
      <c r="S1031" s="355"/>
      <c r="T1031" s="355"/>
      <c r="U1031" s="355"/>
      <c r="V1031" s="355"/>
      <c r="W1031" s="355"/>
      <c r="AG1031" s="355"/>
      <c r="AH1031" s="355"/>
      <c r="AI1031" s="355"/>
      <c r="AJ1031" s="355"/>
      <c r="AK1031" s="355"/>
      <c r="AL1031" s="355"/>
      <c r="AM1031" s="355"/>
      <c r="AU1031" s="379">
        <v>75134</v>
      </c>
      <c r="AV1031" s="375"/>
      <c r="AW1031" s="375"/>
      <c r="AX1031" s="375"/>
      <c r="AY1031" s="375"/>
      <c r="AZ1031" s="375"/>
      <c r="BA1031" s="375"/>
      <c r="BB1031" s="375"/>
      <c r="BC1031" s="375"/>
      <c r="BD1031" s="375"/>
      <c r="BE1031" s="375"/>
      <c r="BF1031" s="375">
        <v>7.1249999999999994E-2</v>
      </c>
      <c r="BG1031" s="375"/>
      <c r="BH1031" s="375"/>
      <c r="BI1031" s="373">
        <f t="shared" ref="BI1031:BI1094" si="43">+AVERAGE(AV1031:BH1031)</f>
        <v>7.1249999999999994E-2</v>
      </c>
      <c r="BT1031" s="355"/>
      <c r="BU1031" s="355"/>
      <c r="BV1031" s="355"/>
      <c r="BW1031" s="355"/>
    </row>
    <row r="1032" spans="1:75" x14ac:dyDescent="0.15">
      <c r="A1032" s="356"/>
      <c r="B1032" s="355"/>
      <c r="C1032" s="355"/>
      <c r="D1032" s="355"/>
      <c r="E1032" s="355"/>
      <c r="F1032" s="355"/>
      <c r="G1032" s="355"/>
      <c r="O1032" s="356"/>
      <c r="P1032" s="355"/>
      <c r="Q1032" s="355"/>
      <c r="R1032" s="355"/>
      <c r="S1032" s="355"/>
      <c r="T1032" s="355"/>
      <c r="U1032" s="355"/>
      <c r="V1032" s="355"/>
      <c r="W1032" s="355"/>
      <c r="AG1032" s="355"/>
      <c r="AH1032" s="355"/>
      <c r="AI1032" s="355"/>
      <c r="AJ1032" s="355"/>
      <c r="AK1032" s="355"/>
      <c r="AL1032" s="355"/>
      <c r="AM1032" s="355"/>
      <c r="AU1032" s="379">
        <v>75164</v>
      </c>
      <c r="AV1032" s="375"/>
      <c r="AW1032" s="375"/>
      <c r="AX1032" s="375"/>
      <c r="AY1032" s="375"/>
      <c r="AZ1032" s="375"/>
      <c r="BA1032" s="375"/>
      <c r="BB1032" s="375"/>
      <c r="BC1032" s="375"/>
      <c r="BD1032" s="375"/>
      <c r="BE1032" s="375"/>
      <c r="BF1032" s="375">
        <v>7.1249999999999994E-2</v>
      </c>
      <c r="BG1032" s="375"/>
      <c r="BH1032" s="375"/>
      <c r="BI1032" s="373">
        <f t="shared" si="43"/>
        <v>7.1249999999999994E-2</v>
      </c>
      <c r="BT1032" s="355"/>
      <c r="BU1032" s="355"/>
      <c r="BV1032" s="355"/>
      <c r="BW1032" s="355"/>
    </row>
    <row r="1033" spans="1:75" x14ac:dyDescent="0.15">
      <c r="A1033" s="356"/>
      <c r="B1033" s="355"/>
      <c r="C1033" s="355"/>
      <c r="D1033" s="355"/>
      <c r="E1033" s="355"/>
      <c r="F1033" s="355"/>
      <c r="G1033" s="355"/>
      <c r="O1033" s="356"/>
      <c r="P1033" s="355"/>
      <c r="Q1033" s="355"/>
      <c r="R1033" s="355"/>
      <c r="S1033" s="355"/>
      <c r="T1033" s="355"/>
      <c r="U1033" s="355"/>
      <c r="V1033" s="355"/>
      <c r="W1033" s="355"/>
      <c r="AG1033" s="355"/>
      <c r="AH1033" s="355"/>
      <c r="AI1033" s="355"/>
      <c r="AJ1033" s="355"/>
      <c r="AK1033" s="355"/>
      <c r="AL1033" s="355"/>
      <c r="AM1033" s="355"/>
      <c r="AU1033" s="379">
        <v>75195</v>
      </c>
      <c r="AV1033" s="375"/>
      <c r="AW1033" s="375"/>
      <c r="AX1033" s="375"/>
      <c r="AY1033" s="375"/>
      <c r="AZ1033" s="375"/>
      <c r="BA1033" s="375"/>
      <c r="BB1033" s="375"/>
      <c r="BC1033" s="375"/>
      <c r="BD1033" s="375"/>
      <c r="BE1033" s="375"/>
      <c r="BF1033" s="375">
        <v>7.1249999999999994E-2</v>
      </c>
      <c r="BG1033" s="375"/>
      <c r="BH1033" s="375"/>
      <c r="BI1033" s="373">
        <f t="shared" si="43"/>
        <v>7.1249999999999994E-2</v>
      </c>
      <c r="BT1033" s="355"/>
      <c r="BU1033" s="355"/>
      <c r="BV1033" s="355"/>
      <c r="BW1033" s="355"/>
    </row>
    <row r="1034" spans="1:75" x14ac:dyDescent="0.15">
      <c r="A1034" s="356"/>
      <c r="B1034" s="355"/>
      <c r="C1034" s="355"/>
      <c r="D1034" s="355"/>
      <c r="E1034" s="355"/>
      <c r="F1034" s="355"/>
      <c r="G1034" s="355"/>
      <c r="O1034" s="356"/>
      <c r="P1034" s="355"/>
      <c r="Q1034" s="355"/>
      <c r="R1034" s="355"/>
      <c r="S1034" s="355"/>
      <c r="T1034" s="355"/>
      <c r="U1034" s="355"/>
      <c r="V1034" s="355"/>
      <c r="W1034" s="355"/>
      <c r="AG1034" s="355"/>
      <c r="AH1034" s="355"/>
      <c r="AI1034" s="355"/>
      <c r="AJ1034" s="355"/>
      <c r="AK1034" s="355"/>
      <c r="AL1034" s="355"/>
      <c r="AM1034" s="355"/>
      <c r="AU1034" s="379">
        <v>75225</v>
      </c>
      <c r="AV1034" s="375"/>
      <c r="AW1034" s="375"/>
      <c r="AX1034" s="375"/>
      <c r="AY1034" s="375"/>
      <c r="AZ1034" s="375"/>
      <c r="BA1034" s="375"/>
      <c r="BB1034" s="375"/>
      <c r="BC1034" s="375"/>
      <c r="BD1034" s="375"/>
      <c r="BE1034" s="375"/>
      <c r="BF1034" s="375">
        <v>7.1249999999999994E-2</v>
      </c>
      <c r="BG1034" s="375"/>
      <c r="BH1034" s="375"/>
      <c r="BI1034" s="373">
        <f t="shared" si="43"/>
        <v>7.1249999999999994E-2</v>
      </c>
      <c r="BT1034" s="355"/>
      <c r="BU1034" s="355"/>
      <c r="BV1034" s="355"/>
      <c r="BW1034" s="355"/>
    </row>
    <row r="1035" spans="1:75" x14ac:dyDescent="0.15">
      <c r="A1035" s="356"/>
      <c r="B1035" s="355"/>
      <c r="C1035" s="355"/>
      <c r="D1035" s="355"/>
      <c r="E1035" s="355"/>
      <c r="F1035" s="355"/>
      <c r="G1035" s="355"/>
      <c r="O1035" s="356"/>
      <c r="P1035" s="355"/>
      <c r="Q1035" s="355"/>
      <c r="R1035" s="355"/>
      <c r="S1035" s="355"/>
      <c r="T1035" s="355"/>
      <c r="U1035" s="355"/>
      <c r="V1035" s="355"/>
      <c r="W1035" s="355"/>
      <c r="AG1035" s="355"/>
      <c r="AH1035" s="355"/>
      <c r="AI1035" s="355"/>
      <c r="AJ1035" s="355"/>
      <c r="AK1035" s="355"/>
      <c r="AL1035" s="355"/>
      <c r="AM1035" s="355"/>
      <c r="AU1035" s="379">
        <v>75256</v>
      </c>
      <c r="AV1035" s="375"/>
      <c r="AW1035" s="375"/>
      <c r="AX1035" s="375"/>
      <c r="AY1035" s="375"/>
      <c r="AZ1035" s="375"/>
      <c r="BA1035" s="375"/>
      <c r="BB1035" s="375"/>
      <c r="BC1035" s="375"/>
      <c r="BD1035" s="375"/>
      <c r="BE1035" s="375"/>
      <c r="BF1035" s="375">
        <v>7.1249999999999994E-2</v>
      </c>
      <c r="BG1035" s="375"/>
      <c r="BH1035" s="375"/>
      <c r="BI1035" s="373">
        <f t="shared" si="43"/>
        <v>7.1249999999999994E-2</v>
      </c>
      <c r="BT1035" s="355"/>
      <c r="BU1035" s="355"/>
      <c r="BV1035" s="355"/>
      <c r="BW1035" s="355"/>
    </row>
    <row r="1036" spans="1:75" x14ac:dyDescent="0.15">
      <c r="A1036" s="356"/>
      <c r="B1036" s="355"/>
      <c r="C1036" s="355"/>
      <c r="D1036" s="355"/>
      <c r="E1036" s="355"/>
      <c r="F1036" s="355"/>
      <c r="G1036" s="355"/>
      <c r="O1036" s="356"/>
      <c r="P1036" s="355"/>
      <c r="Q1036" s="355"/>
      <c r="R1036" s="355"/>
      <c r="S1036" s="355"/>
      <c r="T1036" s="355"/>
      <c r="U1036" s="355"/>
      <c r="V1036" s="355"/>
      <c r="W1036" s="355"/>
      <c r="AG1036" s="355"/>
      <c r="AH1036" s="355"/>
      <c r="AI1036" s="355"/>
      <c r="AJ1036" s="355"/>
      <c r="AK1036" s="355"/>
      <c r="AL1036" s="355"/>
      <c r="AM1036" s="355"/>
      <c r="AU1036" s="379">
        <v>75287</v>
      </c>
      <c r="AV1036" s="375"/>
      <c r="AW1036" s="375"/>
      <c r="AX1036" s="375"/>
      <c r="AY1036" s="375"/>
      <c r="AZ1036" s="375"/>
      <c r="BA1036" s="375"/>
      <c r="BB1036" s="375"/>
      <c r="BC1036" s="375"/>
      <c r="BD1036" s="375"/>
      <c r="BE1036" s="375"/>
      <c r="BF1036" s="375">
        <v>7.1249999999999994E-2</v>
      </c>
      <c r="BG1036" s="375"/>
      <c r="BH1036" s="375"/>
      <c r="BI1036" s="373">
        <f t="shared" si="43"/>
        <v>7.1249999999999994E-2</v>
      </c>
      <c r="BT1036" s="355"/>
      <c r="BU1036" s="355"/>
      <c r="BV1036" s="355"/>
      <c r="BW1036" s="355"/>
    </row>
    <row r="1037" spans="1:75" x14ac:dyDescent="0.15">
      <c r="A1037" s="356"/>
      <c r="B1037" s="355"/>
      <c r="C1037" s="355"/>
      <c r="D1037" s="355"/>
      <c r="E1037" s="355"/>
      <c r="F1037" s="355"/>
      <c r="G1037" s="355"/>
      <c r="O1037" s="356"/>
      <c r="P1037" s="355"/>
      <c r="Q1037" s="355"/>
      <c r="R1037" s="355"/>
      <c r="S1037" s="355"/>
      <c r="T1037" s="355"/>
      <c r="U1037" s="355"/>
      <c r="V1037" s="355"/>
      <c r="W1037" s="355"/>
      <c r="AG1037" s="355"/>
      <c r="AH1037" s="355"/>
      <c r="AI1037" s="355"/>
      <c r="AJ1037" s="355"/>
      <c r="AK1037" s="355"/>
      <c r="AL1037" s="355"/>
      <c r="AM1037" s="355"/>
      <c r="AU1037" s="379">
        <v>75315</v>
      </c>
      <c r="AV1037" s="375"/>
      <c r="AW1037" s="375"/>
      <c r="AX1037" s="375"/>
      <c r="AY1037" s="375"/>
      <c r="AZ1037" s="375"/>
      <c r="BA1037" s="375"/>
      <c r="BB1037" s="375"/>
      <c r="BC1037" s="375"/>
      <c r="BD1037" s="375"/>
      <c r="BE1037" s="375"/>
      <c r="BF1037" s="375">
        <v>7.1249999999999994E-2</v>
      </c>
      <c r="BG1037" s="375"/>
      <c r="BH1037" s="375"/>
      <c r="BI1037" s="373">
        <f t="shared" si="43"/>
        <v>7.1249999999999994E-2</v>
      </c>
      <c r="BT1037" s="355"/>
      <c r="BU1037" s="355"/>
      <c r="BV1037" s="355"/>
      <c r="BW1037" s="355"/>
    </row>
    <row r="1038" spans="1:75" x14ac:dyDescent="0.15">
      <c r="A1038" s="356"/>
      <c r="B1038" s="355"/>
      <c r="C1038" s="355"/>
      <c r="D1038" s="355"/>
      <c r="E1038" s="355"/>
      <c r="F1038" s="355"/>
      <c r="G1038" s="355"/>
      <c r="O1038" s="356"/>
      <c r="P1038" s="355"/>
      <c r="Q1038" s="355"/>
      <c r="R1038" s="355"/>
      <c r="S1038" s="355"/>
      <c r="T1038" s="355"/>
      <c r="U1038" s="355"/>
      <c r="V1038" s="355"/>
      <c r="W1038" s="355"/>
      <c r="AG1038" s="355"/>
      <c r="AH1038" s="355"/>
      <c r="AI1038" s="355"/>
      <c r="AJ1038" s="355"/>
      <c r="AK1038" s="355"/>
      <c r="AL1038" s="355"/>
      <c r="AM1038" s="355"/>
      <c r="AU1038" s="379">
        <v>75346</v>
      </c>
      <c r="AV1038" s="375"/>
      <c r="AW1038" s="375"/>
      <c r="AX1038" s="375"/>
      <c r="AY1038" s="375"/>
      <c r="AZ1038" s="375"/>
      <c r="BA1038" s="375"/>
      <c r="BB1038" s="375"/>
      <c r="BC1038" s="375"/>
      <c r="BD1038" s="375"/>
      <c r="BE1038" s="375"/>
      <c r="BF1038" s="375">
        <v>7.1249999999999994E-2</v>
      </c>
      <c r="BG1038" s="375"/>
      <c r="BH1038" s="375"/>
      <c r="BI1038" s="373">
        <f t="shared" si="43"/>
        <v>7.1249999999999994E-2</v>
      </c>
      <c r="BT1038" s="355"/>
      <c r="BU1038" s="355"/>
      <c r="BV1038" s="355"/>
      <c r="BW1038" s="355"/>
    </row>
    <row r="1039" spans="1:75" x14ac:dyDescent="0.15">
      <c r="A1039" s="356"/>
      <c r="B1039" s="355"/>
      <c r="C1039" s="355"/>
      <c r="D1039" s="355"/>
      <c r="E1039" s="355"/>
      <c r="F1039" s="355"/>
      <c r="G1039" s="355"/>
      <c r="O1039" s="356"/>
      <c r="P1039" s="355"/>
      <c r="Q1039" s="355"/>
      <c r="R1039" s="355"/>
      <c r="S1039" s="355"/>
      <c r="T1039" s="355"/>
      <c r="U1039" s="355"/>
      <c r="V1039" s="355"/>
      <c r="W1039" s="355"/>
      <c r="AG1039" s="355"/>
      <c r="AH1039" s="355"/>
      <c r="AI1039" s="355"/>
      <c r="AJ1039" s="355"/>
      <c r="AK1039" s="355"/>
      <c r="AL1039" s="355"/>
      <c r="AM1039" s="355"/>
      <c r="AU1039" s="379">
        <v>75376</v>
      </c>
      <c r="AV1039" s="375"/>
      <c r="AW1039" s="375"/>
      <c r="AX1039" s="375"/>
      <c r="AY1039" s="375"/>
      <c r="AZ1039" s="375"/>
      <c r="BA1039" s="375"/>
      <c r="BB1039" s="375"/>
      <c r="BC1039" s="375"/>
      <c r="BD1039" s="375"/>
      <c r="BE1039" s="375"/>
      <c r="BF1039" s="375">
        <v>7.1249999999999994E-2</v>
      </c>
      <c r="BG1039" s="375"/>
      <c r="BH1039" s="375"/>
      <c r="BI1039" s="373">
        <f t="shared" si="43"/>
        <v>7.1249999999999994E-2</v>
      </c>
      <c r="BT1039" s="355"/>
      <c r="BU1039" s="355"/>
      <c r="BV1039" s="355"/>
      <c r="BW1039" s="355"/>
    </row>
    <row r="1040" spans="1:75" x14ac:dyDescent="0.15">
      <c r="A1040" s="356"/>
      <c r="B1040" s="355"/>
      <c r="C1040" s="355"/>
      <c r="D1040" s="355"/>
      <c r="E1040" s="355"/>
      <c r="F1040" s="355"/>
      <c r="G1040" s="355"/>
      <c r="O1040" s="356"/>
      <c r="P1040" s="355"/>
      <c r="Q1040" s="355"/>
      <c r="R1040" s="355"/>
      <c r="S1040" s="355"/>
      <c r="T1040" s="355"/>
      <c r="U1040" s="355"/>
      <c r="V1040" s="355"/>
      <c r="W1040" s="355"/>
      <c r="AG1040" s="355"/>
      <c r="AH1040" s="355"/>
      <c r="AI1040" s="355"/>
      <c r="AJ1040" s="355"/>
      <c r="AK1040" s="355"/>
      <c r="AL1040" s="355"/>
      <c r="AM1040" s="355"/>
      <c r="AU1040" s="379">
        <v>75407</v>
      </c>
      <c r="AV1040" s="375"/>
      <c r="AW1040" s="375"/>
      <c r="AX1040" s="375"/>
      <c r="AY1040" s="375"/>
      <c r="AZ1040" s="375"/>
      <c r="BA1040" s="375"/>
      <c r="BB1040" s="375"/>
      <c r="BC1040" s="375"/>
      <c r="BD1040" s="375"/>
      <c r="BE1040" s="375"/>
      <c r="BF1040" s="375">
        <v>7.1249999999999994E-2</v>
      </c>
      <c r="BG1040" s="375"/>
      <c r="BH1040" s="375"/>
      <c r="BI1040" s="373">
        <f t="shared" si="43"/>
        <v>7.1249999999999994E-2</v>
      </c>
      <c r="BT1040" s="355"/>
      <c r="BU1040" s="355"/>
      <c r="BV1040" s="355"/>
      <c r="BW1040" s="355"/>
    </row>
    <row r="1041" spans="1:75" x14ac:dyDescent="0.15">
      <c r="A1041" s="356"/>
      <c r="B1041" s="355"/>
      <c r="C1041" s="355"/>
      <c r="D1041" s="355"/>
      <c r="E1041" s="355"/>
      <c r="F1041" s="355"/>
      <c r="G1041" s="355"/>
      <c r="O1041" s="356"/>
      <c r="P1041" s="355"/>
      <c r="Q1041" s="355"/>
      <c r="R1041" s="355"/>
      <c r="S1041" s="355"/>
      <c r="T1041" s="355"/>
      <c r="U1041" s="355"/>
      <c r="V1041" s="355"/>
      <c r="W1041" s="355"/>
      <c r="AG1041" s="355"/>
      <c r="AH1041" s="355"/>
      <c r="AI1041" s="355"/>
      <c r="AJ1041" s="355"/>
      <c r="AK1041" s="355"/>
      <c r="AL1041" s="355"/>
      <c r="AM1041" s="355"/>
      <c r="AU1041" s="379">
        <v>75437</v>
      </c>
      <c r="AV1041" s="375"/>
      <c r="AW1041" s="375"/>
      <c r="AX1041" s="375"/>
      <c r="AY1041" s="375"/>
      <c r="AZ1041" s="375"/>
      <c r="BA1041" s="375"/>
      <c r="BB1041" s="375"/>
      <c r="BC1041" s="375"/>
      <c r="BD1041" s="375"/>
      <c r="BE1041" s="375"/>
      <c r="BF1041" s="375">
        <v>7.1249999999999994E-2</v>
      </c>
      <c r="BG1041" s="375"/>
      <c r="BH1041" s="375"/>
      <c r="BI1041" s="373">
        <f t="shared" si="43"/>
        <v>7.1249999999999994E-2</v>
      </c>
      <c r="BT1041" s="355"/>
      <c r="BU1041" s="355"/>
      <c r="BV1041" s="355"/>
      <c r="BW1041" s="355"/>
    </row>
    <row r="1042" spans="1:75" x14ac:dyDescent="0.15">
      <c r="A1042" s="356"/>
      <c r="B1042" s="355"/>
      <c r="C1042" s="355"/>
      <c r="D1042" s="355"/>
      <c r="E1042" s="355"/>
      <c r="F1042" s="355"/>
      <c r="G1042" s="355"/>
      <c r="O1042" s="356"/>
      <c r="P1042" s="355"/>
      <c r="Q1042" s="355"/>
      <c r="R1042" s="355"/>
      <c r="S1042" s="355"/>
      <c r="T1042" s="355"/>
      <c r="U1042" s="355"/>
      <c r="V1042" s="355"/>
      <c r="W1042" s="355"/>
      <c r="AG1042" s="355"/>
      <c r="AH1042" s="355"/>
      <c r="AI1042" s="355"/>
      <c r="AJ1042" s="355"/>
      <c r="AK1042" s="355"/>
      <c r="AL1042" s="355"/>
      <c r="AM1042" s="355"/>
      <c r="AU1042" s="379">
        <v>75468</v>
      </c>
      <c r="AV1042" s="375"/>
      <c r="AW1042" s="375"/>
      <c r="AX1042" s="375"/>
      <c r="AY1042" s="375"/>
      <c r="AZ1042" s="375"/>
      <c r="BA1042" s="375"/>
      <c r="BB1042" s="375"/>
      <c r="BC1042" s="375"/>
      <c r="BD1042" s="375"/>
      <c r="BE1042" s="375"/>
      <c r="BF1042" s="375">
        <v>7.1249999999999994E-2</v>
      </c>
      <c r="BG1042" s="375"/>
      <c r="BH1042" s="375"/>
      <c r="BI1042" s="373">
        <f t="shared" si="43"/>
        <v>7.1249999999999994E-2</v>
      </c>
      <c r="BT1042" s="355"/>
      <c r="BU1042" s="355"/>
      <c r="BV1042" s="355"/>
      <c r="BW1042" s="355"/>
    </row>
    <row r="1043" spans="1:75" x14ac:dyDescent="0.15">
      <c r="A1043" s="356"/>
      <c r="B1043" s="355"/>
      <c r="C1043" s="355"/>
      <c r="D1043" s="355"/>
      <c r="E1043" s="355"/>
      <c r="F1043" s="355"/>
      <c r="G1043" s="355"/>
      <c r="O1043" s="356"/>
      <c r="P1043" s="355"/>
      <c r="Q1043" s="355"/>
      <c r="R1043" s="355"/>
      <c r="S1043" s="355"/>
      <c r="T1043" s="355"/>
      <c r="U1043" s="355"/>
      <c r="V1043" s="355"/>
      <c r="W1043" s="355"/>
      <c r="AG1043" s="355"/>
      <c r="AH1043" s="355"/>
      <c r="AI1043" s="355"/>
      <c r="AJ1043" s="355"/>
      <c r="AK1043" s="355"/>
      <c r="AL1043" s="355"/>
      <c r="AM1043" s="355"/>
      <c r="AU1043" s="379">
        <v>75499</v>
      </c>
      <c r="AV1043" s="375"/>
      <c r="AW1043" s="375"/>
      <c r="AX1043" s="375"/>
      <c r="AY1043" s="375"/>
      <c r="AZ1043" s="375"/>
      <c r="BA1043" s="375"/>
      <c r="BB1043" s="375"/>
      <c r="BC1043" s="375"/>
      <c r="BD1043" s="375"/>
      <c r="BE1043" s="375"/>
      <c r="BF1043" s="375">
        <v>7.1249999999999994E-2</v>
      </c>
      <c r="BG1043" s="375"/>
      <c r="BH1043" s="375"/>
      <c r="BI1043" s="373">
        <f t="shared" si="43"/>
        <v>7.1249999999999994E-2</v>
      </c>
      <c r="BT1043" s="355"/>
      <c r="BU1043" s="355"/>
      <c r="BV1043" s="355"/>
      <c r="BW1043" s="355"/>
    </row>
    <row r="1044" spans="1:75" x14ac:dyDescent="0.15">
      <c r="A1044" s="356"/>
      <c r="B1044" s="355"/>
      <c r="C1044" s="355"/>
      <c r="D1044" s="355"/>
      <c r="E1044" s="355"/>
      <c r="F1044" s="355"/>
      <c r="G1044" s="355"/>
      <c r="O1044" s="356"/>
      <c r="P1044" s="355"/>
      <c r="Q1044" s="355"/>
      <c r="R1044" s="355"/>
      <c r="S1044" s="355"/>
      <c r="T1044" s="355"/>
      <c r="U1044" s="355"/>
      <c r="V1044" s="355"/>
      <c r="W1044" s="355"/>
      <c r="AG1044" s="355"/>
      <c r="AH1044" s="355"/>
      <c r="AI1044" s="355"/>
      <c r="AJ1044" s="355"/>
      <c r="AK1044" s="355"/>
      <c r="AL1044" s="355"/>
      <c r="AM1044" s="355"/>
      <c r="AU1044" s="379">
        <v>75529</v>
      </c>
      <c r="AV1044" s="375"/>
      <c r="AW1044" s="375"/>
      <c r="AX1044" s="375"/>
      <c r="AY1044" s="375"/>
      <c r="AZ1044" s="375"/>
      <c r="BA1044" s="375"/>
      <c r="BB1044" s="375"/>
      <c r="BC1044" s="375"/>
      <c r="BD1044" s="375"/>
      <c r="BE1044" s="375"/>
      <c r="BF1044" s="375">
        <v>7.1249999999999994E-2</v>
      </c>
      <c r="BG1044" s="375"/>
      <c r="BH1044" s="375"/>
      <c r="BI1044" s="373">
        <f t="shared" si="43"/>
        <v>7.1249999999999994E-2</v>
      </c>
      <c r="BT1044" s="355"/>
      <c r="BU1044" s="355"/>
      <c r="BV1044" s="355"/>
      <c r="BW1044" s="355"/>
    </row>
    <row r="1045" spans="1:75" x14ac:dyDescent="0.15">
      <c r="A1045" s="356"/>
      <c r="B1045" s="355"/>
      <c r="C1045" s="355"/>
      <c r="D1045" s="355"/>
      <c r="E1045" s="355"/>
      <c r="F1045" s="355"/>
      <c r="G1045" s="355"/>
      <c r="O1045" s="356"/>
      <c r="P1045" s="355"/>
      <c r="Q1045" s="355"/>
      <c r="R1045" s="355"/>
      <c r="S1045" s="355"/>
      <c r="T1045" s="355"/>
      <c r="U1045" s="355"/>
      <c r="V1045" s="355"/>
      <c r="W1045" s="355"/>
      <c r="AG1045" s="355"/>
      <c r="AH1045" s="355"/>
      <c r="AI1045" s="355"/>
      <c r="AJ1045" s="355"/>
      <c r="AK1045" s="355"/>
      <c r="AL1045" s="355"/>
      <c r="AM1045" s="355"/>
      <c r="AU1045" s="379">
        <v>75560</v>
      </c>
      <c r="AV1045" s="375"/>
      <c r="AW1045" s="375"/>
      <c r="AX1045" s="375"/>
      <c r="AY1045" s="375"/>
      <c r="AZ1045" s="375"/>
      <c r="BA1045" s="375"/>
      <c r="BB1045" s="375"/>
      <c r="BC1045" s="375"/>
      <c r="BD1045" s="375"/>
      <c r="BE1045" s="375"/>
      <c r="BF1045" s="375">
        <v>7.1249999999999994E-2</v>
      </c>
      <c r="BG1045" s="375"/>
      <c r="BH1045" s="375"/>
      <c r="BI1045" s="373">
        <f t="shared" si="43"/>
        <v>7.1249999999999994E-2</v>
      </c>
      <c r="BT1045" s="355"/>
      <c r="BU1045" s="355"/>
      <c r="BV1045" s="355"/>
      <c r="BW1045" s="355"/>
    </row>
    <row r="1046" spans="1:75" x14ac:dyDescent="0.15">
      <c r="A1046" s="356"/>
      <c r="B1046" s="355"/>
      <c r="C1046" s="355"/>
      <c r="D1046" s="355"/>
      <c r="E1046" s="355"/>
      <c r="F1046" s="355"/>
      <c r="G1046" s="355"/>
      <c r="O1046" s="356"/>
      <c r="P1046" s="355"/>
      <c r="Q1046" s="355"/>
      <c r="R1046" s="355"/>
      <c r="S1046" s="355"/>
      <c r="T1046" s="355"/>
      <c r="U1046" s="355"/>
      <c r="V1046" s="355"/>
      <c r="W1046" s="355"/>
      <c r="AG1046" s="355"/>
      <c r="AH1046" s="355"/>
      <c r="AI1046" s="355"/>
      <c r="AJ1046" s="355"/>
      <c r="AK1046" s="355"/>
      <c r="AL1046" s="355"/>
      <c r="AM1046" s="355"/>
      <c r="AU1046" s="379">
        <v>75590</v>
      </c>
      <c r="AV1046" s="375"/>
      <c r="AW1046" s="375"/>
      <c r="AX1046" s="375"/>
      <c r="AY1046" s="375"/>
      <c r="AZ1046" s="375"/>
      <c r="BA1046" s="375"/>
      <c r="BB1046" s="375"/>
      <c r="BC1046" s="375"/>
      <c r="BD1046" s="375"/>
      <c r="BE1046" s="375"/>
      <c r="BF1046" s="375">
        <v>7.1249999999999994E-2</v>
      </c>
      <c r="BG1046" s="375"/>
      <c r="BH1046" s="375"/>
      <c r="BI1046" s="373">
        <f t="shared" si="43"/>
        <v>7.1249999999999994E-2</v>
      </c>
      <c r="BT1046" s="355"/>
      <c r="BU1046" s="355"/>
      <c r="BV1046" s="355"/>
      <c r="BW1046" s="355"/>
    </row>
    <row r="1047" spans="1:75" x14ac:dyDescent="0.15">
      <c r="A1047" s="356"/>
      <c r="B1047" s="355"/>
      <c r="C1047" s="355"/>
      <c r="D1047" s="355"/>
      <c r="E1047" s="355"/>
      <c r="F1047" s="355"/>
      <c r="G1047" s="355"/>
      <c r="O1047" s="356"/>
      <c r="P1047" s="355"/>
      <c r="Q1047" s="355"/>
      <c r="R1047" s="355"/>
      <c r="S1047" s="355"/>
      <c r="T1047" s="355"/>
      <c r="U1047" s="355"/>
      <c r="V1047" s="355"/>
      <c r="W1047" s="355"/>
      <c r="AG1047" s="355"/>
      <c r="AH1047" s="355"/>
      <c r="AI1047" s="355"/>
      <c r="AJ1047" s="355"/>
      <c r="AK1047" s="355"/>
      <c r="AL1047" s="355"/>
      <c r="AM1047" s="355"/>
      <c r="AU1047" s="379">
        <v>75621</v>
      </c>
      <c r="AV1047" s="375"/>
      <c r="AW1047" s="375"/>
      <c r="AX1047" s="375"/>
      <c r="AY1047" s="375"/>
      <c r="AZ1047" s="375"/>
      <c r="BA1047" s="375"/>
      <c r="BB1047" s="375"/>
      <c r="BC1047" s="375"/>
      <c r="BD1047" s="375"/>
      <c r="BE1047" s="375"/>
      <c r="BF1047" s="375">
        <v>7.1249999999999994E-2</v>
      </c>
      <c r="BG1047" s="375"/>
      <c r="BH1047" s="375"/>
      <c r="BI1047" s="373">
        <f t="shared" si="43"/>
        <v>7.1249999999999994E-2</v>
      </c>
      <c r="BT1047" s="355"/>
      <c r="BU1047" s="355"/>
      <c r="BV1047" s="355"/>
      <c r="BW1047" s="355"/>
    </row>
    <row r="1048" spans="1:75" x14ac:dyDescent="0.15">
      <c r="A1048" s="356"/>
      <c r="B1048" s="355"/>
      <c r="C1048" s="355"/>
      <c r="D1048" s="355"/>
      <c r="E1048" s="355"/>
      <c r="F1048" s="355"/>
      <c r="G1048" s="355"/>
      <c r="O1048" s="356"/>
      <c r="P1048" s="355"/>
      <c r="Q1048" s="355"/>
      <c r="R1048" s="355"/>
      <c r="S1048" s="355"/>
      <c r="T1048" s="355"/>
      <c r="U1048" s="355"/>
      <c r="V1048" s="355"/>
      <c r="W1048" s="355"/>
      <c r="AG1048" s="355"/>
      <c r="AH1048" s="355"/>
      <c r="AI1048" s="355"/>
      <c r="AJ1048" s="355"/>
      <c r="AK1048" s="355"/>
      <c r="AL1048" s="355"/>
      <c r="AM1048" s="355"/>
      <c r="AU1048" s="379">
        <v>75652</v>
      </c>
      <c r="AV1048" s="375"/>
      <c r="AW1048" s="375"/>
      <c r="AX1048" s="375"/>
      <c r="AY1048" s="375"/>
      <c r="AZ1048" s="375"/>
      <c r="BA1048" s="375"/>
      <c r="BB1048" s="375"/>
      <c r="BC1048" s="375"/>
      <c r="BD1048" s="375"/>
      <c r="BE1048" s="375"/>
      <c r="BF1048" s="375">
        <v>7.1249999999999994E-2</v>
      </c>
      <c r="BG1048" s="375"/>
      <c r="BH1048" s="375"/>
      <c r="BI1048" s="373">
        <f t="shared" si="43"/>
        <v>7.1249999999999994E-2</v>
      </c>
      <c r="BT1048" s="355"/>
      <c r="BU1048" s="355"/>
      <c r="BV1048" s="355"/>
      <c r="BW1048" s="355"/>
    </row>
    <row r="1049" spans="1:75" x14ac:dyDescent="0.15">
      <c r="A1049" s="356"/>
      <c r="B1049" s="355"/>
      <c r="C1049" s="355"/>
      <c r="D1049" s="355"/>
      <c r="E1049" s="355"/>
      <c r="F1049" s="355"/>
      <c r="G1049" s="355"/>
      <c r="O1049" s="356"/>
      <c r="P1049" s="355"/>
      <c r="Q1049" s="355"/>
      <c r="R1049" s="355"/>
      <c r="S1049" s="355"/>
      <c r="T1049" s="355"/>
      <c r="U1049" s="355"/>
      <c r="V1049" s="355"/>
      <c r="W1049" s="355"/>
      <c r="AG1049" s="355"/>
      <c r="AH1049" s="355"/>
      <c r="AI1049" s="355"/>
      <c r="AJ1049" s="355"/>
      <c r="AK1049" s="355"/>
      <c r="AL1049" s="355"/>
      <c r="AM1049" s="355"/>
      <c r="AU1049" s="379">
        <v>75680</v>
      </c>
      <c r="AV1049" s="375"/>
      <c r="AW1049" s="375"/>
      <c r="AX1049" s="375"/>
      <c r="AY1049" s="375"/>
      <c r="AZ1049" s="375"/>
      <c r="BA1049" s="375"/>
      <c r="BB1049" s="375"/>
      <c r="BC1049" s="375"/>
      <c r="BD1049" s="375"/>
      <c r="BE1049" s="375"/>
      <c r="BF1049" s="375">
        <v>7.1249999999999994E-2</v>
      </c>
      <c r="BG1049" s="375"/>
      <c r="BH1049" s="375"/>
      <c r="BI1049" s="373">
        <f t="shared" si="43"/>
        <v>7.1249999999999994E-2</v>
      </c>
      <c r="BT1049" s="355"/>
      <c r="BU1049" s="355"/>
      <c r="BV1049" s="355"/>
      <c r="BW1049" s="355"/>
    </row>
    <row r="1050" spans="1:75" x14ac:dyDescent="0.15">
      <c r="A1050" s="356"/>
      <c r="B1050" s="355"/>
      <c r="C1050" s="355"/>
      <c r="D1050" s="355"/>
      <c r="E1050" s="355"/>
      <c r="F1050" s="355"/>
      <c r="G1050" s="355"/>
      <c r="O1050" s="356"/>
      <c r="P1050" s="355"/>
      <c r="Q1050" s="355"/>
      <c r="R1050" s="355"/>
      <c r="S1050" s="355"/>
      <c r="T1050" s="355"/>
      <c r="U1050" s="355"/>
      <c r="V1050" s="355"/>
      <c r="W1050" s="355"/>
      <c r="AG1050" s="355"/>
      <c r="AH1050" s="355"/>
      <c r="AI1050" s="355"/>
      <c r="AJ1050" s="355"/>
      <c r="AK1050" s="355"/>
      <c r="AL1050" s="355"/>
      <c r="AM1050" s="355"/>
      <c r="AU1050" s="379">
        <v>75711</v>
      </c>
      <c r="AV1050" s="375"/>
      <c r="AW1050" s="375"/>
      <c r="AX1050" s="375"/>
      <c r="AY1050" s="375"/>
      <c r="AZ1050" s="375"/>
      <c r="BA1050" s="375"/>
      <c r="BB1050" s="375"/>
      <c r="BC1050" s="375"/>
      <c r="BD1050" s="375"/>
      <c r="BE1050" s="375"/>
      <c r="BF1050" s="375">
        <v>7.1249999999999994E-2</v>
      </c>
      <c r="BG1050" s="375"/>
      <c r="BH1050" s="375"/>
      <c r="BI1050" s="373">
        <f t="shared" si="43"/>
        <v>7.1249999999999994E-2</v>
      </c>
      <c r="BT1050" s="355"/>
      <c r="BU1050" s="355"/>
      <c r="BV1050" s="355"/>
      <c r="BW1050" s="355"/>
    </row>
    <row r="1051" spans="1:75" x14ac:dyDescent="0.15">
      <c r="A1051" s="356"/>
      <c r="B1051" s="355"/>
      <c r="C1051" s="355"/>
      <c r="D1051" s="355"/>
      <c r="E1051" s="355"/>
      <c r="F1051" s="355"/>
      <c r="G1051" s="355"/>
      <c r="O1051" s="356"/>
      <c r="P1051" s="355"/>
      <c r="Q1051" s="355"/>
      <c r="R1051" s="355"/>
      <c r="S1051" s="355"/>
      <c r="T1051" s="355"/>
      <c r="U1051" s="355"/>
      <c r="V1051" s="355"/>
      <c r="W1051" s="355"/>
      <c r="AG1051" s="355"/>
      <c r="AH1051" s="355"/>
      <c r="AI1051" s="355"/>
      <c r="AJ1051" s="355"/>
      <c r="AK1051" s="355"/>
      <c r="AL1051" s="355"/>
      <c r="AM1051" s="355"/>
      <c r="AU1051" s="379">
        <v>75741</v>
      </c>
      <c r="AV1051" s="375"/>
      <c r="AW1051" s="375"/>
      <c r="AX1051" s="375"/>
      <c r="AY1051" s="375"/>
      <c r="AZ1051" s="375"/>
      <c r="BA1051" s="375"/>
      <c r="BB1051" s="375"/>
      <c r="BC1051" s="375"/>
      <c r="BD1051" s="375"/>
      <c r="BE1051" s="375"/>
      <c r="BF1051" s="375">
        <v>7.1249999999999994E-2</v>
      </c>
      <c r="BG1051" s="375"/>
      <c r="BH1051" s="375"/>
      <c r="BI1051" s="373">
        <f t="shared" si="43"/>
        <v>7.1249999999999994E-2</v>
      </c>
      <c r="BT1051" s="355"/>
      <c r="BU1051" s="355"/>
      <c r="BV1051" s="355"/>
      <c r="BW1051" s="355"/>
    </row>
    <row r="1052" spans="1:75" x14ac:dyDescent="0.15">
      <c r="A1052" s="356"/>
      <c r="B1052" s="355"/>
      <c r="C1052" s="355"/>
      <c r="D1052" s="355"/>
      <c r="E1052" s="355"/>
      <c r="F1052" s="355"/>
      <c r="G1052" s="355"/>
      <c r="O1052" s="356"/>
      <c r="P1052" s="355"/>
      <c r="Q1052" s="355"/>
      <c r="R1052" s="355"/>
      <c r="S1052" s="355"/>
      <c r="T1052" s="355"/>
      <c r="U1052" s="355"/>
      <c r="V1052" s="355"/>
      <c r="W1052" s="355"/>
      <c r="AG1052" s="355"/>
      <c r="AH1052" s="355"/>
      <c r="AI1052" s="355"/>
      <c r="AJ1052" s="355"/>
      <c r="AK1052" s="355"/>
      <c r="AL1052" s="355"/>
      <c r="AM1052" s="355"/>
      <c r="AU1052" s="379">
        <v>75772</v>
      </c>
      <c r="AV1052" s="375"/>
      <c r="AW1052" s="375"/>
      <c r="AX1052" s="375"/>
      <c r="AY1052" s="375"/>
      <c r="AZ1052" s="375"/>
      <c r="BA1052" s="375"/>
      <c r="BB1052" s="375"/>
      <c r="BC1052" s="375"/>
      <c r="BD1052" s="375"/>
      <c r="BE1052" s="375"/>
      <c r="BF1052" s="375">
        <v>7.1249999999999994E-2</v>
      </c>
      <c r="BG1052" s="375"/>
      <c r="BH1052" s="375"/>
      <c r="BI1052" s="373">
        <f t="shared" si="43"/>
        <v>7.1249999999999994E-2</v>
      </c>
      <c r="BT1052" s="355"/>
      <c r="BU1052" s="355"/>
      <c r="BV1052" s="355"/>
      <c r="BW1052" s="355"/>
    </row>
    <row r="1053" spans="1:75" x14ac:dyDescent="0.15">
      <c r="A1053" s="356"/>
      <c r="B1053" s="355"/>
      <c r="C1053" s="355"/>
      <c r="D1053" s="355"/>
      <c r="E1053" s="355"/>
      <c r="F1053" s="355"/>
      <c r="G1053" s="355"/>
      <c r="O1053" s="356"/>
      <c r="P1053" s="355"/>
      <c r="Q1053" s="355"/>
      <c r="R1053" s="355"/>
      <c r="S1053" s="355"/>
      <c r="T1053" s="355"/>
      <c r="U1053" s="355"/>
      <c r="V1053" s="355"/>
      <c r="W1053" s="355"/>
      <c r="AG1053" s="355"/>
      <c r="AH1053" s="355"/>
      <c r="AI1053" s="355"/>
      <c r="AJ1053" s="355"/>
      <c r="AK1053" s="355"/>
      <c r="AL1053" s="355"/>
      <c r="AM1053" s="355"/>
      <c r="AU1053" s="379">
        <v>75802</v>
      </c>
      <c r="AV1053" s="375"/>
      <c r="AW1053" s="375"/>
      <c r="AX1053" s="375"/>
      <c r="AY1053" s="375"/>
      <c r="AZ1053" s="375"/>
      <c r="BA1053" s="375"/>
      <c r="BB1053" s="375"/>
      <c r="BC1053" s="375"/>
      <c r="BD1053" s="375"/>
      <c r="BE1053" s="375"/>
      <c r="BF1053" s="375">
        <v>7.1249999999999994E-2</v>
      </c>
      <c r="BG1053" s="375"/>
      <c r="BH1053" s="375"/>
      <c r="BI1053" s="373">
        <f t="shared" si="43"/>
        <v>7.1249999999999994E-2</v>
      </c>
      <c r="BT1053" s="355"/>
      <c r="BU1053" s="355"/>
      <c r="BV1053" s="355"/>
      <c r="BW1053" s="355"/>
    </row>
    <row r="1054" spans="1:75" x14ac:dyDescent="0.15">
      <c r="A1054" s="356"/>
      <c r="B1054" s="355"/>
      <c r="C1054" s="355"/>
      <c r="D1054" s="355"/>
      <c r="E1054" s="355"/>
      <c r="F1054" s="355"/>
      <c r="G1054" s="355"/>
      <c r="O1054" s="356"/>
      <c r="P1054" s="355"/>
      <c r="Q1054" s="355"/>
      <c r="R1054" s="355"/>
      <c r="S1054" s="355"/>
      <c r="T1054" s="355"/>
      <c r="U1054" s="355"/>
      <c r="V1054" s="355"/>
      <c r="W1054" s="355"/>
      <c r="AG1054" s="355"/>
      <c r="AH1054" s="355"/>
      <c r="AI1054" s="355"/>
      <c r="AJ1054" s="355"/>
      <c r="AK1054" s="355"/>
      <c r="AL1054" s="355"/>
      <c r="AM1054" s="355"/>
      <c r="AU1054" s="379">
        <v>75833</v>
      </c>
      <c r="AV1054" s="375"/>
      <c r="AW1054" s="375"/>
      <c r="AX1054" s="375"/>
      <c r="AY1054" s="375"/>
      <c r="AZ1054" s="375"/>
      <c r="BA1054" s="375"/>
      <c r="BB1054" s="375"/>
      <c r="BC1054" s="375"/>
      <c r="BD1054" s="375"/>
      <c r="BE1054" s="375"/>
      <c r="BF1054" s="375">
        <v>7.1249999999999994E-2</v>
      </c>
      <c r="BG1054" s="375"/>
      <c r="BH1054" s="375"/>
      <c r="BI1054" s="373">
        <f t="shared" si="43"/>
        <v>7.1249999999999994E-2</v>
      </c>
      <c r="BT1054" s="355"/>
      <c r="BU1054" s="355"/>
      <c r="BV1054" s="355"/>
      <c r="BW1054" s="355"/>
    </row>
    <row r="1055" spans="1:75" x14ac:dyDescent="0.15">
      <c r="A1055" s="356"/>
      <c r="B1055" s="355"/>
      <c r="C1055" s="355"/>
      <c r="D1055" s="355"/>
      <c r="E1055" s="355"/>
      <c r="F1055" s="355"/>
      <c r="G1055" s="355"/>
      <c r="O1055" s="356"/>
      <c r="P1055" s="355"/>
      <c r="Q1055" s="355"/>
      <c r="R1055" s="355"/>
      <c r="S1055" s="355"/>
      <c r="T1055" s="355"/>
      <c r="U1055" s="355"/>
      <c r="V1055" s="355"/>
      <c r="W1055" s="355"/>
      <c r="AG1055" s="355"/>
      <c r="AH1055" s="355"/>
      <c r="AI1055" s="355"/>
      <c r="AJ1055" s="355"/>
      <c r="AK1055" s="355"/>
      <c r="AL1055" s="355"/>
      <c r="AM1055" s="355"/>
      <c r="AU1055" s="379">
        <v>75864</v>
      </c>
      <c r="AV1055" s="375"/>
      <c r="AW1055" s="375"/>
      <c r="AX1055" s="375"/>
      <c r="AY1055" s="375"/>
      <c r="AZ1055" s="375"/>
      <c r="BA1055" s="375"/>
      <c r="BB1055" s="375"/>
      <c r="BC1055" s="375"/>
      <c r="BD1055" s="375"/>
      <c r="BE1055" s="375"/>
      <c r="BF1055" s="375">
        <v>7.1249999999999994E-2</v>
      </c>
      <c r="BG1055" s="375"/>
      <c r="BH1055" s="375"/>
      <c r="BI1055" s="373">
        <f t="shared" si="43"/>
        <v>7.1249999999999994E-2</v>
      </c>
      <c r="BT1055" s="355"/>
      <c r="BU1055" s="355"/>
      <c r="BV1055" s="355"/>
      <c r="BW1055" s="355"/>
    </row>
    <row r="1056" spans="1:75" x14ac:dyDescent="0.15">
      <c r="A1056" s="356"/>
      <c r="B1056" s="355"/>
      <c r="C1056" s="355"/>
      <c r="D1056" s="355"/>
      <c r="E1056" s="355"/>
      <c r="F1056" s="355"/>
      <c r="G1056" s="355"/>
      <c r="O1056" s="356"/>
      <c r="P1056" s="355"/>
      <c r="Q1056" s="355"/>
      <c r="R1056" s="355"/>
      <c r="S1056" s="355"/>
      <c r="T1056" s="355"/>
      <c r="U1056" s="355"/>
      <c r="V1056" s="355"/>
      <c r="W1056" s="355"/>
      <c r="AG1056" s="355"/>
      <c r="AH1056" s="355"/>
      <c r="AI1056" s="355"/>
      <c r="AJ1056" s="355"/>
      <c r="AK1056" s="355"/>
      <c r="AL1056" s="355"/>
      <c r="AM1056" s="355"/>
      <c r="AU1056" s="379">
        <v>75894</v>
      </c>
      <c r="AV1056" s="375"/>
      <c r="AW1056" s="375"/>
      <c r="AX1056" s="375"/>
      <c r="AY1056" s="375"/>
      <c r="AZ1056" s="375"/>
      <c r="BA1056" s="375"/>
      <c r="BB1056" s="375"/>
      <c r="BC1056" s="375"/>
      <c r="BD1056" s="375"/>
      <c r="BE1056" s="375"/>
      <c r="BF1056" s="375">
        <v>7.1249999999999994E-2</v>
      </c>
      <c r="BG1056" s="375"/>
      <c r="BH1056" s="375"/>
      <c r="BI1056" s="373">
        <f t="shared" si="43"/>
        <v>7.1249999999999994E-2</v>
      </c>
      <c r="BT1056" s="355"/>
      <c r="BU1056" s="355"/>
      <c r="BV1056" s="355"/>
      <c r="BW1056" s="355"/>
    </row>
    <row r="1057" spans="1:75" x14ac:dyDescent="0.15">
      <c r="A1057" s="356"/>
      <c r="B1057" s="355"/>
      <c r="C1057" s="355"/>
      <c r="D1057" s="355"/>
      <c r="E1057" s="355"/>
      <c r="F1057" s="355"/>
      <c r="G1057" s="355"/>
      <c r="O1057" s="356"/>
      <c r="P1057" s="355"/>
      <c r="Q1057" s="355"/>
      <c r="R1057" s="355"/>
      <c r="S1057" s="355"/>
      <c r="T1057" s="355"/>
      <c r="U1057" s="355"/>
      <c r="V1057" s="355"/>
      <c r="W1057" s="355"/>
      <c r="AG1057" s="355"/>
      <c r="AH1057" s="355"/>
      <c r="AI1057" s="355"/>
      <c r="AJ1057" s="355"/>
      <c r="AK1057" s="355"/>
      <c r="AL1057" s="355"/>
      <c r="AM1057" s="355"/>
      <c r="AU1057" s="379">
        <v>75925</v>
      </c>
      <c r="AV1057" s="375"/>
      <c r="AW1057" s="375"/>
      <c r="AX1057" s="375"/>
      <c r="AY1057" s="375"/>
      <c r="AZ1057" s="375"/>
      <c r="BA1057" s="375"/>
      <c r="BB1057" s="375"/>
      <c r="BC1057" s="375"/>
      <c r="BD1057" s="375"/>
      <c r="BE1057" s="375"/>
      <c r="BF1057" s="375">
        <v>7.1249999999999994E-2</v>
      </c>
      <c r="BG1057" s="375"/>
      <c r="BH1057" s="375"/>
      <c r="BI1057" s="373">
        <f t="shared" si="43"/>
        <v>7.1249999999999994E-2</v>
      </c>
      <c r="BT1057" s="355"/>
      <c r="BU1057" s="355"/>
      <c r="BV1057" s="355"/>
      <c r="BW1057" s="355"/>
    </row>
    <row r="1058" spans="1:75" x14ac:dyDescent="0.15">
      <c r="A1058" s="356"/>
      <c r="B1058" s="355"/>
      <c r="C1058" s="355"/>
      <c r="D1058" s="355"/>
      <c r="E1058" s="355"/>
      <c r="F1058" s="355"/>
      <c r="G1058" s="355"/>
      <c r="O1058" s="356"/>
      <c r="P1058" s="355"/>
      <c r="Q1058" s="355"/>
      <c r="R1058" s="355"/>
      <c r="S1058" s="355"/>
      <c r="T1058" s="355"/>
      <c r="U1058" s="355"/>
      <c r="V1058" s="355"/>
      <c r="W1058" s="355"/>
      <c r="AG1058" s="355"/>
      <c r="AH1058" s="355"/>
      <c r="AI1058" s="355"/>
      <c r="AJ1058" s="355"/>
      <c r="AK1058" s="355"/>
      <c r="AL1058" s="355"/>
      <c r="AM1058" s="355"/>
      <c r="AU1058" s="379">
        <v>75955</v>
      </c>
      <c r="AV1058" s="375"/>
      <c r="AW1058" s="375"/>
      <c r="AX1058" s="375"/>
      <c r="AY1058" s="375"/>
      <c r="AZ1058" s="375"/>
      <c r="BA1058" s="375"/>
      <c r="BB1058" s="375"/>
      <c r="BC1058" s="375"/>
      <c r="BD1058" s="375"/>
      <c r="BE1058" s="375"/>
      <c r="BF1058" s="375">
        <v>7.1249999999999994E-2</v>
      </c>
      <c r="BG1058" s="375"/>
      <c r="BH1058" s="375"/>
      <c r="BI1058" s="373">
        <f t="shared" si="43"/>
        <v>7.1249999999999994E-2</v>
      </c>
      <c r="BT1058" s="355"/>
      <c r="BU1058" s="355"/>
      <c r="BV1058" s="355"/>
      <c r="BW1058" s="355"/>
    </row>
    <row r="1059" spans="1:75" x14ac:dyDescent="0.15">
      <c r="A1059" s="356"/>
      <c r="B1059" s="355"/>
      <c r="C1059" s="355"/>
      <c r="D1059" s="355"/>
      <c r="E1059" s="355"/>
      <c r="F1059" s="355"/>
      <c r="G1059" s="355"/>
      <c r="O1059" s="356"/>
      <c r="P1059" s="355"/>
      <c r="Q1059" s="355"/>
      <c r="R1059" s="355"/>
      <c r="S1059" s="355"/>
      <c r="T1059" s="355"/>
      <c r="U1059" s="355"/>
      <c r="V1059" s="355"/>
      <c r="W1059" s="355"/>
      <c r="AG1059" s="355"/>
      <c r="AH1059" s="355"/>
      <c r="AI1059" s="355"/>
      <c r="AJ1059" s="355"/>
      <c r="AK1059" s="355"/>
      <c r="AL1059" s="355"/>
      <c r="AM1059" s="355"/>
      <c r="AU1059" s="379">
        <v>75986</v>
      </c>
      <c r="AV1059" s="375"/>
      <c r="AW1059" s="375"/>
      <c r="AX1059" s="375"/>
      <c r="AY1059" s="375"/>
      <c r="AZ1059" s="375"/>
      <c r="BA1059" s="375"/>
      <c r="BB1059" s="375"/>
      <c r="BC1059" s="375"/>
      <c r="BD1059" s="375"/>
      <c r="BE1059" s="375"/>
      <c r="BF1059" s="375">
        <v>7.1249999999999994E-2</v>
      </c>
      <c r="BG1059" s="375"/>
      <c r="BH1059" s="375"/>
      <c r="BI1059" s="373">
        <f t="shared" si="43"/>
        <v>7.1249999999999994E-2</v>
      </c>
      <c r="BT1059" s="355"/>
      <c r="BU1059" s="355"/>
      <c r="BV1059" s="355"/>
      <c r="BW1059" s="355"/>
    </row>
    <row r="1060" spans="1:75" x14ac:dyDescent="0.15">
      <c r="A1060" s="356"/>
      <c r="B1060" s="355"/>
      <c r="C1060" s="355"/>
      <c r="D1060" s="355"/>
      <c r="E1060" s="355"/>
      <c r="F1060" s="355"/>
      <c r="G1060" s="355"/>
      <c r="O1060" s="356"/>
      <c r="P1060" s="355"/>
      <c r="Q1060" s="355"/>
      <c r="R1060" s="355"/>
      <c r="S1060" s="355"/>
      <c r="T1060" s="355"/>
      <c r="U1060" s="355"/>
      <c r="V1060" s="355"/>
      <c r="W1060" s="355"/>
      <c r="AG1060" s="355"/>
      <c r="AH1060" s="355"/>
      <c r="AI1060" s="355"/>
      <c r="AJ1060" s="355"/>
      <c r="AK1060" s="355"/>
      <c r="AL1060" s="355"/>
      <c r="AM1060" s="355"/>
      <c r="AU1060" s="379">
        <v>76017</v>
      </c>
      <c r="AV1060" s="375"/>
      <c r="AW1060" s="375"/>
      <c r="AX1060" s="375"/>
      <c r="AY1060" s="375"/>
      <c r="AZ1060" s="375"/>
      <c r="BA1060" s="375"/>
      <c r="BB1060" s="375"/>
      <c r="BC1060" s="375"/>
      <c r="BD1060" s="375"/>
      <c r="BE1060" s="375"/>
      <c r="BF1060" s="375">
        <v>7.1249999999999994E-2</v>
      </c>
      <c r="BG1060" s="375"/>
      <c r="BH1060" s="375"/>
      <c r="BI1060" s="373">
        <f t="shared" si="43"/>
        <v>7.1249999999999994E-2</v>
      </c>
      <c r="BT1060" s="355"/>
      <c r="BU1060" s="355"/>
      <c r="BV1060" s="355"/>
      <c r="BW1060" s="355"/>
    </row>
    <row r="1061" spans="1:75" x14ac:dyDescent="0.15">
      <c r="A1061" s="356"/>
      <c r="B1061" s="355"/>
      <c r="C1061" s="355"/>
      <c r="D1061" s="355"/>
      <c r="E1061" s="355"/>
      <c r="F1061" s="355"/>
      <c r="G1061" s="355"/>
      <c r="O1061" s="356"/>
      <c r="P1061" s="355"/>
      <c r="Q1061" s="355"/>
      <c r="R1061" s="355"/>
      <c r="S1061" s="355"/>
      <c r="T1061" s="355"/>
      <c r="U1061" s="355"/>
      <c r="V1061" s="355"/>
      <c r="W1061" s="355"/>
      <c r="AG1061" s="355"/>
      <c r="AH1061" s="355"/>
      <c r="AI1061" s="355"/>
      <c r="AJ1061" s="355"/>
      <c r="AK1061" s="355"/>
      <c r="AL1061" s="355"/>
      <c r="AM1061" s="355"/>
      <c r="AU1061" s="379">
        <v>76046</v>
      </c>
      <c r="AV1061" s="375"/>
      <c r="AW1061" s="375"/>
      <c r="AX1061" s="375"/>
      <c r="AY1061" s="375"/>
      <c r="AZ1061" s="375"/>
      <c r="BA1061" s="375"/>
      <c r="BB1061" s="375"/>
      <c r="BC1061" s="375"/>
      <c r="BD1061" s="375"/>
      <c r="BE1061" s="375"/>
      <c r="BF1061" s="375">
        <v>7.1249999999999994E-2</v>
      </c>
      <c r="BG1061" s="375"/>
      <c r="BH1061" s="375"/>
      <c r="BI1061" s="373">
        <f t="shared" si="43"/>
        <v>7.1249999999999994E-2</v>
      </c>
      <c r="BT1061" s="355"/>
      <c r="BU1061" s="355"/>
      <c r="BV1061" s="355"/>
      <c r="BW1061" s="355"/>
    </row>
    <row r="1062" spans="1:75" x14ac:dyDescent="0.15">
      <c r="A1062" s="356"/>
      <c r="B1062" s="355"/>
      <c r="C1062" s="355"/>
      <c r="D1062" s="355"/>
      <c r="E1062" s="355"/>
      <c r="F1062" s="355"/>
      <c r="G1062" s="355"/>
      <c r="O1062" s="356"/>
      <c r="P1062" s="355"/>
      <c r="Q1062" s="355"/>
      <c r="R1062" s="355"/>
      <c r="S1062" s="355"/>
      <c r="T1062" s="355"/>
      <c r="U1062" s="355"/>
      <c r="V1062" s="355"/>
      <c r="W1062" s="355"/>
      <c r="AG1062" s="355"/>
      <c r="AH1062" s="355"/>
      <c r="AI1062" s="355"/>
      <c r="AJ1062" s="355"/>
      <c r="AK1062" s="355"/>
      <c r="AL1062" s="355"/>
      <c r="AM1062" s="355"/>
      <c r="AU1062" s="379">
        <v>76077</v>
      </c>
      <c r="AV1062" s="375"/>
      <c r="AW1062" s="375"/>
      <c r="AX1062" s="375"/>
      <c r="AY1062" s="375"/>
      <c r="AZ1062" s="375"/>
      <c r="BA1062" s="375"/>
      <c r="BB1062" s="375"/>
      <c r="BC1062" s="375"/>
      <c r="BD1062" s="375"/>
      <c r="BE1062" s="375"/>
      <c r="BF1062" s="375">
        <v>7.1249999999999994E-2</v>
      </c>
      <c r="BG1062" s="375"/>
      <c r="BH1062" s="375"/>
      <c r="BI1062" s="373">
        <f t="shared" si="43"/>
        <v>7.1249999999999994E-2</v>
      </c>
      <c r="BT1062" s="355"/>
      <c r="BU1062" s="355"/>
      <c r="BV1062" s="355"/>
      <c r="BW1062" s="355"/>
    </row>
    <row r="1063" spans="1:75" x14ac:dyDescent="0.15">
      <c r="A1063" s="356"/>
      <c r="B1063" s="355"/>
      <c r="C1063" s="355"/>
      <c r="D1063" s="355"/>
      <c r="E1063" s="355"/>
      <c r="F1063" s="355"/>
      <c r="G1063" s="355"/>
      <c r="O1063" s="356"/>
      <c r="P1063" s="355"/>
      <c r="Q1063" s="355"/>
      <c r="R1063" s="355"/>
      <c r="S1063" s="355"/>
      <c r="T1063" s="355"/>
      <c r="U1063" s="355"/>
      <c r="V1063" s="355"/>
      <c r="W1063" s="355"/>
      <c r="AG1063" s="355"/>
      <c r="AH1063" s="355"/>
      <c r="AI1063" s="355"/>
      <c r="AJ1063" s="355"/>
      <c r="AK1063" s="355"/>
      <c r="AL1063" s="355"/>
      <c r="AM1063" s="355"/>
      <c r="AU1063" s="379">
        <v>76107</v>
      </c>
      <c r="AV1063" s="375"/>
      <c r="AW1063" s="375"/>
      <c r="AX1063" s="375"/>
      <c r="AY1063" s="375"/>
      <c r="AZ1063" s="375"/>
      <c r="BA1063" s="375"/>
      <c r="BB1063" s="375"/>
      <c r="BC1063" s="375"/>
      <c r="BD1063" s="375"/>
      <c r="BE1063" s="375"/>
      <c r="BF1063" s="375">
        <v>7.1249999999999994E-2</v>
      </c>
      <c r="BG1063" s="375"/>
      <c r="BH1063" s="375"/>
      <c r="BI1063" s="373">
        <f t="shared" si="43"/>
        <v>7.1249999999999994E-2</v>
      </c>
      <c r="BT1063" s="355"/>
      <c r="BU1063" s="355"/>
      <c r="BV1063" s="355"/>
      <c r="BW1063" s="355"/>
    </row>
    <row r="1064" spans="1:75" x14ac:dyDescent="0.15">
      <c r="A1064" s="356"/>
      <c r="B1064" s="355"/>
      <c r="C1064" s="355"/>
      <c r="D1064" s="355"/>
      <c r="E1064" s="355"/>
      <c r="F1064" s="355"/>
      <c r="G1064" s="355"/>
      <c r="O1064" s="356"/>
      <c r="P1064" s="355"/>
      <c r="Q1064" s="355"/>
      <c r="R1064" s="355"/>
      <c r="S1064" s="355"/>
      <c r="T1064" s="355"/>
      <c r="U1064" s="355"/>
      <c r="V1064" s="355"/>
      <c r="W1064" s="355"/>
      <c r="AG1064" s="355"/>
      <c r="AH1064" s="355"/>
      <c r="AI1064" s="355"/>
      <c r="AJ1064" s="355"/>
      <c r="AK1064" s="355"/>
      <c r="AL1064" s="355"/>
      <c r="AM1064" s="355"/>
      <c r="AU1064" s="379">
        <v>76138</v>
      </c>
      <c r="AV1064" s="375"/>
      <c r="AW1064" s="375"/>
      <c r="AX1064" s="375"/>
      <c r="AY1064" s="375"/>
      <c r="AZ1064" s="375"/>
      <c r="BA1064" s="375"/>
      <c r="BB1064" s="375"/>
      <c r="BC1064" s="375"/>
      <c r="BD1064" s="375"/>
      <c r="BE1064" s="375"/>
      <c r="BF1064" s="375">
        <v>7.1249999999999994E-2</v>
      </c>
      <c r="BG1064" s="375"/>
      <c r="BH1064" s="375"/>
      <c r="BI1064" s="373">
        <f t="shared" si="43"/>
        <v>7.1249999999999994E-2</v>
      </c>
      <c r="BT1064" s="355"/>
      <c r="BU1064" s="355"/>
      <c r="BV1064" s="355"/>
      <c r="BW1064" s="355"/>
    </row>
    <row r="1065" spans="1:75" x14ac:dyDescent="0.15">
      <c r="A1065" s="356"/>
      <c r="B1065" s="355"/>
      <c r="C1065" s="355"/>
      <c r="D1065" s="355"/>
      <c r="E1065" s="355"/>
      <c r="F1065" s="355"/>
      <c r="G1065" s="355"/>
      <c r="O1065" s="356"/>
      <c r="P1065" s="355"/>
      <c r="Q1065" s="355"/>
      <c r="R1065" s="355"/>
      <c r="S1065" s="355"/>
      <c r="T1065" s="355"/>
      <c r="U1065" s="355"/>
      <c r="V1065" s="355"/>
      <c r="W1065" s="355"/>
      <c r="AG1065" s="355"/>
      <c r="AH1065" s="355"/>
      <c r="AI1065" s="355"/>
      <c r="AJ1065" s="355"/>
      <c r="AK1065" s="355"/>
      <c r="AL1065" s="355"/>
      <c r="AM1065" s="355"/>
      <c r="AU1065" s="379">
        <v>76168</v>
      </c>
      <c r="AV1065" s="375"/>
      <c r="AW1065" s="375"/>
      <c r="AX1065" s="375"/>
      <c r="AY1065" s="375"/>
      <c r="AZ1065" s="375"/>
      <c r="BA1065" s="375"/>
      <c r="BB1065" s="375"/>
      <c r="BC1065" s="375"/>
      <c r="BD1065" s="375"/>
      <c r="BE1065" s="375"/>
      <c r="BF1065" s="375">
        <v>7.1249999999999994E-2</v>
      </c>
      <c r="BG1065" s="375"/>
      <c r="BH1065" s="375"/>
      <c r="BI1065" s="373">
        <f t="shared" si="43"/>
        <v>7.1249999999999994E-2</v>
      </c>
      <c r="BT1065" s="355"/>
      <c r="BU1065" s="355"/>
      <c r="BV1065" s="355"/>
      <c r="BW1065" s="355"/>
    </row>
    <row r="1066" spans="1:75" x14ac:dyDescent="0.15">
      <c r="A1066" s="356"/>
      <c r="B1066" s="355"/>
      <c r="C1066" s="355"/>
      <c r="D1066" s="355"/>
      <c r="E1066" s="355"/>
      <c r="F1066" s="355"/>
      <c r="G1066" s="355"/>
      <c r="O1066" s="356"/>
      <c r="P1066" s="355"/>
      <c r="Q1066" s="355"/>
      <c r="R1066" s="355"/>
      <c r="S1066" s="355"/>
      <c r="T1066" s="355"/>
      <c r="U1066" s="355"/>
      <c r="V1066" s="355"/>
      <c r="W1066" s="355"/>
      <c r="AG1066" s="355"/>
      <c r="AH1066" s="355"/>
      <c r="AI1066" s="355"/>
      <c r="AJ1066" s="355"/>
      <c r="AK1066" s="355"/>
      <c r="AL1066" s="355"/>
      <c r="AM1066" s="355"/>
      <c r="AU1066" s="379">
        <v>76199</v>
      </c>
      <c r="AV1066" s="375"/>
      <c r="AW1066" s="375"/>
      <c r="AX1066" s="375"/>
      <c r="AY1066" s="375"/>
      <c r="AZ1066" s="375"/>
      <c r="BA1066" s="375"/>
      <c r="BB1066" s="375"/>
      <c r="BC1066" s="375"/>
      <c r="BD1066" s="375"/>
      <c r="BE1066" s="375"/>
      <c r="BF1066" s="375">
        <v>7.1249999999999994E-2</v>
      </c>
      <c r="BG1066" s="375"/>
      <c r="BH1066" s="375"/>
      <c r="BI1066" s="373">
        <f t="shared" si="43"/>
        <v>7.1249999999999994E-2</v>
      </c>
      <c r="BT1066" s="355"/>
      <c r="BU1066" s="355"/>
      <c r="BV1066" s="355"/>
      <c r="BW1066" s="355"/>
    </row>
    <row r="1067" spans="1:75" x14ac:dyDescent="0.15">
      <c r="A1067" s="356"/>
      <c r="B1067" s="355"/>
      <c r="C1067" s="355"/>
      <c r="D1067" s="355"/>
      <c r="E1067" s="355"/>
      <c r="F1067" s="355"/>
      <c r="G1067" s="355"/>
      <c r="O1067" s="356"/>
      <c r="P1067" s="355"/>
      <c r="Q1067" s="355"/>
      <c r="R1067" s="355"/>
      <c r="S1067" s="355"/>
      <c r="T1067" s="355"/>
      <c r="U1067" s="355"/>
      <c r="V1067" s="355"/>
      <c r="W1067" s="355"/>
      <c r="AG1067" s="355"/>
      <c r="AH1067" s="355"/>
      <c r="AI1067" s="355"/>
      <c r="AJ1067" s="355"/>
      <c r="AK1067" s="355"/>
      <c r="AL1067" s="355"/>
      <c r="AM1067" s="355"/>
      <c r="AU1067" s="379">
        <v>76230</v>
      </c>
      <c r="AV1067" s="375"/>
      <c r="AW1067" s="375"/>
      <c r="AX1067" s="375"/>
      <c r="AY1067" s="375"/>
      <c r="AZ1067" s="375"/>
      <c r="BA1067" s="375"/>
      <c r="BB1067" s="375"/>
      <c r="BC1067" s="375"/>
      <c r="BD1067" s="375"/>
      <c r="BE1067" s="375"/>
      <c r="BF1067" s="375">
        <v>7.1249999999999994E-2</v>
      </c>
      <c r="BG1067" s="375"/>
      <c r="BH1067" s="375"/>
      <c r="BI1067" s="373">
        <f t="shared" si="43"/>
        <v>7.1249999999999994E-2</v>
      </c>
      <c r="BT1067" s="355"/>
      <c r="BU1067" s="355"/>
      <c r="BV1067" s="355"/>
      <c r="BW1067" s="355"/>
    </row>
    <row r="1068" spans="1:75" x14ac:dyDescent="0.15">
      <c r="A1068" s="356"/>
      <c r="B1068" s="355"/>
      <c r="C1068" s="355"/>
      <c r="D1068" s="355"/>
      <c r="E1068" s="355"/>
      <c r="F1068" s="355"/>
      <c r="G1068" s="355"/>
      <c r="O1068" s="356"/>
      <c r="P1068" s="355"/>
      <c r="Q1068" s="355"/>
      <c r="R1068" s="355"/>
      <c r="S1068" s="355"/>
      <c r="T1068" s="355"/>
      <c r="U1068" s="355"/>
      <c r="V1068" s="355"/>
      <c r="W1068" s="355"/>
      <c r="AG1068" s="355"/>
      <c r="AH1068" s="355"/>
      <c r="AI1068" s="355"/>
      <c r="AJ1068" s="355"/>
      <c r="AK1068" s="355"/>
      <c r="AL1068" s="355"/>
      <c r="AM1068" s="355"/>
      <c r="AU1068" s="379">
        <v>76260</v>
      </c>
      <c r="AV1068" s="375"/>
      <c r="AW1068" s="375"/>
      <c r="AX1068" s="375"/>
      <c r="AY1068" s="375"/>
      <c r="AZ1068" s="375"/>
      <c r="BA1068" s="375"/>
      <c r="BB1068" s="375"/>
      <c r="BC1068" s="375"/>
      <c r="BD1068" s="375"/>
      <c r="BE1068" s="375"/>
      <c r="BF1068" s="375">
        <v>7.1249999999999994E-2</v>
      </c>
      <c r="BG1068" s="375"/>
      <c r="BH1068" s="375"/>
      <c r="BI1068" s="373">
        <f t="shared" si="43"/>
        <v>7.1249999999999994E-2</v>
      </c>
      <c r="BT1068" s="355"/>
      <c r="BU1068" s="355"/>
      <c r="BV1068" s="355"/>
      <c r="BW1068" s="355"/>
    </row>
    <row r="1069" spans="1:75" x14ac:dyDescent="0.15">
      <c r="A1069" s="356"/>
      <c r="B1069" s="355"/>
      <c r="C1069" s="355"/>
      <c r="D1069" s="355"/>
      <c r="E1069" s="355"/>
      <c r="F1069" s="355"/>
      <c r="G1069" s="355"/>
      <c r="O1069" s="356"/>
      <c r="P1069" s="355"/>
      <c r="Q1069" s="355"/>
      <c r="R1069" s="355"/>
      <c r="S1069" s="355"/>
      <c r="T1069" s="355"/>
      <c r="U1069" s="355"/>
      <c r="V1069" s="355"/>
      <c r="W1069" s="355"/>
      <c r="AG1069" s="355"/>
      <c r="AH1069" s="355"/>
      <c r="AI1069" s="355"/>
      <c r="AJ1069" s="355"/>
      <c r="AK1069" s="355"/>
      <c r="AL1069" s="355"/>
      <c r="AM1069" s="355"/>
      <c r="AU1069" s="379">
        <v>76291</v>
      </c>
      <c r="AV1069" s="375"/>
      <c r="AW1069" s="375"/>
      <c r="AX1069" s="375"/>
      <c r="AY1069" s="375"/>
      <c r="AZ1069" s="375"/>
      <c r="BA1069" s="375"/>
      <c r="BB1069" s="375"/>
      <c r="BC1069" s="375"/>
      <c r="BD1069" s="375"/>
      <c r="BE1069" s="375"/>
      <c r="BF1069" s="375">
        <v>7.1249999999999994E-2</v>
      </c>
      <c r="BG1069" s="375"/>
      <c r="BH1069" s="375"/>
      <c r="BI1069" s="373">
        <f t="shared" si="43"/>
        <v>7.1249999999999994E-2</v>
      </c>
      <c r="BT1069" s="355"/>
      <c r="BU1069" s="355"/>
      <c r="BV1069" s="355"/>
      <c r="BW1069" s="355"/>
    </row>
    <row r="1070" spans="1:75" x14ac:dyDescent="0.15">
      <c r="A1070" s="356"/>
      <c r="B1070" s="355"/>
      <c r="C1070" s="355"/>
      <c r="D1070" s="355"/>
      <c r="E1070" s="355"/>
      <c r="F1070" s="355"/>
      <c r="G1070" s="355"/>
      <c r="O1070" s="356"/>
      <c r="P1070" s="355"/>
      <c r="Q1070" s="355"/>
      <c r="R1070" s="355"/>
      <c r="S1070" s="355"/>
      <c r="T1070" s="355"/>
      <c r="U1070" s="355"/>
      <c r="V1070" s="355"/>
      <c r="W1070" s="355"/>
      <c r="AG1070" s="355"/>
      <c r="AH1070" s="355"/>
      <c r="AI1070" s="355"/>
      <c r="AJ1070" s="355"/>
      <c r="AK1070" s="355"/>
      <c r="AL1070" s="355"/>
      <c r="AM1070" s="355"/>
      <c r="AU1070" s="379">
        <v>76321</v>
      </c>
      <c r="AV1070" s="375"/>
      <c r="AW1070" s="375"/>
      <c r="AX1070" s="375"/>
      <c r="AY1070" s="375"/>
      <c r="AZ1070" s="375"/>
      <c r="BA1070" s="375"/>
      <c r="BB1070" s="375"/>
      <c r="BC1070" s="375"/>
      <c r="BD1070" s="375"/>
      <c r="BE1070" s="375"/>
      <c r="BF1070" s="375">
        <v>7.1249999999999994E-2</v>
      </c>
      <c r="BG1070" s="375"/>
      <c r="BH1070" s="375"/>
      <c r="BI1070" s="373">
        <f t="shared" si="43"/>
        <v>7.1249999999999994E-2</v>
      </c>
      <c r="BT1070" s="355"/>
      <c r="BU1070" s="355"/>
      <c r="BV1070" s="355"/>
      <c r="BW1070" s="355"/>
    </row>
    <row r="1071" spans="1:75" x14ac:dyDescent="0.15">
      <c r="A1071" s="356"/>
      <c r="B1071" s="355"/>
      <c r="C1071" s="355"/>
      <c r="D1071" s="355"/>
      <c r="E1071" s="355"/>
      <c r="F1071" s="355"/>
      <c r="G1071" s="355"/>
      <c r="O1071" s="356"/>
      <c r="P1071" s="355"/>
      <c r="Q1071" s="355"/>
      <c r="R1071" s="355"/>
      <c r="S1071" s="355"/>
      <c r="T1071" s="355"/>
      <c r="U1071" s="355"/>
      <c r="V1071" s="355"/>
      <c r="W1071" s="355"/>
      <c r="AG1071" s="355"/>
      <c r="AH1071" s="355"/>
      <c r="AI1071" s="355"/>
      <c r="AJ1071" s="355"/>
      <c r="AK1071" s="355"/>
      <c r="AL1071" s="355"/>
      <c r="AM1071" s="355"/>
      <c r="AU1071" s="379">
        <v>76352</v>
      </c>
      <c r="AV1071" s="375"/>
      <c r="AW1071" s="375"/>
      <c r="AX1071" s="375"/>
      <c r="AY1071" s="375"/>
      <c r="AZ1071" s="375"/>
      <c r="BA1071" s="375"/>
      <c r="BB1071" s="375"/>
      <c r="BC1071" s="375"/>
      <c r="BD1071" s="375"/>
      <c r="BE1071" s="375"/>
      <c r="BF1071" s="375">
        <v>7.1249999999999994E-2</v>
      </c>
      <c r="BG1071" s="375"/>
      <c r="BH1071" s="375"/>
      <c r="BI1071" s="373">
        <f t="shared" si="43"/>
        <v>7.1249999999999994E-2</v>
      </c>
      <c r="BT1071" s="355"/>
      <c r="BU1071" s="355"/>
      <c r="BV1071" s="355"/>
      <c r="BW1071" s="355"/>
    </row>
    <row r="1072" spans="1:75" x14ac:dyDescent="0.15">
      <c r="A1072" s="356"/>
      <c r="B1072" s="355"/>
      <c r="C1072" s="355"/>
      <c r="D1072" s="355"/>
      <c r="E1072" s="355"/>
      <c r="F1072" s="355"/>
      <c r="G1072" s="355"/>
      <c r="O1072" s="356"/>
      <c r="P1072" s="355"/>
      <c r="Q1072" s="355"/>
      <c r="R1072" s="355"/>
      <c r="S1072" s="355"/>
      <c r="T1072" s="355"/>
      <c r="U1072" s="355"/>
      <c r="V1072" s="355"/>
      <c r="W1072" s="355"/>
      <c r="AG1072" s="355"/>
      <c r="AH1072" s="355"/>
      <c r="AI1072" s="355"/>
      <c r="AJ1072" s="355"/>
      <c r="AK1072" s="355"/>
      <c r="AL1072" s="355"/>
      <c r="AM1072" s="355"/>
      <c r="AU1072" s="379">
        <v>76383</v>
      </c>
      <c r="AV1072" s="375"/>
      <c r="AW1072" s="375"/>
      <c r="AX1072" s="375"/>
      <c r="AY1072" s="375"/>
      <c r="AZ1072" s="375"/>
      <c r="BA1072" s="375"/>
      <c r="BB1072" s="375"/>
      <c r="BC1072" s="375"/>
      <c r="BD1072" s="375"/>
      <c r="BE1072" s="375"/>
      <c r="BF1072" s="375">
        <v>7.1249999999999994E-2</v>
      </c>
      <c r="BG1072" s="375"/>
      <c r="BH1072" s="375"/>
      <c r="BI1072" s="373">
        <f t="shared" si="43"/>
        <v>7.1249999999999994E-2</v>
      </c>
      <c r="BT1072" s="355"/>
      <c r="BU1072" s="355"/>
      <c r="BV1072" s="355"/>
      <c r="BW1072" s="355"/>
    </row>
    <row r="1073" spans="1:75" x14ac:dyDescent="0.15">
      <c r="A1073" s="356"/>
      <c r="B1073" s="355"/>
      <c r="C1073" s="355"/>
      <c r="D1073" s="355"/>
      <c r="E1073" s="355"/>
      <c r="F1073" s="355"/>
      <c r="G1073" s="355"/>
      <c r="O1073" s="356"/>
      <c r="P1073" s="355"/>
      <c r="Q1073" s="355"/>
      <c r="R1073" s="355"/>
      <c r="S1073" s="355"/>
      <c r="T1073" s="355"/>
      <c r="U1073" s="355"/>
      <c r="V1073" s="355"/>
      <c r="W1073" s="355"/>
      <c r="AG1073" s="355"/>
      <c r="AH1073" s="355"/>
      <c r="AI1073" s="355"/>
      <c r="AJ1073" s="355"/>
      <c r="AK1073" s="355"/>
      <c r="AL1073" s="355"/>
      <c r="AM1073" s="355"/>
      <c r="AU1073" s="379">
        <v>76411</v>
      </c>
      <c r="AV1073" s="375"/>
      <c r="AW1073" s="375"/>
      <c r="AX1073" s="375"/>
      <c r="AY1073" s="375"/>
      <c r="AZ1073" s="375"/>
      <c r="BA1073" s="375"/>
      <c r="BB1073" s="375"/>
      <c r="BC1073" s="375"/>
      <c r="BD1073" s="375"/>
      <c r="BE1073" s="375"/>
      <c r="BF1073" s="375">
        <v>7.1249999999999994E-2</v>
      </c>
      <c r="BG1073" s="375"/>
      <c r="BH1073" s="375"/>
      <c r="BI1073" s="373">
        <f t="shared" si="43"/>
        <v>7.1249999999999994E-2</v>
      </c>
      <c r="BT1073" s="355"/>
      <c r="BU1073" s="355"/>
      <c r="BV1073" s="355"/>
      <c r="BW1073" s="355"/>
    </row>
    <row r="1074" spans="1:75" x14ac:dyDescent="0.15">
      <c r="A1074" s="356"/>
      <c r="B1074" s="355"/>
      <c r="C1074" s="355"/>
      <c r="D1074" s="355"/>
      <c r="E1074" s="355"/>
      <c r="F1074" s="355"/>
      <c r="G1074" s="355"/>
      <c r="O1074" s="356"/>
      <c r="P1074" s="355"/>
      <c r="Q1074" s="355"/>
      <c r="R1074" s="355"/>
      <c r="S1074" s="355"/>
      <c r="T1074" s="355"/>
      <c r="U1074" s="355"/>
      <c r="V1074" s="355"/>
      <c r="W1074" s="355"/>
      <c r="AG1074" s="355"/>
      <c r="AH1074" s="355"/>
      <c r="AI1074" s="355"/>
      <c r="AJ1074" s="355"/>
      <c r="AK1074" s="355"/>
      <c r="AL1074" s="355"/>
      <c r="AM1074" s="355"/>
      <c r="AU1074" s="379">
        <v>76442</v>
      </c>
      <c r="AV1074" s="375"/>
      <c r="AW1074" s="375"/>
      <c r="AX1074" s="375"/>
      <c r="AY1074" s="375"/>
      <c r="AZ1074" s="375"/>
      <c r="BA1074" s="375"/>
      <c r="BB1074" s="375"/>
      <c r="BC1074" s="375"/>
      <c r="BD1074" s="375"/>
      <c r="BE1074" s="375"/>
      <c r="BF1074" s="375">
        <v>7.1249999999999994E-2</v>
      </c>
      <c r="BG1074" s="375"/>
      <c r="BH1074" s="375"/>
      <c r="BI1074" s="373">
        <f t="shared" si="43"/>
        <v>7.1249999999999994E-2</v>
      </c>
      <c r="BT1074" s="355"/>
      <c r="BU1074" s="355"/>
      <c r="BV1074" s="355"/>
      <c r="BW1074" s="355"/>
    </row>
    <row r="1075" spans="1:75" x14ac:dyDescent="0.15">
      <c r="A1075" s="356"/>
      <c r="B1075" s="355"/>
      <c r="C1075" s="355"/>
      <c r="D1075" s="355"/>
      <c r="E1075" s="355"/>
      <c r="F1075" s="355"/>
      <c r="G1075" s="355"/>
      <c r="O1075" s="356"/>
      <c r="P1075" s="355"/>
      <c r="Q1075" s="355"/>
      <c r="R1075" s="355"/>
      <c r="S1075" s="355"/>
      <c r="T1075" s="355"/>
      <c r="U1075" s="355"/>
      <c r="V1075" s="355"/>
      <c r="W1075" s="355"/>
      <c r="AG1075" s="355"/>
      <c r="AH1075" s="355"/>
      <c r="AI1075" s="355"/>
      <c r="AJ1075" s="355"/>
      <c r="AK1075" s="355"/>
      <c r="AL1075" s="355"/>
      <c r="AM1075" s="355"/>
      <c r="AU1075" s="379">
        <v>76472</v>
      </c>
      <c r="AV1075" s="375"/>
      <c r="AW1075" s="375"/>
      <c r="AX1075" s="375"/>
      <c r="AY1075" s="375"/>
      <c r="AZ1075" s="375"/>
      <c r="BA1075" s="375"/>
      <c r="BB1075" s="375"/>
      <c r="BC1075" s="375"/>
      <c r="BD1075" s="375"/>
      <c r="BE1075" s="375"/>
      <c r="BF1075" s="375">
        <v>7.1249999999999994E-2</v>
      </c>
      <c r="BG1075" s="375"/>
      <c r="BH1075" s="375"/>
      <c r="BI1075" s="373">
        <f t="shared" si="43"/>
        <v>7.1249999999999994E-2</v>
      </c>
      <c r="BT1075" s="355"/>
      <c r="BU1075" s="355"/>
      <c r="BV1075" s="355"/>
      <c r="BW1075" s="355"/>
    </row>
    <row r="1076" spans="1:75" x14ac:dyDescent="0.15">
      <c r="A1076" s="356"/>
      <c r="B1076" s="355"/>
      <c r="C1076" s="355"/>
      <c r="D1076" s="355"/>
      <c r="E1076" s="355"/>
      <c r="F1076" s="355"/>
      <c r="G1076" s="355"/>
      <c r="O1076" s="356"/>
      <c r="P1076" s="355"/>
      <c r="Q1076" s="355"/>
      <c r="R1076" s="355"/>
      <c r="S1076" s="355"/>
      <c r="T1076" s="355"/>
      <c r="U1076" s="355"/>
      <c r="V1076" s="355"/>
      <c r="W1076" s="355"/>
      <c r="AG1076" s="355"/>
      <c r="AH1076" s="355"/>
      <c r="AI1076" s="355"/>
      <c r="AJ1076" s="355"/>
      <c r="AK1076" s="355"/>
      <c r="AL1076" s="355"/>
      <c r="AM1076" s="355"/>
      <c r="AU1076" s="379">
        <v>76503</v>
      </c>
      <c r="AV1076" s="375"/>
      <c r="AW1076" s="375"/>
      <c r="AX1076" s="375"/>
      <c r="AY1076" s="375"/>
      <c r="AZ1076" s="375"/>
      <c r="BA1076" s="375"/>
      <c r="BB1076" s="375"/>
      <c r="BC1076" s="375"/>
      <c r="BD1076" s="375"/>
      <c r="BE1076" s="375"/>
      <c r="BF1076" s="375">
        <v>7.1249999999999994E-2</v>
      </c>
      <c r="BG1076" s="375"/>
      <c r="BH1076" s="375"/>
      <c r="BI1076" s="373">
        <f t="shared" si="43"/>
        <v>7.1249999999999994E-2</v>
      </c>
      <c r="BT1076" s="355"/>
      <c r="BU1076" s="355"/>
      <c r="BV1076" s="355"/>
      <c r="BW1076" s="355"/>
    </row>
    <row r="1077" spans="1:75" x14ac:dyDescent="0.15">
      <c r="A1077" s="356"/>
      <c r="B1077" s="355"/>
      <c r="C1077" s="355"/>
      <c r="D1077" s="355"/>
      <c r="E1077" s="355"/>
      <c r="F1077" s="355"/>
      <c r="G1077" s="355"/>
      <c r="O1077" s="356"/>
      <c r="P1077" s="355"/>
      <c r="Q1077" s="355"/>
      <c r="R1077" s="355"/>
      <c r="S1077" s="355"/>
      <c r="T1077" s="355"/>
      <c r="U1077" s="355"/>
      <c r="V1077" s="355"/>
      <c r="W1077" s="355"/>
      <c r="AG1077" s="355"/>
      <c r="AH1077" s="355"/>
      <c r="AI1077" s="355"/>
      <c r="AJ1077" s="355"/>
      <c r="AK1077" s="355"/>
      <c r="AL1077" s="355"/>
      <c r="AM1077" s="355"/>
      <c r="AU1077" s="379">
        <v>76533</v>
      </c>
      <c r="AV1077" s="375"/>
      <c r="AW1077" s="375"/>
      <c r="AX1077" s="375"/>
      <c r="AY1077" s="375"/>
      <c r="AZ1077" s="375"/>
      <c r="BA1077" s="375"/>
      <c r="BB1077" s="375"/>
      <c r="BC1077" s="375"/>
      <c r="BD1077" s="375"/>
      <c r="BE1077" s="375"/>
      <c r="BF1077" s="375">
        <v>7.1249999999999994E-2</v>
      </c>
      <c r="BG1077" s="375"/>
      <c r="BH1077" s="375"/>
      <c r="BI1077" s="373">
        <f t="shared" si="43"/>
        <v>7.1249999999999994E-2</v>
      </c>
      <c r="BT1077" s="355"/>
      <c r="BU1077" s="355"/>
      <c r="BV1077" s="355"/>
      <c r="BW1077" s="355"/>
    </row>
    <row r="1078" spans="1:75" x14ac:dyDescent="0.15">
      <c r="A1078" s="356"/>
      <c r="B1078" s="355"/>
      <c r="C1078" s="355"/>
      <c r="D1078" s="355"/>
      <c r="E1078" s="355"/>
      <c r="F1078" s="355"/>
      <c r="G1078" s="355"/>
      <c r="O1078" s="356"/>
      <c r="P1078" s="355"/>
      <c r="Q1078" s="355"/>
      <c r="R1078" s="355"/>
      <c r="S1078" s="355"/>
      <c r="T1078" s="355"/>
      <c r="U1078" s="355"/>
      <c r="V1078" s="355"/>
      <c r="W1078" s="355"/>
      <c r="AG1078" s="355"/>
      <c r="AH1078" s="355"/>
      <c r="AI1078" s="355"/>
      <c r="AJ1078" s="355"/>
      <c r="AK1078" s="355"/>
      <c r="AL1078" s="355"/>
      <c r="AM1078" s="355"/>
      <c r="AU1078" s="379">
        <v>76564</v>
      </c>
      <c r="AV1078" s="375"/>
      <c r="AW1078" s="375"/>
      <c r="AX1078" s="375"/>
      <c r="AY1078" s="375"/>
      <c r="AZ1078" s="375"/>
      <c r="BA1078" s="375"/>
      <c r="BB1078" s="375"/>
      <c r="BC1078" s="375"/>
      <c r="BD1078" s="375"/>
      <c r="BE1078" s="375"/>
      <c r="BF1078" s="375">
        <v>7.1249999999999994E-2</v>
      </c>
      <c r="BG1078" s="375"/>
      <c r="BH1078" s="375"/>
      <c r="BI1078" s="373">
        <f t="shared" si="43"/>
        <v>7.1249999999999994E-2</v>
      </c>
      <c r="BT1078" s="355"/>
      <c r="BU1078" s="355"/>
      <c r="BV1078" s="355"/>
      <c r="BW1078" s="355"/>
    </row>
    <row r="1079" spans="1:75" x14ac:dyDescent="0.15">
      <c r="A1079" s="356"/>
      <c r="B1079" s="355"/>
      <c r="C1079" s="355"/>
      <c r="D1079" s="355"/>
      <c r="E1079" s="355"/>
      <c r="F1079" s="355"/>
      <c r="G1079" s="355"/>
      <c r="O1079" s="356"/>
      <c r="P1079" s="355"/>
      <c r="Q1079" s="355"/>
      <c r="R1079" s="355"/>
      <c r="S1079" s="355"/>
      <c r="T1079" s="355"/>
      <c r="U1079" s="355"/>
      <c r="V1079" s="355"/>
      <c r="W1079" s="355"/>
      <c r="AG1079" s="355"/>
      <c r="AH1079" s="355"/>
      <c r="AI1079" s="355"/>
      <c r="AJ1079" s="355"/>
      <c r="AK1079" s="355"/>
      <c r="AL1079" s="355"/>
      <c r="AM1079" s="355"/>
      <c r="AU1079" s="379">
        <v>76595</v>
      </c>
      <c r="AV1079" s="375"/>
      <c r="AW1079" s="375"/>
      <c r="AX1079" s="375"/>
      <c r="AY1079" s="375"/>
      <c r="AZ1079" s="375"/>
      <c r="BA1079" s="375"/>
      <c r="BB1079" s="375"/>
      <c r="BC1079" s="375"/>
      <c r="BD1079" s="375"/>
      <c r="BE1079" s="375"/>
      <c r="BF1079" s="375">
        <v>7.1249999999999994E-2</v>
      </c>
      <c r="BG1079" s="375"/>
      <c r="BH1079" s="375"/>
      <c r="BI1079" s="373">
        <f t="shared" si="43"/>
        <v>7.1249999999999994E-2</v>
      </c>
      <c r="BT1079" s="355"/>
      <c r="BU1079" s="355"/>
      <c r="BV1079" s="355"/>
      <c r="BW1079" s="355"/>
    </row>
    <row r="1080" spans="1:75" x14ac:dyDescent="0.15">
      <c r="A1080" s="356"/>
      <c r="B1080" s="355"/>
      <c r="C1080" s="355"/>
      <c r="D1080" s="355"/>
      <c r="E1080" s="355"/>
      <c r="F1080" s="355"/>
      <c r="G1080" s="355"/>
      <c r="O1080" s="356"/>
      <c r="P1080" s="355"/>
      <c r="Q1080" s="355"/>
      <c r="R1080" s="355"/>
      <c r="S1080" s="355"/>
      <c r="T1080" s="355"/>
      <c r="U1080" s="355"/>
      <c r="V1080" s="355"/>
      <c r="W1080" s="355"/>
      <c r="AG1080" s="355"/>
      <c r="AH1080" s="355"/>
      <c r="AI1080" s="355"/>
      <c r="AJ1080" s="355"/>
      <c r="AK1080" s="355"/>
      <c r="AL1080" s="355"/>
      <c r="AM1080" s="355"/>
      <c r="AU1080" s="379">
        <v>76625</v>
      </c>
      <c r="AV1080" s="375"/>
      <c r="AW1080" s="375"/>
      <c r="AX1080" s="375"/>
      <c r="AY1080" s="375"/>
      <c r="AZ1080" s="375"/>
      <c r="BA1080" s="375"/>
      <c r="BB1080" s="375"/>
      <c r="BC1080" s="375"/>
      <c r="BD1080" s="375"/>
      <c r="BE1080" s="375"/>
      <c r="BF1080" s="375">
        <v>7.1249999999999994E-2</v>
      </c>
      <c r="BG1080" s="375"/>
      <c r="BH1080" s="375"/>
      <c r="BI1080" s="373">
        <f t="shared" si="43"/>
        <v>7.1249999999999994E-2</v>
      </c>
      <c r="BT1080" s="355"/>
      <c r="BU1080" s="355"/>
      <c r="BV1080" s="355"/>
      <c r="BW1080" s="355"/>
    </row>
    <row r="1081" spans="1:75" x14ac:dyDescent="0.15">
      <c r="A1081" s="356"/>
      <c r="B1081" s="355"/>
      <c r="C1081" s="355"/>
      <c r="D1081" s="355"/>
      <c r="E1081" s="355"/>
      <c r="F1081" s="355"/>
      <c r="G1081" s="355"/>
      <c r="O1081" s="356"/>
      <c r="P1081" s="355"/>
      <c r="Q1081" s="355"/>
      <c r="R1081" s="355"/>
      <c r="S1081" s="355"/>
      <c r="T1081" s="355"/>
      <c r="U1081" s="355"/>
      <c r="V1081" s="355"/>
      <c r="W1081" s="355"/>
      <c r="AG1081" s="355"/>
      <c r="AH1081" s="355"/>
      <c r="AI1081" s="355"/>
      <c r="AJ1081" s="355"/>
      <c r="AK1081" s="355"/>
      <c r="AL1081" s="355"/>
      <c r="AM1081" s="355"/>
      <c r="AU1081" s="379">
        <v>76656</v>
      </c>
      <c r="AV1081" s="375"/>
      <c r="AW1081" s="375"/>
      <c r="AX1081" s="375"/>
      <c r="AY1081" s="375"/>
      <c r="AZ1081" s="375"/>
      <c r="BA1081" s="375"/>
      <c r="BB1081" s="375"/>
      <c r="BC1081" s="375"/>
      <c r="BD1081" s="375"/>
      <c r="BE1081" s="375"/>
      <c r="BF1081" s="375">
        <v>7.1249999999999994E-2</v>
      </c>
      <c r="BG1081" s="375"/>
      <c r="BH1081" s="375"/>
      <c r="BI1081" s="373">
        <f t="shared" si="43"/>
        <v>7.1249999999999994E-2</v>
      </c>
      <c r="BT1081" s="355"/>
      <c r="BU1081" s="355"/>
      <c r="BV1081" s="355"/>
      <c r="BW1081" s="355"/>
    </row>
    <row r="1082" spans="1:75" x14ac:dyDescent="0.15">
      <c r="A1082" s="356"/>
      <c r="B1082" s="355"/>
      <c r="C1082" s="355"/>
      <c r="D1082" s="355"/>
      <c r="E1082" s="355"/>
      <c r="F1082" s="355"/>
      <c r="G1082" s="355"/>
      <c r="O1082" s="356"/>
      <c r="P1082" s="355"/>
      <c r="Q1082" s="355"/>
      <c r="R1082" s="355"/>
      <c r="S1082" s="355"/>
      <c r="T1082" s="355"/>
      <c r="U1082" s="355"/>
      <c r="V1082" s="355"/>
      <c r="W1082" s="355"/>
      <c r="AG1082" s="355"/>
      <c r="AH1082" s="355"/>
      <c r="AI1082" s="355"/>
      <c r="AJ1082" s="355"/>
      <c r="AK1082" s="355"/>
      <c r="AL1082" s="355"/>
      <c r="AM1082" s="355"/>
      <c r="AU1082" s="379">
        <v>76686</v>
      </c>
      <c r="AV1082" s="375"/>
      <c r="AW1082" s="375"/>
      <c r="AX1082" s="375"/>
      <c r="AY1082" s="375"/>
      <c r="AZ1082" s="375"/>
      <c r="BA1082" s="375"/>
      <c r="BB1082" s="375"/>
      <c r="BC1082" s="375"/>
      <c r="BD1082" s="375"/>
      <c r="BE1082" s="375"/>
      <c r="BF1082" s="375">
        <v>7.1249999999999994E-2</v>
      </c>
      <c r="BG1082" s="375"/>
      <c r="BH1082" s="375"/>
      <c r="BI1082" s="373">
        <f t="shared" si="43"/>
        <v>7.1249999999999994E-2</v>
      </c>
      <c r="BT1082" s="355"/>
      <c r="BU1082" s="355"/>
      <c r="BV1082" s="355"/>
      <c r="BW1082" s="355"/>
    </row>
    <row r="1083" spans="1:75" x14ac:dyDescent="0.15">
      <c r="A1083" s="356"/>
      <c r="B1083" s="355"/>
      <c r="C1083" s="355"/>
      <c r="D1083" s="355"/>
      <c r="E1083" s="355"/>
      <c r="F1083" s="355"/>
      <c r="G1083" s="355"/>
      <c r="O1083" s="356"/>
      <c r="P1083" s="355"/>
      <c r="Q1083" s="355"/>
      <c r="R1083" s="355"/>
      <c r="S1083" s="355"/>
      <c r="T1083" s="355"/>
      <c r="U1083" s="355"/>
      <c r="V1083" s="355"/>
      <c r="W1083" s="355"/>
      <c r="AG1083" s="355"/>
      <c r="AH1083" s="355"/>
      <c r="AI1083" s="355"/>
      <c r="AJ1083" s="355"/>
      <c r="AK1083" s="355"/>
      <c r="AL1083" s="355"/>
      <c r="AM1083" s="355"/>
      <c r="AU1083" s="379">
        <v>76717</v>
      </c>
      <c r="AV1083" s="375"/>
      <c r="AW1083" s="375"/>
      <c r="AX1083" s="375"/>
      <c r="AY1083" s="375"/>
      <c r="AZ1083" s="375"/>
      <c r="BA1083" s="375"/>
      <c r="BB1083" s="375"/>
      <c r="BC1083" s="375"/>
      <c r="BD1083" s="375"/>
      <c r="BE1083" s="375"/>
      <c r="BF1083" s="375">
        <v>7.1249999999999994E-2</v>
      </c>
      <c r="BG1083" s="375"/>
      <c r="BH1083" s="375"/>
      <c r="BI1083" s="373">
        <f t="shared" si="43"/>
        <v>7.1249999999999994E-2</v>
      </c>
      <c r="BT1083" s="355"/>
      <c r="BU1083" s="355"/>
      <c r="BV1083" s="355"/>
      <c r="BW1083" s="355"/>
    </row>
    <row r="1084" spans="1:75" x14ac:dyDescent="0.15">
      <c r="A1084" s="356"/>
      <c r="B1084" s="355"/>
      <c r="C1084" s="355"/>
      <c r="D1084" s="355"/>
      <c r="E1084" s="355"/>
      <c r="F1084" s="355"/>
      <c r="G1084" s="355"/>
      <c r="O1084" s="356"/>
      <c r="P1084" s="355"/>
      <c r="Q1084" s="355"/>
      <c r="R1084" s="355"/>
      <c r="S1084" s="355"/>
      <c r="T1084" s="355"/>
      <c r="U1084" s="355"/>
      <c r="V1084" s="355"/>
      <c r="W1084" s="355"/>
      <c r="AG1084" s="355"/>
      <c r="AH1084" s="355"/>
      <c r="AI1084" s="355"/>
      <c r="AJ1084" s="355"/>
      <c r="AK1084" s="355"/>
      <c r="AL1084" s="355"/>
      <c r="AM1084" s="355"/>
      <c r="AU1084" s="379">
        <v>76748</v>
      </c>
      <c r="AV1084" s="375"/>
      <c r="AW1084" s="375"/>
      <c r="AX1084" s="375"/>
      <c r="AY1084" s="375"/>
      <c r="AZ1084" s="375"/>
      <c r="BA1084" s="375"/>
      <c r="BB1084" s="375"/>
      <c r="BC1084" s="375"/>
      <c r="BD1084" s="375"/>
      <c r="BE1084" s="375"/>
      <c r="BF1084" s="375">
        <v>7.1249999999999994E-2</v>
      </c>
      <c r="BG1084" s="375"/>
      <c r="BH1084" s="375"/>
      <c r="BI1084" s="373">
        <f t="shared" si="43"/>
        <v>7.1249999999999994E-2</v>
      </c>
      <c r="BT1084" s="355"/>
      <c r="BU1084" s="355"/>
      <c r="BV1084" s="355"/>
      <c r="BW1084" s="355"/>
    </row>
    <row r="1085" spans="1:75" x14ac:dyDescent="0.15">
      <c r="A1085" s="356"/>
      <c r="B1085" s="355"/>
      <c r="C1085" s="355"/>
      <c r="D1085" s="355"/>
      <c r="E1085" s="355"/>
      <c r="F1085" s="355"/>
      <c r="G1085" s="355"/>
      <c r="O1085" s="356"/>
      <c r="P1085" s="355"/>
      <c r="Q1085" s="355"/>
      <c r="R1085" s="355"/>
      <c r="S1085" s="355"/>
      <c r="T1085" s="355"/>
      <c r="U1085" s="355"/>
      <c r="V1085" s="355"/>
      <c r="W1085" s="355"/>
      <c r="AG1085" s="355"/>
      <c r="AH1085" s="355"/>
      <c r="AI1085" s="355"/>
      <c r="AJ1085" s="355"/>
      <c r="AK1085" s="355"/>
      <c r="AL1085" s="355"/>
      <c r="AM1085" s="355"/>
      <c r="AU1085" s="379">
        <v>76776</v>
      </c>
      <c r="AV1085" s="375"/>
      <c r="AW1085" s="375"/>
      <c r="AX1085" s="375"/>
      <c r="AY1085" s="375"/>
      <c r="AZ1085" s="375"/>
      <c r="BA1085" s="375"/>
      <c r="BB1085" s="375"/>
      <c r="BC1085" s="375"/>
      <c r="BD1085" s="375"/>
      <c r="BE1085" s="375"/>
      <c r="BF1085" s="375">
        <v>7.1249999999999994E-2</v>
      </c>
      <c r="BG1085" s="375"/>
      <c r="BH1085" s="375"/>
      <c r="BI1085" s="373">
        <f t="shared" si="43"/>
        <v>7.1249999999999994E-2</v>
      </c>
      <c r="BT1085" s="355"/>
      <c r="BU1085" s="355"/>
      <c r="BV1085" s="355"/>
      <c r="BW1085" s="355"/>
    </row>
    <row r="1086" spans="1:75" x14ac:dyDescent="0.15">
      <c r="A1086" s="356"/>
      <c r="B1086" s="355"/>
      <c r="C1086" s="355"/>
      <c r="D1086" s="355"/>
      <c r="E1086" s="355"/>
      <c r="F1086" s="355"/>
      <c r="G1086" s="355"/>
      <c r="O1086" s="356"/>
      <c r="P1086" s="355"/>
      <c r="Q1086" s="355"/>
      <c r="R1086" s="355"/>
      <c r="S1086" s="355"/>
      <c r="T1086" s="355"/>
      <c r="U1086" s="355"/>
      <c r="V1086" s="355"/>
      <c r="W1086" s="355"/>
      <c r="AG1086" s="355"/>
      <c r="AH1086" s="355"/>
      <c r="AI1086" s="355"/>
      <c r="AJ1086" s="355"/>
      <c r="AK1086" s="355"/>
      <c r="AL1086" s="355"/>
      <c r="AM1086" s="355"/>
      <c r="AU1086" s="379">
        <v>76807</v>
      </c>
      <c r="AV1086" s="375"/>
      <c r="AW1086" s="375"/>
      <c r="AX1086" s="375"/>
      <c r="AY1086" s="375"/>
      <c r="AZ1086" s="375"/>
      <c r="BA1086" s="375"/>
      <c r="BB1086" s="375"/>
      <c r="BC1086" s="375"/>
      <c r="BD1086" s="375"/>
      <c r="BE1086" s="375"/>
      <c r="BF1086" s="375">
        <v>7.1249999999999994E-2</v>
      </c>
      <c r="BG1086" s="375"/>
      <c r="BH1086" s="375"/>
      <c r="BI1086" s="373">
        <f t="shared" si="43"/>
        <v>7.1249999999999994E-2</v>
      </c>
      <c r="BT1086" s="355"/>
      <c r="BU1086" s="355"/>
      <c r="BV1086" s="355"/>
      <c r="BW1086" s="355"/>
    </row>
    <row r="1087" spans="1:75" x14ac:dyDescent="0.15">
      <c r="A1087" s="356"/>
      <c r="B1087" s="355"/>
      <c r="C1087" s="355"/>
      <c r="D1087" s="355"/>
      <c r="E1087" s="355"/>
      <c r="F1087" s="355"/>
      <c r="G1087" s="355"/>
      <c r="O1087" s="356"/>
      <c r="P1087" s="355"/>
      <c r="Q1087" s="355"/>
      <c r="R1087" s="355"/>
      <c r="S1087" s="355"/>
      <c r="T1087" s="355"/>
      <c r="U1087" s="355"/>
      <c r="V1087" s="355"/>
      <c r="W1087" s="355"/>
      <c r="AG1087" s="355"/>
      <c r="AH1087" s="355"/>
      <c r="AI1087" s="355"/>
      <c r="AJ1087" s="355"/>
      <c r="AK1087" s="355"/>
      <c r="AL1087" s="355"/>
      <c r="AM1087" s="355"/>
      <c r="AU1087" s="379">
        <v>76837</v>
      </c>
      <c r="AV1087" s="375"/>
      <c r="AW1087" s="375"/>
      <c r="AX1087" s="375"/>
      <c r="AY1087" s="375"/>
      <c r="AZ1087" s="375"/>
      <c r="BA1087" s="375"/>
      <c r="BB1087" s="375"/>
      <c r="BC1087" s="375"/>
      <c r="BD1087" s="375"/>
      <c r="BE1087" s="375"/>
      <c r="BF1087" s="375">
        <v>7.1249999999999994E-2</v>
      </c>
      <c r="BG1087" s="375"/>
      <c r="BH1087" s="375"/>
      <c r="BI1087" s="373">
        <f t="shared" si="43"/>
        <v>7.1249999999999994E-2</v>
      </c>
      <c r="BT1087" s="355"/>
      <c r="BU1087" s="355"/>
      <c r="BV1087" s="355"/>
      <c r="BW1087" s="355"/>
    </row>
    <row r="1088" spans="1:75" x14ac:dyDescent="0.15">
      <c r="A1088" s="356"/>
      <c r="B1088" s="355"/>
      <c r="C1088" s="355"/>
      <c r="D1088" s="355"/>
      <c r="E1088" s="355"/>
      <c r="F1088" s="355"/>
      <c r="G1088" s="355"/>
      <c r="O1088" s="356"/>
      <c r="P1088" s="355"/>
      <c r="Q1088" s="355"/>
      <c r="R1088" s="355"/>
      <c r="S1088" s="355"/>
      <c r="T1088" s="355"/>
      <c r="U1088" s="355"/>
      <c r="V1088" s="355"/>
      <c r="W1088" s="355"/>
      <c r="AG1088" s="355"/>
      <c r="AH1088" s="355"/>
      <c r="AI1088" s="355"/>
      <c r="AJ1088" s="355"/>
      <c r="AK1088" s="355"/>
      <c r="AL1088" s="355"/>
      <c r="AM1088" s="355"/>
      <c r="AU1088" s="379">
        <v>76868</v>
      </c>
      <c r="AV1088" s="375"/>
      <c r="AW1088" s="375"/>
      <c r="AX1088" s="375"/>
      <c r="AY1088" s="375"/>
      <c r="AZ1088" s="375"/>
      <c r="BA1088" s="375"/>
      <c r="BB1088" s="375"/>
      <c r="BC1088" s="375"/>
      <c r="BD1088" s="375"/>
      <c r="BE1088" s="375"/>
      <c r="BF1088" s="375">
        <v>7.1249999999999994E-2</v>
      </c>
      <c r="BG1088" s="375"/>
      <c r="BH1088" s="375"/>
      <c r="BI1088" s="373">
        <f t="shared" si="43"/>
        <v>7.1249999999999994E-2</v>
      </c>
      <c r="BT1088" s="355"/>
      <c r="BU1088" s="355"/>
      <c r="BV1088" s="355"/>
      <c r="BW1088" s="355"/>
    </row>
    <row r="1089" spans="1:75" x14ac:dyDescent="0.15">
      <c r="A1089" s="356"/>
      <c r="B1089" s="355"/>
      <c r="C1089" s="355"/>
      <c r="D1089" s="355"/>
      <c r="E1089" s="355"/>
      <c r="F1089" s="355"/>
      <c r="G1089" s="355"/>
      <c r="O1089" s="356"/>
      <c r="P1089" s="355"/>
      <c r="Q1089" s="355"/>
      <c r="R1089" s="355"/>
      <c r="S1089" s="355"/>
      <c r="T1089" s="355"/>
      <c r="U1089" s="355"/>
      <c r="V1089" s="355"/>
      <c r="W1089" s="355"/>
      <c r="AG1089" s="355"/>
      <c r="AH1089" s="355"/>
      <c r="AI1089" s="355"/>
      <c r="AJ1089" s="355"/>
      <c r="AK1089" s="355"/>
      <c r="AL1089" s="355"/>
      <c r="AM1089" s="355"/>
      <c r="AU1089" s="379">
        <v>76898</v>
      </c>
      <c r="AV1089" s="375"/>
      <c r="AW1089" s="375"/>
      <c r="AX1089" s="375"/>
      <c r="AY1089" s="375"/>
      <c r="AZ1089" s="375"/>
      <c r="BA1089" s="375"/>
      <c r="BB1089" s="375"/>
      <c r="BC1089" s="375"/>
      <c r="BD1089" s="375"/>
      <c r="BE1089" s="375"/>
      <c r="BF1089" s="375">
        <v>7.1249999999999994E-2</v>
      </c>
      <c r="BG1089" s="375"/>
      <c r="BH1089" s="375"/>
      <c r="BI1089" s="373">
        <f t="shared" si="43"/>
        <v>7.1249999999999994E-2</v>
      </c>
      <c r="BT1089" s="355"/>
      <c r="BU1089" s="355"/>
      <c r="BV1089" s="355"/>
      <c r="BW1089" s="355"/>
    </row>
    <row r="1090" spans="1:75" x14ac:dyDescent="0.15">
      <c r="A1090" s="356"/>
      <c r="B1090" s="355"/>
      <c r="C1090" s="355"/>
      <c r="D1090" s="355"/>
      <c r="E1090" s="355"/>
      <c r="F1090" s="355"/>
      <c r="G1090" s="355"/>
      <c r="O1090" s="356"/>
      <c r="P1090" s="355"/>
      <c r="Q1090" s="355"/>
      <c r="R1090" s="355"/>
      <c r="S1090" s="355"/>
      <c r="T1090" s="355"/>
      <c r="U1090" s="355"/>
      <c r="V1090" s="355"/>
      <c r="W1090" s="355"/>
      <c r="AG1090" s="355"/>
      <c r="AH1090" s="355"/>
      <c r="AI1090" s="355"/>
      <c r="AJ1090" s="355"/>
      <c r="AK1090" s="355"/>
      <c r="AL1090" s="355"/>
      <c r="AM1090" s="355"/>
      <c r="AU1090" s="379">
        <v>76929</v>
      </c>
      <c r="AV1090" s="375"/>
      <c r="AW1090" s="375"/>
      <c r="AX1090" s="375"/>
      <c r="AY1090" s="375"/>
      <c r="AZ1090" s="375"/>
      <c r="BA1090" s="375"/>
      <c r="BB1090" s="375"/>
      <c r="BC1090" s="375"/>
      <c r="BD1090" s="375"/>
      <c r="BE1090" s="375"/>
      <c r="BF1090" s="375">
        <v>7.1249999999999994E-2</v>
      </c>
      <c r="BG1090" s="375"/>
      <c r="BH1090" s="375"/>
      <c r="BI1090" s="373">
        <f t="shared" si="43"/>
        <v>7.1249999999999994E-2</v>
      </c>
      <c r="BT1090" s="355"/>
      <c r="BU1090" s="355"/>
      <c r="BV1090" s="355"/>
      <c r="BW1090" s="355"/>
    </row>
    <row r="1091" spans="1:75" x14ac:dyDescent="0.15">
      <c r="A1091" s="356"/>
      <c r="B1091" s="355"/>
      <c r="C1091" s="355"/>
      <c r="D1091" s="355"/>
      <c r="E1091" s="355"/>
      <c r="F1091" s="355"/>
      <c r="G1091" s="355"/>
      <c r="O1091" s="356"/>
      <c r="P1091" s="355"/>
      <c r="Q1091" s="355"/>
      <c r="R1091" s="355"/>
      <c r="S1091" s="355"/>
      <c r="T1091" s="355"/>
      <c r="U1091" s="355"/>
      <c r="V1091" s="355"/>
      <c r="W1091" s="355"/>
      <c r="AG1091" s="355"/>
      <c r="AH1091" s="355"/>
      <c r="AI1091" s="355"/>
      <c r="AJ1091" s="355"/>
      <c r="AK1091" s="355"/>
      <c r="AL1091" s="355"/>
      <c r="AM1091" s="355"/>
      <c r="AU1091" s="379">
        <v>76960</v>
      </c>
      <c r="AV1091" s="375"/>
      <c r="AW1091" s="375"/>
      <c r="AX1091" s="375"/>
      <c r="AY1091" s="375"/>
      <c r="AZ1091" s="375"/>
      <c r="BA1091" s="375"/>
      <c r="BB1091" s="375"/>
      <c r="BC1091" s="375"/>
      <c r="BD1091" s="375"/>
      <c r="BE1091" s="375"/>
      <c r="BF1091" s="375">
        <v>7.1249999999999994E-2</v>
      </c>
      <c r="BG1091" s="375"/>
      <c r="BH1091" s="375"/>
      <c r="BI1091" s="373">
        <f t="shared" si="43"/>
        <v>7.1249999999999994E-2</v>
      </c>
      <c r="BT1091" s="355"/>
      <c r="BU1091" s="355"/>
      <c r="BV1091" s="355"/>
      <c r="BW1091" s="355"/>
    </row>
    <row r="1092" spans="1:75" x14ac:dyDescent="0.15">
      <c r="A1092" s="356"/>
      <c r="B1092" s="355"/>
      <c r="C1092" s="355"/>
      <c r="D1092" s="355"/>
      <c r="E1092" s="355"/>
      <c r="F1092" s="355"/>
      <c r="G1092" s="355"/>
      <c r="O1092" s="356"/>
      <c r="P1092" s="355"/>
      <c r="Q1092" s="355"/>
      <c r="R1092" s="355"/>
      <c r="S1092" s="355"/>
      <c r="T1092" s="355"/>
      <c r="U1092" s="355"/>
      <c r="V1092" s="355"/>
      <c r="W1092" s="355"/>
      <c r="AG1092" s="355"/>
      <c r="AH1092" s="355"/>
      <c r="AI1092" s="355"/>
      <c r="AJ1092" s="355"/>
      <c r="AK1092" s="355"/>
      <c r="AL1092" s="355"/>
      <c r="AM1092" s="355"/>
      <c r="AU1092" s="379">
        <v>76990</v>
      </c>
      <c r="AV1092" s="375"/>
      <c r="AW1092" s="375"/>
      <c r="AX1092" s="375"/>
      <c r="AY1092" s="375"/>
      <c r="AZ1092" s="375"/>
      <c r="BA1092" s="375"/>
      <c r="BB1092" s="375"/>
      <c r="BC1092" s="375"/>
      <c r="BD1092" s="375"/>
      <c r="BE1092" s="375"/>
      <c r="BF1092" s="375">
        <v>7.1249999999999994E-2</v>
      </c>
      <c r="BG1092" s="375"/>
      <c r="BH1092" s="375"/>
      <c r="BI1092" s="373">
        <f t="shared" si="43"/>
        <v>7.1249999999999994E-2</v>
      </c>
      <c r="BT1092" s="355"/>
      <c r="BU1092" s="355"/>
      <c r="BV1092" s="355"/>
      <c r="BW1092" s="355"/>
    </row>
    <row r="1093" spans="1:75" x14ac:dyDescent="0.15">
      <c r="A1093" s="356"/>
      <c r="B1093" s="355"/>
      <c r="C1093" s="355"/>
      <c r="D1093" s="355"/>
      <c r="E1093" s="355"/>
      <c r="F1093" s="355"/>
      <c r="G1093" s="355"/>
      <c r="O1093" s="356"/>
      <c r="P1093" s="355"/>
      <c r="Q1093" s="355"/>
      <c r="R1093" s="355"/>
      <c r="S1093" s="355"/>
      <c r="T1093" s="355"/>
      <c r="U1093" s="355"/>
      <c r="V1093" s="355"/>
      <c r="W1093" s="355"/>
      <c r="AG1093" s="355"/>
      <c r="AH1093" s="355"/>
      <c r="AI1093" s="355"/>
      <c r="AJ1093" s="355"/>
      <c r="AK1093" s="355"/>
      <c r="AL1093" s="355"/>
      <c r="AM1093" s="355"/>
      <c r="AU1093" s="379">
        <v>77021</v>
      </c>
      <c r="AV1093" s="375"/>
      <c r="AW1093" s="375"/>
      <c r="AX1093" s="375"/>
      <c r="AY1093" s="375"/>
      <c r="AZ1093" s="375"/>
      <c r="BA1093" s="375"/>
      <c r="BB1093" s="375"/>
      <c r="BC1093" s="375"/>
      <c r="BD1093" s="375"/>
      <c r="BE1093" s="375"/>
      <c r="BF1093" s="375">
        <v>7.1249999999999994E-2</v>
      </c>
      <c r="BG1093" s="375"/>
      <c r="BH1093" s="375"/>
      <c r="BI1093" s="373">
        <f t="shared" si="43"/>
        <v>7.1249999999999994E-2</v>
      </c>
      <c r="BT1093" s="355"/>
      <c r="BU1093" s="355"/>
      <c r="BV1093" s="355"/>
      <c r="BW1093" s="355"/>
    </row>
    <row r="1094" spans="1:75" x14ac:dyDescent="0.15">
      <c r="A1094" s="356"/>
      <c r="B1094" s="355"/>
      <c r="C1094" s="355"/>
      <c r="D1094" s="355"/>
      <c r="E1094" s="355"/>
      <c r="F1094" s="355"/>
      <c r="G1094" s="355"/>
      <c r="O1094" s="356"/>
      <c r="P1094" s="355"/>
      <c r="Q1094" s="355"/>
      <c r="R1094" s="355"/>
      <c r="S1094" s="355"/>
      <c r="T1094" s="355"/>
      <c r="U1094" s="355"/>
      <c r="V1094" s="355"/>
      <c r="W1094" s="355"/>
      <c r="AG1094" s="355"/>
      <c r="AH1094" s="355"/>
      <c r="AI1094" s="355"/>
      <c r="AJ1094" s="355"/>
      <c r="AK1094" s="355"/>
      <c r="AL1094" s="355"/>
      <c r="AM1094" s="355"/>
      <c r="AU1094" s="379">
        <v>77051</v>
      </c>
      <c r="AV1094" s="375"/>
      <c r="AW1094" s="375"/>
      <c r="AX1094" s="375"/>
      <c r="AY1094" s="375"/>
      <c r="AZ1094" s="375"/>
      <c r="BA1094" s="375"/>
      <c r="BB1094" s="375"/>
      <c r="BC1094" s="375"/>
      <c r="BD1094" s="375"/>
      <c r="BE1094" s="375"/>
      <c r="BF1094" s="375">
        <v>7.1249999999999994E-2</v>
      </c>
      <c r="BG1094" s="375"/>
      <c r="BH1094" s="375"/>
      <c r="BI1094" s="373">
        <f t="shared" si="43"/>
        <v>7.1249999999999994E-2</v>
      </c>
      <c r="BT1094" s="355"/>
      <c r="BU1094" s="355"/>
      <c r="BV1094" s="355"/>
      <c r="BW1094" s="355"/>
    </row>
    <row r="1095" spans="1:75" x14ac:dyDescent="0.15">
      <c r="A1095" s="356"/>
      <c r="B1095" s="355"/>
      <c r="C1095" s="355"/>
      <c r="D1095" s="355"/>
      <c r="E1095" s="355"/>
      <c r="F1095" s="355"/>
      <c r="G1095" s="355"/>
      <c r="O1095" s="356"/>
      <c r="P1095" s="355"/>
      <c r="Q1095" s="355"/>
      <c r="R1095" s="355"/>
      <c r="S1095" s="355"/>
      <c r="T1095" s="355"/>
      <c r="U1095" s="355"/>
      <c r="V1095" s="355"/>
      <c r="W1095" s="355"/>
      <c r="AG1095" s="355"/>
      <c r="AH1095" s="355"/>
      <c r="AI1095" s="355"/>
      <c r="AJ1095" s="355"/>
      <c r="AK1095" s="355"/>
      <c r="AL1095" s="355"/>
      <c r="AM1095" s="355"/>
      <c r="AU1095" s="379">
        <v>77082</v>
      </c>
      <c r="AV1095" s="375"/>
      <c r="AW1095" s="375"/>
      <c r="AX1095" s="375"/>
      <c r="AY1095" s="375"/>
      <c r="AZ1095" s="375"/>
      <c r="BA1095" s="375"/>
      <c r="BB1095" s="375"/>
      <c r="BC1095" s="375"/>
      <c r="BD1095" s="375"/>
      <c r="BE1095" s="375"/>
      <c r="BF1095" s="375">
        <v>7.1249999999999994E-2</v>
      </c>
      <c r="BG1095" s="375"/>
      <c r="BH1095" s="375"/>
      <c r="BI1095" s="373">
        <f t="shared" ref="BI1095:BI1158" si="44">+AVERAGE(AV1095:BH1095)</f>
        <v>7.1249999999999994E-2</v>
      </c>
      <c r="BT1095" s="355"/>
      <c r="BU1095" s="355"/>
      <c r="BV1095" s="355"/>
      <c r="BW1095" s="355"/>
    </row>
    <row r="1096" spans="1:75" x14ac:dyDescent="0.15">
      <c r="A1096" s="356"/>
      <c r="B1096" s="355"/>
      <c r="C1096" s="355"/>
      <c r="D1096" s="355"/>
      <c r="E1096" s="355"/>
      <c r="F1096" s="355"/>
      <c r="G1096" s="355"/>
      <c r="O1096" s="356"/>
      <c r="P1096" s="355"/>
      <c r="Q1096" s="355"/>
      <c r="R1096" s="355"/>
      <c r="S1096" s="355"/>
      <c r="T1096" s="355"/>
      <c r="U1096" s="355"/>
      <c r="V1096" s="355"/>
      <c r="W1096" s="355"/>
      <c r="AG1096" s="355"/>
      <c r="AH1096" s="355"/>
      <c r="AI1096" s="355"/>
      <c r="AJ1096" s="355"/>
      <c r="AK1096" s="355"/>
      <c r="AL1096" s="355"/>
      <c r="AM1096" s="355"/>
      <c r="AU1096" s="379">
        <v>77113</v>
      </c>
      <c r="AV1096" s="375"/>
      <c r="AW1096" s="375"/>
      <c r="AX1096" s="375"/>
      <c r="AY1096" s="375"/>
      <c r="AZ1096" s="375"/>
      <c r="BA1096" s="375"/>
      <c r="BB1096" s="375"/>
      <c r="BC1096" s="375"/>
      <c r="BD1096" s="375"/>
      <c r="BE1096" s="375"/>
      <c r="BF1096" s="375">
        <v>7.1249999999999994E-2</v>
      </c>
      <c r="BG1096" s="375"/>
      <c r="BH1096" s="375"/>
      <c r="BI1096" s="373">
        <f t="shared" si="44"/>
        <v>7.1249999999999994E-2</v>
      </c>
      <c r="BT1096" s="355"/>
      <c r="BU1096" s="355"/>
      <c r="BV1096" s="355"/>
      <c r="BW1096" s="355"/>
    </row>
    <row r="1097" spans="1:75" x14ac:dyDescent="0.15">
      <c r="A1097" s="356"/>
      <c r="B1097" s="355"/>
      <c r="C1097" s="355"/>
      <c r="D1097" s="355"/>
      <c r="E1097" s="355"/>
      <c r="F1097" s="355"/>
      <c r="G1097" s="355"/>
      <c r="O1097" s="356"/>
      <c r="P1097" s="355"/>
      <c r="Q1097" s="355"/>
      <c r="R1097" s="355"/>
      <c r="S1097" s="355"/>
      <c r="T1097" s="355"/>
      <c r="U1097" s="355"/>
      <c r="V1097" s="355"/>
      <c r="W1097" s="355"/>
      <c r="AG1097" s="355"/>
      <c r="AH1097" s="355"/>
      <c r="AI1097" s="355"/>
      <c r="AJ1097" s="355"/>
      <c r="AK1097" s="355"/>
      <c r="AL1097" s="355"/>
      <c r="AM1097" s="355"/>
      <c r="AU1097" s="379">
        <v>77141</v>
      </c>
      <c r="AV1097" s="375"/>
      <c r="AW1097" s="375"/>
      <c r="AX1097" s="375"/>
      <c r="AY1097" s="375"/>
      <c r="AZ1097" s="375"/>
      <c r="BA1097" s="375"/>
      <c r="BB1097" s="375"/>
      <c r="BC1097" s="375"/>
      <c r="BD1097" s="375"/>
      <c r="BE1097" s="375"/>
      <c r="BF1097" s="375">
        <v>7.1249999999999994E-2</v>
      </c>
      <c r="BG1097" s="375"/>
      <c r="BH1097" s="375"/>
      <c r="BI1097" s="373">
        <f t="shared" si="44"/>
        <v>7.1249999999999994E-2</v>
      </c>
      <c r="BT1097" s="355"/>
      <c r="BU1097" s="355"/>
      <c r="BV1097" s="355"/>
      <c r="BW1097" s="355"/>
    </row>
    <row r="1098" spans="1:75" x14ac:dyDescent="0.15">
      <c r="A1098" s="356"/>
      <c r="B1098" s="355"/>
      <c r="C1098" s="355"/>
      <c r="D1098" s="355"/>
      <c r="E1098" s="355"/>
      <c r="F1098" s="355"/>
      <c r="G1098" s="355"/>
      <c r="O1098" s="356"/>
      <c r="P1098" s="355"/>
      <c r="Q1098" s="355"/>
      <c r="R1098" s="355"/>
      <c r="S1098" s="355"/>
      <c r="T1098" s="355"/>
      <c r="U1098" s="355"/>
      <c r="V1098" s="355"/>
      <c r="W1098" s="355"/>
      <c r="AG1098" s="355"/>
      <c r="AH1098" s="355"/>
      <c r="AI1098" s="355"/>
      <c r="AJ1098" s="355"/>
      <c r="AK1098" s="355"/>
      <c r="AL1098" s="355"/>
      <c r="AM1098" s="355"/>
      <c r="AU1098" s="379">
        <v>77172</v>
      </c>
      <c r="AV1098" s="375"/>
      <c r="AW1098" s="375"/>
      <c r="AX1098" s="375"/>
      <c r="AY1098" s="375"/>
      <c r="AZ1098" s="375"/>
      <c r="BA1098" s="375"/>
      <c r="BB1098" s="375"/>
      <c r="BC1098" s="375"/>
      <c r="BD1098" s="375"/>
      <c r="BE1098" s="375"/>
      <c r="BF1098" s="375">
        <v>7.1249999999999994E-2</v>
      </c>
      <c r="BG1098" s="375"/>
      <c r="BH1098" s="375"/>
      <c r="BI1098" s="373">
        <f t="shared" si="44"/>
        <v>7.1249999999999994E-2</v>
      </c>
      <c r="BT1098" s="355"/>
      <c r="BU1098" s="355"/>
      <c r="BV1098" s="355"/>
      <c r="BW1098" s="355"/>
    </row>
    <row r="1099" spans="1:75" x14ac:dyDescent="0.15">
      <c r="A1099" s="356"/>
      <c r="B1099" s="355"/>
      <c r="C1099" s="355"/>
      <c r="D1099" s="355"/>
      <c r="E1099" s="355"/>
      <c r="F1099" s="355"/>
      <c r="G1099" s="355"/>
      <c r="O1099" s="356"/>
      <c r="P1099" s="355"/>
      <c r="Q1099" s="355"/>
      <c r="R1099" s="355"/>
      <c r="S1099" s="355"/>
      <c r="T1099" s="355"/>
      <c r="U1099" s="355"/>
      <c r="V1099" s="355"/>
      <c r="W1099" s="355"/>
      <c r="AG1099" s="355"/>
      <c r="AH1099" s="355"/>
      <c r="AI1099" s="355"/>
      <c r="AJ1099" s="355"/>
      <c r="AK1099" s="355"/>
      <c r="AL1099" s="355"/>
      <c r="AM1099" s="355"/>
      <c r="AU1099" s="379">
        <v>77202</v>
      </c>
      <c r="AV1099" s="375"/>
      <c r="AW1099" s="375"/>
      <c r="AX1099" s="375"/>
      <c r="AY1099" s="375"/>
      <c r="AZ1099" s="375"/>
      <c r="BA1099" s="375"/>
      <c r="BB1099" s="375"/>
      <c r="BC1099" s="375"/>
      <c r="BD1099" s="375"/>
      <c r="BE1099" s="375"/>
      <c r="BF1099" s="375">
        <v>7.1249999999999994E-2</v>
      </c>
      <c r="BG1099" s="375"/>
      <c r="BH1099" s="375"/>
      <c r="BI1099" s="373">
        <f t="shared" si="44"/>
        <v>7.1249999999999994E-2</v>
      </c>
      <c r="BT1099" s="355"/>
      <c r="BU1099" s="355"/>
      <c r="BV1099" s="355"/>
      <c r="BW1099" s="355"/>
    </row>
    <row r="1100" spans="1:75" x14ac:dyDescent="0.15">
      <c r="A1100" s="356"/>
      <c r="B1100" s="355"/>
      <c r="C1100" s="355"/>
      <c r="D1100" s="355"/>
      <c r="E1100" s="355"/>
      <c r="F1100" s="355"/>
      <c r="G1100" s="355"/>
      <c r="O1100" s="356"/>
      <c r="P1100" s="355"/>
      <c r="Q1100" s="355"/>
      <c r="R1100" s="355"/>
      <c r="S1100" s="355"/>
      <c r="T1100" s="355"/>
      <c r="U1100" s="355"/>
      <c r="V1100" s="355"/>
      <c r="W1100" s="355"/>
      <c r="AG1100" s="355"/>
      <c r="AH1100" s="355"/>
      <c r="AI1100" s="355"/>
      <c r="AJ1100" s="355"/>
      <c r="AK1100" s="355"/>
      <c r="AL1100" s="355"/>
      <c r="AM1100" s="355"/>
      <c r="AU1100" s="379">
        <v>77233</v>
      </c>
      <c r="AV1100" s="375"/>
      <c r="AW1100" s="375"/>
      <c r="AX1100" s="375"/>
      <c r="AY1100" s="375"/>
      <c r="AZ1100" s="375"/>
      <c r="BA1100" s="375"/>
      <c r="BB1100" s="375"/>
      <c r="BC1100" s="375"/>
      <c r="BD1100" s="375"/>
      <c r="BE1100" s="375"/>
      <c r="BF1100" s="375">
        <v>7.1249999999999994E-2</v>
      </c>
      <c r="BG1100" s="375"/>
      <c r="BH1100" s="375"/>
      <c r="BI1100" s="373">
        <f t="shared" si="44"/>
        <v>7.1249999999999994E-2</v>
      </c>
      <c r="BT1100" s="355"/>
      <c r="BU1100" s="355"/>
      <c r="BV1100" s="355"/>
      <c r="BW1100" s="355"/>
    </row>
    <row r="1101" spans="1:75" x14ac:dyDescent="0.15">
      <c r="A1101" s="356"/>
      <c r="B1101" s="355"/>
      <c r="C1101" s="355"/>
      <c r="D1101" s="355"/>
      <c r="E1101" s="355"/>
      <c r="F1101" s="355"/>
      <c r="G1101" s="355"/>
      <c r="O1101" s="356"/>
      <c r="P1101" s="355"/>
      <c r="Q1101" s="355"/>
      <c r="R1101" s="355"/>
      <c r="S1101" s="355"/>
      <c r="T1101" s="355"/>
      <c r="U1101" s="355"/>
      <c r="V1101" s="355"/>
      <c r="W1101" s="355"/>
      <c r="AG1101" s="355"/>
      <c r="AH1101" s="355"/>
      <c r="AI1101" s="355"/>
      <c r="AJ1101" s="355"/>
      <c r="AK1101" s="355"/>
      <c r="AL1101" s="355"/>
      <c r="AM1101" s="355"/>
      <c r="AU1101" s="379">
        <v>77263</v>
      </c>
      <c r="AV1101" s="375"/>
      <c r="AW1101" s="375"/>
      <c r="AX1101" s="375"/>
      <c r="AY1101" s="375"/>
      <c r="AZ1101" s="375"/>
      <c r="BA1101" s="375"/>
      <c r="BB1101" s="375"/>
      <c r="BC1101" s="375"/>
      <c r="BD1101" s="375"/>
      <c r="BE1101" s="375"/>
      <c r="BF1101" s="375">
        <v>7.1249999999999994E-2</v>
      </c>
      <c r="BG1101" s="375"/>
      <c r="BH1101" s="375"/>
      <c r="BI1101" s="373">
        <f t="shared" si="44"/>
        <v>7.1249999999999994E-2</v>
      </c>
      <c r="BT1101" s="355"/>
      <c r="BU1101" s="355"/>
      <c r="BV1101" s="355"/>
      <c r="BW1101" s="355"/>
    </row>
    <row r="1102" spans="1:75" x14ac:dyDescent="0.15">
      <c r="A1102" s="356"/>
      <c r="B1102" s="355"/>
      <c r="C1102" s="355"/>
      <c r="D1102" s="355"/>
      <c r="E1102" s="355"/>
      <c r="F1102" s="355"/>
      <c r="G1102" s="355"/>
      <c r="O1102" s="356"/>
      <c r="P1102" s="355"/>
      <c r="Q1102" s="355"/>
      <c r="R1102" s="355"/>
      <c r="S1102" s="355"/>
      <c r="T1102" s="355"/>
      <c r="U1102" s="355"/>
      <c r="V1102" s="355"/>
      <c r="W1102" s="355"/>
      <c r="AG1102" s="355"/>
      <c r="AH1102" s="355"/>
      <c r="AI1102" s="355"/>
      <c r="AJ1102" s="355"/>
      <c r="AK1102" s="355"/>
      <c r="AL1102" s="355"/>
      <c r="AM1102" s="355"/>
      <c r="AU1102" s="379">
        <v>77294</v>
      </c>
      <c r="AV1102" s="375"/>
      <c r="AW1102" s="375"/>
      <c r="AX1102" s="375"/>
      <c r="AY1102" s="375"/>
      <c r="AZ1102" s="375"/>
      <c r="BA1102" s="375"/>
      <c r="BB1102" s="375"/>
      <c r="BC1102" s="375"/>
      <c r="BD1102" s="375"/>
      <c r="BE1102" s="375"/>
      <c r="BF1102" s="375">
        <v>7.1249999999999994E-2</v>
      </c>
      <c r="BG1102" s="375"/>
      <c r="BH1102" s="375"/>
      <c r="BI1102" s="373">
        <f t="shared" si="44"/>
        <v>7.1249999999999994E-2</v>
      </c>
      <c r="BT1102" s="355"/>
      <c r="BU1102" s="355"/>
      <c r="BV1102" s="355"/>
      <c r="BW1102" s="355"/>
    </row>
    <row r="1103" spans="1:75" x14ac:dyDescent="0.15">
      <c r="A1103" s="356"/>
      <c r="B1103" s="355"/>
      <c r="C1103" s="355"/>
      <c r="D1103" s="355"/>
      <c r="E1103" s="355"/>
      <c r="F1103" s="355"/>
      <c r="G1103" s="355"/>
      <c r="O1103" s="356"/>
      <c r="P1103" s="355"/>
      <c r="Q1103" s="355"/>
      <c r="R1103" s="355"/>
      <c r="S1103" s="355"/>
      <c r="T1103" s="355"/>
      <c r="U1103" s="355"/>
      <c r="V1103" s="355"/>
      <c r="W1103" s="355"/>
      <c r="AG1103" s="355"/>
      <c r="AH1103" s="355"/>
      <c r="AI1103" s="355"/>
      <c r="AJ1103" s="355"/>
      <c r="AK1103" s="355"/>
      <c r="AL1103" s="355"/>
      <c r="AM1103" s="355"/>
      <c r="AU1103" s="379">
        <v>77325</v>
      </c>
      <c r="AV1103" s="375"/>
      <c r="AW1103" s="375"/>
      <c r="AX1103" s="375"/>
      <c r="AY1103" s="375"/>
      <c r="AZ1103" s="375"/>
      <c r="BA1103" s="375"/>
      <c r="BB1103" s="375"/>
      <c r="BC1103" s="375"/>
      <c r="BD1103" s="375"/>
      <c r="BE1103" s="375"/>
      <c r="BF1103" s="375">
        <v>7.1249999999999994E-2</v>
      </c>
      <c r="BG1103" s="375"/>
      <c r="BH1103" s="375"/>
      <c r="BI1103" s="373">
        <f t="shared" si="44"/>
        <v>7.1249999999999994E-2</v>
      </c>
      <c r="BT1103" s="355"/>
      <c r="BU1103" s="355"/>
      <c r="BV1103" s="355"/>
      <c r="BW1103" s="355"/>
    </row>
    <row r="1104" spans="1:75" x14ac:dyDescent="0.15">
      <c r="A1104" s="356"/>
      <c r="B1104" s="355"/>
      <c r="C1104" s="355"/>
      <c r="D1104" s="355"/>
      <c r="E1104" s="355"/>
      <c r="F1104" s="355"/>
      <c r="G1104" s="355"/>
      <c r="O1104" s="356"/>
      <c r="P1104" s="355"/>
      <c r="Q1104" s="355"/>
      <c r="R1104" s="355"/>
      <c r="S1104" s="355"/>
      <c r="T1104" s="355"/>
      <c r="U1104" s="355"/>
      <c r="V1104" s="355"/>
      <c r="W1104" s="355"/>
      <c r="AG1104" s="355"/>
      <c r="AH1104" s="355"/>
      <c r="AI1104" s="355"/>
      <c r="AJ1104" s="355"/>
      <c r="AK1104" s="355"/>
      <c r="AL1104" s="355"/>
      <c r="AM1104" s="355"/>
      <c r="AU1104" s="379">
        <v>77355</v>
      </c>
      <c r="AV1104" s="375"/>
      <c r="AW1104" s="375"/>
      <c r="AX1104" s="375"/>
      <c r="AY1104" s="375"/>
      <c r="AZ1104" s="375"/>
      <c r="BA1104" s="375"/>
      <c r="BB1104" s="375"/>
      <c r="BC1104" s="375"/>
      <c r="BD1104" s="375"/>
      <c r="BE1104" s="375"/>
      <c r="BF1104" s="375">
        <v>7.1249999999999994E-2</v>
      </c>
      <c r="BG1104" s="375"/>
      <c r="BH1104" s="375"/>
      <c r="BI1104" s="373">
        <f t="shared" si="44"/>
        <v>7.1249999999999994E-2</v>
      </c>
      <c r="BT1104" s="355"/>
      <c r="BU1104" s="355"/>
      <c r="BV1104" s="355"/>
      <c r="BW1104" s="355"/>
    </row>
    <row r="1105" spans="1:75" x14ac:dyDescent="0.15">
      <c r="A1105" s="356"/>
      <c r="B1105" s="355"/>
      <c r="C1105" s="355"/>
      <c r="D1105" s="355"/>
      <c r="E1105" s="355"/>
      <c r="F1105" s="355"/>
      <c r="G1105" s="355"/>
      <c r="O1105" s="356"/>
      <c r="P1105" s="355"/>
      <c r="Q1105" s="355"/>
      <c r="R1105" s="355"/>
      <c r="S1105" s="355"/>
      <c r="T1105" s="355"/>
      <c r="U1105" s="355"/>
      <c r="V1105" s="355"/>
      <c r="W1105" s="355"/>
      <c r="AG1105" s="355"/>
      <c r="AH1105" s="355"/>
      <c r="AI1105" s="355"/>
      <c r="AJ1105" s="355"/>
      <c r="AK1105" s="355"/>
      <c r="AL1105" s="355"/>
      <c r="AM1105" s="355"/>
      <c r="AU1105" s="379">
        <v>77386</v>
      </c>
      <c r="AV1105" s="375"/>
      <c r="AW1105" s="375"/>
      <c r="AX1105" s="375"/>
      <c r="AY1105" s="375"/>
      <c r="AZ1105" s="375"/>
      <c r="BA1105" s="375"/>
      <c r="BB1105" s="375"/>
      <c r="BC1105" s="375"/>
      <c r="BD1105" s="375"/>
      <c r="BE1105" s="375"/>
      <c r="BF1105" s="375">
        <v>7.1249999999999994E-2</v>
      </c>
      <c r="BG1105" s="375"/>
      <c r="BH1105" s="375"/>
      <c r="BI1105" s="373">
        <f t="shared" si="44"/>
        <v>7.1249999999999994E-2</v>
      </c>
      <c r="BT1105" s="355"/>
      <c r="BU1105" s="355"/>
      <c r="BV1105" s="355"/>
      <c r="BW1105" s="355"/>
    </row>
    <row r="1106" spans="1:75" x14ac:dyDescent="0.15">
      <c r="A1106" s="356"/>
      <c r="B1106" s="355"/>
      <c r="C1106" s="355"/>
      <c r="D1106" s="355"/>
      <c r="E1106" s="355"/>
      <c r="F1106" s="355"/>
      <c r="G1106" s="355"/>
      <c r="O1106" s="356"/>
      <c r="P1106" s="355"/>
      <c r="Q1106" s="355"/>
      <c r="R1106" s="355"/>
      <c r="S1106" s="355"/>
      <c r="T1106" s="355"/>
      <c r="U1106" s="355"/>
      <c r="V1106" s="355"/>
      <c r="W1106" s="355"/>
      <c r="AG1106" s="355"/>
      <c r="AH1106" s="355"/>
      <c r="AI1106" s="355"/>
      <c r="AJ1106" s="355"/>
      <c r="AK1106" s="355"/>
      <c r="AL1106" s="355"/>
      <c r="AM1106" s="355"/>
      <c r="AU1106" s="379">
        <v>77416</v>
      </c>
      <c r="AV1106" s="375"/>
      <c r="AW1106" s="375"/>
      <c r="AX1106" s="375"/>
      <c r="AY1106" s="375"/>
      <c r="AZ1106" s="375"/>
      <c r="BA1106" s="375"/>
      <c r="BB1106" s="375"/>
      <c r="BC1106" s="375"/>
      <c r="BD1106" s="375"/>
      <c r="BE1106" s="375"/>
      <c r="BF1106" s="375">
        <v>7.1249999999999994E-2</v>
      </c>
      <c r="BG1106" s="375"/>
      <c r="BH1106" s="375"/>
      <c r="BI1106" s="373">
        <f t="shared" si="44"/>
        <v>7.1249999999999994E-2</v>
      </c>
      <c r="BT1106" s="355"/>
      <c r="BU1106" s="355"/>
      <c r="BV1106" s="355"/>
      <c r="BW1106" s="355"/>
    </row>
    <row r="1107" spans="1:75" x14ac:dyDescent="0.15">
      <c r="A1107" s="356"/>
      <c r="B1107" s="355"/>
      <c r="C1107" s="355"/>
      <c r="D1107" s="355"/>
      <c r="E1107" s="355"/>
      <c r="F1107" s="355"/>
      <c r="G1107" s="355"/>
      <c r="O1107" s="356"/>
      <c r="P1107" s="355"/>
      <c r="Q1107" s="355"/>
      <c r="R1107" s="355"/>
      <c r="S1107" s="355"/>
      <c r="T1107" s="355"/>
      <c r="U1107" s="355"/>
      <c r="V1107" s="355"/>
      <c r="W1107" s="355"/>
      <c r="AG1107" s="355"/>
      <c r="AH1107" s="355"/>
      <c r="AI1107" s="355"/>
      <c r="AJ1107" s="355"/>
      <c r="AK1107" s="355"/>
      <c r="AL1107" s="355"/>
      <c r="AM1107" s="355"/>
      <c r="AU1107" s="379">
        <v>77447</v>
      </c>
      <c r="AV1107" s="375"/>
      <c r="AW1107" s="375"/>
      <c r="AX1107" s="375"/>
      <c r="AY1107" s="375"/>
      <c r="AZ1107" s="375"/>
      <c r="BA1107" s="375"/>
      <c r="BB1107" s="375"/>
      <c r="BC1107" s="375"/>
      <c r="BD1107" s="375"/>
      <c r="BE1107" s="375"/>
      <c r="BF1107" s="375">
        <v>7.1249999999999994E-2</v>
      </c>
      <c r="BG1107" s="375"/>
      <c r="BH1107" s="375"/>
      <c r="BI1107" s="373">
        <f t="shared" si="44"/>
        <v>7.1249999999999994E-2</v>
      </c>
      <c r="BT1107" s="355"/>
      <c r="BU1107" s="355"/>
      <c r="BV1107" s="355"/>
      <c r="BW1107" s="355"/>
    </row>
    <row r="1108" spans="1:75" x14ac:dyDescent="0.15">
      <c r="A1108" s="356"/>
      <c r="B1108" s="355"/>
      <c r="C1108" s="355"/>
      <c r="D1108" s="355"/>
      <c r="E1108" s="355"/>
      <c r="F1108" s="355"/>
      <c r="G1108" s="355"/>
      <c r="O1108" s="356"/>
      <c r="P1108" s="355"/>
      <c r="Q1108" s="355"/>
      <c r="R1108" s="355"/>
      <c r="S1108" s="355"/>
      <c r="T1108" s="355"/>
      <c r="U1108" s="355"/>
      <c r="V1108" s="355"/>
      <c r="W1108" s="355"/>
      <c r="AG1108" s="355"/>
      <c r="AH1108" s="355"/>
      <c r="AI1108" s="355"/>
      <c r="AJ1108" s="355"/>
      <c r="AK1108" s="355"/>
      <c r="AL1108" s="355"/>
      <c r="AM1108" s="355"/>
      <c r="AU1108" s="379">
        <v>77478</v>
      </c>
      <c r="AV1108" s="375"/>
      <c r="AW1108" s="375"/>
      <c r="AX1108" s="375"/>
      <c r="AY1108" s="375"/>
      <c r="AZ1108" s="375"/>
      <c r="BA1108" s="375"/>
      <c r="BB1108" s="375"/>
      <c r="BC1108" s="375"/>
      <c r="BD1108" s="375"/>
      <c r="BE1108" s="375"/>
      <c r="BF1108" s="375">
        <v>7.1249999999999994E-2</v>
      </c>
      <c r="BG1108" s="375"/>
      <c r="BH1108" s="375"/>
      <c r="BI1108" s="373">
        <f t="shared" si="44"/>
        <v>7.1249999999999994E-2</v>
      </c>
      <c r="BT1108" s="355"/>
      <c r="BU1108" s="355"/>
      <c r="BV1108" s="355"/>
      <c r="BW1108" s="355"/>
    </row>
    <row r="1109" spans="1:75" x14ac:dyDescent="0.15">
      <c r="A1109" s="356"/>
      <c r="B1109" s="355"/>
      <c r="C1109" s="355"/>
      <c r="D1109" s="355"/>
      <c r="E1109" s="355"/>
      <c r="F1109" s="355"/>
      <c r="G1109" s="355"/>
      <c r="O1109" s="356"/>
      <c r="P1109" s="355"/>
      <c r="Q1109" s="355"/>
      <c r="R1109" s="355"/>
      <c r="S1109" s="355"/>
      <c r="T1109" s="355"/>
      <c r="U1109" s="355"/>
      <c r="V1109" s="355"/>
      <c r="W1109" s="355"/>
      <c r="AG1109" s="355"/>
      <c r="AH1109" s="355"/>
      <c r="AI1109" s="355"/>
      <c r="AJ1109" s="355"/>
      <c r="AK1109" s="355"/>
      <c r="AL1109" s="355"/>
      <c r="AM1109" s="355"/>
      <c r="AU1109" s="379">
        <v>77507</v>
      </c>
      <c r="AV1109" s="375"/>
      <c r="AW1109" s="375"/>
      <c r="AX1109" s="375"/>
      <c r="AY1109" s="375"/>
      <c r="AZ1109" s="375"/>
      <c r="BA1109" s="375"/>
      <c r="BB1109" s="375"/>
      <c r="BC1109" s="375"/>
      <c r="BD1109" s="375"/>
      <c r="BE1109" s="375"/>
      <c r="BF1109" s="375">
        <v>7.1249999999999994E-2</v>
      </c>
      <c r="BG1109" s="375"/>
      <c r="BH1109" s="375"/>
      <c r="BI1109" s="373">
        <f t="shared" si="44"/>
        <v>7.1249999999999994E-2</v>
      </c>
      <c r="BT1109" s="355"/>
      <c r="BU1109" s="355"/>
      <c r="BV1109" s="355"/>
      <c r="BW1109" s="355"/>
    </row>
    <row r="1110" spans="1:75" x14ac:dyDescent="0.15">
      <c r="A1110" s="356"/>
      <c r="B1110" s="355"/>
      <c r="C1110" s="355"/>
      <c r="D1110" s="355"/>
      <c r="E1110" s="355"/>
      <c r="F1110" s="355"/>
      <c r="G1110" s="355"/>
      <c r="O1110" s="356"/>
      <c r="P1110" s="355"/>
      <c r="Q1110" s="355"/>
      <c r="R1110" s="355"/>
      <c r="S1110" s="355"/>
      <c r="T1110" s="355"/>
      <c r="U1110" s="355"/>
      <c r="V1110" s="355"/>
      <c r="W1110" s="355"/>
      <c r="AG1110" s="355"/>
      <c r="AH1110" s="355"/>
      <c r="AI1110" s="355"/>
      <c r="AJ1110" s="355"/>
      <c r="AK1110" s="355"/>
      <c r="AL1110" s="355"/>
      <c r="AM1110" s="355"/>
      <c r="AU1110" s="379">
        <v>77538</v>
      </c>
      <c r="AV1110" s="375"/>
      <c r="AW1110" s="375"/>
      <c r="AX1110" s="375"/>
      <c r="AY1110" s="375"/>
      <c r="AZ1110" s="375"/>
      <c r="BA1110" s="375"/>
      <c r="BB1110" s="375"/>
      <c r="BC1110" s="375"/>
      <c r="BD1110" s="375"/>
      <c r="BE1110" s="375"/>
      <c r="BF1110" s="375">
        <v>7.1249999999999994E-2</v>
      </c>
      <c r="BG1110" s="375"/>
      <c r="BH1110" s="375"/>
      <c r="BI1110" s="373">
        <f t="shared" si="44"/>
        <v>7.1249999999999994E-2</v>
      </c>
      <c r="BT1110" s="355"/>
      <c r="BU1110" s="355"/>
      <c r="BV1110" s="355"/>
      <c r="BW1110" s="355"/>
    </row>
    <row r="1111" spans="1:75" x14ac:dyDescent="0.15">
      <c r="A1111" s="356"/>
      <c r="B1111" s="355"/>
      <c r="C1111" s="355"/>
      <c r="D1111" s="355"/>
      <c r="E1111" s="355"/>
      <c r="F1111" s="355"/>
      <c r="G1111" s="355"/>
      <c r="O1111" s="356"/>
      <c r="P1111" s="355"/>
      <c r="Q1111" s="355"/>
      <c r="R1111" s="355"/>
      <c r="S1111" s="355"/>
      <c r="T1111" s="355"/>
      <c r="U1111" s="355"/>
      <c r="V1111" s="355"/>
      <c r="W1111" s="355"/>
      <c r="AG1111" s="355"/>
      <c r="AH1111" s="355"/>
      <c r="AI1111" s="355"/>
      <c r="AJ1111" s="355"/>
      <c r="AK1111" s="355"/>
      <c r="AL1111" s="355"/>
      <c r="AM1111" s="355"/>
      <c r="AU1111" s="379">
        <v>77568</v>
      </c>
      <c r="AV1111" s="375"/>
      <c r="AW1111" s="375"/>
      <c r="AX1111" s="375"/>
      <c r="AY1111" s="375"/>
      <c r="AZ1111" s="375"/>
      <c r="BA1111" s="375"/>
      <c r="BB1111" s="375"/>
      <c r="BC1111" s="375"/>
      <c r="BD1111" s="375"/>
      <c r="BE1111" s="375"/>
      <c r="BF1111" s="375">
        <v>7.1249999999999994E-2</v>
      </c>
      <c r="BG1111" s="375"/>
      <c r="BH1111" s="375"/>
      <c r="BI1111" s="373">
        <f t="shared" si="44"/>
        <v>7.1249999999999994E-2</v>
      </c>
      <c r="BT1111" s="355"/>
      <c r="BU1111" s="355"/>
      <c r="BV1111" s="355"/>
      <c r="BW1111" s="355"/>
    </row>
    <row r="1112" spans="1:75" x14ac:dyDescent="0.15">
      <c r="A1112" s="356"/>
      <c r="B1112" s="355"/>
      <c r="C1112" s="355"/>
      <c r="D1112" s="355"/>
      <c r="E1112" s="355"/>
      <c r="F1112" s="355"/>
      <c r="G1112" s="355"/>
      <c r="O1112" s="356"/>
      <c r="P1112" s="355"/>
      <c r="Q1112" s="355"/>
      <c r="R1112" s="355"/>
      <c r="S1112" s="355"/>
      <c r="T1112" s="355"/>
      <c r="U1112" s="355"/>
      <c r="V1112" s="355"/>
      <c r="W1112" s="355"/>
      <c r="AG1112" s="355"/>
      <c r="AH1112" s="355"/>
      <c r="AI1112" s="355"/>
      <c r="AJ1112" s="355"/>
      <c r="AK1112" s="355"/>
      <c r="AL1112" s="355"/>
      <c r="AM1112" s="355"/>
      <c r="AU1112" s="379">
        <v>77599</v>
      </c>
      <c r="AV1112" s="375"/>
      <c r="AW1112" s="375"/>
      <c r="AX1112" s="375"/>
      <c r="AY1112" s="375"/>
      <c r="AZ1112" s="375"/>
      <c r="BA1112" s="375"/>
      <c r="BB1112" s="375"/>
      <c r="BC1112" s="375"/>
      <c r="BD1112" s="375"/>
      <c r="BE1112" s="375"/>
      <c r="BF1112" s="375">
        <v>7.1249999999999994E-2</v>
      </c>
      <c r="BG1112" s="375"/>
      <c r="BH1112" s="375"/>
      <c r="BI1112" s="373">
        <f t="shared" si="44"/>
        <v>7.1249999999999994E-2</v>
      </c>
      <c r="BT1112" s="355"/>
      <c r="BU1112" s="355"/>
      <c r="BV1112" s="355"/>
      <c r="BW1112" s="355"/>
    </row>
    <row r="1113" spans="1:75" x14ac:dyDescent="0.15">
      <c r="A1113" s="356"/>
      <c r="B1113" s="355"/>
      <c r="C1113" s="355"/>
      <c r="D1113" s="355"/>
      <c r="E1113" s="355"/>
      <c r="F1113" s="355"/>
      <c r="G1113" s="355"/>
      <c r="O1113" s="356"/>
      <c r="P1113" s="355"/>
      <c r="Q1113" s="355"/>
      <c r="R1113" s="355"/>
      <c r="S1113" s="355"/>
      <c r="T1113" s="355"/>
      <c r="U1113" s="355"/>
      <c r="V1113" s="355"/>
      <c r="W1113" s="355"/>
      <c r="AG1113" s="355"/>
      <c r="AH1113" s="355"/>
      <c r="AI1113" s="355"/>
      <c r="AJ1113" s="355"/>
      <c r="AK1113" s="355"/>
      <c r="AL1113" s="355"/>
      <c r="AM1113" s="355"/>
      <c r="AU1113" s="379">
        <v>77629</v>
      </c>
      <c r="AV1113" s="375"/>
      <c r="AW1113" s="375"/>
      <c r="AX1113" s="375"/>
      <c r="AY1113" s="375"/>
      <c r="AZ1113" s="375"/>
      <c r="BA1113" s="375"/>
      <c r="BB1113" s="375"/>
      <c r="BC1113" s="375"/>
      <c r="BD1113" s="375"/>
      <c r="BE1113" s="375"/>
      <c r="BF1113" s="375">
        <v>7.1249999999999994E-2</v>
      </c>
      <c r="BG1113" s="375"/>
      <c r="BH1113" s="375"/>
      <c r="BI1113" s="373">
        <f t="shared" si="44"/>
        <v>7.1249999999999994E-2</v>
      </c>
      <c r="BT1113" s="355"/>
      <c r="BU1113" s="355"/>
      <c r="BV1113" s="355"/>
      <c r="BW1113" s="355"/>
    </row>
    <row r="1114" spans="1:75" x14ac:dyDescent="0.15">
      <c r="A1114" s="356"/>
      <c r="B1114" s="355"/>
      <c r="C1114" s="355"/>
      <c r="D1114" s="355"/>
      <c r="E1114" s="355"/>
      <c r="F1114" s="355"/>
      <c r="G1114" s="355"/>
      <c r="O1114" s="356"/>
      <c r="P1114" s="355"/>
      <c r="Q1114" s="355"/>
      <c r="R1114" s="355"/>
      <c r="S1114" s="355"/>
      <c r="T1114" s="355"/>
      <c r="U1114" s="355"/>
      <c r="V1114" s="355"/>
      <c r="W1114" s="355"/>
      <c r="AG1114" s="355"/>
      <c r="AH1114" s="355"/>
      <c r="AI1114" s="355"/>
      <c r="AJ1114" s="355"/>
      <c r="AK1114" s="355"/>
      <c r="AL1114" s="355"/>
      <c r="AM1114" s="355"/>
      <c r="AU1114" s="379">
        <v>77660</v>
      </c>
      <c r="AV1114" s="375"/>
      <c r="AW1114" s="375"/>
      <c r="AX1114" s="375"/>
      <c r="AY1114" s="375"/>
      <c r="AZ1114" s="375"/>
      <c r="BA1114" s="375"/>
      <c r="BB1114" s="375"/>
      <c r="BC1114" s="375"/>
      <c r="BD1114" s="375"/>
      <c r="BE1114" s="375"/>
      <c r="BF1114" s="375">
        <v>7.1249999999999994E-2</v>
      </c>
      <c r="BG1114" s="375"/>
      <c r="BH1114" s="375"/>
      <c r="BI1114" s="373">
        <f t="shared" si="44"/>
        <v>7.1249999999999994E-2</v>
      </c>
      <c r="BT1114" s="355"/>
      <c r="BU1114" s="355"/>
      <c r="BV1114" s="355"/>
      <c r="BW1114" s="355"/>
    </row>
    <row r="1115" spans="1:75" x14ac:dyDescent="0.15">
      <c r="A1115" s="356"/>
      <c r="B1115" s="355"/>
      <c r="C1115" s="355"/>
      <c r="D1115" s="355"/>
      <c r="E1115" s="355"/>
      <c r="F1115" s="355"/>
      <c r="G1115" s="355"/>
      <c r="O1115" s="356"/>
      <c r="P1115" s="355"/>
      <c r="Q1115" s="355"/>
      <c r="R1115" s="355"/>
      <c r="S1115" s="355"/>
      <c r="T1115" s="355"/>
      <c r="U1115" s="355"/>
      <c r="V1115" s="355"/>
      <c r="W1115" s="355"/>
      <c r="AG1115" s="355"/>
      <c r="AH1115" s="355"/>
      <c r="AI1115" s="355"/>
      <c r="AJ1115" s="355"/>
      <c r="AK1115" s="355"/>
      <c r="AL1115" s="355"/>
      <c r="AM1115" s="355"/>
      <c r="AU1115" s="379">
        <v>77691</v>
      </c>
      <c r="AV1115" s="375"/>
      <c r="AW1115" s="375"/>
      <c r="AX1115" s="375"/>
      <c r="AY1115" s="375"/>
      <c r="AZ1115" s="375"/>
      <c r="BA1115" s="375"/>
      <c r="BB1115" s="375"/>
      <c r="BC1115" s="375"/>
      <c r="BD1115" s="375"/>
      <c r="BE1115" s="375"/>
      <c r="BF1115" s="375">
        <v>7.1249999999999994E-2</v>
      </c>
      <c r="BG1115" s="375"/>
      <c r="BH1115" s="375"/>
      <c r="BI1115" s="373">
        <f t="shared" si="44"/>
        <v>7.1249999999999994E-2</v>
      </c>
      <c r="BT1115" s="355"/>
      <c r="BU1115" s="355"/>
      <c r="BV1115" s="355"/>
      <c r="BW1115" s="355"/>
    </row>
    <row r="1116" spans="1:75" x14ac:dyDescent="0.15">
      <c r="A1116" s="356"/>
      <c r="B1116" s="355"/>
      <c r="C1116" s="355"/>
      <c r="D1116" s="355"/>
      <c r="E1116" s="355"/>
      <c r="F1116" s="355"/>
      <c r="G1116" s="355"/>
      <c r="O1116" s="356"/>
      <c r="P1116" s="355"/>
      <c r="Q1116" s="355"/>
      <c r="R1116" s="355"/>
      <c r="S1116" s="355"/>
      <c r="T1116" s="355"/>
      <c r="U1116" s="355"/>
      <c r="V1116" s="355"/>
      <c r="W1116" s="355"/>
      <c r="AG1116" s="355"/>
      <c r="AH1116" s="355"/>
      <c r="AI1116" s="355"/>
      <c r="AJ1116" s="355"/>
      <c r="AK1116" s="355"/>
      <c r="AL1116" s="355"/>
      <c r="AM1116" s="355"/>
      <c r="AU1116" s="379">
        <v>77721</v>
      </c>
      <c r="AV1116" s="375"/>
      <c r="AW1116" s="375"/>
      <c r="AX1116" s="375"/>
      <c r="AY1116" s="375"/>
      <c r="AZ1116" s="375"/>
      <c r="BA1116" s="375"/>
      <c r="BB1116" s="375"/>
      <c r="BC1116" s="375"/>
      <c r="BD1116" s="375"/>
      <c r="BE1116" s="375"/>
      <c r="BF1116" s="375">
        <v>7.1249999999999994E-2</v>
      </c>
      <c r="BG1116" s="375"/>
      <c r="BH1116" s="375"/>
      <c r="BI1116" s="373">
        <f t="shared" si="44"/>
        <v>7.1249999999999994E-2</v>
      </c>
      <c r="BT1116" s="355"/>
      <c r="BU1116" s="355"/>
      <c r="BV1116" s="355"/>
      <c r="BW1116" s="355"/>
    </row>
    <row r="1117" spans="1:75" x14ac:dyDescent="0.15">
      <c r="A1117" s="356"/>
      <c r="B1117" s="355"/>
      <c r="C1117" s="355"/>
      <c r="D1117" s="355"/>
      <c r="E1117" s="355"/>
      <c r="F1117" s="355"/>
      <c r="G1117" s="355"/>
      <c r="O1117" s="356"/>
      <c r="P1117" s="355"/>
      <c r="Q1117" s="355"/>
      <c r="R1117" s="355"/>
      <c r="S1117" s="355"/>
      <c r="T1117" s="355"/>
      <c r="U1117" s="355"/>
      <c r="V1117" s="355"/>
      <c r="W1117" s="355"/>
      <c r="AG1117" s="355"/>
      <c r="AH1117" s="355"/>
      <c r="AI1117" s="355"/>
      <c r="AJ1117" s="355"/>
      <c r="AK1117" s="355"/>
      <c r="AL1117" s="355"/>
      <c r="AM1117" s="355"/>
      <c r="AU1117" s="379">
        <v>77752</v>
      </c>
      <c r="AV1117" s="375"/>
      <c r="AW1117" s="375"/>
      <c r="AX1117" s="375"/>
      <c r="AY1117" s="375"/>
      <c r="AZ1117" s="375"/>
      <c r="BA1117" s="375"/>
      <c r="BB1117" s="375"/>
      <c r="BC1117" s="375"/>
      <c r="BD1117" s="375"/>
      <c r="BE1117" s="375"/>
      <c r="BF1117" s="375">
        <v>7.1249999999999994E-2</v>
      </c>
      <c r="BG1117" s="375"/>
      <c r="BH1117" s="375"/>
      <c r="BI1117" s="373">
        <f t="shared" si="44"/>
        <v>7.1249999999999994E-2</v>
      </c>
      <c r="BT1117" s="355"/>
      <c r="BU1117" s="355"/>
      <c r="BV1117" s="355"/>
      <c r="BW1117" s="355"/>
    </row>
    <row r="1118" spans="1:75" x14ac:dyDescent="0.15">
      <c r="A1118" s="356"/>
      <c r="B1118" s="355"/>
      <c r="C1118" s="355"/>
      <c r="D1118" s="355"/>
      <c r="E1118" s="355"/>
      <c r="F1118" s="355"/>
      <c r="G1118" s="355"/>
      <c r="O1118" s="356"/>
      <c r="P1118" s="355"/>
      <c r="Q1118" s="355"/>
      <c r="R1118" s="355"/>
      <c r="S1118" s="355"/>
      <c r="T1118" s="355"/>
      <c r="U1118" s="355"/>
      <c r="V1118" s="355"/>
      <c r="W1118" s="355"/>
      <c r="AG1118" s="355"/>
      <c r="AH1118" s="355"/>
      <c r="AI1118" s="355"/>
      <c r="AJ1118" s="355"/>
      <c r="AK1118" s="355"/>
      <c r="AL1118" s="355"/>
      <c r="AM1118" s="355"/>
      <c r="AU1118" s="379">
        <v>77782</v>
      </c>
      <c r="AV1118" s="375"/>
      <c r="AW1118" s="375"/>
      <c r="AX1118" s="375"/>
      <c r="AY1118" s="375"/>
      <c r="AZ1118" s="375"/>
      <c r="BA1118" s="375"/>
      <c r="BB1118" s="375"/>
      <c r="BC1118" s="375"/>
      <c r="BD1118" s="375"/>
      <c r="BE1118" s="375"/>
      <c r="BF1118" s="375">
        <v>7.1249999999999994E-2</v>
      </c>
      <c r="BG1118" s="375"/>
      <c r="BH1118" s="375"/>
      <c r="BI1118" s="373">
        <f t="shared" si="44"/>
        <v>7.1249999999999994E-2</v>
      </c>
      <c r="BT1118" s="355"/>
      <c r="BU1118" s="355"/>
      <c r="BV1118" s="355"/>
      <c r="BW1118" s="355"/>
    </row>
    <row r="1119" spans="1:75" x14ac:dyDescent="0.15">
      <c r="A1119" s="356"/>
      <c r="B1119" s="355"/>
      <c r="C1119" s="355"/>
      <c r="D1119" s="355"/>
      <c r="E1119" s="355"/>
      <c r="F1119" s="355"/>
      <c r="G1119" s="355"/>
      <c r="O1119" s="356"/>
      <c r="P1119" s="355"/>
      <c r="Q1119" s="355"/>
      <c r="R1119" s="355"/>
      <c r="S1119" s="355"/>
      <c r="T1119" s="355"/>
      <c r="U1119" s="355"/>
      <c r="V1119" s="355"/>
      <c r="W1119" s="355"/>
      <c r="AG1119" s="355"/>
      <c r="AH1119" s="355"/>
      <c r="AI1119" s="355"/>
      <c r="AJ1119" s="355"/>
      <c r="AK1119" s="355"/>
      <c r="AL1119" s="355"/>
      <c r="AM1119" s="355"/>
      <c r="AU1119" s="379">
        <v>77813</v>
      </c>
      <c r="AV1119" s="375"/>
      <c r="AW1119" s="375"/>
      <c r="AX1119" s="375"/>
      <c r="AY1119" s="375"/>
      <c r="AZ1119" s="375"/>
      <c r="BA1119" s="375"/>
      <c r="BB1119" s="375"/>
      <c r="BC1119" s="375"/>
      <c r="BD1119" s="375"/>
      <c r="BE1119" s="375"/>
      <c r="BF1119" s="375">
        <v>7.1249999999999994E-2</v>
      </c>
      <c r="BG1119" s="375"/>
      <c r="BH1119" s="375"/>
      <c r="BI1119" s="373">
        <f t="shared" si="44"/>
        <v>7.1249999999999994E-2</v>
      </c>
      <c r="BT1119" s="355"/>
      <c r="BU1119" s="355"/>
      <c r="BV1119" s="355"/>
      <c r="BW1119" s="355"/>
    </row>
    <row r="1120" spans="1:75" x14ac:dyDescent="0.15">
      <c r="A1120" s="356"/>
      <c r="B1120" s="355"/>
      <c r="C1120" s="355"/>
      <c r="D1120" s="355"/>
      <c r="E1120" s="355"/>
      <c r="F1120" s="355"/>
      <c r="G1120" s="355"/>
      <c r="O1120" s="356"/>
      <c r="P1120" s="355"/>
      <c r="Q1120" s="355"/>
      <c r="R1120" s="355"/>
      <c r="S1120" s="355"/>
      <c r="T1120" s="355"/>
      <c r="U1120" s="355"/>
      <c r="V1120" s="355"/>
      <c r="W1120" s="355"/>
      <c r="AG1120" s="355"/>
      <c r="AH1120" s="355"/>
      <c r="AI1120" s="355"/>
      <c r="AJ1120" s="355"/>
      <c r="AK1120" s="355"/>
      <c r="AL1120" s="355"/>
      <c r="AM1120" s="355"/>
      <c r="AU1120" s="379">
        <v>77844</v>
      </c>
      <c r="AV1120" s="375"/>
      <c r="AW1120" s="375"/>
      <c r="AX1120" s="375"/>
      <c r="AY1120" s="375"/>
      <c r="AZ1120" s="375"/>
      <c r="BA1120" s="375"/>
      <c r="BB1120" s="375"/>
      <c r="BC1120" s="375"/>
      <c r="BD1120" s="375"/>
      <c r="BE1120" s="375"/>
      <c r="BF1120" s="375">
        <v>7.1249999999999994E-2</v>
      </c>
      <c r="BG1120" s="375"/>
      <c r="BH1120" s="375"/>
      <c r="BI1120" s="373">
        <f t="shared" si="44"/>
        <v>7.1249999999999994E-2</v>
      </c>
      <c r="BT1120" s="355"/>
      <c r="BU1120" s="355"/>
      <c r="BV1120" s="355"/>
      <c r="BW1120" s="355"/>
    </row>
    <row r="1121" spans="1:75" x14ac:dyDescent="0.15">
      <c r="A1121" s="356"/>
      <c r="B1121" s="355"/>
      <c r="C1121" s="355"/>
      <c r="D1121" s="355"/>
      <c r="E1121" s="355"/>
      <c r="F1121" s="355"/>
      <c r="G1121" s="355"/>
      <c r="O1121" s="356"/>
      <c r="P1121" s="355"/>
      <c r="Q1121" s="355"/>
      <c r="R1121" s="355"/>
      <c r="S1121" s="355"/>
      <c r="T1121" s="355"/>
      <c r="U1121" s="355"/>
      <c r="V1121" s="355"/>
      <c r="W1121" s="355"/>
      <c r="AG1121" s="355"/>
      <c r="AH1121" s="355"/>
      <c r="AI1121" s="355"/>
      <c r="AJ1121" s="355"/>
      <c r="AK1121" s="355"/>
      <c r="AL1121" s="355"/>
      <c r="AM1121" s="355"/>
      <c r="AU1121" s="379">
        <v>77872</v>
      </c>
      <c r="AV1121" s="375"/>
      <c r="AW1121" s="375"/>
      <c r="AX1121" s="375"/>
      <c r="AY1121" s="375"/>
      <c r="AZ1121" s="375"/>
      <c r="BA1121" s="375"/>
      <c r="BB1121" s="375"/>
      <c r="BC1121" s="375"/>
      <c r="BD1121" s="375"/>
      <c r="BE1121" s="375"/>
      <c r="BF1121" s="375">
        <v>7.1249999999999994E-2</v>
      </c>
      <c r="BG1121" s="375"/>
      <c r="BH1121" s="375"/>
      <c r="BI1121" s="373">
        <f t="shared" si="44"/>
        <v>7.1249999999999994E-2</v>
      </c>
      <c r="BT1121" s="355"/>
      <c r="BU1121" s="355"/>
      <c r="BV1121" s="355"/>
      <c r="BW1121" s="355"/>
    </row>
    <row r="1122" spans="1:75" x14ac:dyDescent="0.15">
      <c r="A1122" s="356"/>
      <c r="B1122" s="355"/>
      <c r="C1122" s="355"/>
      <c r="D1122" s="355"/>
      <c r="E1122" s="355"/>
      <c r="F1122" s="355"/>
      <c r="G1122" s="355"/>
      <c r="O1122" s="356"/>
      <c r="P1122" s="355"/>
      <c r="Q1122" s="355"/>
      <c r="R1122" s="355"/>
      <c r="S1122" s="355"/>
      <c r="T1122" s="355"/>
      <c r="U1122" s="355"/>
      <c r="V1122" s="355"/>
      <c r="W1122" s="355"/>
      <c r="AG1122" s="355"/>
      <c r="AH1122" s="355"/>
      <c r="AI1122" s="355"/>
      <c r="AJ1122" s="355"/>
      <c r="AK1122" s="355"/>
      <c r="AL1122" s="355"/>
      <c r="AM1122" s="355"/>
      <c r="AU1122" s="379">
        <v>77903</v>
      </c>
      <c r="AV1122" s="375"/>
      <c r="AW1122" s="375"/>
      <c r="AX1122" s="375"/>
      <c r="AY1122" s="375"/>
      <c r="AZ1122" s="375"/>
      <c r="BA1122" s="375"/>
      <c r="BB1122" s="375"/>
      <c r="BC1122" s="375"/>
      <c r="BD1122" s="375"/>
      <c r="BE1122" s="375"/>
      <c r="BF1122" s="375">
        <v>7.1249999999999994E-2</v>
      </c>
      <c r="BG1122" s="375"/>
      <c r="BH1122" s="375"/>
      <c r="BI1122" s="373">
        <f t="shared" si="44"/>
        <v>7.1249999999999994E-2</v>
      </c>
      <c r="BT1122" s="355"/>
      <c r="BU1122" s="355"/>
      <c r="BV1122" s="355"/>
      <c r="BW1122" s="355"/>
    </row>
    <row r="1123" spans="1:75" x14ac:dyDescent="0.15">
      <c r="A1123" s="356"/>
      <c r="B1123" s="355"/>
      <c r="C1123" s="355"/>
      <c r="D1123" s="355"/>
      <c r="E1123" s="355"/>
      <c r="F1123" s="355"/>
      <c r="G1123" s="355"/>
      <c r="O1123" s="356"/>
      <c r="P1123" s="355"/>
      <c r="Q1123" s="355"/>
      <c r="R1123" s="355"/>
      <c r="S1123" s="355"/>
      <c r="T1123" s="355"/>
      <c r="U1123" s="355"/>
      <c r="V1123" s="355"/>
      <c r="W1123" s="355"/>
      <c r="AG1123" s="355"/>
      <c r="AH1123" s="355"/>
      <c r="AI1123" s="355"/>
      <c r="AJ1123" s="355"/>
      <c r="AK1123" s="355"/>
      <c r="AL1123" s="355"/>
      <c r="AM1123" s="355"/>
      <c r="AU1123" s="379">
        <v>77933</v>
      </c>
      <c r="AV1123" s="375"/>
      <c r="AW1123" s="375"/>
      <c r="AX1123" s="375"/>
      <c r="AY1123" s="375"/>
      <c r="AZ1123" s="375"/>
      <c r="BA1123" s="375"/>
      <c r="BB1123" s="375"/>
      <c r="BC1123" s="375"/>
      <c r="BD1123" s="375"/>
      <c r="BE1123" s="375"/>
      <c r="BF1123" s="375">
        <v>7.1249999999999994E-2</v>
      </c>
      <c r="BG1123" s="375"/>
      <c r="BH1123" s="375"/>
      <c r="BI1123" s="373">
        <f t="shared" si="44"/>
        <v>7.1249999999999994E-2</v>
      </c>
      <c r="BT1123" s="355"/>
      <c r="BU1123" s="355"/>
      <c r="BV1123" s="355"/>
      <c r="BW1123" s="355"/>
    </row>
    <row r="1124" spans="1:75" x14ac:dyDescent="0.15">
      <c r="A1124" s="356"/>
      <c r="B1124" s="355"/>
      <c r="C1124" s="355"/>
      <c r="D1124" s="355"/>
      <c r="E1124" s="355"/>
      <c r="F1124" s="355"/>
      <c r="G1124" s="355"/>
      <c r="O1124" s="356"/>
      <c r="P1124" s="355"/>
      <c r="Q1124" s="355"/>
      <c r="R1124" s="355"/>
      <c r="S1124" s="355"/>
      <c r="T1124" s="355"/>
      <c r="U1124" s="355"/>
      <c r="V1124" s="355"/>
      <c r="W1124" s="355"/>
      <c r="AG1124" s="355"/>
      <c r="AH1124" s="355"/>
      <c r="AI1124" s="355"/>
      <c r="AJ1124" s="355"/>
      <c r="AK1124" s="355"/>
      <c r="AL1124" s="355"/>
      <c r="AM1124" s="355"/>
      <c r="AU1124" s="379">
        <v>77964</v>
      </c>
      <c r="AV1124" s="375"/>
      <c r="AW1124" s="375"/>
      <c r="AX1124" s="375"/>
      <c r="AY1124" s="375"/>
      <c r="AZ1124" s="375"/>
      <c r="BA1124" s="375"/>
      <c r="BB1124" s="375"/>
      <c r="BC1124" s="375"/>
      <c r="BD1124" s="375"/>
      <c r="BE1124" s="375"/>
      <c r="BF1124" s="375">
        <v>7.1249999999999994E-2</v>
      </c>
      <c r="BG1124" s="375"/>
      <c r="BH1124" s="375"/>
      <c r="BI1124" s="373">
        <f t="shared" si="44"/>
        <v>7.1249999999999994E-2</v>
      </c>
      <c r="BT1124" s="355"/>
      <c r="BU1124" s="355"/>
      <c r="BV1124" s="355"/>
      <c r="BW1124" s="355"/>
    </row>
    <row r="1125" spans="1:75" x14ac:dyDescent="0.15">
      <c r="A1125" s="356"/>
      <c r="B1125" s="355"/>
      <c r="C1125" s="355"/>
      <c r="D1125" s="355"/>
      <c r="E1125" s="355"/>
      <c r="F1125" s="355"/>
      <c r="G1125" s="355"/>
      <c r="O1125" s="356"/>
      <c r="P1125" s="355"/>
      <c r="Q1125" s="355"/>
      <c r="R1125" s="355"/>
      <c r="S1125" s="355"/>
      <c r="T1125" s="355"/>
      <c r="U1125" s="355"/>
      <c r="V1125" s="355"/>
      <c r="W1125" s="355"/>
      <c r="AG1125" s="355"/>
      <c r="AH1125" s="355"/>
      <c r="AI1125" s="355"/>
      <c r="AJ1125" s="355"/>
      <c r="AK1125" s="355"/>
      <c r="AL1125" s="355"/>
      <c r="AM1125" s="355"/>
      <c r="AU1125" s="379">
        <v>77994</v>
      </c>
      <c r="AV1125" s="375"/>
      <c r="AW1125" s="375"/>
      <c r="AX1125" s="375"/>
      <c r="AY1125" s="375"/>
      <c r="AZ1125" s="375"/>
      <c r="BA1125" s="375"/>
      <c r="BB1125" s="375"/>
      <c r="BC1125" s="375"/>
      <c r="BD1125" s="375"/>
      <c r="BE1125" s="375"/>
      <c r="BF1125" s="375">
        <v>7.1249999999999994E-2</v>
      </c>
      <c r="BG1125" s="375"/>
      <c r="BH1125" s="375"/>
      <c r="BI1125" s="373">
        <f t="shared" si="44"/>
        <v>7.1249999999999994E-2</v>
      </c>
      <c r="BT1125" s="355"/>
      <c r="BU1125" s="355"/>
      <c r="BV1125" s="355"/>
      <c r="BW1125" s="355"/>
    </row>
    <row r="1126" spans="1:75" x14ac:dyDescent="0.15">
      <c r="A1126" s="356"/>
      <c r="B1126" s="355"/>
      <c r="C1126" s="355"/>
      <c r="D1126" s="355"/>
      <c r="E1126" s="355"/>
      <c r="F1126" s="355"/>
      <c r="G1126" s="355"/>
      <c r="O1126" s="356"/>
      <c r="P1126" s="355"/>
      <c r="Q1126" s="355"/>
      <c r="R1126" s="355"/>
      <c r="S1126" s="355"/>
      <c r="T1126" s="355"/>
      <c r="U1126" s="355"/>
      <c r="V1126" s="355"/>
      <c r="W1126" s="355"/>
      <c r="AG1126" s="355"/>
      <c r="AH1126" s="355"/>
      <c r="AI1126" s="355"/>
      <c r="AJ1126" s="355"/>
      <c r="AK1126" s="355"/>
      <c r="AL1126" s="355"/>
      <c r="AM1126" s="355"/>
      <c r="AU1126" s="379">
        <v>78025</v>
      </c>
      <c r="AV1126" s="375"/>
      <c r="AW1126" s="375"/>
      <c r="AX1126" s="375"/>
      <c r="AY1126" s="375"/>
      <c r="AZ1126" s="375"/>
      <c r="BA1126" s="375"/>
      <c r="BB1126" s="375"/>
      <c r="BC1126" s="375"/>
      <c r="BD1126" s="375"/>
      <c r="BE1126" s="375"/>
      <c r="BF1126" s="375">
        <v>7.1249999999999994E-2</v>
      </c>
      <c r="BG1126" s="375"/>
      <c r="BH1126" s="375"/>
      <c r="BI1126" s="373">
        <f t="shared" si="44"/>
        <v>7.1249999999999994E-2</v>
      </c>
      <c r="BT1126" s="355"/>
      <c r="BU1126" s="355"/>
      <c r="BV1126" s="355"/>
      <c r="BW1126" s="355"/>
    </row>
    <row r="1127" spans="1:75" x14ac:dyDescent="0.15">
      <c r="A1127" s="356"/>
      <c r="B1127" s="355"/>
      <c r="C1127" s="355"/>
      <c r="D1127" s="355"/>
      <c r="E1127" s="355"/>
      <c r="F1127" s="355"/>
      <c r="G1127" s="355"/>
      <c r="O1127" s="356"/>
      <c r="P1127" s="355"/>
      <c r="Q1127" s="355"/>
      <c r="R1127" s="355"/>
      <c r="S1127" s="355"/>
      <c r="T1127" s="355"/>
      <c r="U1127" s="355"/>
      <c r="V1127" s="355"/>
      <c r="W1127" s="355"/>
      <c r="AG1127" s="355"/>
      <c r="AH1127" s="355"/>
      <c r="AI1127" s="355"/>
      <c r="AJ1127" s="355"/>
      <c r="AK1127" s="355"/>
      <c r="AL1127" s="355"/>
      <c r="AM1127" s="355"/>
      <c r="AU1127" s="379">
        <v>78056</v>
      </c>
      <c r="AV1127" s="375"/>
      <c r="AW1127" s="375"/>
      <c r="AX1127" s="375"/>
      <c r="AY1127" s="375"/>
      <c r="AZ1127" s="375"/>
      <c r="BA1127" s="375"/>
      <c r="BB1127" s="375"/>
      <c r="BC1127" s="375"/>
      <c r="BD1127" s="375"/>
      <c r="BE1127" s="375"/>
      <c r="BF1127" s="375">
        <v>7.1249999999999994E-2</v>
      </c>
      <c r="BG1127" s="375"/>
      <c r="BH1127" s="375"/>
      <c r="BI1127" s="373">
        <f t="shared" si="44"/>
        <v>7.1249999999999994E-2</v>
      </c>
      <c r="BT1127" s="355"/>
      <c r="BU1127" s="355"/>
      <c r="BV1127" s="355"/>
      <c r="BW1127" s="355"/>
    </row>
    <row r="1128" spans="1:75" x14ac:dyDescent="0.15">
      <c r="A1128" s="356"/>
      <c r="B1128" s="355"/>
      <c r="C1128" s="355"/>
      <c r="D1128" s="355"/>
      <c r="E1128" s="355"/>
      <c r="F1128" s="355"/>
      <c r="G1128" s="355"/>
      <c r="O1128" s="356"/>
      <c r="P1128" s="355"/>
      <c r="Q1128" s="355"/>
      <c r="R1128" s="355"/>
      <c r="S1128" s="355"/>
      <c r="T1128" s="355"/>
      <c r="U1128" s="355"/>
      <c r="V1128" s="355"/>
      <c r="W1128" s="355"/>
      <c r="AG1128" s="355"/>
      <c r="AH1128" s="355"/>
      <c r="AI1128" s="355"/>
      <c r="AJ1128" s="355"/>
      <c r="AK1128" s="355"/>
      <c r="AL1128" s="355"/>
      <c r="AM1128" s="355"/>
      <c r="AU1128" s="379">
        <v>78086</v>
      </c>
      <c r="AV1128" s="375"/>
      <c r="AW1128" s="375"/>
      <c r="AX1128" s="375"/>
      <c r="AY1128" s="375"/>
      <c r="AZ1128" s="375"/>
      <c r="BA1128" s="375"/>
      <c r="BB1128" s="375"/>
      <c r="BC1128" s="375"/>
      <c r="BD1128" s="375"/>
      <c r="BE1128" s="375"/>
      <c r="BF1128" s="375">
        <v>7.1249999999999994E-2</v>
      </c>
      <c r="BG1128" s="375"/>
      <c r="BH1128" s="375"/>
      <c r="BI1128" s="373">
        <f t="shared" si="44"/>
        <v>7.1249999999999994E-2</v>
      </c>
      <c r="BT1128" s="355"/>
      <c r="BU1128" s="355"/>
      <c r="BV1128" s="355"/>
      <c r="BW1128" s="355"/>
    </row>
    <row r="1129" spans="1:75" x14ac:dyDescent="0.15">
      <c r="A1129" s="356"/>
      <c r="B1129" s="355"/>
      <c r="C1129" s="355"/>
      <c r="D1129" s="355"/>
      <c r="E1129" s="355"/>
      <c r="F1129" s="355"/>
      <c r="G1129" s="355"/>
      <c r="O1129" s="356"/>
      <c r="P1129" s="355"/>
      <c r="Q1129" s="355"/>
      <c r="R1129" s="355"/>
      <c r="S1129" s="355"/>
      <c r="T1129" s="355"/>
      <c r="U1129" s="355"/>
      <c r="V1129" s="355"/>
      <c r="W1129" s="355"/>
      <c r="AG1129" s="355"/>
      <c r="AH1129" s="355"/>
      <c r="AI1129" s="355"/>
      <c r="AJ1129" s="355"/>
      <c r="AK1129" s="355"/>
      <c r="AL1129" s="355"/>
      <c r="AM1129" s="355"/>
      <c r="AU1129" s="379">
        <v>78117</v>
      </c>
      <c r="AV1129" s="375"/>
      <c r="AW1129" s="375"/>
      <c r="AX1129" s="375"/>
      <c r="AY1129" s="375"/>
      <c r="AZ1129" s="375"/>
      <c r="BA1129" s="375"/>
      <c r="BB1129" s="375"/>
      <c r="BC1129" s="375"/>
      <c r="BD1129" s="375"/>
      <c r="BE1129" s="375"/>
      <c r="BF1129" s="375">
        <v>7.1249999999999994E-2</v>
      </c>
      <c r="BG1129" s="375"/>
      <c r="BH1129" s="375"/>
      <c r="BI1129" s="373">
        <f t="shared" si="44"/>
        <v>7.1249999999999994E-2</v>
      </c>
      <c r="BT1129" s="355"/>
      <c r="BU1129" s="355"/>
      <c r="BV1129" s="355"/>
      <c r="BW1129" s="355"/>
    </row>
    <row r="1130" spans="1:75" x14ac:dyDescent="0.15">
      <c r="A1130" s="356"/>
      <c r="B1130" s="355"/>
      <c r="C1130" s="355"/>
      <c r="D1130" s="355"/>
      <c r="E1130" s="355"/>
      <c r="F1130" s="355"/>
      <c r="G1130" s="355"/>
      <c r="O1130" s="356"/>
      <c r="P1130" s="355"/>
      <c r="Q1130" s="355"/>
      <c r="R1130" s="355"/>
      <c r="S1130" s="355"/>
      <c r="T1130" s="355"/>
      <c r="U1130" s="355"/>
      <c r="V1130" s="355"/>
      <c r="W1130" s="355"/>
      <c r="AG1130" s="355"/>
      <c r="AH1130" s="355"/>
      <c r="AI1130" s="355"/>
      <c r="AJ1130" s="355"/>
      <c r="AK1130" s="355"/>
      <c r="AL1130" s="355"/>
      <c r="AM1130" s="355"/>
      <c r="AU1130" s="379">
        <v>78147</v>
      </c>
      <c r="AV1130" s="375"/>
      <c r="AW1130" s="375"/>
      <c r="AX1130" s="375"/>
      <c r="AY1130" s="375"/>
      <c r="AZ1130" s="375"/>
      <c r="BA1130" s="375"/>
      <c r="BB1130" s="375"/>
      <c r="BC1130" s="375"/>
      <c r="BD1130" s="375"/>
      <c r="BE1130" s="375"/>
      <c r="BF1130" s="375">
        <v>7.1249999999999994E-2</v>
      </c>
      <c r="BG1130" s="375"/>
      <c r="BH1130" s="375"/>
      <c r="BI1130" s="373">
        <f t="shared" si="44"/>
        <v>7.1249999999999994E-2</v>
      </c>
      <c r="BT1130" s="355"/>
      <c r="BU1130" s="355"/>
      <c r="BV1130" s="355"/>
      <c r="BW1130" s="355"/>
    </row>
    <row r="1131" spans="1:75" x14ac:dyDescent="0.15">
      <c r="A1131" s="356"/>
      <c r="B1131" s="355"/>
      <c r="C1131" s="355"/>
      <c r="D1131" s="355"/>
      <c r="E1131" s="355"/>
      <c r="F1131" s="355"/>
      <c r="G1131" s="355"/>
      <c r="O1131" s="356"/>
      <c r="P1131" s="355"/>
      <c r="Q1131" s="355"/>
      <c r="R1131" s="355"/>
      <c r="S1131" s="355"/>
      <c r="T1131" s="355"/>
      <c r="U1131" s="355"/>
      <c r="V1131" s="355"/>
      <c r="W1131" s="355"/>
      <c r="AG1131" s="355"/>
      <c r="AH1131" s="355"/>
      <c r="AI1131" s="355"/>
      <c r="AJ1131" s="355"/>
      <c r="AK1131" s="355"/>
      <c r="AL1131" s="355"/>
      <c r="AM1131" s="355"/>
      <c r="AU1131" s="379">
        <v>78178</v>
      </c>
      <c r="AV1131" s="375"/>
      <c r="AW1131" s="375"/>
      <c r="AX1131" s="375"/>
      <c r="AY1131" s="375"/>
      <c r="AZ1131" s="375"/>
      <c r="BA1131" s="375"/>
      <c r="BB1131" s="375"/>
      <c r="BC1131" s="375"/>
      <c r="BD1131" s="375"/>
      <c r="BE1131" s="375"/>
      <c r="BF1131" s="375">
        <v>7.1249999999999994E-2</v>
      </c>
      <c r="BG1131" s="375"/>
      <c r="BH1131" s="375"/>
      <c r="BI1131" s="373">
        <f t="shared" si="44"/>
        <v>7.1249999999999994E-2</v>
      </c>
      <c r="BT1131" s="355"/>
      <c r="BU1131" s="355"/>
      <c r="BV1131" s="355"/>
      <c r="BW1131" s="355"/>
    </row>
    <row r="1132" spans="1:75" x14ac:dyDescent="0.15">
      <c r="A1132" s="356"/>
      <c r="B1132" s="355"/>
      <c r="C1132" s="355"/>
      <c r="D1132" s="355"/>
      <c r="E1132" s="355"/>
      <c r="F1132" s="355"/>
      <c r="G1132" s="355"/>
      <c r="O1132" s="356"/>
      <c r="P1132" s="355"/>
      <c r="Q1132" s="355"/>
      <c r="R1132" s="355"/>
      <c r="S1132" s="355"/>
      <c r="T1132" s="355"/>
      <c r="U1132" s="355"/>
      <c r="V1132" s="355"/>
      <c r="W1132" s="355"/>
      <c r="AG1132" s="355"/>
      <c r="AH1132" s="355"/>
      <c r="AI1132" s="355"/>
      <c r="AJ1132" s="355"/>
      <c r="AK1132" s="355"/>
      <c r="AL1132" s="355"/>
      <c r="AM1132" s="355"/>
      <c r="AU1132" s="379">
        <v>78209</v>
      </c>
      <c r="AV1132" s="375"/>
      <c r="AW1132" s="375"/>
      <c r="AX1132" s="375"/>
      <c r="AY1132" s="375"/>
      <c r="AZ1132" s="375"/>
      <c r="BA1132" s="375"/>
      <c r="BB1132" s="375"/>
      <c r="BC1132" s="375"/>
      <c r="BD1132" s="375"/>
      <c r="BE1132" s="375"/>
      <c r="BF1132" s="375">
        <v>7.1249999999999994E-2</v>
      </c>
      <c r="BG1132" s="375"/>
      <c r="BH1132" s="375"/>
      <c r="BI1132" s="373">
        <f t="shared" si="44"/>
        <v>7.1249999999999994E-2</v>
      </c>
      <c r="BT1132" s="355"/>
      <c r="BU1132" s="355"/>
      <c r="BV1132" s="355"/>
      <c r="BW1132" s="355"/>
    </row>
    <row r="1133" spans="1:75" x14ac:dyDescent="0.15">
      <c r="A1133" s="356"/>
      <c r="B1133" s="355"/>
      <c r="C1133" s="355"/>
      <c r="D1133" s="355"/>
      <c r="E1133" s="355"/>
      <c r="F1133" s="355"/>
      <c r="G1133" s="355"/>
      <c r="O1133" s="356"/>
      <c r="P1133" s="355"/>
      <c r="Q1133" s="355"/>
      <c r="R1133" s="355"/>
      <c r="S1133" s="355"/>
      <c r="T1133" s="355"/>
      <c r="U1133" s="355"/>
      <c r="V1133" s="355"/>
      <c r="W1133" s="355"/>
      <c r="AG1133" s="355"/>
      <c r="AH1133" s="355"/>
      <c r="AI1133" s="355"/>
      <c r="AJ1133" s="355"/>
      <c r="AK1133" s="355"/>
      <c r="AL1133" s="355"/>
      <c r="AM1133" s="355"/>
      <c r="AU1133" s="379">
        <v>78237</v>
      </c>
      <c r="AV1133" s="375"/>
      <c r="AW1133" s="375"/>
      <c r="AX1133" s="375"/>
      <c r="AY1133" s="375"/>
      <c r="AZ1133" s="375"/>
      <c r="BA1133" s="375"/>
      <c r="BB1133" s="375"/>
      <c r="BC1133" s="375"/>
      <c r="BD1133" s="375"/>
      <c r="BE1133" s="375"/>
      <c r="BF1133" s="375">
        <v>7.1249999999999994E-2</v>
      </c>
      <c r="BG1133" s="375"/>
      <c r="BH1133" s="375"/>
      <c r="BI1133" s="373">
        <f t="shared" si="44"/>
        <v>7.1249999999999994E-2</v>
      </c>
      <c r="BT1133" s="355"/>
      <c r="BU1133" s="355"/>
      <c r="BV1133" s="355"/>
      <c r="BW1133" s="355"/>
    </row>
    <row r="1134" spans="1:75" x14ac:dyDescent="0.15">
      <c r="A1134" s="356"/>
      <c r="B1134" s="355"/>
      <c r="C1134" s="355"/>
      <c r="D1134" s="355"/>
      <c r="E1134" s="355"/>
      <c r="F1134" s="355"/>
      <c r="G1134" s="355"/>
      <c r="O1134" s="356"/>
      <c r="P1134" s="355"/>
      <c r="Q1134" s="355"/>
      <c r="R1134" s="355"/>
      <c r="S1134" s="355"/>
      <c r="T1134" s="355"/>
      <c r="U1134" s="355"/>
      <c r="V1134" s="355"/>
      <c r="W1134" s="355"/>
      <c r="AG1134" s="355"/>
      <c r="AH1134" s="355"/>
      <c r="AI1134" s="355"/>
      <c r="AJ1134" s="355"/>
      <c r="AK1134" s="355"/>
      <c r="AL1134" s="355"/>
      <c r="AM1134" s="355"/>
      <c r="AU1134" s="379">
        <v>78268</v>
      </c>
      <c r="AV1134" s="375"/>
      <c r="AW1134" s="375"/>
      <c r="AX1134" s="375"/>
      <c r="AY1134" s="375"/>
      <c r="AZ1134" s="375"/>
      <c r="BA1134" s="375"/>
      <c r="BB1134" s="375"/>
      <c r="BC1134" s="375"/>
      <c r="BD1134" s="375"/>
      <c r="BE1134" s="375"/>
      <c r="BF1134" s="375">
        <v>7.1249999999999994E-2</v>
      </c>
      <c r="BG1134" s="375"/>
      <c r="BH1134" s="375"/>
      <c r="BI1134" s="373">
        <f t="shared" si="44"/>
        <v>7.1249999999999994E-2</v>
      </c>
      <c r="BT1134" s="355"/>
      <c r="BU1134" s="355"/>
      <c r="BV1134" s="355"/>
      <c r="BW1134" s="355"/>
    </row>
    <row r="1135" spans="1:75" x14ac:dyDescent="0.15">
      <c r="A1135" s="356"/>
      <c r="B1135" s="355"/>
      <c r="C1135" s="355"/>
      <c r="D1135" s="355"/>
      <c r="E1135" s="355"/>
      <c r="F1135" s="355"/>
      <c r="G1135" s="355"/>
      <c r="O1135" s="356"/>
      <c r="P1135" s="355"/>
      <c r="Q1135" s="355"/>
      <c r="R1135" s="355"/>
      <c r="S1135" s="355"/>
      <c r="T1135" s="355"/>
      <c r="U1135" s="355"/>
      <c r="V1135" s="355"/>
      <c r="W1135" s="355"/>
      <c r="AG1135" s="355"/>
      <c r="AH1135" s="355"/>
      <c r="AI1135" s="355"/>
      <c r="AJ1135" s="355"/>
      <c r="AK1135" s="355"/>
      <c r="AL1135" s="355"/>
      <c r="AM1135" s="355"/>
      <c r="AU1135" s="379">
        <v>78298</v>
      </c>
      <c r="AV1135" s="375"/>
      <c r="AW1135" s="375"/>
      <c r="AX1135" s="375"/>
      <c r="AY1135" s="375"/>
      <c r="AZ1135" s="375"/>
      <c r="BA1135" s="375"/>
      <c r="BB1135" s="375"/>
      <c r="BC1135" s="375"/>
      <c r="BD1135" s="375"/>
      <c r="BE1135" s="375"/>
      <c r="BF1135" s="375">
        <v>7.1249999999999994E-2</v>
      </c>
      <c r="BG1135" s="375"/>
      <c r="BH1135" s="375"/>
      <c r="BI1135" s="373">
        <f t="shared" si="44"/>
        <v>7.1249999999999994E-2</v>
      </c>
      <c r="BT1135" s="355"/>
      <c r="BU1135" s="355"/>
      <c r="BV1135" s="355"/>
      <c r="BW1135" s="355"/>
    </row>
    <row r="1136" spans="1:75" x14ac:dyDescent="0.15">
      <c r="A1136" s="356"/>
      <c r="B1136" s="355"/>
      <c r="C1136" s="355"/>
      <c r="D1136" s="355"/>
      <c r="E1136" s="355"/>
      <c r="F1136" s="355"/>
      <c r="G1136" s="355"/>
      <c r="O1136" s="356"/>
      <c r="P1136" s="355"/>
      <c r="Q1136" s="355"/>
      <c r="R1136" s="355"/>
      <c r="S1136" s="355"/>
      <c r="T1136" s="355"/>
      <c r="U1136" s="355"/>
      <c r="V1136" s="355"/>
      <c r="W1136" s="355"/>
      <c r="AG1136" s="355"/>
      <c r="AH1136" s="355"/>
      <c r="AI1136" s="355"/>
      <c r="AJ1136" s="355"/>
      <c r="AK1136" s="355"/>
      <c r="AL1136" s="355"/>
      <c r="AM1136" s="355"/>
      <c r="AU1136" s="379">
        <v>78329</v>
      </c>
      <c r="AV1136" s="375"/>
      <c r="AW1136" s="375"/>
      <c r="AX1136" s="375"/>
      <c r="AY1136" s="375"/>
      <c r="AZ1136" s="375"/>
      <c r="BA1136" s="375"/>
      <c r="BB1136" s="375"/>
      <c r="BC1136" s="375"/>
      <c r="BD1136" s="375"/>
      <c r="BE1136" s="375"/>
      <c r="BF1136" s="375">
        <v>7.1249999999999994E-2</v>
      </c>
      <c r="BG1136" s="375"/>
      <c r="BH1136" s="375"/>
      <c r="BI1136" s="373">
        <f t="shared" si="44"/>
        <v>7.1249999999999994E-2</v>
      </c>
      <c r="BT1136" s="355"/>
      <c r="BU1136" s="355"/>
      <c r="BV1136" s="355"/>
      <c r="BW1136" s="355"/>
    </row>
    <row r="1137" spans="1:75" x14ac:dyDescent="0.15">
      <c r="A1137" s="356"/>
      <c r="B1137" s="355"/>
      <c r="C1137" s="355"/>
      <c r="D1137" s="355"/>
      <c r="E1137" s="355"/>
      <c r="F1137" s="355"/>
      <c r="G1137" s="355"/>
      <c r="O1137" s="356"/>
      <c r="P1137" s="355"/>
      <c r="Q1137" s="355"/>
      <c r="R1137" s="355"/>
      <c r="S1137" s="355"/>
      <c r="T1137" s="355"/>
      <c r="U1137" s="355"/>
      <c r="V1137" s="355"/>
      <c r="W1137" s="355"/>
      <c r="AG1137" s="355"/>
      <c r="AH1137" s="355"/>
      <c r="AI1137" s="355"/>
      <c r="AJ1137" s="355"/>
      <c r="AK1137" s="355"/>
      <c r="AL1137" s="355"/>
      <c r="AM1137" s="355"/>
      <c r="AU1137" s="379">
        <v>78359</v>
      </c>
      <c r="AV1137" s="375"/>
      <c r="AW1137" s="375"/>
      <c r="AX1137" s="375"/>
      <c r="AY1137" s="375"/>
      <c r="AZ1137" s="375"/>
      <c r="BA1137" s="375"/>
      <c r="BB1137" s="375"/>
      <c r="BC1137" s="375"/>
      <c r="BD1137" s="375"/>
      <c r="BE1137" s="375"/>
      <c r="BF1137" s="375">
        <v>7.1249999999999994E-2</v>
      </c>
      <c r="BG1137" s="375"/>
      <c r="BH1137" s="375"/>
      <c r="BI1137" s="373">
        <f t="shared" si="44"/>
        <v>7.1249999999999994E-2</v>
      </c>
      <c r="BT1137" s="355"/>
      <c r="BU1137" s="355"/>
      <c r="BV1137" s="355"/>
      <c r="BW1137" s="355"/>
    </row>
    <row r="1138" spans="1:75" x14ac:dyDescent="0.15">
      <c r="A1138" s="356"/>
      <c r="B1138" s="355"/>
      <c r="C1138" s="355"/>
      <c r="D1138" s="355"/>
      <c r="E1138" s="355"/>
      <c r="F1138" s="355"/>
      <c r="G1138" s="355"/>
      <c r="O1138" s="356"/>
      <c r="P1138" s="355"/>
      <c r="Q1138" s="355"/>
      <c r="R1138" s="355"/>
      <c r="S1138" s="355"/>
      <c r="T1138" s="355"/>
      <c r="U1138" s="355"/>
      <c r="V1138" s="355"/>
      <c r="W1138" s="355"/>
      <c r="AG1138" s="355"/>
      <c r="AH1138" s="355"/>
      <c r="AI1138" s="355"/>
      <c r="AJ1138" s="355"/>
      <c r="AK1138" s="355"/>
      <c r="AL1138" s="355"/>
      <c r="AM1138" s="355"/>
      <c r="AU1138" s="379">
        <v>78390</v>
      </c>
      <c r="AV1138" s="375"/>
      <c r="AW1138" s="375"/>
      <c r="AX1138" s="375"/>
      <c r="AY1138" s="375"/>
      <c r="AZ1138" s="375"/>
      <c r="BA1138" s="375"/>
      <c r="BB1138" s="375"/>
      <c r="BC1138" s="375"/>
      <c r="BD1138" s="375"/>
      <c r="BE1138" s="375"/>
      <c r="BF1138" s="375">
        <v>7.1249999999999994E-2</v>
      </c>
      <c r="BG1138" s="375"/>
      <c r="BH1138" s="375"/>
      <c r="BI1138" s="373">
        <f t="shared" si="44"/>
        <v>7.1249999999999994E-2</v>
      </c>
      <c r="BT1138" s="355"/>
      <c r="BU1138" s="355"/>
      <c r="BV1138" s="355"/>
      <c r="BW1138" s="355"/>
    </row>
    <row r="1139" spans="1:75" x14ac:dyDescent="0.15">
      <c r="A1139" s="356"/>
      <c r="B1139" s="355"/>
      <c r="C1139" s="355"/>
      <c r="D1139" s="355"/>
      <c r="E1139" s="355"/>
      <c r="F1139" s="355"/>
      <c r="G1139" s="355"/>
      <c r="O1139" s="356"/>
      <c r="P1139" s="355"/>
      <c r="Q1139" s="355"/>
      <c r="R1139" s="355"/>
      <c r="S1139" s="355"/>
      <c r="T1139" s="355"/>
      <c r="U1139" s="355"/>
      <c r="V1139" s="355"/>
      <c r="W1139" s="355"/>
      <c r="AG1139" s="355"/>
      <c r="AH1139" s="355"/>
      <c r="AI1139" s="355"/>
      <c r="AJ1139" s="355"/>
      <c r="AK1139" s="355"/>
      <c r="AL1139" s="355"/>
      <c r="AM1139" s="355"/>
      <c r="AU1139" s="379">
        <v>78421</v>
      </c>
      <c r="AV1139" s="375"/>
      <c r="AW1139" s="375"/>
      <c r="AX1139" s="375"/>
      <c r="AY1139" s="375"/>
      <c r="AZ1139" s="375"/>
      <c r="BA1139" s="375"/>
      <c r="BB1139" s="375"/>
      <c r="BC1139" s="375"/>
      <c r="BD1139" s="375"/>
      <c r="BE1139" s="375"/>
      <c r="BF1139" s="375">
        <v>7.1249999999999994E-2</v>
      </c>
      <c r="BG1139" s="375"/>
      <c r="BH1139" s="375"/>
      <c r="BI1139" s="373">
        <f t="shared" si="44"/>
        <v>7.1249999999999994E-2</v>
      </c>
      <c r="BT1139" s="355"/>
      <c r="BU1139" s="355"/>
      <c r="BV1139" s="355"/>
      <c r="BW1139" s="355"/>
    </row>
    <row r="1140" spans="1:75" x14ac:dyDescent="0.15">
      <c r="A1140" s="356"/>
      <c r="B1140" s="355"/>
      <c r="C1140" s="355"/>
      <c r="D1140" s="355"/>
      <c r="E1140" s="355"/>
      <c r="F1140" s="355"/>
      <c r="G1140" s="355"/>
      <c r="O1140" s="356"/>
      <c r="P1140" s="355"/>
      <c r="Q1140" s="355"/>
      <c r="R1140" s="355"/>
      <c r="S1140" s="355"/>
      <c r="T1140" s="355"/>
      <c r="U1140" s="355"/>
      <c r="V1140" s="355"/>
      <c r="W1140" s="355"/>
      <c r="AG1140" s="355"/>
      <c r="AH1140" s="355"/>
      <c r="AI1140" s="355"/>
      <c r="AJ1140" s="355"/>
      <c r="AK1140" s="355"/>
      <c r="AL1140" s="355"/>
      <c r="AM1140" s="355"/>
      <c r="AU1140" s="379">
        <v>78451</v>
      </c>
      <c r="AV1140" s="375"/>
      <c r="AW1140" s="375"/>
      <c r="AX1140" s="375"/>
      <c r="AY1140" s="375"/>
      <c r="AZ1140" s="375"/>
      <c r="BA1140" s="375"/>
      <c r="BB1140" s="375"/>
      <c r="BC1140" s="375"/>
      <c r="BD1140" s="375"/>
      <c r="BE1140" s="375"/>
      <c r="BF1140" s="375">
        <v>7.1249999999999994E-2</v>
      </c>
      <c r="BG1140" s="375"/>
      <c r="BH1140" s="375"/>
      <c r="BI1140" s="373">
        <f t="shared" si="44"/>
        <v>7.1249999999999994E-2</v>
      </c>
      <c r="BT1140" s="355"/>
      <c r="BU1140" s="355"/>
      <c r="BV1140" s="355"/>
      <c r="BW1140" s="355"/>
    </row>
    <row r="1141" spans="1:75" x14ac:dyDescent="0.15">
      <c r="A1141" s="356"/>
      <c r="B1141" s="355"/>
      <c r="C1141" s="355"/>
      <c r="D1141" s="355"/>
      <c r="E1141" s="355"/>
      <c r="F1141" s="355"/>
      <c r="G1141" s="355"/>
      <c r="O1141" s="356"/>
      <c r="P1141" s="355"/>
      <c r="Q1141" s="355"/>
      <c r="R1141" s="355"/>
      <c r="S1141" s="355"/>
      <c r="T1141" s="355"/>
      <c r="U1141" s="355"/>
      <c r="V1141" s="355"/>
      <c r="W1141" s="355"/>
      <c r="AG1141" s="355"/>
      <c r="AH1141" s="355"/>
      <c r="AI1141" s="355"/>
      <c r="AJ1141" s="355"/>
      <c r="AK1141" s="355"/>
      <c r="AL1141" s="355"/>
      <c r="AM1141" s="355"/>
      <c r="AU1141" s="379">
        <v>78482</v>
      </c>
      <c r="AV1141" s="375"/>
      <c r="AW1141" s="375"/>
      <c r="AX1141" s="375"/>
      <c r="AY1141" s="375"/>
      <c r="AZ1141" s="375"/>
      <c r="BA1141" s="375"/>
      <c r="BB1141" s="375"/>
      <c r="BC1141" s="375"/>
      <c r="BD1141" s="375"/>
      <c r="BE1141" s="375"/>
      <c r="BF1141" s="375">
        <v>7.1249999999999994E-2</v>
      </c>
      <c r="BG1141" s="375"/>
      <c r="BH1141" s="375"/>
      <c r="BI1141" s="373">
        <f t="shared" si="44"/>
        <v>7.1249999999999994E-2</v>
      </c>
      <c r="BT1141" s="355"/>
      <c r="BU1141" s="355"/>
      <c r="BV1141" s="355"/>
      <c r="BW1141" s="355"/>
    </row>
    <row r="1142" spans="1:75" x14ac:dyDescent="0.15">
      <c r="A1142" s="356"/>
      <c r="B1142" s="355"/>
      <c r="C1142" s="355"/>
      <c r="D1142" s="355"/>
      <c r="E1142" s="355"/>
      <c r="F1142" s="355"/>
      <c r="G1142" s="355"/>
      <c r="O1142" s="356"/>
      <c r="P1142" s="355"/>
      <c r="Q1142" s="355"/>
      <c r="R1142" s="355"/>
      <c r="S1142" s="355"/>
      <c r="T1142" s="355"/>
      <c r="U1142" s="355"/>
      <c r="V1142" s="355"/>
      <c r="W1142" s="355"/>
      <c r="AG1142" s="355"/>
      <c r="AH1142" s="355"/>
      <c r="AI1142" s="355"/>
      <c r="AJ1142" s="355"/>
      <c r="AK1142" s="355"/>
      <c r="AL1142" s="355"/>
      <c r="AM1142" s="355"/>
      <c r="AU1142" s="379">
        <v>78512</v>
      </c>
      <c r="AV1142" s="375"/>
      <c r="AW1142" s="375"/>
      <c r="AX1142" s="375"/>
      <c r="AY1142" s="375"/>
      <c r="AZ1142" s="375"/>
      <c r="BA1142" s="375"/>
      <c r="BB1142" s="375"/>
      <c r="BC1142" s="375"/>
      <c r="BD1142" s="375"/>
      <c r="BE1142" s="375"/>
      <c r="BF1142" s="375">
        <v>7.1249999999999994E-2</v>
      </c>
      <c r="BG1142" s="375"/>
      <c r="BH1142" s="375"/>
      <c r="BI1142" s="373">
        <f t="shared" si="44"/>
        <v>7.1249999999999994E-2</v>
      </c>
      <c r="BT1142" s="355"/>
      <c r="BU1142" s="355"/>
      <c r="BV1142" s="355"/>
      <c r="BW1142" s="355"/>
    </row>
    <row r="1143" spans="1:75" x14ac:dyDescent="0.15">
      <c r="A1143" s="356"/>
      <c r="B1143" s="355"/>
      <c r="C1143" s="355"/>
      <c r="D1143" s="355"/>
      <c r="E1143" s="355"/>
      <c r="F1143" s="355"/>
      <c r="G1143" s="355"/>
      <c r="O1143" s="356"/>
      <c r="P1143" s="355"/>
      <c r="Q1143" s="355"/>
      <c r="R1143" s="355"/>
      <c r="S1143" s="355"/>
      <c r="T1143" s="355"/>
      <c r="U1143" s="355"/>
      <c r="V1143" s="355"/>
      <c r="W1143" s="355"/>
      <c r="AG1143" s="355"/>
      <c r="AH1143" s="355"/>
      <c r="AI1143" s="355"/>
      <c r="AJ1143" s="355"/>
      <c r="AK1143" s="355"/>
      <c r="AL1143" s="355"/>
      <c r="AM1143" s="355"/>
      <c r="AU1143" s="379">
        <v>78543</v>
      </c>
      <c r="AV1143" s="375"/>
      <c r="AW1143" s="375"/>
      <c r="AX1143" s="375"/>
      <c r="AY1143" s="375"/>
      <c r="AZ1143" s="375"/>
      <c r="BA1143" s="375"/>
      <c r="BB1143" s="375"/>
      <c r="BC1143" s="375"/>
      <c r="BD1143" s="375"/>
      <c r="BE1143" s="375"/>
      <c r="BF1143" s="375">
        <v>7.1249999999999994E-2</v>
      </c>
      <c r="BG1143" s="375"/>
      <c r="BH1143" s="375"/>
      <c r="BI1143" s="373">
        <f t="shared" si="44"/>
        <v>7.1249999999999994E-2</v>
      </c>
      <c r="BT1143" s="355"/>
      <c r="BU1143" s="355"/>
      <c r="BV1143" s="355"/>
      <c r="BW1143" s="355"/>
    </row>
    <row r="1144" spans="1:75" x14ac:dyDescent="0.15">
      <c r="A1144" s="356"/>
      <c r="B1144" s="355"/>
      <c r="C1144" s="355"/>
      <c r="D1144" s="355"/>
      <c r="E1144" s="355"/>
      <c r="F1144" s="355"/>
      <c r="G1144" s="355"/>
      <c r="O1144" s="356"/>
      <c r="P1144" s="355"/>
      <c r="Q1144" s="355"/>
      <c r="R1144" s="355"/>
      <c r="S1144" s="355"/>
      <c r="T1144" s="355"/>
      <c r="U1144" s="355"/>
      <c r="V1144" s="355"/>
      <c r="W1144" s="355"/>
      <c r="AG1144" s="355"/>
      <c r="AH1144" s="355"/>
      <c r="AI1144" s="355"/>
      <c r="AJ1144" s="355"/>
      <c r="AK1144" s="355"/>
      <c r="AL1144" s="355"/>
      <c r="AM1144" s="355"/>
      <c r="AU1144" s="379">
        <v>78574</v>
      </c>
      <c r="AV1144" s="375"/>
      <c r="AW1144" s="375"/>
      <c r="AX1144" s="375"/>
      <c r="AY1144" s="375"/>
      <c r="AZ1144" s="375"/>
      <c r="BA1144" s="375"/>
      <c r="BB1144" s="375"/>
      <c r="BC1144" s="375"/>
      <c r="BD1144" s="375"/>
      <c r="BE1144" s="375"/>
      <c r="BF1144" s="375">
        <v>7.1249999999999994E-2</v>
      </c>
      <c r="BG1144" s="375"/>
      <c r="BH1144" s="375"/>
      <c r="BI1144" s="373">
        <f t="shared" si="44"/>
        <v>7.1249999999999994E-2</v>
      </c>
      <c r="BT1144" s="355"/>
      <c r="BU1144" s="355"/>
      <c r="BV1144" s="355"/>
      <c r="BW1144" s="355"/>
    </row>
    <row r="1145" spans="1:75" x14ac:dyDescent="0.15">
      <c r="A1145" s="356"/>
      <c r="B1145" s="355"/>
      <c r="C1145" s="355"/>
      <c r="D1145" s="355"/>
      <c r="E1145" s="355"/>
      <c r="F1145" s="355"/>
      <c r="G1145" s="355"/>
      <c r="O1145" s="356"/>
      <c r="P1145" s="355"/>
      <c r="Q1145" s="355"/>
      <c r="R1145" s="355"/>
      <c r="S1145" s="355"/>
      <c r="T1145" s="355"/>
      <c r="U1145" s="355"/>
      <c r="V1145" s="355"/>
      <c r="W1145" s="355"/>
      <c r="AG1145" s="355"/>
      <c r="AH1145" s="355"/>
      <c r="AI1145" s="355"/>
      <c r="AJ1145" s="355"/>
      <c r="AK1145" s="355"/>
      <c r="AL1145" s="355"/>
      <c r="AM1145" s="355"/>
      <c r="AU1145" s="379">
        <v>78602</v>
      </c>
      <c r="AV1145" s="375"/>
      <c r="AW1145" s="375"/>
      <c r="AX1145" s="375"/>
      <c r="AY1145" s="375"/>
      <c r="AZ1145" s="375"/>
      <c r="BA1145" s="375"/>
      <c r="BB1145" s="375"/>
      <c r="BC1145" s="375"/>
      <c r="BD1145" s="375"/>
      <c r="BE1145" s="375"/>
      <c r="BF1145" s="375">
        <v>7.1249999999999994E-2</v>
      </c>
      <c r="BG1145" s="375"/>
      <c r="BH1145" s="375"/>
      <c r="BI1145" s="373">
        <f t="shared" si="44"/>
        <v>7.1249999999999994E-2</v>
      </c>
      <c r="BT1145" s="355"/>
      <c r="BU1145" s="355"/>
      <c r="BV1145" s="355"/>
      <c r="BW1145" s="355"/>
    </row>
    <row r="1146" spans="1:75" x14ac:dyDescent="0.15">
      <c r="A1146" s="356"/>
      <c r="B1146" s="355"/>
      <c r="C1146" s="355"/>
      <c r="D1146" s="355"/>
      <c r="E1146" s="355"/>
      <c r="F1146" s="355"/>
      <c r="G1146" s="355"/>
      <c r="O1146" s="356"/>
      <c r="P1146" s="355"/>
      <c r="Q1146" s="355"/>
      <c r="R1146" s="355"/>
      <c r="S1146" s="355"/>
      <c r="T1146" s="355"/>
      <c r="U1146" s="355"/>
      <c r="V1146" s="355"/>
      <c r="W1146" s="355"/>
      <c r="AG1146" s="355"/>
      <c r="AH1146" s="355"/>
      <c r="AI1146" s="355"/>
      <c r="AJ1146" s="355"/>
      <c r="AK1146" s="355"/>
      <c r="AL1146" s="355"/>
      <c r="AM1146" s="355"/>
      <c r="AU1146" s="379">
        <v>78633</v>
      </c>
      <c r="AV1146" s="375"/>
      <c r="AW1146" s="375"/>
      <c r="AX1146" s="375"/>
      <c r="AY1146" s="375"/>
      <c r="AZ1146" s="375"/>
      <c r="BA1146" s="375"/>
      <c r="BB1146" s="375"/>
      <c r="BC1146" s="375"/>
      <c r="BD1146" s="375"/>
      <c r="BE1146" s="375"/>
      <c r="BF1146" s="375">
        <v>7.1249999999999994E-2</v>
      </c>
      <c r="BG1146" s="375"/>
      <c r="BH1146" s="375"/>
      <c r="BI1146" s="373">
        <f t="shared" si="44"/>
        <v>7.1249999999999994E-2</v>
      </c>
      <c r="BT1146" s="355"/>
      <c r="BU1146" s="355"/>
      <c r="BV1146" s="355"/>
      <c r="BW1146" s="355"/>
    </row>
    <row r="1147" spans="1:75" x14ac:dyDescent="0.15">
      <c r="A1147" s="356"/>
      <c r="B1147" s="355"/>
      <c r="C1147" s="355"/>
      <c r="D1147" s="355"/>
      <c r="E1147" s="355"/>
      <c r="F1147" s="355"/>
      <c r="G1147" s="355"/>
      <c r="O1147" s="356"/>
      <c r="P1147" s="355"/>
      <c r="Q1147" s="355"/>
      <c r="R1147" s="355"/>
      <c r="S1147" s="355"/>
      <c r="T1147" s="355"/>
      <c r="U1147" s="355"/>
      <c r="V1147" s="355"/>
      <c r="W1147" s="355"/>
      <c r="AG1147" s="355"/>
      <c r="AH1147" s="355"/>
      <c r="AI1147" s="355"/>
      <c r="AJ1147" s="355"/>
      <c r="AK1147" s="355"/>
      <c r="AL1147" s="355"/>
      <c r="AM1147" s="355"/>
      <c r="AU1147" s="379">
        <v>78663</v>
      </c>
      <c r="AV1147" s="375"/>
      <c r="AW1147" s="375"/>
      <c r="AX1147" s="375"/>
      <c r="AY1147" s="375"/>
      <c r="AZ1147" s="375"/>
      <c r="BA1147" s="375"/>
      <c r="BB1147" s="375"/>
      <c r="BC1147" s="375"/>
      <c r="BD1147" s="375"/>
      <c r="BE1147" s="375"/>
      <c r="BF1147" s="375">
        <v>7.1249999999999994E-2</v>
      </c>
      <c r="BG1147" s="375"/>
      <c r="BH1147" s="375"/>
      <c r="BI1147" s="373">
        <f t="shared" si="44"/>
        <v>7.1249999999999994E-2</v>
      </c>
      <c r="BT1147" s="355"/>
      <c r="BU1147" s="355"/>
      <c r="BV1147" s="355"/>
      <c r="BW1147" s="355"/>
    </row>
    <row r="1148" spans="1:75" x14ac:dyDescent="0.15">
      <c r="A1148" s="356"/>
      <c r="B1148" s="355"/>
      <c r="C1148" s="355"/>
      <c r="D1148" s="355"/>
      <c r="E1148" s="355"/>
      <c r="F1148" s="355"/>
      <c r="G1148" s="355"/>
      <c r="O1148" s="356"/>
      <c r="P1148" s="355"/>
      <c r="Q1148" s="355"/>
      <c r="R1148" s="355"/>
      <c r="S1148" s="355"/>
      <c r="T1148" s="355"/>
      <c r="U1148" s="355"/>
      <c r="V1148" s="355"/>
      <c r="W1148" s="355"/>
      <c r="AG1148" s="355"/>
      <c r="AH1148" s="355"/>
      <c r="AI1148" s="355"/>
      <c r="AJ1148" s="355"/>
      <c r="AK1148" s="355"/>
      <c r="AL1148" s="355"/>
      <c r="AM1148" s="355"/>
      <c r="AU1148" s="379">
        <v>78694</v>
      </c>
      <c r="AV1148" s="375"/>
      <c r="AW1148" s="375"/>
      <c r="AX1148" s="375"/>
      <c r="AY1148" s="375"/>
      <c r="AZ1148" s="375"/>
      <c r="BA1148" s="375"/>
      <c r="BB1148" s="375"/>
      <c r="BC1148" s="375"/>
      <c r="BD1148" s="375"/>
      <c r="BE1148" s="375"/>
      <c r="BF1148" s="375">
        <v>7.1249999999999994E-2</v>
      </c>
      <c r="BG1148" s="375"/>
      <c r="BH1148" s="375"/>
      <c r="BI1148" s="373">
        <f t="shared" si="44"/>
        <v>7.1249999999999994E-2</v>
      </c>
      <c r="BT1148" s="355"/>
      <c r="BU1148" s="355"/>
      <c r="BV1148" s="355"/>
      <c r="BW1148" s="355"/>
    </row>
    <row r="1149" spans="1:75" x14ac:dyDescent="0.15">
      <c r="A1149" s="356"/>
      <c r="B1149" s="355"/>
      <c r="C1149" s="355"/>
      <c r="D1149" s="355"/>
      <c r="E1149" s="355"/>
      <c r="F1149" s="355"/>
      <c r="G1149" s="355"/>
      <c r="O1149" s="356"/>
      <c r="P1149" s="355"/>
      <c r="Q1149" s="355"/>
      <c r="R1149" s="355"/>
      <c r="S1149" s="355"/>
      <c r="T1149" s="355"/>
      <c r="U1149" s="355"/>
      <c r="V1149" s="355"/>
      <c r="W1149" s="355"/>
      <c r="AG1149" s="355"/>
      <c r="AH1149" s="355"/>
      <c r="AI1149" s="355"/>
      <c r="AJ1149" s="355"/>
      <c r="AK1149" s="355"/>
      <c r="AL1149" s="355"/>
      <c r="AM1149" s="355"/>
      <c r="AU1149" s="379">
        <v>78724</v>
      </c>
      <c r="AV1149" s="375"/>
      <c r="AW1149" s="375"/>
      <c r="AX1149" s="375"/>
      <c r="AY1149" s="375"/>
      <c r="AZ1149" s="375"/>
      <c r="BA1149" s="375"/>
      <c r="BB1149" s="375"/>
      <c r="BC1149" s="375"/>
      <c r="BD1149" s="375"/>
      <c r="BE1149" s="375"/>
      <c r="BF1149" s="375">
        <v>7.1249999999999994E-2</v>
      </c>
      <c r="BG1149" s="375"/>
      <c r="BH1149" s="375"/>
      <c r="BI1149" s="373">
        <f t="shared" si="44"/>
        <v>7.1249999999999994E-2</v>
      </c>
      <c r="BT1149" s="355"/>
      <c r="BU1149" s="355"/>
      <c r="BV1149" s="355"/>
      <c r="BW1149" s="355"/>
    </row>
    <row r="1150" spans="1:75" x14ac:dyDescent="0.15">
      <c r="A1150" s="356"/>
      <c r="B1150" s="355"/>
      <c r="C1150" s="355"/>
      <c r="D1150" s="355"/>
      <c r="E1150" s="355"/>
      <c r="F1150" s="355"/>
      <c r="G1150" s="355"/>
      <c r="O1150" s="356"/>
      <c r="P1150" s="355"/>
      <c r="Q1150" s="355"/>
      <c r="R1150" s="355"/>
      <c r="S1150" s="355"/>
      <c r="T1150" s="355"/>
      <c r="U1150" s="355"/>
      <c r="V1150" s="355"/>
      <c r="W1150" s="355"/>
      <c r="AG1150" s="355"/>
      <c r="AH1150" s="355"/>
      <c r="AI1150" s="355"/>
      <c r="AJ1150" s="355"/>
      <c r="AK1150" s="355"/>
      <c r="AL1150" s="355"/>
      <c r="AM1150" s="355"/>
      <c r="AU1150" s="379">
        <v>78755</v>
      </c>
      <c r="AV1150" s="375"/>
      <c r="AW1150" s="375"/>
      <c r="AX1150" s="375"/>
      <c r="AY1150" s="375"/>
      <c r="AZ1150" s="375"/>
      <c r="BA1150" s="375"/>
      <c r="BB1150" s="375"/>
      <c r="BC1150" s="375"/>
      <c r="BD1150" s="375"/>
      <c r="BE1150" s="375"/>
      <c r="BF1150" s="375">
        <v>7.1249999999999994E-2</v>
      </c>
      <c r="BG1150" s="375"/>
      <c r="BH1150" s="375"/>
      <c r="BI1150" s="373">
        <f t="shared" si="44"/>
        <v>7.1249999999999994E-2</v>
      </c>
      <c r="BT1150" s="355"/>
      <c r="BU1150" s="355"/>
      <c r="BV1150" s="355"/>
      <c r="BW1150" s="355"/>
    </row>
    <row r="1151" spans="1:75" x14ac:dyDescent="0.15">
      <c r="A1151" s="356"/>
      <c r="B1151" s="355"/>
      <c r="C1151" s="355"/>
      <c r="D1151" s="355"/>
      <c r="E1151" s="355"/>
      <c r="F1151" s="355"/>
      <c r="G1151" s="355"/>
      <c r="O1151" s="356"/>
      <c r="P1151" s="355"/>
      <c r="Q1151" s="355"/>
      <c r="R1151" s="355"/>
      <c r="S1151" s="355"/>
      <c r="T1151" s="355"/>
      <c r="U1151" s="355"/>
      <c r="V1151" s="355"/>
      <c r="W1151" s="355"/>
      <c r="AG1151" s="355"/>
      <c r="AH1151" s="355"/>
      <c r="AI1151" s="355"/>
      <c r="AJ1151" s="355"/>
      <c r="AK1151" s="355"/>
      <c r="AL1151" s="355"/>
      <c r="AM1151" s="355"/>
      <c r="AU1151" s="379">
        <v>78786</v>
      </c>
      <c r="AV1151" s="375"/>
      <c r="AW1151" s="375"/>
      <c r="AX1151" s="375"/>
      <c r="AY1151" s="375"/>
      <c r="AZ1151" s="375"/>
      <c r="BA1151" s="375"/>
      <c r="BB1151" s="375"/>
      <c r="BC1151" s="375"/>
      <c r="BD1151" s="375"/>
      <c r="BE1151" s="375"/>
      <c r="BF1151" s="375">
        <v>7.1249999999999994E-2</v>
      </c>
      <c r="BG1151" s="375"/>
      <c r="BH1151" s="375"/>
      <c r="BI1151" s="373">
        <f t="shared" si="44"/>
        <v>7.1249999999999994E-2</v>
      </c>
      <c r="BT1151" s="355"/>
      <c r="BU1151" s="355"/>
      <c r="BV1151" s="355"/>
      <c r="BW1151" s="355"/>
    </row>
    <row r="1152" spans="1:75" x14ac:dyDescent="0.15">
      <c r="A1152" s="356"/>
      <c r="B1152" s="355"/>
      <c r="C1152" s="355"/>
      <c r="D1152" s="355"/>
      <c r="E1152" s="355"/>
      <c r="F1152" s="355"/>
      <c r="G1152" s="355"/>
      <c r="O1152" s="356"/>
      <c r="P1152" s="355"/>
      <c r="Q1152" s="355"/>
      <c r="R1152" s="355"/>
      <c r="S1152" s="355"/>
      <c r="T1152" s="355"/>
      <c r="U1152" s="355"/>
      <c r="V1152" s="355"/>
      <c r="W1152" s="355"/>
      <c r="AG1152" s="355"/>
      <c r="AH1152" s="355"/>
      <c r="AI1152" s="355"/>
      <c r="AJ1152" s="355"/>
      <c r="AK1152" s="355"/>
      <c r="AL1152" s="355"/>
      <c r="AM1152" s="355"/>
      <c r="AU1152" s="379">
        <v>78816</v>
      </c>
      <c r="AV1152" s="375"/>
      <c r="AW1152" s="375"/>
      <c r="AX1152" s="375"/>
      <c r="AY1152" s="375"/>
      <c r="AZ1152" s="375"/>
      <c r="BA1152" s="375"/>
      <c r="BB1152" s="375"/>
      <c r="BC1152" s="375"/>
      <c r="BD1152" s="375"/>
      <c r="BE1152" s="375"/>
      <c r="BF1152" s="375">
        <v>7.1249999999999994E-2</v>
      </c>
      <c r="BG1152" s="375"/>
      <c r="BH1152" s="375"/>
      <c r="BI1152" s="373">
        <f t="shared" si="44"/>
        <v>7.1249999999999994E-2</v>
      </c>
      <c r="BT1152" s="355"/>
      <c r="BU1152" s="355"/>
      <c r="BV1152" s="355"/>
      <c r="BW1152" s="355"/>
    </row>
    <row r="1153" spans="1:75" x14ac:dyDescent="0.15">
      <c r="A1153" s="356"/>
      <c r="B1153" s="355"/>
      <c r="C1153" s="355"/>
      <c r="D1153" s="355"/>
      <c r="E1153" s="355"/>
      <c r="F1153" s="355"/>
      <c r="G1153" s="355"/>
      <c r="O1153" s="356"/>
      <c r="P1153" s="355"/>
      <c r="Q1153" s="355"/>
      <c r="R1153" s="355"/>
      <c r="S1153" s="355"/>
      <c r="T1153" s="355"/>
      <c r="U1153" s="355"/>
      <c r="V1153" s="355"/>
      <c r="W1153" s="355"/>
      <c r="AG1153" s="355"/>
      <c r="AH1153" s="355"/>
      <c r="AI1153" s="355"/>
      <c r="AJ1153" s="355"/>
      <c r="AK1153" s="355"/>
      <c r="AL1153" s="355"/>
      <c r="AM1153" s="355"/>
      <c r="AU1153" s="379">
        <v>78847</v>
      </c>
      <c r="AV1153" s="375"/>
      <c r="AW1153" s="375"/>
      <c r="AX1153" s="375"/>
      <c r="AY1153" s="375"/>
      <c r="AZ1153" s="375"/>
      <c r="BA1153" s="375"/>
      <c r="BB1153" s="375"/>
      <c r="BC1153" s="375"/>
      <c r="BD1153" s="375"/>
      <c r="BE1153" s="375"/>
      <c r="BF1153" s="375">
        <v>7.1249999999999994E-2</v>
      </c>
      <c r="BG1153" s="375"/>
      <c r="BH1153" s="375"/>
      <c r="BI1153" s="373">
        <f t="shared" si="44"/>
        <v>7.1249999999999994E-2</v>
      </c>
      <c r="BT1153" s="355"/>
      <c r="BU1153" s="355"/>
      <c r="BV1153" s="355"/>
      <c r="BW1153" s="355"/>
    </row>
    <row r="1154" spans="1:75" x14ac:dyDescent="0.15">
      <c r="A1154" s="356"/>
      <c r="B1154" s="355"/>
      <c r="C1154" s="355"/>
      <c r="D1154" s="355"/>
      <c r="E1154" s="355"/>
      <c r="F1154" s="355"/>
      <c r="G1154" s="355"/>
      <c r="O1154" s="356"/>
      <c r="P1154" s="355"/>
      <c r="Q1154" s="355"/>
      <c r="R1154" s="355"/>
      <c r="S1154" s="355"/>
      <c r="T1154" s="355"/>
      <c r="U1154" s="355"/>
      <c r="V1154" s="355"/>
      <c r="W1154" s="355"/>
      <c r="AG1154" s="355"/>
      <c r="AH1154" s="355"/>
      <c r="AI1154" s="355"/>
      <c r="AJ1154" s="355"/>
      <c r="AK1154" s="355"/>
      <c r="AL1154" s="355"/>
      <c r="AM1154" s="355"/>
      <c r="AU1154" s="379">
        <v>78877</v>
      </c>
      <c r="AV1154" s="375"/>
      <c r="AW1154" s="375"/>
      <c r="AX1154" s="375"/>
      <c r="AY1154" s="375"/>
      <c r="AZ1154" s="375"/>
      <c r="BA1154" s="375"/>
      <c r="BB1154" s="375"/>
      <c r="BC1154" s="375"/>
      <c r="BD1154" s="375"/>
      <c r="BE1154" s="375"/>
      <c r="BF1154" s="375">
        <v>7.1249999999999994E-2</v>
      </c>
      <c r="BG1154" s="375"/>
      <c r="BH1154" s="375"/>
      <c r="BI1154" s="373">
        <f t="shared" si="44"/>
        <v>7.1249999999999994E-2</v>
      </c>
      <c r="BT1154" s="355"/>
      <c r="BU1154" s="355"/>
      <c r="BV1154" s="355"/>
      <c r="BW1154" s="355"/>
    </row>
    <row r="1155" spans="1:75" x14ac:dyDescent="0.15">
      <c r="A1155" s="356"/>
      <c r="B1155" s="355"/>
      <c r="C1155" s="355"/>
      <c r="D1155" s="355"/>
      <c r="E1155" s="355"/>
      <c r="F1155" s="355"/>
      <c r="G1155" s="355"/>
      <c r="O1155" s="356"/>
      <c r="P1155" s="355"/>
      <c r="Q1155" s="355"/>
      <c r="R1155" s="355"/>
      <c r="S1155" s="355"/>
      <c r="T1155" s="355"/>
      <c r="U1155" s="355"/>
      <c r="V1155" s="355"/>
      <c r="W1155" s="355"/>
      <c r="AG1155" s="355"/>
      <c r="AH1155" s="355"/>
      <c r="AI1155" s="355"/>
      <c r="AJ1155" s="355"/>
      <c r="AK1155" s="355"/>
      <c r="AL1155" s="355"/>
      <c r="AM1155" s="355"/>
      <c r="AU1155" s="379">
        <v>78908</v>
      </c>
      <c r="AV1155" s="375"/>
      <c r="AW1155" s="375"/>
      <c r="AX1155" s="375"/>
      <c r="AY1155" s="375"/>
      <c r="AZ1155" s="375"/>
      <c r="BA1155" s="375"/>
      <c r="BB1155" s="375"/>
      <c r="BC1155" s="375"/>
      <c r="BD1155" s="375"/>
      <c r="BE1155" s="375"/>
      <c r="BF1155" s="375">
        <v>7.1249999999999994E-2</v>
      </c>
      <c r="BG1155" s="375"/>
      <c r="BH1155" s="375"/>
      <c r="BI1155" s="373">
        <f t="shared" si="44"/>
        <v>7.1249999999999994E-2</v>
      </c>
      <c r="BT1155" s="355"/>
      <c r="BU1155" s="355"/>
      <c r="BV1155" s="355"/>
      <c r="BW1155" s="355"/>
    </row>
    <row r="1156" spans="1:75" x14ac:dyDescent="0.15">
      <c r="A1156" s="356"/>
      <c r="B1156" s="355"/>
      <c r="C1156" s="355"/>
      <c r="D1156" s="355"/>
      <c r="E1156" s="355"/>
      <c r="F1156" s="355"/>
      <c r="G1156" s="355"/>
      <c r="O1156" s="356"/>
      <c r="P1156" s="355"/>
      <c r="Q1156" s="355"/>
      <c r="R1156" s="355"/>
      <c r="S1156" s="355"/>
      <c r="T1156" s="355"/>
      <c r="U1156" s="355"/>
      <c r="V1156" s="355"/>
      <c r="W1156" s="355"/>
      <c r="AG1156" s="355"/>
      <c r="AH1156" s="355"/>
      <c r="AI1156" s="355"/>
      <c r="AJ1156" s="355"/>
      <c r="AK1156" s="355"/>
      <c r="AL1156" s="355"/>
      <c r="AM1156" s="355"/>
      <c r="AU1156" s="379">
        <v>78939</v>
      </c>
      <c r="AV1156" s="375"/>
      <c r="AW1156" s="375"/>
      <c r="AX1156" s="375"/>
      <c r="AY1156" s="375"/>
      <c r="AZ1156" s="375"/>
      <c r="BA1156" s="375"/>
      <c r="BB1156" s="375"/>
      <c r="BC1156" s="375"/>
      <c r="BD1156" s="375"/>
      <c r="BE1156" s="375"/>
      <c r="BF1156" s="375">
        <v>7.1249999999999994E-2</v>
      </c>
      <c r="BG1156" s="375"/>
      <c r="BH1156" s="375"/>
      <c r="BI1156" s="373">
        <f t="shared" si="44"/>
        <v>7.1249999999999994E-2</v>
      </c>
      <c r="BT1156" s="355"/>
      <c r="BU1156" s="355"/>
      <c r="BV1156" s="355"/>
      <c r="BW1156" s="355"/>
    </row>
    <row r="1157" spans="1:75" x14ac:dyDescent="0.15">
      <c r="A1157" s="356"/>
      <c r="B1157" s="355"/>
      <c r="C1157" s="355"/>
      <c r="D1157" s="355"/>
      <c r="E1157" s="355"/>
      <c r="F1157" s="355"/>
      <c r="G1157" s="355"/>
      <c r="O1157" s="356"/>
      <c r="P1157" s="355"/>
      <c r="Q1157" s="355"/>
      <c r="R1157" s="355"/>
      <c r="S1157" s="355"/>
      <c r="T1157" s="355"/>
      <c r="U1157" s="355"/>
      <c r="V1157" s="355"/>
      <c r="W1157" s="355"/>
      <c r="AG1157" s="355"/>
      <c r="AH1157" s="355"/>
      <c r="AI1157" s="355"/>
      <c r="AJ1157" s="355"/>
      <c r="AK1157" s="355"/>
      <c r="AL1157" s="355"/>
      <c r="AM1157" s="355"/>
      <c r="AU1157" s="379">
        <v>78968</v>
      </c>
      <c r="AV1157" s="375"/>
      <c r="AW1157" s="375"/>
      <c r="AX1157" s="375"/>
      <c r="AY1157" s="375"/>
      <c r="AZ1157" s="375"/>
      <c r="BA1157" s="375"/>
      <c r="BB1157" s="375"/>
      <c r="BC1157" s="375"/>
      <c r="BD1157" s="375"/>
      <c r="BE1157" s="375"/>
      <c r="BF1157" s="375">
        <v>7.1249999999999994E-2</v>
      </c>
      <c r="BG1157" s="375"/>
      <c r="BH1157" s="375"/>
      <c r="BI1157" s="373">
        <f t="shared" si="44"/>
        <v>7.1249999999999994E-2</v>
      </c>
      <c r="BT1157" s="355"/>
      <c r="BU1157" s="355"/>
      <c r="BV1157" s="355"/>
      <c r="BW1157" s="355"/>
    </row>
    <row r="1158" spans="1:75" x14ac:dyDescent="0.15">
      <c r="A1158" s="356"/>
      <c r="B1158" s="355"/>
      <c r="C1158" s="355"/>
      <c r="D1158" s="355"/>
      <c r="E1158" s="355"/>
      <c r="F1158" s="355"/>
      <c r="G1158" s="355"/>
      <c r="O1158" s="356"/>
      <c r="P1158" s="355"/>
      <c r="Q1158" s="355"/>
      <c r="R1158" s="355"/>
      <c r="S1158" s="355"/>
      <c r="T1158" s="355"/>
      <c r="U1158" s="355"/>
      <c r="V1158" s="355"/>
      <c r="W1158" s="355"/>
      <c r="AG1158" s="355"/>
      <c r="AH1158" s="355"/>
      <c r="AI1158" s="355"/>
      <c r="AJ1158" s="355"/>
      <c r="AK1158" s="355"/>
      <c r="AL1158" s="355"/>
      <c r="AM1158" s="355"/>
      <c r="AU1158" s="379">
        <v>78999</v>
      </c>
      <c r="AV1158" s="375"/>
      <c r="AW1158" s="375"/>
      <c r="AX1158" s="375"/>
      <c r="AY1158" s="375"/>
      <c r="AZ1158" s="375"/>
      <c r="BA1158" s="375"/>
      <c r="BB1158" s="375"/>
      <c r="BC1158" s="375"/>
      <c r="BD1158" s="375"/>
      <c r="BE1158" s="375"/>
      <c r="BF1158" s="375">
        <v>7.1249999999999994E-2</v>
      </c>
      <c r="BG1158" s="375"/>
      <c r="BH1158" s="375"/>
      <c r="BI1158" s="373">
        <f t="shared" si="44"/>
        <v>7.1249999999999994E-2</v>
      </c>
      <c r="BT1158" s="355"/>
      <c r="BU1158" s="355"/>
      <c r="BV1158" s="355"/>
      <c r="BW1158" s="355"/>
    </row>
    <row r="1159" spans="1:75" x14ac:dyDescent="0.15">
      <c r="A1159" s="356"/>
      <c r="B1159" s="355"/>
      <c r="C1159" s="355"/>
      <c r="D1159" s="355"/>
      <c r="E1159" s="355"/>
      <c r="F1159" s="355"/>
      <c r="G1159" s="355"/>
      <c r="O1159" s="356"/>
      <c r="P1159" s="355"/>
      <c r="Q1159" s="355"/>
      <c r="R1159" s="355"/>
      <c r="S1159" s="355"/>
      <c r="T1159" s="355"/>
      <c r="U1159" s="355"/>
      <c r="V1159" s="355"/>
      <c r="W1159" s="355"/>
      <c r="AG1159" s="355"/>
      <c r="AH1159" s="355"/>
      <c r="AI1159" s="355"/>
      <c r="AJ1159" s="355"/>
      <c r="AK1159" s="355"/>
      <c r="AL1159" s="355"/>
      <c r="AM1159" s="355"/>
      <c r="AU1159" s="379">
        <v>79029</v>
      </c>
      <c r="AV1159" s="375"/>
      <c r="AW1159" s="375"/>
      <c r="AX1159" s="375"/>
      <c r="AY1159" s="375"/>
      <c r="AZ1159" s="375"/>
      <c r="BA1159" s="375"/>
      <c r="BB1159" s="375"/>
      <c r="BC1159" s="375"/>
      <c r="BD1159" s="375"/>
      <c r="BE1159" s="375"/>
      <c r="BF1159" s="375">
        <v>7.1249999999999994E-2</v>
      </c>
      <c r="BG1159" s="375"/>
      <c r="BH1159" s="375"/>
      <c r="BI1159" s="373">
        <f t="shared" ref="BI1159:BI1172" si="45">+AVERAGE(AV1159:BH1159)</f>
        <v>7.1249999999999994E-2</v>
      </c>
      <c r="BT1159" s="355"/>
      <c r="BU1159" s="355"/>
      <c r="BV1159" s="355"/>
      <c r="BW1159" s="355"/>
    </row>
    <row r="1160" spans="1:75" x14ac:dyDescent="0.15">
      <c r="A1160" s="356"/>
      <c r="B1160" s="355"/>
      <c r="C1160" s="355"/>
      <c r="D1160" s="355"/>
      <c r="E1160" s="355"/>
      <c r="F1160" s="355"/>
      <c r="G1160" s="355"/>
      <c r="O1160" s="356"/>
      <c r="P1160" s="355"/>
      <c r="Q1160" s="355"/>
      <c r="R1160" s="355"/>
      <c r="S1160" s="355"/>
      <c r="T1160" s="355"/>
      <c r="U1160" s="355"/>
      <c r="V1160" s="355"/>
      <c r="W1160" s="355"/>
      <c r="AG1160" s="355"/>
      <c r="AH1160" s="355"/>
      <c r="AI1160" s="355"/>
      <c r="AJ1160" s="355"/>
      <c r="AK1160" s="355"/>
      <c r="AL1160" s="355"/>
      <c r="AM1160" s="355"/>
      <c r="AU1160" s="379">
        <v>79060</v>
      </c>
      <c r="AV1160" s="375"/>
      <c r="AW1160" s="375"/>
      <c r="AX1160" s="375"/>
      <c r="AY1160" s="375"/>
      <c r="AZ1160" s="375"/>
      <c r="BA1160" s="375"/>
      <c r="BB1160" s="375"/>
      <c r="BC1160" s="375"/>
      <c r="BD1160" s="375"/>
      <c r="BE1160" s="375"/>
      <c r="BF1160" s="375">
        <v>7.1249999999999994E-2</v>
      </c>
      <c r="BG1160" s="375"/>
      <c r="BH1160" s="375"/>
      <c r="BI1160" s="373">
        <f t="shared" si="45"/>
        <v>7.1249999999999994E-2</v>
      </c>
      <c r="BT1160" s="355"/>
      <c r="BU1160" s="355"/>
      <c r="BV1160" s="355"/>
      <c r="BW1160" s="355"/>
    </row>
    <row r="1161" spans="1:75" x14ac:dyDescent="0.15">
      <c r="A1161" s="356"/>
      <c r="B1161" s="355"/>
      <c r="C1161" s="355"/>
      <c r="D1161" s="355"/>
      <c r="E1161" s="355"/>
      <c r="F1161" s="355"/>
      <c r="G1161" s="355"/>
      <c r="O1161" s="356"/>
      <c r="P1161" s="355"/>
      <c r="Q1161" s="355"/>
      <c r="R1161" s="355"/>
      <c r="S1161" s="355"/>
      <c r="T1161" s="355"/>
      <c r="U1161" s="355"/>
      <c r="V1161" s="355"/>
      <c r="W1161" s="355"/>
      <c r="AG1161" s="355"/>
      <c r="AH1161" s="355"/>
      <c r="AI1161" s="355"/>
      <c r="AJ1161" s="355"/>
      <c r="AK1161" s="355"/>
      <c r="AL1161" s="355"/>
      <c r="AM1161" s="355"/>
      <c r="AU1161" s="379">
        <v>79090</v>
      </c>
      <c r="AV1161" s="375"/>
      <c r="AW1161" s="375"/>
      <c r="AX1161" s="375"/>
      <c r="AY1161" s="375"/>
      <c r="AZ1161" s="375"/>
      <c r="BA1161" s="375"/>
      <c r="BB1161" s="375"/>
      <c r="BC1161" s="375"/>
      <c r="BD1161" s="375"/>
      <c r="BE1161" s="375"/>
      <c r="BF1161" s="375">
        <v>7.1249999999999994E-2</v>
      </c>
      <c r="BG1161" s="375"/>
      <c r="BH1161" s="375"/>
      <c r="BI1161" s="373">
        <f t="shared" si="45"/>
        <v>7.1249999999999994E-2</v>
      </c>
      <c r="BT1161" s="355"/>
      <c r="BU1161" s="355"/>
      <c r="BV1161" s="355"/>
      <c r="BW1161" s="355"/>
    </row>
    <row r="1162" spans="1:75" x14ac:dyDescent="0.15">
      <c r="A1162" s="356"/>
      <c r="B1162" s="355"/>
      <c r="C1162" s="355"/>
      <c r="D1162" s="355"/>
      <c r="E1162" s="355"/>
      <c r="F1162" s="355"/>
      <c r="G1162" s="355"/>
      <c r="O1162" s="356"/>
      <c r="P1162" s="355"/>
      <c r="Q1162" s="355"/>
      <c r="R1162" s="355"/>
      <c r="S1162" s="355"/>
      <c r="T1162" s="355"/>
      <c r="U1162" s="355"/>
      <c r="V1162" s="355"/>
      <c r="W1162" s="355"/>
      <c r="AG1162" s="355"/>
      <c r="AH1162" s="355"/>
      <c r="AI1162" s="355"/>
      <c r="AJ1162" s="355"/>
      <c r="AK1162" s="355"/>
      <c r="AL1162" s="355"/>
      <c r="AM1162" s="355"/>
      <c r="AU1162" s="379">
        <v>79121</v>
      </c>
      <c r="AV1162" s="375"/>
      <c r="AW1162" s="375"/>
      <c r="AX1162" s="375"/>
      <c r="AY1162" s="375"/>
      <c r="AZ1162" s="375"/>
      <c r="BA1162" s="375"/>
      <c r="BB1162" s="375"/>
      <c r="BC1162" s="375"/>
      <c r="BD1162" s="375"/>
      <c r="BE1162" s="375"/>
      <c r="BF1162" s="375">
        <v>7.1249999999999994E-2</v>
      </c>
      <c r="BG1162" s="375"/>
      <c r="BH1162" s="375"/>
      <c r="BI1162" s="373">
        <f t="shared" si="45"/>
        <v>7.1249999999999994E-2</v>
      </c>
      <c r="BT1162" s="355"/>
      <c r="BU1162" s="355"/>
      <c r="BV1162" s="355"/>
      <c r="BW1162" s="355"/>
    </row>
    <row r="1163" spans="1:75" x14ac:dyDescent="0.15">
      <c r="A1163" s="356"/>
      <c r="B1163" s="355"/>
      <c r="C1163" s="355"/>
      <c r="D1163" s="355"/>
      <c r="E1163" s="355"/>
      <c r="F1163" s="355"/>
      <c r="G1163" s="355"/>
      <c r="O1163" s="356"/>
      <c r="P1163" s="355"/>
      <c r="Q1163" s="355"/>
      <c r="R1163" s="355"/>
      <c r="S1163" s="355"/>
      <c r="T1163" s="355"/>
      <c r="U1163" s="355"/>
      <c r="V1163" s="355"/>
      <c r="W1163" s="355"/>
      <c r="AG1163" s="355"/>
      <c r="AH1163" s="355"/>
      <c r="AI1163" s="355"/>
      <c r="AJ1163" s="355"/>
      <c r="AK1163" s="355"/>
      <c r="AL1163" s="355"/>
      <c r="AM1163" s="355"/>
      <c r="AU1163" s="379">
        <v>79152</v>
      </c>
      <c r="AV1163" s="375"/>
      <c r="AW1163" s="375"/>
      <c r="AX1163" s="375"/>
      <c r="AY1163" s="375"/>
      <c r="AZ1163" s="375"/>
      <c r="BA1163" s="375"/>
      <c r="BB1163" s="375"/>
      <c r="BC1163" s="375"/>
      <c r="BD1163" s="375"/>
      <c r="BE1163" s="375"/>
      <c r="BF1163" s="375">
        <v>7.1249999999999994E-2</v>
      </c>
      <c r="BG1163" s="375"/>
      <c r="BH1163" s="375"/>
      <c r="BI1163" s="373">
        <f t="shared" si="45"/>
        <v>7.1249999999999994E-2</v>
      </c>
      <c r="BT1163" s="355"/>
      <c r="BU1163" s="355"/>
      <c r="BV1163" s="355"/>
      <c r="BW1163" s="355"/>
    </row>
    <row r="1164" spans="1:75" x14ac:dyDescent="0.15">
      <c r="A1164" s="356"/>
      <c r="B1164" s="355"/>
      <c r="C1164" s="355"/>
      <c r="D1164" s="355"/>
      <c r="E1164" s="355"/>
      <c r="F1164" s="355"/>
      <c r="G1164" s="355"/>
      <c r="O1164" s="356"/>
      <c r="P1164" s="355"/>
      <c r="Q1164" s="355"/>
      <c r="R1164" s="355"/>
      <c r="S1164" s="355"/>
      <c r="T1164" s="355"/>
      <c r="U1164" s="355"/>
      <c r="V1164" s="355"/>
      <c r="W1164" s="355"/>
      <c r="AG1164" s="355"/>
      <c r="AH1164" s="355"/>
      <c r="AI1164" s="355"/>
      <c r="AJ1164" s="355"/>
      <c r="AK1164" s="355"/>
      <c r="AL1164" s="355"/>
      <c r="AM1164" s="355"/>
      <c r="AU1164" s="379">
        <v>79182</v>
      </c>
      <c r="AV1164" s="375"/>
      <c r="AW1164" s="375"/>
      <c r="AX1164" s="375"/>
      <c r="AY1164" s="375"/>
      <c r="AZ1164" s="375"/>
      <c r="BA1164" s="375"/>
      <c r="BB1164" s="375"/>
      <c r="BC1164" s="375"/>
      <c r="BD1164" s="375"/>
      <c r="BE1164" s="375"/>
      <c r="BF1164" s="375">
        <v>7.1249999999999994E-2</v>
      </c>
      <c r="BG1164" s="375"/>
      <c r="BH1164" s="375"/>
      <c r="BI1164" s="373">
        <f t="shared" si="45"/>
        <v>7.1249999999999994E-2</v>
      </c>
      <c r="BT1164" s="355"/>
      <c r="BU1164" s="355"/>
      <c r="BV1164" s="355"/>
      <c r="BW1164" s="355"/>
    </row>
    <row r="1165" spans="1:75" x14ac:dyDescent="0.15">
      <c r="A1165" s="356"/>
      <c r="B1165" s="355"/>
      <c r="C1165" s="355"/>
      <c r="D1165" s="355"/>
      <c r="E1165" s="355"/>
      <c r="F1165" s="355"/>
      <c r="G1165" s="355"/>
      <c r="O1165" s="356"/>
      <c r="P1165" s="355"/>
      <c r="Q1165" s="355"/>
      <c r="R1165" s="355"/>
      <c r="S1165" s="355"/>
      <c r="T1165" s="355"/>
      <c r="U1165" s="355"/>
      <c r="V1165" s="355"/>
      <c r="W1165" s="355"/>
      <c r="AG1165" s="355"/>
      <c r="AH1165" s="355"/>
      <c r="AI1165" s="355"/>
      <c r="AJ1165" s="355"/>
      <c r="AK1165" s="355"/>
      <c r="AL1165" s="355"/>
      <c r="AM1165" s="355"/>
      <c r="AU1165" s="379">
        <v>79213</v>
      </c>
      <c r="AV1165" s="375"/>
      <c r="AW1165" s="375"/>
      <c r="AX1165" s="375"/>
      <c r="AY1165" s="375"/>
      <c r="AZ1165" s="375"/>
      <c r="BA1165" s="375"/>
      <c r="BB1165" s="375"/>
      <c r="BC1165" s="375"/>
      <c r="BD1165" s="375"/>
      <c r="BE1165" s="375"/>
      <c r="BF1165" s="375">
        <v>7.1249999999999994E-2</v>
      </c>
      <c r="BG1165" s="375"/>
      <c r="BH1165" s="375"/>
      <c r="BI1165" s="373">
        <f t="shared" si="45"/>
        <v>7.1249999999999994E-2</v>
      </c>
      <c r="BT1165" s="355"/>
      <c r="BU1165" s="355"/>
      <c r="BV1165" s="355"/>
      <c r="BW1165" s="355"/>
    </row>
    <row r="1166" spans="1:75" x14ac:dyDescent="0.15">
      <c r="A1166" s="356"/>
      <c r="B1166" s="355"/>
      <c r="C1166" s="355"/>
      <c r="D1166" s="355"/>
      <c r="E1166" s="355"/>
      <c r="F1166" s="355"/>
      <c r="G1166" s="355"/>
      <c r="O1166" s="356"/>
      <c r="P1166" s="355"/>
      <c r="Q1166" s="355"/>
      <c r="R1166" s="355"/>
      <c r="S1166" s="355"/>
      <c r="T1166" s="355"/>
      <c r="U1166" s="355"/>
      <c r="V1166" s="355"/>
      <c r="W1166" s="355"/>
      <c r="AG1166" s="355"/>
      <c r="AH1166" s="355"/>
      <c r="AI1166" s="355"/>
      <c r="AJ1166" s="355"/>
      <c r="AK1166" s="355"/>
      <c r="AL1166" s="355"/>
      <c r="AM1166" s="355"/>
      <c r="AU1166" s="379">
        <v>79243</v>
      </c>
      <c r="AV1166" s="375"/>
      <c r="AW1166" s="375"/>
      <c r="AX1166" s="375"/>
      <c r="AY1166" s="375"/>
      <c r="AZ1166" s="375"/>
      <c r="BA1166" s="375"/>
      <c r="BB1166" s="375"/>
      <c r="BC1166" s="375"/>
      <c r="BD1166" s="375"/>
      <c r="BE1166" s="375"/>
      <c r="BF1166" s="375">
        <v>7.1249999999999994E-2</v>
      </c>
      <c r="BG1166" s="375"/>
      <c r="BH1166" s="375"/>
      <c r="BI1166" s="373">
        <f t="shared" si="45"/>
        <v>7.1249999999999994E-2</v>
      </c>
      <c r="BT1166" s="355"/>
      <c r="BU1166" s="355"/>
      <c r="BV1166" s="355"/>
      <c r="BW1166" s="355"/>
    </row>
    <row r="1167" spans="1:75" x14ac:dyDescent="0.15">
      <c r="A1167" s="356"/>
      <c r="B1167" s="355"/>
      <c r="C1167" s="355"/>
      <c r="D1167" s="355"/>
      <c r="E1167" s="355"/>
      <c r="F1167" s="355"/>
      <c r="G1167" s="355"/>
      <c r="O1167" s="356"/>
      <c r="P1167" s="355"/>
      <c r="Q1167" s="355"/>
      <c r="R1167" s="355"/>
      <c r="S1167" s="355"/>
      <c r="T1167" s="355"/>
      <c r="U1167" s="355"/>
      <c r="V1167" s="355"/>
      <c r="W1167" s="355"/>
      <c r="AG1167" s="355"/>
      <c r="AH1167" s="355"/>
      <c r="AI1167" s="355"/>
      <c r="AJ1167" s="355"/>
      <c r="AK1167" s="355"/>
      <c r="AL1167" s="355"/>
      <c r="AM1167" s="355"/>
      <c r="AU1167" s="379">
        <v>79274</v>
      </c>
      <c r="AV1167" s="375"/>
      <c r="AW1167" s="375"/>
      <c r="AX1167" s="375"/>
      <c r="AY1167" s="375"/>
      <c r="AZ1167" s="375"/>
      <c r="BA1167" s="375"/>
      <c r="BB1167" s="375"/>
      <c r="BC1167" s="375"/>
      <c r="BD1167" s="375"/>
      <c r="BE1167" s="375"/>
      <c r="BF1167" s="375">
        <v>7.1249999999999994E-2</v>
      </c>
      <c r="BG1167" s="375"/>
      <c r="BH1167" s="375"/>
      <c r="BI1167" s="373">
        <f t="shared" si="45"/>
        <v>7.1249999999999994E-2</v>
      </c>
      <c r="BT1167" s="355"/>
      <c r="BU1167" s="355"/>
      <c r="BV1167" s="355"/>
      <c r="BW1167" s="355"/>
    </row>
    <row r="1168" spans="1:75" x14ac:dyDescent="0.15">
      <c r="A1168" s="356"/>
      <c r="B1168" s="355"/>
      <c r="C1168" s="355"/>
      <c r="D1168" s="355"/>
      <c r="E1168" s="355"/>
      <c r="F1168" s="355"/>
      <c r="G1168" s="355"/>
      <c r="O1168" s="356"/>
      <c r="P1168" s="355"/>
      <c r="Q1168" s="355"/>
      <c r="R1168" s="355"/>
      <c r="S1168" s="355"/>
      <c r="T1168" s="355"/>
      <c r="U1168" s="355"/>
      <c r="V1168" s="355"/>
      <c r="W1168" s="355"/>
      <c r="AG1168" s="355"/>
      <c r="AH1168" s="355"/>
      <c r="AI1168" s="355"/>
      <c r="AJ1168" s="355"/>
      <c r="AK1168" s="355"/>
      <c r="AL1168" s="355"/>
      <c r="AM1168" s="355"/>
      <c r="AU1168" s="379">
        <v>79305</v>
      </c>
      <c r="AV1168" s="375"/>
      <c r="AW1168" s="375"/>
      <c r="AX1168" s="375"/>
      <c r="AY1168" s="375"/>
      <c r="AZ1168" s="375"/>
      <c r="BA1168" s="375"/>
      <c r="BB1168" s="375"/>
      <c r="BC1168" s="375"/>
      <c r="BD1168" s="375"/>
      <c r="BE1168" s="375"/>
      <c r="BF1168" s="375">
        <v>7.1249999999999994E-2</v>
      </c>
      <c r="BG1168" s="375"/>
      <c r="BH1168" s="375"/>
      <c r="BI1168" s="373">
        <f t="shared" si="45"/>
        <v>7.1249999999999994E-2</v>
      </c>
      <c r="BT1168" s="355"/>
      <c r="BU1168" s="355"/>
      <c r="BV1168" s="355"/>
      <c r="BW1168" s="355"/>
    </row>
    <row r="1169" spans="1:75" x14ac:dyDescent="0.15">
      <c r="A1169" s="356"/>
      <c r="B1169" s="355"/>
      <c r="C1169" s="355"/>
      <c r="D1169" s="355"/>
      <c r="E1169" s="355"/>
      <c r="F1169" s="355"/>
      <c r="G1169" s="355"/>
      <c r="O1169" s="356"/>
      <c r="P1169" s="355"/>
      <c r="Q1169" s="355"/>
      <c r="R1169" s="355"/>
      <c r="S1169" s="355"/>
      <c r="T1169" s="355"/>
      <c r="U1169" s="355"/>
      <c r="V1169" s="355"/>
      <c r="W1169" s="355"/>
      <c r="AG1169" s="355"/>
      <c r="AH1169" s="355"/>
      <c r="AI1169" s="355"/>
      <c r="AJ1169" s="355"/>
      <c r="AK1169" s="355"/>
      <c r="AL1169" s="355"/>
      <c r="AM1169" s="355"/>
      <c r="AU1169" s="379">
        <v>79333</v>
      </c>
      <c r="AV1169" s="375"/>
      <c r="AW1169" s="375"/>
      <c r="AX1169" s="375"/>
      <c r="AY1169" s="375"/>
      <c r="AZ1169" s="375"/>
      <c r="BA1169" s="375"/>
      <c r="BB1169" s="375"/>
      <c r="BC1169" s="375"/>
      <c r="BD1169" s="375"/>
      <c r="BE1169" s="375"/>
      <c r="BF1169" s="375">
        <v>7.1249999999999994E-2</v>
      </c>
      <c r="BG1169" s="375"/>
      <c r="BH1169" s="375"/>
      <c r="BI1169" s="373">
        <f t="shared" si="45"/>
        <v>7.1249999999999994E-2</v>
      </c>
      <c r="BT1169" s="355"/>
      <c r="BU1169" s="355"/>
      <c r="BV1169" s="355"/>
      <c r="BW1169" s="355"/>
    </row>
    <row r="1170" spans="1:75" x14ac:dyDescent="0.15">
      <c r="A1170" s="356"/>
      <c r="B1170" s="355"/>
      <c r="C1170" s="355"/>
      <c r="D1170" s="355"/>
      <c r="E1170" s="355"/>
      <c r="F1170" s="355"/>
      <c r="G1170" s="355"/>
      <c r="O1170" s="356"/>
      <c r="P1170" s="355"/>
      <c r="Q1170" s="355"/>
      <c r="R1170" s="355"/>
      <c r="S1170" s="355"/>
      <c r="T1170" s="355"/>
      <c r="U1170" s="355"/>
      <c r="V1170" s="355"/>
      <c r="W1170" s="355"/>
      <c r="AG1170" s="355"/>
      <c r="AH1170" s="355"/>
      <c r="AI1170" s="355"/>
      <c r="AJ1170" s="355"/>
      <c r="AK1170" s="355"/>
      <c r="AL1170" s="355"/>
      <c r="AM1170" s="355"/>
      <c r="AU1170" s="379">
        <v>79364</v>
      </c>
      <c r="AV1170" s="375"/>
      <c r="AW1170" s="375"/>
      <c r="AX1170" s="375"/>
      <c r="AY1170" s="375"/>
      <c r="AZ1170" s="375"/>
      <c r="BA1170" s="375"/>
      <c r="BB1170" s="375"/>
      <c r="BC1170" s="375"/>
      <c r="BD1170" s="375"/>
      <c r="BE1170" s="375"/>
      <c r="BF1170" s="375">
        <v>7.1249999999999994E-2</v>
      </c>
      <c r="BG1170" s="375"/>
      <c r="BH1170" s="375"/>
      <c r="BI1170" s="373">
        <f t="shared" si="45"/>
        <v>7.1249999999999994E-2</v>
      </c>
      <c r="BT1170" s="355"/>
      <c r="BU1170" s="355"/>
      <c r="BV1170" s="355"/>
      <c r="BW1170" s="355"/>
    </row>
    <row r="1171" spans="1:75" x14ac:dyDescent="0.15">
      <c r="A1171" s="356"/>
      <c r="B1171" s="355"/>
      <c r="C1171" s="355"/>
      <c r="D1171" s="355"/>
      <c r="E1171" s="355"/>
      <c r="F1171" s="355"/>
      <c r="G1171" s="355"/>
      <c r="O1171" s="356"/>
      <c r="P1171" s="355"/>
      <c r="Q1171" s="355"/>
      <c r="R1171" s="355"/>
      <c r="S1171" s="355"/>
      <c r="T1171" s="355"/>
      <c r="U1171" s="355"/>
      <c r="V1171" s="355"/>
      <c r="W1171" s="355"/>
      <c r="AG1171" s="355"/>
      <c r="AH1171" s="355"/>
      <c r="AI1171" s="355"/>
      <c r="AJ1171" s="355"/>
      <c r="AK1171" s="355"/>
      <c r="AL1171" s="355"/>
      <c r="AM1171" s="355"/>
      <c r="AU1171" s="379">
        <v>79394</v>
      </c>
      <c r="AV1171" s="375"/>
      <c r="AW1171" s="375"/>
      <c r="AX1171" s="375"/>
      <c r="AY1171" s="375"/>
      <c r="AZ1171" s="375"/>
      <c r="BA1171" s="375"/>
      <c r="BB1171" s="375"/>
      <c r="BC1171" s="375"/>
      <c r="BD1171" s="375"/>
      <c r="BE1171" s="375"/>
      <c r="BF1171" s="375">
        <v>7.1249999999999994E-2</v>
      </c>
      <c r="BG1171" s="375"/>
      <c r="BH1171" s="375"/>
      <c r="BI1171" s="373">
        <f t="shared" si="45"/>
        <v>7.1249999999999994E-2</v>
      </c>
      <c r="BT1171" s="355"/>
      <c r="BU1171" s="355"/>
      <c r="BV1171" s="355"/>
      <c r="BW1171" s="355"/>
    </row>
    <row r="1172" spans="1:75" x14ac:dyDescent="0.15">
      <c r="A1172" s="356"/>
      <c r="B1172" s="355"/>
      <c r="C1172" s="355"/>
      <c r="D1172" s="355"/>
      <c r="E1172" s="355"/>
      <c r="F1172" s="355"/>
      <c r="G1172" s="355"/>
      <c r="O1172" s="356"/>
      <c r="P1172" s="355"/>
      <c r="Q1172" s="355"/>
      <c r="R1172" s="355"/>
      <c r="S1172" s="355"/>
      <c r="T1172" s="355"/>
      <c r="U1172" s="355"/>
      <c r="V1172" s="355"/>
      <c r="W1172" s="355"/>
      <c r="AG1172" s="355"/>
      <c r="AH1172" s="355"/>
      <c r="AI1172" s="355"/>
      <c r="AJ1172" s="355"/>
      <c r="AK1172" s="355"/>
      <c r="AL1172" s="355"/>
      <c r="AM1172" s="355"/>
      <c r="AU1172" s="388">
        <v>79425</v>
      </c>
      <c r="AV1172" s="382"/>
      <c r="AW1172" s="382"/>
      <c r="AX1172" s="382"/>
      <c r="AY1172" s="382"/>
      <c r="AZ1172" s="382"/>
      <c r="BA1172" s="382"/>
      <c r="BB1172" s="382"/>
      <c r="BC1172" s="382"/>
      <c r="BD1172" s="382"/>
      <c r="BE1172" s="382"/>
      <c r="BF1172" s="382">
        <v>7.1249999999999994E-2</v>
      </c>
      <c r="BG1172" s="382"/>
      <c r="BH1172" s="382"/>
      <c r="BI1172" s="384">
        <f t="shared" si="45"/>
        <v>7.1249999999999994E-2</v>
      </c>
      <c r="BT1172" s="355"/>
      <c r="BU1172" s="355"/>
      <c r="BV1172" s="355"/>
      <c r="BW1172" s="355"/>
    </row>
    <row r="1173" spans="1:75" s="355" customFormat="1" x14ac:dyDescent="0.15">
      <c r="A1173" s="356"/>
      <c r="O1173" s="356"/>
    </row>
    <row r="1174" spans="1:75" s="355" customFormat="1" x14ac:dyDescent="0.15">
      <c r="A1174" s="356"/>
      <c r="O1174" s="356"/>
    </row>
    <row r="1175" spans="1:75" s="355" customFormat="1" x14ac:dyDescent="0.15">
      <c r="A1175" s="356"/>
      <c r="O1175" s="356"/>
    </row>
    <row r="1176" spans="1:75" s="355" customFormat="1" x14ac:dyDescent="0.15">
      <c r="A1176" s="356"/>
      <c r="O1176" s="356"/>
    </row>
    <row r="1177" spans="1:75" s="355" customFormat="1" x14ac:dyDescent="0.15">
      <c r="A1177" s="356"/>
      <c r="O1177" s="356"/>
    </row>
    <row r="1178" spans="1:75" s="355" customFormat="1" x14ac:dyDescent="0.15">
      <c r="A1178" s="356"/>
      <c r="O1178" s="356"/>
    </row>
    <row r="1179" spans="1:75" s="355" customFormat="1" x14ac:dyDescent="0.15">
      <c r="A1179" s="356"/>
      <c r="O1179" s="356"/>
    </row>
    <row r="1180" spans="1:75" s="355" customFormat="1" x14ac:dyDescent="0.15">
      <c r="A1180" s="356"/>
      <c r="O1180" s="356"/>
    </row>
    <row r="1181" spans="1:75" s="355" customFormat="1" x14ac:dyDescent="0.15">
      <c r="A1181" s="356"/>
      <c r="O1181" s="356"/>
    </row>
    <row r="1182" spans="1:75" s="355" customFormat="1" x14ac:dyDescent="0.15">
      <c r="A1182" s="356"/>
      <c r="O1182" s="356"/>
    </row>
    <row r="1183" spans="1:75" s="355" customFormat="1" x14ac:dyDescent="0.15">
      <c r="A1183" s="356"/>
      <c r="O1183" s="356"/>
    </row>
    <row r="1184" spans="1:75" s="355" customFormat="1" x14ac:dyDescent="0.15">
      <c r="A1184" s="356"/>
      <c r="O1184" s="356"/>
    </row>
    <row r="1185" spans="1:15" s="355" customFormat="1" x14ac:dyDescent="0.15">
      <c r="A1185" s="356"/>
      <c r="O1185" s="356"/>
    </row>
    <row r="1186" spans="1:15" s="355" customFormat="1" x14ac:dyDescent="0.15">
      <c r="A1186" s="356"/>
      <c r="O1186" s="356"/>
    </row>
    <row r="1187" spans="1:15" s="355" customFormat="1" x14ac:dyDescent="0.15">
      <c r="A1187" s="356"/>
      <c r="O1187" s="356"/>
    </row>
    <row r="1188" spans="1:15" s="355" customFormat="1" x14ac:dyDescent="0.15">
      <c r="A1188" s="356"/>
      <c r="O1188" s="356"/>
    </row>
    <row r="1189" spans="1:15" s="355" customFormat="1" x14ac:dyDescent="0.15">
      <c r="A1189" s="356"/>
      <c r="O1189" s="356"/>
    </row>
    <row r="1190" spans="1:15" s="355" customFormat="1" x14ac:dyDescent="0.15">
      <c r="A1190" s="356"/>
      <c r="O1190" s="356"/>
    </row>
    <row r="1191" spans="1:15" s="355" customFormat="1" x14ac:dyDescent="0.15">
      <c r="A1191" s="356"/>
      <c r="O1191" s="356"/>
    </row>
    <row r="1192" spans="1:15" s="355" customFormat="1" x14ac:dyDescent="0.15">
      <c r="A1192" s="356"/>
      <c r="O1192" s="356"/>
    </row>
    <row r="1193" spans="1:15" s="355" customFormat="1" x14ac:dyDescent="0.15">
      <c r="A1193" s="356"/>
      <c r="O1193" s="356"/>
    </row>
    <row r="1194" spans="1:15" s="355" customFormat="1" x14ac:dyDescent="0.15">
      <c r="A1194" s="356"/>
      <c r="O1194" s="356"/>
    </row>
    <row r="1195" spans="1:15" s="355" customFormat="1" x14ac:dyDescent="0.15">
      <c r="A1195" s="356"/>
      <c r="O1195" s="356"/>
    </row>
    <row r="1196" spans="1:15" s="355" customFormat="1" x14ac:dyDescent="0.15">
      <c r="A1196" s="356"/>
      <c r="O1196" s="356"/>
    </row>
    <row r="1197" spans="1:15" s="355" customFormat="1" x14ac:dyDescent="0.15">
      <c r="A1197" s="356"/>
      <c r="O1197" s="356"/>
    </row>
    <row r="1198" spans="1:15" s="355" customFormat="1" x14ac:dyDescent="0.15">
      <c r="A1198" s="356"/>
      <c r="O1198" s="356"/>
    </row>
    <row r="1199" spans="1:15" s="355" customFormat="1" x14ac:dyDescent="0.15">
      <c r="A1199" s="356"/>
      <c r="O1199" s="356"/>
    </row>
    <row r="1200" spans="1:15" s="355" customFormat="1" x14ac:dyDescent="0.15">
      <c r="A1200" s="356"/>
      <c r="O1200" s="356"/>
    </row>
    <row r="1201" spans="1:15" s="355" customFormat="1" x14ac:dyDescent="0.15">
      <c r="A1201" s="356"/>
      <c r="O1201" s="356"/>
    </row>
    <row r="1202" spans="1:15" s="355" customFormat="1" x14ac:dyDescent="0.15">
      <c r="A1202" s="356"/>
      <c r="O1202" s="356"/>
    </row>
    <row r="1203" spans="1:15" s="355" customFormat="1" x14ac:dyDescent="0.15">
      <c r="A1203" s="356"/>
      <c r="O1203" s="356"/>
    </row>
    <row r="1204" spans="1:15" s="355" customFormat="1" x14ac:dyDescent="0.15">
      <c r="A1204" s="356"/>
      <c r="O1204" s="356"/>
    </row>
    <row r="1205" spans="1:15" s="355" customFormat="1" x14ac:dyDescent="0.15">
      <c r="A1205" s="356"/>
      <c r="O1205" s="356"/>
    </row>
    <row r="1206" spans="1:15" s="355" customFormat="1" x14ac:dyDescent="0.15">
      <c r="A1206" s="356"/>
      <c r="O1206" s="356"/>
    </row>
    <row r="1207" spans="1:15" s="355" customFormat="1" x14ac:dyDescent="0.15">
      <c r="A1207" s="356"/>
      <c r="O1207" s="356"/>
    </row>
    <row r="1208" spans="1:15" s="355" customFormat="1" x14ac:dyDescent="0.15">
      <c r="A1208" s="356"/>
      <c r="O1208" s="356"/>
    </row>
    <row r="1209" spans="1:15" s="355" customFormat="1" x14ac:dyDescent="0.15">
      <c r="A1209" s="356"/>
      <c r="O1209" s="356"/>
    </row>
    <row r="1210" spans="1:15" s="355" customFormat="1" x14ac:dyDescent="0.15">
      <c r="A1210" s="356"/>
      <c r="O1210" s="356"/>
    </row>
    <row r="1211" spans="1:15" s="355" customFormat="1" x14ac:dyDescent="0.15">
      <c r="A1211" s="356"/>
      <c r="O1211" s="356"/>
    </row>
    <row r="1212" spans="1:15" s="355" customFormat="1" x14ac:dyDescent="0.15">
      <c r="A1212" s="356"/>
      <c r="O1212" s="356"/>
    </row>
    <row r="1213" spans="1:15" s="355" customFormat="1" x14ac:dyDescent="0.15">
      <c r="A1213" s="356"/>
      <c r="O1213" s="356"/>
    </row>
    <row r="1214" spans="1:15" s="355" customFormat="1" x14ac:dyDescent="0.15">
      <c r="A1214" s="356"/>
      <c r="O1214" s="356"/>
    </row>
    <row r="1215" spans="1:15" s="355" customFormat="1" x14ac:dyDescent="0.15">
      <c r="A1215" s="356"/>
      <c r="O1215" s="356"/>
    </row>
    <row r="1216" spans="1:15" s="355" customFormat="1" x14ac:dyDescent="0.15">
      <c r="A1216" s="356"/>
      <c r="O1216" s="356"/>
    </row>
  </sheetData>
  <mergeCells count="27">
    <mergeCell ref="BU5:BW5"/>
    <mergeCell ref="AN5:AR5"/>
    <mergeCell ref="AS5:AS6"/>
    <mergeCell ref="AV5:BH5"/>
    <mergeCell ref="BI5:BI6"/>
    <mergeCell ref="BJ5:BQ5"/>
    <mergeCell ref="BR5:BR6"/>
    <mergeCell ref="AU4:AU6"/>
    <mergeCell ref="AV4:BR4"/>
    <mergeCell ref="BT4:BT6"/>
    <mergeCell ref="BU4:BW4"/>
    <mergeCell ref="W5:W6"/>
    <mergeCell ref="A4:A6"/>
    <mergeCell ref="B4:M4"/>
    <mergeCell ref="O4:O6"/>
    <mergeCell ref="P4:AE4"/>
    <mergeCell ref="B5:F5"/>
    <mergeCell ref="G5:G6"/>
    <mergeCell ref="H5:L5"/>
    <mergeCell ref="M5:M6"/>
    <mergeCell ref="P5:V5"/>
    <mergeCell ref="AG4:AG6"/>
    <mergeCell ref="AH4:AS4"/>
    <mergeCell ref="X5:AD5"/>
    <mergeCell ref="AE5:AE6"/>
    <mergeCell ref="AH5:AL5"/>
    <mergeCell ref="AM5:AM6"/>
  </mergeCells>
  <pageMargins left="0.7" right="0.7" top="0.75" bottom="0.75" header="0.3" footer="0.3"/>
  <pageSetup orientation="portrait" horizontalDpi="0" verticalDpi="0" r:id="rId1"/>
  <ignoredErrors>
    <ignoredError sqref="G7:G6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117F5-885A-4C35-881D-C93E946F778F}">
  <sheetPr codeName="Hoja1">
    <tabColor rgb="FF3E3E3E"/>
    <pageSetUpPr autoPageBreaks="0"/>
  </sheetPr>
  <dimension ref="A1:I43"/>
  <sheetViews>
    <sheetView showGridLines="0" zoomScaleNormal="100" workbookViewId="0"/>
  </sheetViews>
  <sheetFormatPr baseColWidth="10" defaultColWidth="11.42578125" defaultRowHeight="12.75" x14ac:dyDescent="0.2"/>
  <cols>
    <col min="1" max="1" width="23.140625" style="88" customWidth="1"/>
    <col min="2" max="3" width="13.85546875" style="187" customWidth="1"/>
    <col min="4" max="4" width="12" style="187" customWidth="1"/>
    <col min="5" max="6" width="12" style="218" customWidth="1"/>
    <col min="7" max="9" width="14.7109375" style="218" customWidth="1"/>
    <col min="10" max="16384" width="11.42578125" style="88"/>
  </cols>
  <sheetData>
    <row r="1" spans="1:9" s="310" customFormat="1" ht="15" x14ac:dyDescent="0.2">
      <c r="A1" s="310" t="s">
        <v>94</v>
      </c>
      <c r="B1" s="311"/>
      <c r="C1" s="311"/>
      <c r="D1" s="311"/>
      <c r="E1" s="312"/>
      <c r="F1" s="312"/>
      <c r="G1" s="312"/>
      <c r="H1" s="312"/>
      <c r="I1" s="312"/>
    </row>
    <row r="2" spans="1:9" s="183" customFormat="1" ht="18.75" x14ac:dyDescent="0.3">
      <c r="B2" s="184"/>
      <c r="C2" s="184"/>
      <c r="D2" s="184"/>
      <c r="E2" s="185"/>
      <c r="F2" s="185"/>
      <c r="G2" s="185"/>
      <c r="H2" s="185"/>
      <c r="I2" s="185"/>
    </row>
    <row r="3" spans="1:9" s="310" customFormat="1" ht="15" x14ac:dyDescent="0.2">
      <c r="A3" s="310" t="s">
        <v>95</v>
      </c>
      <c r="B3" s="311"/>
      <c r="C3" s="311"/>
      <c r="D3" s="311"/>
      <c r="E3" s="312"/>
      <c r="F3" s="312"/>
      <c r="G3" s="312"/>
      <c r="H3" s="312"/>
      <c r="I3" s="312"/>
    </row>
    <row r="4" spans="1:9" ht="18" customHeight="1" x14ac:dyDescent="0.2">
      <c r="A4" s="186" t="s">
        <v>96</v>
      </c>
      <c r="E4" s="187"/>
      <c r="F4" s="187"/>
      <c r="G4" s="187"/>
      <c r="H4" s="187"/>
      <c r="I4" s="187"/>
    </row>
    <row r="5" spans="1:9" x14ac:dyDescent="0.2">
      <c r="A5" s="449" t="s">
        <v>97</v>
      </c>
      <c r="B5" s="450" t="s">
        <v>98</v>
      </c>
      <c r="C5" s="451"/>
      <c r="D5" s="88"/>
      <c r="E5" s="88"/>
      <c r="F5" s="88"/>
      <c r="G5" s="88"/>
      <c r="H5" s="88"/>
      <c r="I5" s="88"/>
    </row>
    <row r="6" spans="1:9" x14ac:dyDescent="0.2">
      <c r="A6" s="449"/>
      <c r="B6" s="452"/>
      <c r="C6" s="453"/>
      <c r="D6" s="88"/>
      <c r="E6" s="88"/>
      <c r="F6" s="88"/>
      <c r="G6" s="88"/>
      <c r="H6" s="88"/>
      <c r="I6" s="88"/>
    </row>
    <row r="7" spans="1:9" s="1" customFormat="1" ht="29.25" customHeight="1" x14ac:dyDescent="0.25">
      <c r="A7" s="449"/>
      <c r="B7" s="188" t="s">
        <v>99</v>
      </c>
      <c r="C7" s="188" t="s">
        <v>100</v>
      </c>
    </row>
    <row r="8" spans="1:9" s="191" customFormat="1" ht="22.5" customHeight="1" x14ac:dyDescent="0.25">
      <c r="A8" s="189" t="s">
        <v>101</v>
      </c>
      <c r="B8" s="190">
        <v>84.918545489203041</v>
      </c>
      <c r="C8" s="190">
        <v>81.031840152168314</v>
      </c>
    </row>
    <row r="9" spans="1:9" s="191" customFormat="1" ht="22.5" customHeight="1" x14ac:dyDescent="0.25">
      <c r="A9" s="454" t="s">
        <v>102</v>
      </c>
      <c r="B9" s="455"/>
      <c r="C9" s="456"/>
    </row>
    <row r="10" spans="1:9" s="194" customFormat="1" ht="22.5" customHeight="1" x14ac:dyDescent="0.25">
      <c r="A10" s="192" t="s">
        <v>103</v>
      </c>
      <c r="B10" s="193">
        <v>40.411390936304244</v>
      </c>
      <c r="C10" s="193">
        <v>36.907973291200719</v>
      </c>
    </row>
    <row r="11" spans="1:9" s="194" customFormat="1" ht="22.5" customHeight="1" x14ac:dyDescent="0.25">
      <c r="A11" s="195" t="s">
        <v>104</v>
      </c>
      <c r="B11" s="196">
        <v>47.314505648105566</v>
      </c>
      <c r="C11" s="196">
        <v>41.526562554135388</v>
      </c>
    </row>
    <row r="12" spans="1:9" s="194" customFormat="1" x14ac:dyDescent="0.25">
      <c r="A12" s="442" t="s">
        <v>105</v>
      </c>
      <c r="B12" s="197">
        <f>+'Argentina III - Valor propuesta'!B17</f>
        <v>52.063069229521453</v>
      </c>
      <c r="C12" s="197">
        <f>+'Argentina III - Valor propuesta'!B28</f>
        <v>48.476274010287497</v>
      </c>
    </row>
    <row r="13" spans="1:9" s="194" customFormat="1" x14ac:dyDescent="0.25">
      <c r="A13" s="443"/>
      <c r="B13" s="198" t="s">
        <v>106</v>
      </c>
      <c r="C13" s="198" t="s">
        <v>106</v>
      </c>
    </row>
    <row r="14" spans="1:9" s="194" customFormat="1" ht="22.5" customHeight="1" x14ac:dyDescent="0.25">
      <c r="A14" s="457" t="s">
        <v>107</v>
      </c>
      <c r="B14" s="458"/>
      <c r="C14" s="459"/>
    </row>
    <row r="15" spans="1:9" s="201" customFormat="1" ht="22.5" customHeight="1" x14ac:dyDescent="0.25">
      <c r="A15" s="199" t="s">
        <v>108</v>
      </c>
      <c r="B15" s="196">
        <v>63.332119857692234</v>
      </c>
      <c r="C15" s="200">
        <v>57.836040914511976</v>
      </c>
    </row>
    <row r="16" spans="1:9" s="201" customFormat="1" x14ac:dyDescent="0.25">
      <c r="A16" s="440" t="s">
        <v>109</v>
      </c>
      <c r="B16" s="202">
        <v>61.242508369172576</v>
      </c>
      <c r="C16" s="203">
        <v>56.792923368379803</v>
      </c>
    </row>
    <row r="17" spans="1:9" s="201" customFormat="1" x14ac:dyDescent="0.25">
      <c r="A17" s="441"/>
      <c r="B17" s="193" t="s">
        <v>110</v>
      </c>
      <c r="C17" s="204" t="s">
        <v>110</v>
      </c>
    </row>
    <row r="18" spans="1:9" s="201" customFormat="1" x14ac:dyDescent="0.25">
      <c r="A18" s="440" t="s">
        <v>111</v>
      </c>
      <c r="B18" s="202">
        <v>61.559553214095324</v>
      </c>
      <c r="C18" s="203">
        <v>56.566558959952374</v>
      </c>
    </row>
    <row r="19" spans="1:9" s="201" customFormat="1" x14ac:dyDescent="0.25">
      <c r="A19" s="441"/>
      <c r="B19" s="205" t="s">
        <v>110</v>
      </c>
      <c r="C19" s="204" t="s">
        <v>110</v>
      </c>
    </row>
    <row r="20" spans="1:9" s="201" customFormat="1" x14ac:dyDescent="0.25">
      <c r="A20" s="442" t="s">
        <v>112</v>
      </c>
      <c r="B20" s="206">
        <f>+'AHBG-EBG Valor propuesta'!B17</f>
        <v>60.51362056163633</v>
      </c>
      <c r="C20" s="197">
        <f>+'AHBG-EBG Valor propuesta'!B28</f>
        <v>54.315297935404843</v>
      </c>
    </row>
    <row r="21" spans="1:9" s="201" customFormat="1" x14ac:dyDescent="0.25">
      <c r="A21" s="443"/>
      <c r="B21" s="207" t="s">
        <v>110</v>
      </c>
      <c r="C21" s="198" t="s">
        <v>110</v>
      </c>
    </row>
    <row r="22" spans="1:9" s="201" customFormat="1" x14ac:dyDescent="0.25">
      <c r="A22" s="442" t="s">
        <v>113</v>
      </c>
      <c r="B22" s="197">
        <f>+'BG - Valor propuesta'!B17</f>
        <v>54.73325951485181</v>
      </c>
      <c r="C22" s="197">
        <f>+'BG - Valor propuesta'!B28</f>
        <v>51.033833166029709</v>
      </c>
    </row>
    <row r="23" spans="1:9" s="201" customFormat="1" x14ac:dyDescent="0.25">
      <c r="A23" s="443"/>
      <c r="B23" s="198" t="s">
        <v>106</v>
      </c>
      <c r="C23" s="198" t="s">
        <v>106</v>
      </c>
    </row>
    <row r="24" spans="1:9" s="211" customFormat="1" ht="15" customHeight="1" x14ac:dyDescent="0.2">
      <c r="A24" s="208" t="s">
        <v>213</v>
      </c>
      <c r="B24" s="209"/>
      <c r="C24" s="209"/>
      <c r="D24" s="209"/>
      <c r="E24" s="210"/>
      <c r="F24" s="210"/>
      <c r="G24" s="210"/>
      <c r="H24" s="210"/>
      <c r="I24" s="210"/>
    </row>
    <row r="25" spans="1:9" s="211" customFormat="1" ht="15" customHeight="1" x14ac:dyDescent="0.2">
      <c r="A25" s="208" t="s">
        <v>114</v>
      </c>
      <c r="B25" s="209"/>
      <c r="C25" s="209"/>
      <c r="D25" s="209"/>
      <c r="E25" s="210"/>
      <c r="F25" s="210"/>
      <c r="G25" s="210"/>
      <c r="H25" s="210"/>
      <c r="I25" s="210"/>
    </row>
    <row r="26" spans="1:9" s="211" customFormat="1" x14ac:dyDescent="0.2">
      <c r="B26" s="209"/>
      <c r="C26" s="209"/>
      <c r="D26" s="209"/>
      <c r="E26" s="210"/>
      <c r="F26" s="210"/>
      <c r="G26" s="210"/>
      <c r="H26" s="210"/>
      <c r="I26" s="210"/>
    </row>
    <row r="27" spans="1:9" s="155" customFormat="1" ht="15" x14ac:dyDescent="0.2">
      <c r="A27" s="310" t="s">
        <v>191</v>
      </c>
      <c r="B27" s="316"/>
      <c r="C27" s="316"/>
      <c r="D27" s="316"/>
      <c r="E27" s="317"/>
      <c r="F27" s="317"/>
      <c r="G27" s="317"/>
      <c r="H27" s="317"/>
      <c r="I27" s="317"/>
    </row>
    <row r="28" spans="1:9" s="211" customFormat="1" ht="15.75" customHeight="1" x14ac:dyDescent="0.2">
      <c r="A28" s="186" t="s">
        <v>115</v>
      </c>
      <c r="B28" s="209"/>
      <c r="C28" s="209"/>
      <c r="D28" s="209"/>
      <c r="E28" s="210"/>
      <c r="F28" s="210"/>
      <c r="G28" s="210"/>
      <c r="H28" s="210"/>
      <c r="I28" s="210"/>
    </row>
    <row r="29" spans="1:9" s="211" customFormat="1" ht="21" customHeight="1" x14ac:dyDescent="0.2">
      <c r="A29" s="444"/>
      <c r="B29" s="212" t="s">
        <v>116</v>
      </c>
      <c r="C29" s="212" t="s">
        <v>117</v>
      </c>
      <c r="D29" s="446" t="s">
        <v>118</v>
      </c>
      <c r="E29" s="447"/>
      <c r="F29" s="448"/>
      <c r="G29" s="210"/>
      <c r="H29" s="210"/>
      <c r="I29" s="210"/>
    </row>
    <row r="30" spans="1:9" s="211" customFormat="1" ht="27.75" customHeight="1" x14ac:dyDescent="0.2">
      <c r="A30" s="445"/>
      <c r="B30" s="188" t="s">
        <v>119</v>
      </c>
      <c r="C30" s="188" t="s">
        <v>119</v>
      </c>
      <c r="D30" s="188" t="s">
        <v>47</v>
      </c>
      <c r="E30" s="188" t="s">
        <v>46</v>
      </c>
      <c r="F30" s="188" t="s">
        <v>119</v>
      </c>
      <c r="G30" s="210"/>
      <c r="H30" s="210"/>
      <c r="I30" s="210"/>
    </row>
    <row r="31" spans="1:9" s="211" customFormat="1" ht="24" customHeight="1" x14ac:dyDescent="0.2">
      <c r="A31" s="213" t="s">
        <v>120</v>
      </c>
      <c r="B31" s="214">
        <f>+SUM('Perfil nuevos'!D8:D12)</f>
        <v>31121.391947260643</v>
      </c>
      <c r="C31" s="214">
        <f>+SUM('Perfil nuevos'!D8:D18)</f>
        <v>72530.466480009127</v>
      </c>
      <c r="D31" s="214">
        <f>+'Perfil nuevos'!C38</f>
        <v>66306.226174177253</v>
      </c>
      <c r="E31" s="214">
        <f>+'Perfil nuevos'!B38</f>
        <v>60062.698700163201</v>
      </c>
      <c r="F31" s="214">
        <f>+E31+D31</f>
        <v>126368.92487434045</v>
      </c>
      <c r="G31" s="210"/>
      <c r="H31" s="210"/>
      <c r="I31" s="210"/>
    </row>
    <row r="32" spans="1:9" s="211" customFormat="1" ht="24" customHeight="1" x14ac:dyDescent="0.2">
      <c r="A32" s="437" t="s">
        <v>102</v>
      </c>
      <c r="B32" s="438"/>
      <c r="C32" s="438"/>
      <c r="D32" s="438"/>
      <c r="E32" s="438"/>
      <c r="F32" s="439"/>
      <c r="G32" s="210"/>
      <c r="H32" s="210"/>
      <c r="I32" s="210"/>
    </row>
    <row r="33" spans="1:9" s="211" customFormat="1" ht="24" customHeight="1" x14ac:dyDescent="0.2">
      <c r="A33" s="192" t="s">
        <v>103</v>
      </c>
      <c r="B33" s="215">
        <v>1206.2414450483357</v>
      </c>
      <c r="C33" s="215">
        <v>29928.544879151425</v>
      </c>
      <c r="D33" s="215">
        <v>61948.780264915047</v>
      </c>
      <c r="E33" s="215">
        <v>20996.267368644923</v>
      </c>
      <c r="F33" s="215">
        <f t="shared" ref="F33:F34" si="0">+E33+D33</f>
        <v>82945.047633559967</v>
      </c>
      <c r="G33" s="210"/>
      <c r="H33" s="210"/>
      <c r="I33" s="210"/>
    </row>
    <row r="34" spans="1:9" s="211" customFormat="1" ht="24" customHeight="1" x14ac:dyDescent="0.2">
      <c r="A34" s="195" t="s">
        <v>121</v>
      </c>
      <c r="B34" s="215">
        <v>2536.6911258969394</v>
      </c>
      <c r="C34" s="215">
        <v>34288.918137281566</v>
      </c>
      <c r="D34" s="215">
        <v>64707.831614755021</v>
      </c>
      <c r="E34" s="215">
        <v>23100.30658629458</v>
      </c>
      <c r="F34" s="215">
        <f t="shared" si="0"/>
        <v>87808.138201049602</v>
      </c>
      <c r="G34" s="210"/>
      <c r="H34" s="210"/>
      <c r="I34" s="210"/>
    </row>
    <row r="35" spans="1:9" s="211" customFormat="1" ht="24" customHeight="1" x14ac:dyDescent="0.2">
      <c r="A35" s="216" t="s">
        <v>105</v>
      </c>
      <c r="B35" s="217">
        <f>+SUM('Perfil nuevos'!G8:G12)</f>
        <v>3791.7730799549317</v>
      </c>
      <c r="C35" s="217">
        <f>+SUM('Perfil nuevos'!G8:G18)</f>
        <v>40500.905533846446</v>
      </c>
      <c r="D35" s="217">
        <f>+'Perfil nuevos'!F38</f>
        <v>67296.163056953548</v>
      </c>
      <c r="E35" s="217">
        <f>+'Perfil nuevos'!E38</f>
        <v>26495.482066594817</v>
      </c>
      <c r="F35" s="217">
        <f>+E35+D35</f>
        <v>93791.645123548369</v>
      </c>
      <c r="G35" s="210"/>
      <c r="H35" s="210"/>
      <c r="I35" s="210"/>
    </row>
    <row r="36" spans="1:9" ht="24" customHeight="1" x14ac:dyDescent="0.2">
      <c r="A36" s="437" t="s">
        <v>107</v>
      </c>
      <c r="B36" s="438"/>
      <c r="C36" s="438"/>
      <c r="D36" s="438"/>
      <c r="E36" s="438"/>
      <c r="F36" s="439"/>
    </row>
    <row r="37" spans="1:9" ht="24" customHeight="1" x14ac:dyDescent="0.2">
      <c r="A37" s="199" t="s">
        <v>108</v>
      </c>
      <c r="B37" s="215">
        <v>8054.946857253286</v>
      </c>
      <c r="C37" s="215">
        <v>46726.574385002808</v>
      </c>
      <c r="D37" s="215">
        <v>66483.328982451218</v>
      </c>
      <c r="E37" s="215">
        <v>44960.888136137633</v>
      </c>
      <c r="F37" s="215">
        <f t="shared" ref="F37:F40" si="1">+E37+D37</f>
        <v>111444.21711858886</v>
      </c>
    </row>
    <row r="38" spans="1:9" ht="24" customHeight="1" x14ac:dyDescent="0.2">
      <c r="A38" s="199" t="s">
        <v>122</v>
      </c>
      <c r="B38" s="215">
        <v>9249.9117705395111</v>
      </c>
      <c r="C38" s="215">
        <v>47070.937077056638</v>
      </c>
      <c r="D38" s="215">
        <v>65617.167136745658</v>
      </c>
      <c r="E38" s="215">
        <v>44286.903790745608</v>
      </c>
      <c r="F38" s="215">
        <f t="shared" si="1"/>
        <v>109904.07092749127</v>
      </c>
    </row>
    <row r="39" spans="1:9" ht="24" customHeight="1" x14ac:dyDescent="0.2">
      <c r="A39" s="199" t="s">
        <v>123</v>
      </c>
      <c r="B39" s="215">
        <v>7204.9408258884487</v>
      </c>
      <c r="C39" s="215">
        <v>47166.866534358298</v>
      </c>
      <c r="D39" s="215">
        <v>66186.165382943145</v>
      </c>
      <c r="E39" s="215">
        <v>40997.840019669646</v>
      </c>
      <c r="F39" s="215">
        <f t="shared" si="1"/>
        <v>107184.00540261279</v>
      </c>
    </row>
    <row r="40" spans="1:9" ht="24" customHeight="1" x14ac:dyDescent="0.2">
      <c r="A40" s="216" t="s">
        <v>124</v>
      </c>
      <c r="B40" s="217">
        <f>+SUM('Perfil nuevos'!J8:J12)</f>
        <v>7225.8259893212216</v>
      </c>
      <c r="C40" s="217">
        <f>+SUM('Perfil nuevos'!J8:J18)</f>
        <v>43424.912213859134</v>
      </c>
      <c r="D40" s="217">
        <f>+'Perfil nuevos'!I38</f>
        <v>67104.37476840704</v>
      </c>
      <c r="E40" s="217">
        <f>+'Perfil nuevos'!H38</f>
        <v>35866.734500249746</v>
      </c>
      <c r="F40" s="217">
        <f t="shared" si="1"/>
        <v>102971.10926865679</v>
      </c>
    </row>
    <row r="41" spans="1:9" ht="24" customHeight="1" x14ac:dyDescent="0.2">
      <c r="A41" s="216" t="s">
        <v>113</v>
      </c>
      <c r="B41" s="217">
        <f>+SUM('Perfil nuevos'!M8:$M$12)</f>
        <v>3634.3539375234404</v>
      </c>
      <c r="C41" s="217">
        <f>+SUM('Perfil nuevos'!$M$8:$M$18)</f>
        <v>44165.321098761349</v>
      </c>
      <c r="D41" s="217">
        <f>+'Perfil nuevos'!L38</f>
        <v>68127.653655030401</v>
      </c>
      <c r="E41" s="217">
        <f>+'Perfil nuevos'!K38</f>
        <v>24934.09552372749</v>
      </c>
      <c r="F41" s="217">
        <f>+E41+D41</f>
        <v>93061.749178757891</v>
      </c>
    </row>
    <row r="42" spans="1:9" ht="15" customHeight="1" x14ac:dyDescent="0.2">
      <c r="A42" s="208" t="s">
        <v>125</v>
      </c>
    </row>
    <row r="43" spans="1:9" ht="15" customHeight="1" x14ac:dyDescent="0.2">
      <c r="A43" s="208" t="s">
        <v>114</v>
      </c>
    </row>
  </sheetData>
  <mergeCells count="13">
    <mergeCell ref="A16:A17"/>
    <mergeCell ref="A5:A7"/>
    <mergeCell ref="B5:C6"/>
    <mergeCell ref="A9:C9"/>
    <mergeCell ref="A12:A13"/>
    <mergeCell ref="A14:C14"/>
    <mergeCell ref="A32:F32"/>
    <mergeCell ref="A36:F36"/>
    <mergeCell ref="A18:A19"/>
    <mergeCell ref="A20:A21"/>
    <mergeCell ref="A22:A23"/>
    <mergeCell ref="A29:A30"/>
    <mergeCell ref="D29:F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BE010-9609-403A-9672-EACC769780A5}">
  <sheetPr codeName="Hoja2"/>
  <dimension ref="A1:M41"/>
  <sheetViews>
    <sheetView showGridLines="0" zoomScaleNormal="100" workbookViewId="0"/>
  </sheetViews>
  <sheetFormatPr baseColWidth="10" defaultColWidth="11.42578125" defaultRowHeight="11.25" x14ac:dyDescent="0.15"/>
  <cols>
    <col min="1" max="1" width="11.42578125" style="87"/>
    <col min="2" max="13" width="15.7109375" style="87" customWidth="1"/>
    <col min="14" max="14" width="7" style="87" customWidth="1"/>
    <col min="15" max="22" width="11.42578125" style="87"/>
    <col min="23" max="23" width="11.42578125" style="87" customWidth="1"/>
    <col min="24" max="24" width="3.28515625" style="87" customWidth="1"/>
    <col min="25" max="16384" width="11.42578125" style="87"/>
  </cols>
  <sheetData>
    <row r="1" spans="1:13" s="155" customFormat="1" ht="15" x14ac:dyDescent="0.2">
      <c r="A1" s="155" t="s">
        <v>127</v>
      </c>
    </row>
    <row r="2" spans="1:13" x14ac:dyDescent="0.15">
      <c r="A2" s="219" t="s">
        <v>128</v>
      </c>
    </row>
    <row r="3" spans="1:13" x14ac:dyDescent="0.15">
      <c r="A3" s="219"/>
      <c r="B3" s="220"/>
      <c r="E3" s="221"/>
      <c r="F3" s="221"/>
      <c r="H3" s="221"/>
      <c r="I3" s="221"/>
      <c r="K3" s="222"/>
      <c r="L3" s="222"/>
      <c r="M3" s="222"/>
    </row>
    <row r="4" spans="1:13" x14ac:dyDescent="0.15">
      <c r="A4" s="219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</row>
    <row r="5" spans="1:13" ht="15" customHeight="1" x14ac:dyDescent="0.15">
      <c r="A5" s="224"/>
      <c r="B5" s="460" t="s">
        <v>129</v>
      </c>
      <c r="C5" s="461"/>
      <c r="D5" s="462"/>
      <c r="E5" s="460" t="s">
        <v>126</v>
      </c>
      <c r="F5" s="461"/>
      <c r="G5" s="462"/>
      <c r="H5" s="460" t="s">
        <v>130</v>
      </c>
      <c r="I5" s="461"/>
      <c r="J5" s="462"/>
      <c r="K5" s="460" t="s">
        <v>131</v>
      </c>
      <c r="L5" s="461"/>
      <c r="M5" s="462"/>
    </row>
    <row r="6" spans="1:13" ht="15" customHeight="1" x14ac:dyDescent="0.15">
      <c r="B6" s="463"/>
      <c r="C6" s="464"/>
      <c r="D6" s="465"/>
      <c r="E6" s="463"/>
      <c r="F6" s="464"/>
      <c r="G6" s="465"/>
      <c r="H6" s="463"/>
      <c r="I6" s="464"/>
      <c r="J6" s="465"/>
      <c r="K6" s="463"/>
      <c r="L6" s="464"/>
      <c r="M6" s="465"/>
    </row>
    <row r="7" spans="1:13" s="287" customFormat="1" ht="33.75" x14ac:dyDescent="0.15">
      <c r="A7" s="320" t="s">
        <v>132</v>
      </c>
      <c r="B7" s="321" t="s">
        <v>46</v>
      </c>
      <c r="C7" s="322" t="s">
        <v>210</v>
      </c>
      <c r="D7" s="323" t="str">
        <f>B5</f>
        <v>Perfil actual (bonos elegibles)</v>
      </c>
      <c r="E7" s="321" t="s">
        <v>46</v>
      </c>
      <c r="F7" s="322" t="s">
        <v>210</v>
      </c>
      <c r="G7" s="323" t="str">
        <f>E5</f>
        <v>Argentina III (17-jun)</v>
      </c>
      <c r="H7" s="321" t="s">
        <v>46</v>
      </c>
      <c r="I7" s="322" t="s">
        <v>210</v>
      </c>
      <c r="J7" s="323" t="str">
        <f>H5</f>
        <v>AHBG/EBG (14-jun)</v>
      </c>
      <c r="K7" s="321" t="s">
        <v>46</v>
      </c>
      <c r="L7" s="322" t="s">
        <v>210</v>
      </c>
      <c r="M7" s="323" t="str">
        <f>K5</f>
        <v>BG (17-jun)</v>
      </c>
    </row>
    <row r="8" spans="1:13" x14ac:dyDescent="0.15">
      <c r="A8" s="319">
        <v>2020</v>
      </c>
      <c r="B8" s="136">
        <v>3046.3321375726227</v>
      </c>
      <c r="C8" s="225">
        <v>421.67404596247098</v>
      </c>
      <c r="D8" s="318">
        <f>+SUM(B8:C8)</f>
        <v>3468.0061835350939</v>
      </c>
      <c r="E8" s="112">
        <f>+SUMIF('Argentina III - Nuevos Bonos'!$M$25:$M$78,$A8,'Argentina III - Nuevos Bonos'!BH$25:BH$78)</f>
        <v>0</v>
      </c>
      <c r="F8" s="225">
        <f>+SUMIF('Argentina III - Nuevos Bonos'!$M$25:$M$78,$A8,'Argentina III - Nuevos Bonos'!BI$25:BI$78)</f>
        <v>0</v>
      </c>
      <c r="G8" s="318">
        <f>+SUM(E8:F8)</f>
        <v>0</v>
      </c>
      <c r="H8" s="136">
        <f>+'Intereses corridos'!I26/2</f>
        <v>1118.5863898502396</v>
      </c>
      <c r="I8" s="225">
        <v>0</v>
      </c>
      <c r="J8" s="318">
        <f>+H8+I8</f>
        <v>1118.5863898502396</v>
      </c>
      <c r="K8" s="112">
        <f>+SUMIF('BG - Nuevos Bonos'!$N:$N,$A8,'BG - Nuevos Bonos'!$BM:$BM)</f>
        <v>0</v>
      </c>
      <c r="L8" s="225">
        <f>+SUMIF('BG - Nuevos Bonos'!$N:$N,$A8,'BG - Nuevos Bonos'!$BN:$BN)</f>
        <v>0</v>
      </c>
      <c r="M8" s="318">
        <f>+K8+L8</f>
        <v>0</v>
      </c>
    </row>
    <row r="9" spans="1:13" x14ac:dyDescent="0.15">
      <c r="A9" s="319">
        <v>2021</v>
      </c>
      <c r="B9" s="112">
        <v>3908.2165797198572</v>
      </c>
      <c r="C9" s="225">
        <v>4500</v>
      </c>
      <c r="D9" s="318">
        <f t="shared" ref="D9:D37" si="0">+SUM(B9:C9)</f>
        <v>8408.2165797198577</v>
      </c>
      <c r="E9" s="112">
        <f>+SUMIF('Argentina III - Nuevos Bonos'!$M$25:$M$78,$A9,'Argentina III - Nuevos Bonos'!BH$25:BH$78)</f>
        <v>103.69546564357114</v>
      </c>
      <c r="F9" s="225">
        <f>+SUMIF('Argentina III - Nuevos Bonos'!$M$25:$M$78,$A9,'Argentina III - Nuevos Bonos'!BI$25:BI$78)</f>
        <v>0</v>
      </c>
      <c r="G9" s="318">
        <f t="shared" ref="G9:G34" si="1">+SUM(E9:F9)</f>
        <v>103.69546564357114</v>
      </c>
      <c r="H9" s="112">
        <f>+SUMIF('AHBG-EBG Nuevos Bonos'!$Q:$Q,$A9,'AHBG-EBG Nuevos Bonos'!$CQ:$CQ)</f>
        <v>431.11434915124414</v>
      </c>
      <c r="I9" s="225">
        <f>+SUMIF('AHBG-EBG Nuevos Bonos'!$Q:$Q,$A9,'AHBG-EBG Nuevos Bonos'!$CR:$CR)</f>
        <v>372.86212995007986</v>
      </c>
      <c r="J9" s="318">
        <f t="shared" ref="J9:J37" si="2">+H9+I9</f>
        <v>803.976479101324</v>
      </c>
      <c r="K9" s="112">
        <f>+SUMIF('BG - Nuevos Bonos'!$N:$N,$A9,'BG - Nuevos Bonos'!$BM:$BM)</f>
        <v>104.73482889116724</v>
      </c>
      <c r="L9" s="225">
        <f>+SUMIF('BG - Nuevos Bonos'!$N:$N,$A9,'BG - Nuevos Bonos'!$BN:$BN)</f>
        <v>0</v>
      </c>
      <c r="M9" s="318">
        <f t="shared" ref="M9:M34" si="3">+K9+L9</f>
        <v>104.73482889116724</v>
      </c>
    </row>
    <row r="10" spans="1:13" x14ac:dyDescent="0.15">
      <c r="A10" s="319">
        <v>2022</v>
      </c>
      <c r="B10" s="112">
        <v>3661.5154092903545</v>
      </c>
      <c r="C10" s="225">
        <v>4655.4418709242182</v>
      </c>
      <c r="D10" s="318">
        <f t="shared" si="0"/>
        <v>8316.9572802145722</v>
      </c>
      <c r="E10" s="112">
        <f>+SUMIF('Argentina III - Nuevos Bonos'!$M$25:$M$78,$A10,'Argentina III - Nuevos Bonos'!BH$25:BH$78)</f>
        <v>676.15551772282515</v>
      </c>
      <c r="F10" s="225">
        <f>+SUMIF('Argentina III - Nuevos Bonos'!$M$25:$M$78,$A10,'Argentina III - Nuevos Bonos'!BI$25:BI$78)</f>
        <v>0</v>
      </c>
      <c r="G10" s="318">
        <f t="shared" si="1"/>
        <v>676.15551772282515</v>
      </c>
      <c r="H10" s="112">
        <f>+SUMIF('AHBG-EBG Nuevos Bonos'!$Q:$Q,$A10,'AHBG-EBG Nuevos Bonos'!$CQ:$CQ)</f>
        <v>1030.0311053739006</v>
      </c>
      <c r="I10" s="225">
        <f>+SUMIF('AHBG-EBG Nuevos Bonos'!$Q:$Q,$A10,'AHBG-EBG Nuevos Bonos'!$CR:$CR)</f>
        <v>372.86212995007986</v>
      </c>
      <c r="J10" s="318">
        <f t="shared" si="2"/>
        <v>1402.8932353239804</v>
      </c>
      <c r="K10" s="112">
        <f>+SUMIF('BG - Nuevos Bonos'!$N:$N,$A10,'BG - Nuevos Bonos'!$BM:$BM)</f>
        <v>655.76857340010849</v>
      </c>
      <c r="L10" s="225">
        <f>+SUMIF('BG - Nuevos Bonos'!$N:$N,$A10,'BG - Nuevos Bonos'!$BN:$BN)</f>
        <v>0</v>
      </c>
      <c r="M10" s="318">
        <f t="shared" si="3"/>
        <v>655.76857340010849</v>
      </c>
    </row>
    <row r="11" spans="1:13" x14ac:dyDescent="0.15">
      <c r="A11" s="319">
        <v>2023</v>
      </c>
      <c r="B11" s="112">
        <v>3475.1795367920408</v>
      </c>
      <c r="C11" s="225">
        <v>2874.3534967393748</v>
      </c>
      <c r="D11" s="318">
        <f t="shared" si="0"/>
        <v>6349.5330335314156</v>
      </c>
      <c r="E11" s="112">
        <f>+SUMIF('Argentina III - Nuevos Bonos'!$M$25:$M$78,$A11,'Argentina III - Nuevos Bonos'!BH$25:BH$78)</f>
        <v>1102.732939393959</v>
      </c>
      <c r="F11" s="225">
        <f>+SUMIF('Argentina III - Nuevos Bonos'!$M$25:$M$78,$A11,'Argentina III - Nuevos Bonos'!BI$25:BI$78)</f>
        <v>0</v>
      </c>
      <c r="G11" s="318">
        <f t="shared" si="1"/>
        <v>1102.732939393959</v>
      </c>
      <c r="H11" s="112">
        <f>+SUMIF('AHBG-EBG Nuevos Bonos'!$Q:$Q,$A11,'AHBG-EBG Nuevos Bonos'!$CQ:$CQ)</f>
        <v>1635.6342221012092</v>
      </c>
      <c r="I11" s="225">
        <f>+SUMIF('AHBG-EBG Nuevos Bonos'!$Q:$Q,$A11,'AHBG-EBG Nuevos Bonos'!$CR:$CR)</f>
        <v>372.86212995007986</v>
      </c>
      <c r="J11" s="318">
        <f t="shared" si="2"/>
        <v>2008.496352051289</v>
      </c>
      <c r="K11" s="112">
        <f>+SUMIF('BG - Nuevos Bonos'!$N:$N,$A11,'BG - Nuevos Bonos'!$BM:$BM)</f>
        <v>1068.5819835571797</v>
      </c>
      <c r="L11" s="225">
        <f>+SUMIF('BG - Nuevos Bonos'!$N:$N,$A11,'BG - Nuevos Bonos'!$BN:$BN)</f>
        <v>0</v>
      </c>
      <c r="M11" s="318">
        <f t="shared" si="3"/>
        <v>1068.5819835571797</v>
      </c>
    </row>
    <row r="12" spans="1:13" x14ac:dyDescent="0.15">
      <c r="A12" s="319">
        <v>2024</v>
      </c>
      <c r="B12" s="112">
        <v>3372.6911831674342</v>
      </c>
      <c r="C12" s="225">
        <v>1205.9876870922681</v>
      </c>
      <c r="D12" s="318">
        <f t="shared" si="0"/>
        <v>4578.6788702597023</v>
      </c>
      <c r="E12" s="112">
        <f>+SUMIF('Argentina III - Nuevos Bonos'!$M$25:$M$78,$A12,'Argentina III - Nuevos Bonos'!BH$25:BH$78)</f>
        <v>1909.1891571945766</v>
      </c>
      <c r="F12" s="225">
        <f>+SUMIF('Argentina III - Nuevos Bonos'!$M$25:$M$78,$A12,'Argentina III - Nuevos Bonos'!BI$25:BI$78)</f>
        <v>0</v>
      </c>
      <c r="G12" s="318">
        <f t="shared" si="1"/>
        <v>1909.1891571945766</v>
      </c>
      <c r="H12" s="112">
        <f>+SUMIF('AHBG-EBG Nuevos Bonos'!$Q:$Q,$A12,'AHBG-EBG Nuevos Bonos'!$CQ:$CQ)</f>
        <v>1891.8735329943879</v>
      </c>
      <c r="I12" s="225">
        <f>+SUMIF('AHBG-EBG Nuevos Bonos'!$Q:$Q,$A12,'AHBG-EBG Nuevos Bonos'!$CR:$CR)</f>
        <v>0</v>
      </c>
      <c r="J12" s="318">
        <f t="shared" si="2"/>
        <v>1891.8735329943879</v>
      </c>
      <c r="K12" s="112">
        <f>+SUMIF('BG - Nuevos Bonos'!$N:$N,$A12,'BG - Nuevos Bonos'!$BM:$BM)</f>
        <v>1805.2685516749848</v>
      </c>
      <c r="L12" s="225">
        <f>+SUMIF('BG - Nuevos Bonos'!$N:$N,$A12,'BG - Nuevos Bonos'!$BN:$BN)</f>
        <v>0</v>
      </c>
      <c r="M12" s="318">
        <f t="shared" si="3"/>
        <v>1805.2685516749848</v>
      </c>
    </row>
    <row r="13" spans="1:13" x14ac:dyDescent="0.15">
      <c r="A13" s="319">
        <v>2025</v>
      </c>
      <c r="B13" s="112">
        <v>3276.0327654983312</v>
      </c>
      <c r="C13" s="225">
        <v>1205.9876870922681</v>
      </c>
      <c r="D13" s="318">
        <f t="shared" si="0"/>
        <v>4482.0204525905992</v>
      </c>
      <c r="E13" s="112">
        <f>+SUMIF('Argentina III - Nuevos Bonos'!$M$25:$M$78,$A13,'Argentina III - Nuevos Bonos'!BH$25:BH$78)</f>
        <v>2220.3914017180259</v>
      </c>
      <c r="F13" s="225">
        <f>+SUMIF('Argentina III - Nuevos Bonos'!$M$25:$M$78,$A13,'Argentina III - Nuevos Bonos'!BI$25:BI$78)</f>
        <v>2424.9406083336935</v>
      </c>
      <c r="G13" s="318">
        <f t="shared" si="1"/>
        <v>4645.3320100517194</v>
      </c>
      <c r="H13" s="112">
        <f>+SUMIF('AHBG-EBG Nuevos Bonos'!$Q:$Q,$A13,'AHBG-EBG Nuevos Bonos'!$CQ:$CQ)</f>
        <v>2319.1501637635502</v>
      </c>
      <c r="I13" s="225">
        <f>+SUMIF('AHBG-EBG Nuevos Bonos'!$Q:$Q,$A13,'AHBG-EBG Nuevos Bonos'!$CR:$CR)</f>
        <v>1487.3577692826625</v>
      </c>
      <c r="J13" s="318">
        <f t="shared" si="2"/>
        <v>3806.5079330462127</v>
      </c>
      <c r="K13" s="112">
        <f>+SUMIF('BG - Nuevos Bonos'!$N:$N,$A13,'BG - Nuevos Bonos'!$BM:$BM)</f>
        <v>2084.7792010619601</v>
      </c>
      <c r="L13" s="225">
        <f>+SUMIF('BG - Nuevos Bonos'!$N:$N,$A13,'BG - Nuevos Bonos'!$BN:$BN)</f>
        <v>3213.8844539389852</v>
      </c>
      <c r="M13" s="318">
        <f t="shared" si="3"/>
        <v>5298.6636550009453</v>
      </c>
    </row>
    <row r="14" spans="1:13" x14ac:dyDescent="0.15">
      <c r="A14" s="319">
        <v>2026</v>
      </c>
      <c r="B14" s="112">
        <v>2935.0602457941477</v>
      </c>
      <c r="C14" s="225">
        <v>7705.9876870922672</v>
      </c>
      <c r="D14" s="318">
        <f t="shared" si="0"/>
        <v>10641.047932886415</v>
      </c>
      <c r="E14" s="112">
        <f>+SUMIF('Argentina III - Nuevos Bonos'!$M$25:$M$78,$A14,'Argentina III - Nuevos Bonos'!BH$25:BH$78)</f>
        <v>2198.5491230733014</v>
      </c>
      <c r="F14" s="225">
        <f>+SUMIF('Argentina III - Nuevos Bonos'!$M$25:$M$78,$A14,'Argentina III - Nuevos Bonos'!BI$25:BI$78)</f>
        <v>2704.5872057962538</v>
      </c>
      <c r="G14" s="318">
        <f t="shared" si="1"/>
        <v>4903.1363288695557</v>
      </c>
      <c r="H14" s="112">
        <f>+SUMIF('AHBG-EBG Nuevos Bonos'!$Q:$Q,$A14,'AHBG-EBG Nuevos Bonos'!$CQ:$CQ)</f>
        <v>2793.986970954059</v>
      </c>
      <c r="I14" s="225">
        <f>+SUMIF('AHBG-EBG Nuevos Bonos'!$Q:$Q,$A14,'AHBG-EBG Nuevos Bonos'!$CR:$CR)</f>
        <v>2974.715538565325</v>
      </c>
      <c r="J14" s="318">
        <f t="shared" si="2"/>
        <v>5768.702509519384</v>
      </c>
      <c r="K14" s="112">
        <f>+SUMIF('BG - Nuevos Bonos'!$N:$N,$A14,'BG - Nuevos Bonos'!$BM:$BM)</f>
        <v>2056.4505837661641</v>
      </c>
      <c r="L14" s="225">
        <f>+SUMIF('BG - Nuevos Bonos'!$N:$N,$A14,'BG - Nuevos Bonos'!$BN:$BN)</f>
        <v>3493.531051401545</v>
      </c>
      <c r="M14" s="318">
        <f t="shared" si="3"/>
        <v>5549.9816351677091</v>
      </c>
    </row>
    <row r="15" spans="1:13" x14ac:dyDescent="0.15">
      <c r="A15" s="319">
        <v>2027</v>
      </c>
      <c r="B15" s="112">
        <v>2465.5357244708953</v>
      </c>
      <c r="C15" s="225">
        <v>6361.4295580164853</v>
      </c>
      <c r="D15" s="318">
        <f t="shared" si="0"/>
        <v>8826.965282487381</v>
      </c>
      <c r="E15" s="112">
        <f>+SUMIF('Argentina III - Nuevos Bonos'!$M$25:$M$78,$A15,'Argentina III - Nuevos Bonos'!BH$25:BH$78)</f>
        <v>2202.5511435641802</v>
      </c>
      <c r="F15" s="225">
        <f>+SUMIF('Argentina III - Nuevos Bonos'!$M$25:$M$78,$A15,'Argentina III - Nuevos Bonos'!BI$25:BI$78)</f>
        <v>3829.0217632195058</v>
      </c>
      <c r="G15" s="318">
        <f t="shared" si="1"/>
        <v>6031.5729067836855</v>
      </c>
      <c r="H15" s="112">
        <f>+SUMIF('AHBG-EBG Nuevos Bonos'!$Q:$Q,$A15,'AHBG-EBG Nuevos Bonos'!$CQ:$CQ)</f>
        <v>3093.5683548936577</v>
      </c>
      <c r="I15" s="225">
        <f>+SUMIF('AHBG-EBG Nuevos Bonos'!$Q:$Q,$A15,'AHBG-EBG Nuevos Bonos'!$CR:$CR)</f>
        <v>2974.715538565325</v>
      </c>
      <c r="J15" s="318">
        <f t="shared" si="2"/>
        <v>6068.2838934589827</v>
      </c>
      <c r="K15" s="112">
        <f>+SUMIF('BG - Nuevos Bonos'!$N:$N,$A15,'BG - Nuevos Bonos'!$BM:$BM)</f>
        <v>2054.6636933144732</v>
      </c>
      <c r="L15" s="225">
        <f>+SUMIF('BG - Nuevos Bonos'!$N:$N,$A15,'BG - Nuevos Bonos'!$BN:$BN)</f>
        <v>4617.9656088247975</v>
      </c>
      <c r="M15" s="318">
        <f t="shared" si="3"/>
        <v>6672.6293021392703</v>
      </c>
    </row>
    <row r="16" spans="1:13" x14ac:dyDescent="0.15">
      <c r="A16" s="319">
        <v>2028</v>
      </c>
      <c r="B16" s="112">
        <v>2044.7897543169709</v>
      </c>
      <c r="C16" s="225">
        <v>7580.3411838316424</v>
      </c>
      <c r="D16" s="318">
        <f t="shared" si="0"/>
        <v>9625.1309381486135</v>
      </c>
      <c r="E16" s="112">
        <f>+SUMIF('Argentina III - Nuevos Bonos'!$M$25:$M$78,$A16,'Argentina III - Nuevos Bonos'!BH$25:BH$78)</f>
        <v>2169.4095513426314</v>
      </c>
      <c r="F16" s="225">
        <f>+SUMIF('Argentina III - Nuevos Bonos'!$M$25:$M$78,$A16,'Argentina III - Nuevos Bonos'!BI$25:BI$78)</f>
        <v>4925.3742060480345</v>
      </c>
      <c r="G16" s="318">
        <f t="shared" si="1"/>
        <v>7094.7837573906654</v>
      </c>
      <c r="H16" s="112">
        <f>+SUMIF('AHBG-EBG Nuevos Bonos'!$Q:$Q,$A16,'AHBG-EBG Nuevos Bonos'!$CQ:$CQ)</f>
        <v>3019.0657513576416</v>
      </c>
      <c r="I16" s="225">
        <f>+SUMIF('AHBG-EBG Nuevos Bonos'!$Q:$Q,$A16,'AHBG-EBG Nuevos Bonos'!$CR:$CR)</f>
        <v>4015.4982590849618</v>
      </c>
      <c r="J16" s="318">
        <f t="shared" si="2"/>
        <v>7034.5640104426038</v>
      </c>
      <c r="K16" s="112">
        <f>+SUMIF('BG - Nuevos Bonos'!$N:$N,$A16,'BG - Nuevos Bonos'!$BM:$BM)</f>
        <v>2035.352889675401</v>
      </c>
      <c r="L16" s="225">
        <f>+SUMIF('BG - Nuevos Bonos'!$N:$N,$A16,'BG - Nuevos Bonos'!$BN:$BN)</f>
        <v>5714.3180516533257</v>
      </c>
      <c r="M16" s="318">
        <f t="shared" si="3"/>
        <v>7749.6709413287263</v>
      </c>
    </row>
    <row r="17" spans="1:13" x14ac:dyDescent="0.15">
      <c r="A17" s="319">
        <v>2029</v>
      </c>
      <c r="B17" s="112">
        <v>1787.5986914587136</v>
      </c>
      <c r="C17" s="225">
        <v>1839.5786570627877</v>
      </c>
      <c r="D17" s="318">
        <f t="shared" si="0"/>
        <v>3627.1773485215012</v>
      </c>
      <c r="E17" s="112">
        <f>+SUMIF('Argentina III - Nuevos Bonos'!$M$25:$M$78,$A17,'Argentina III - Nuevos Bonos'!BH$25:BH$78)</f>
        <v>2263.4262514194897</v>
      </c>
      <c r="F17" s="225">
        <f>+SUMIF('Argentina III - Nuevos Bonos'!$M$25:$M$78,$A17,'Argentina III - Nuevos Bonos'!BI$25:BI$78)</f>
        <v>4925.3742060480345</v>
      </c>
      <c r="G17" s="318">
        <f t="shared" si="1"/>
        <v>7188.8004574675242</v>
      </c>
      <c r="H17" s="112">
        <f>+SUMIF('AHBG-EBG Nuevos Bonos'!$Q:$Q,$A17,'AHBG-EBG Nuevos Bonos'!$CQ:$CQ)</f>
        <v>2836.3657037528174</v>
      </c>
      <c r="I17" s="225">
        <f>+SUMIF('AHBG-EBG Nuevos Bonos'!$Q:$Q,$A17,'AHBG-EBG Nuevos Bonos'!$CR:$CR)</f>
        <v>4015.4982590849618</v>
      </c>
      <c r="J17" s="318">
        <f t="shared" si="2"/>
        <v>6851.8639628377787</v>
      </c>
      <c r="K17" s="112">
        <f>+SUMIF('BG - Nuevos Bonos'!$N:$N,$A17,'BG - Nuevos Bonos'!$BM:$BM)</f>
        <v>2093.838872652917</v>
      </c>
      <c r="L17" s="225">
        <f>+SUMIF('BG - Nuevos Bonos'!$N:$N,$A17,'BG - Nuevos Bonos'!$BN:$BN)</f>
        <v>5714.3180516533257</v>
      </c>
      <c r="M17" s="318">
        <f t="shared" si="3"/>
        <v>7808.1569243062422</v>
      </c>
    </row>
    <row r="18" spans="1:13" x14ac:dyDescent="0.15">
      <c r="A18" s="319">
        <v>2030</v>
      </c>
      <c r="B18" s="112">
        <v>1733.5629510806655</v>
      </c>
      <c r="C18" s="225">
        <v>2473.1696270333068</v>
      </c>
      <c r="D18" s="318">
        <f t="shared" si="0"/>
        <v>4206.7325781139725</v>
      </c>
      <c r="E18" s="112">
        <f>+SUMIF('Argentina III - Nuevos Bonos'!$M$25:$M$78,$A18,'Argentina III - Nuevos Bonos'!BH$25:BH$78)</f>
        <v>2199.779384742892</v>
      </c>
      <c r="F18" s="225">
        <f>+SUMIF('Argentina III - Nuevos Bonos'!$M$25:$M$78,$A18,'Argentina III - Nuevos Bonos'!BI$25:BI$78)</f>
        <v>4645.7276085854746</v>
      </c>
      <c r="G18" s="318">
        <f t="shared" si="1"/>
        <v>6845.5069933283667</v>
      </c>
      <c r="H18" s="112">
        <f>+SUMIF('AHBG-EBG Nuevos Bonos'!$Q:$Q,$A18,'AHBG-EBG Nuevos Bonos'!$CQ:$CQ)</f>
        <v>2653.665656147994</v>
      </c>
      <c r="I18" s="225">
        <f>+SUMIF('AHBG-EBG Nuevos Bonos'!$Q:$Q,$A18,'AHBG-EBG Nuevos Bonos'!$CR:$CR)</f>
        <v>4015.4982590849618</v>
      </c>
      <c r="J18" s="318">
        <f t="shared" si="2"/>
        <v>6669.1639152329553</v>
      </c>
      <c r="K18" s="112">
        <f>+SUMIF('BG - Nuevos Bonos'!$N:$N,$A18,'BG - Nuevos Bonos'!$BM:$BM)</f>
        <v>2017.1932491042505</v>
      </c>
      <c r="L18" s="225">
        <f>+SUMIF('BG - Nuevos Bonos'!$N:$N,$A18,'BG - Nuevos Bonos'!$BN:$BN)</f>
        <v>5434.6714541907659</v>
      </c>
      <c r="M18" s="318">
        <f t="shared" si="3"/>
        <v>7451.8647032950166</v>
      </c>
    </row>
    <row r="19" spans="1:13" x14ac:dyDescent="0.15">
      <c r="A19" s="319">
        <v>2031</v>
      </c>
      <c r="B19" s="112">
        <v>1573.8795053160627</v>
      </c>
      <c r="C19" s="225">
        <v>2473.1696270333068</v>
      </c>
      <c r="D19" s="318">
        <f t="shared" si="0"/>
        <v>4047.0491323493698</v>
      </c>
      <c r="E19" s="112">
        <f>+SUMIF('Argentina III - Nuevos Bonos'!$M$25:$M$78,$A19,'Argentina III - Nuevos Bonos'!BH$25:BH$78)</f>
        <v>2021.0112681490491</v>
      </c>
      <c r="F19" s="225">
        <f>+SUMIF('Argentina III - Nuevos Bonos'!$M$25:$M$78,$A19,'Argentina III - Nuevos Bonos'!BI$25:BI$78)</f>
        <v>6190.3737572467717</v>
      </c>
      <c r="G19" s="318">
        <f t="shared" si="1"/>
        <v>8211.3850253958208</v>
      </c>
      <c r="H19" s="112">
        <f>+SUMIF('AHBG-EBG Nuevos Bonos'!$Q:$Q,$A19,'AHBG-EBG Nuevos Bonos'!$CQ:$CQ)</f>
        <v>2441.2420439678008</v>
      </c>
      <c r="I19" s="225">
        <f>+SUMIF('AHBG-EBG Nuevos Bonos'!$Q:$Q,$A19,'AHBG-EBG Nuevos Bonos'!$CR:$CR)</f>
        <v>5576.033451349409</v>
      </c>
      <c r="J19" s="318">
        <f t="shared" si="2"/>
        <v>8017.2754953172098</v>
      </c>
      <c r="K19" s="112">
        <f>+SUMIF('BG - Nuevos Bonos'!$N:$N,$A19,'BG - Nuevos Bonos'!$BM:$BM)</f>
        <v>1838.5227173641429</v>
      </c>
      <c r="L19" s="225">
        <f>+SUMIF('BG - Nuevos Bonos'!$N:$N,$A19,'BG - Nuevos Bonos'!$BN:$BN)</f>
        <v>5391.2527318906896</v>
      </c>
      <c r="M19" s="318">
        <f t="shared" si="3"/>
        <v>7229.775449254832</v>
      </c>
    </row>
    <row r="20" spans="1:13" x14ac:dyDescent="0.15">
      <c r="A20" s="319">
        <v>2032</v>
      </c>
      <c r="B20" s="112">
        <v>1414.3404542894857</v>
      </c>
      <c r="C20" s="225">
        <v>2473.1696270333068</v>
      </c>
      <c r="D20" s="318">
        <f t="shared" si="0"/>
        <v>3887.5100813227928</v>
      </c>
      <c r="E20" s="112">
        <f>+SUMIF('Argentina III - Nuevos Bonos'!$M$25:$M$78,$A20,'Argentina III - Nuevos Bonos'!BH$25:BH$78)</f>
        <v>1724.0293700857196</v>
      </c>
      <c r="F20" s="225">
        <f>+SUMIF('Argentina III - Nuevos Bonos'!$M$25:$M$78,$A20,'Argentina III - Nuevos Bonos'!BI$25:BI$78)</f>
        <v>6190.3737572467717</v>
      </c>
      <c r="G20" s="318">
        <f t="shared" si="1"/>
        <v>7914.4031273324908</v>
      </c>
      <c r="H20" s="112">
        <f>+SUMIF('AHBG-EBG Nuevos Bonos'!$Q:$Q,$A20,'AHBG-EBG Nuevos Bonos'!$CQ:$CQ)</f>
        <v>2139.6477380615001</v>
      </c>
      <c r="I20" s="225">
        <f>+SUMIF('AHBG-EBG Nuevos Bonos'!$Q:$Q,$A20,'AHBG-EBG Nuevos Bonos'!$CR:$CR)</f>
        <v>5576.033451349409</v>
      </c>
      <c r="J20" s="318">
        <f t="shared" si="2"/>
        <v>7715.6811894109087</v>
      </c>
      <c r="K20" s="112">
        <f>+SUMIF('BG - Nuevos Bonos'!$N:$N,$A20,'BG - Nuevos Bonos'!$BM:$BM)</f>
        <v>1580.9274293319627</v>
      </c>
      <c r="L20" s="225">
        <f>+SUMIF('BG - Nuevos Bonos'!$N:$N,$A20,'BG - Nuevos Bonos'!$BN:$BN)</f>
        <v>5391.2527318906896</v>
      </c>
      <c r="M20" s="318">
        <f t="shared" si="3"/>
        <v>6972.1801612226518</v>
      </c>
    </row>
    <row r="21" spans="1:13" x14ac:dyDescent="0.15">
      <c r="A21" s="319">
        <v>2033</v>
      </c>
      <c r="B21" s="112">
        <v>1254.5126138205883</v>
      </c>
      <c r="C21" s="225">
        <v>2473.1696270333068</v>
      </c>
      <c r="D21" s="318">
        <f t="shared" si="0"/>
        <v>3727.6822408538951</v>
      </c>
      <c r="E21" s="112">
        <f>+SUMIF('Argentina III - Nuevos Bonos'!$M$25:$M$78,$A21,'Argentina III - Nuevos Bonos'!BH$25:BH$78)</f>
        <v>1427.0474720223899</v>
      </c>
      <c r="F21" s="225">
        <f>+SUMIF('Argentina III - Nuevos Bonos'!$M$25:$M$78,$A21,'Argentina III - Nuevos Bonos'!BI$25:BI$78)</f>
        <v>6190.3737572467717</v>
      </c>
      <c r="G21" s="318">
        <f t="shared" si="1"/>
        <v>7617.4212292691618</v>
      </c>
      <c r="H21" s="112">
        <f>+SUMIF('AHBG-EBG Nuevos Bonos'!$Q:$Q,$A21,'AHBG-EBG Nuevos Bonos'!$CQ:$CQ)</f>
        <v>1838.0534321551997</v>
      </c>
      <c r="I21" s="225">
        <f>+SUMIF('AHBG-EBG Nuevos Bonos'!$Q:$Q,$A21,'AHBG-EBG Nuevos Bonos'!$CR:$CR)</f>
        <v>5576.033451349409</v>
      </c>
      <c r="J21" s="318">
        <f t="shared" si="2"/>
        <v>7414.0868835046085</v>
      </c>
      <c r="K21" s="112">
        <f>+SUMIF('BG - Nuevos Bonos'!$N:$N,$A21,'BG - Nuevos Bonos'!$BM:$BM)</f>
        <v>1323.3321412997825</v>
      </c>
      <c r="L21" s="225">
        <f>+SUMIF('BG - Nuevos Bonos'!$N:$N,$A21,'BG - Nuevos Bonos'!$BN:$BN)</f>
        <v>5391.2527318906896</v>
      </c>
      <c r="M21" s="318">
        <f t="shared" si="3"/>
        <v>6714.5848731904716</v>
      </c>
    </row>
    <row r="22" spans="1:13" x14ac:dyDescent="0.15">
      <c r="A22" s="319">
        <v>2034</v>
      </c>
      <c r="B22" s="112">
        <v>1119.0462358811767</v>
      </c>
      <c r="C22" s="225">
        <v>1267.1819399410388</v>
      </c>
      <c r="D22" s="318">
        <f t="shared" si="0"/>
        <v>2386.2281758222152</v>
      </c>
      <c r="E22" s="112">
        <f>+SUMIF('Argentina III - Nuevos Bonos'!$M$25:$M$78,$A22,'Argentina III - Nuevos Bonos'!BH$25:BH$78)</f>
        <v>1130.0655739590602</v>
      </c>
      <c r="F22" s="225">
        <f>+SUMIF('Argentina III - Nuevos Bonos'!$M$25:$M$78,$A22,'Argentina III - Nuevos Bonos'!BI$25:BI$78)</f>
        <v>6190.3737572467717</v>
      </c>
      <c r="G22" s="318">
        <f t="shared" si="1"/>
        <v>7320.4393312058319</v>
      </c>
      <c r="H22" s="112">
        <f>+SUMIF('AHBG-EBG Nuevos Bonos'!$Q:$Q,$A22,'AHBG-EBG Nuevos Bonos'!$CQ:$CQ)</f>
        <v>1535.6347090387949</v>
      </c>
      <c r="I22" s="225">
        <f>+SUMIF('AHBG-EBG Nuevos Bonos'!$Q:$Q,$A22,'AHBG-EBG Nuevos Bonos'!$CR:$CR)</f>
        <v>5576.0334513494108</v>
      </c>
      <c r="J22" s="318">
        <f t="shared" si="2"/>
        <v>7111.6681603882062</v>
      </c>
      <c r="K22" s="112">
        <f>+SUMIF('BG - Nuevos Bonos'!$N:$N,$A22,'BG - Nuevos Bonos'!$BM:$BM)</f>
        <v>1065.7368532676023</v>
      </c>
      <c r="L22" s="225">
        <f>+SUMIF('BG - Nuevos Bonos'!$N:$N,$A22,'BG - Nuevos Bonos'!$BN:$BN)</f>
        <v>5391.2527318906896</v>
      </c>
      <c r="M22" s="318">
        <f t="shared" si="3"/>
        <v>6456.9895851582914</v>
      </c>
    </row>
    <row r="23" spans="1:13" x14ac:dyDescent="0.15">
      <c r="A23" s="319">
        <v>2035</v>
      </c>
      <c r="B23" s="112">
        <v>1056.2310614623138</v>
      </c>
      <c r="C23" s="225">
        <v>1267.1819399410388</v>
      </c>
      <c r="D23" s="318">
        <f t="shared" si="0"/>
        <v>2323.4130014033526</v>
      </c>
      <c r="E23" s="112">
        <f>+SUMIF('Argentina III - Nuevos Bonos'!$M$25:$M$78,$A23,'Argentina III - Nuevos Bonos'!BH$25:BH$78)</f>
        <v>833.08367589573049</v>
      </c>
      <c r="F23" s="225">
        <f>+SUMIF('Argentina III - Nuevos Bonos'!$M$25:$M$78,$A23,'Argentina III - Nuevos Bonos'!BI$25:BI$78)</f>
        <v>6190.3737572467717</v>
      </c>
      <c r="G23" s="318">
        <f t="shared" si="1"/>
        <v>7023.4574331425019</v>
      </c>
      <c r="H23" s="112">
        <f>+SUMIF('AHBG-EBG Nuevos Bonos'!$Q:$Q,$A23,'AHBG-EBG Nuevos Bonos'!$CQ:$CQ)</f>
        <v>1230.7427342920776</v>
      </c>
      <c r="I23" s="225">
        <f>+SUMIF('AHBG-EBG Nuevos Bonos'!$Q:$Q,$A23,'AHBG-EBG Nuevos Bonos'!$CR:$CR)</f>
        <v>5576.0334513494108</v>
      </c>
      <c r="J23" s="318">
        <f t="shared" si="2"/>
        <v>6806.7761856414882</v>
      </c>
      <c r="K23" s="112">
        <f>+SUMIF('BG - Nuevos Bonos'!$N:$N,$A23,'BG - Nuevos Bonos'!$BM:$BM)</f>
        <v>808.14156523542215</v>
      </c>
      <c r="L23" s="225">
        <f>+SUMIF('BG - Nuevos Bonos'!$N:$N,$A23,'BG - Nuevos Bonos'!$BN:$BN)</f>
        <v>5391.2527318906896</v>
      </c>
      <c r="M23" s="318">
        <f t="shared" si="3"/>
        <v>6199.3942971261113</v>
      </c>
    </row>
    <row r="24" spans="1:13" x14ac:dyDescent="0.15">
      <c r="A24" s="319">
        <v>2036</v>
      </c>
      <c r="B24" s="112">
        <v>993.56028173650213</v>
      </c>
      <c r="C24" s="225">
        <v>3017.1819399410388</v>
      </c>
      <c r="D24" s="318">
        <f t="shared" si="0"/>
        <v>4010.7422216775408</v>
      </c>
      <c r="E24" s="112">
        <f>+SUMIF('Argentina III - Nuevos Bonos'!$M$25:$M$78,$A24,'Argentina III - Nuevos Bonos'!BH$25:BH$78)</f>
        <v>582.84083084566828</v>
      </c>
      <c r="F24" s="225">
        <f>+SUMIF('Argentina III - Nuevos Bonos'!$M$25:$M$78,$A24,'Argentina III - Nuevos Bonos'!BI$25:BI$78)</f>
        <v>2353.093455920035</v>
      </c>
      <c r="G24" s="318">
        <f t="shared" si="1"/>
        <v>2935.9342867657033</v>
      </c>
      <c r="H24" s="112">
        <f>+SUMIF('AHBG-EBG Nuevos Bonos'!$Q:$Q,$A24,'AHBG-EBG Nuevos Bonos'!$CQ:$CQ)</f>
        <v>925.85075954536046</v>
      </c>
      <c r="I24" s="225">
        <f>+SUMIF('AHBG-EBG Nuevos Bonos'!$Q:$Q,$A24,'AHBG-EBG Nuevos Bonos'!$CR:$CR)</f>
        <v>5576.0334513494108</v>
      </c>
      <c r="J24" s="318">
        <f t="shared" si="2"/>
        <v>6501.8842108947711</v>
      </c>
      <c r="K24" s="112">
        <f>+SUMIF('BG - Nuevos Bonos'!$N:$N,$A24,'BG - Nuevos Bonos'!$BM:$BM)</f>
        <v>587.33418118910708</v>
      </c>
      <c r="L24" s="225">
        <f>+SUMIF('BG - Nuevos Bonos'!$N:$N,$A24,'BG - Nuevos Bonos'!$BN:$BN)</f>
        <v>2361.5873333041754</v>
      </c>
      <c r="M24" s="318">
        <f t="shared" si="3"/>
        <v>2948.9215144932823</v>
      </c>
    </row>
    <row r="25" spans="1:13" x14ac:dyDescent="0.15">
      <c r="A25" s="319">
        <v>2037</v>
      </c>
      <c r="B25" s="112">
        <v>805.91321262458723</v>
      </c>
      <c r="C25" s="225">
        <v>1267.1819399410388</v>
      </c>
      <c r="D25" s="318">
        <f t="shared" si="0"/>
        <v>2073.095152565626</v>
      </c>
      <c r="E25" s="112">
        <f>+SUMIF('Argentina III - Nuevos Bonos'!$M$25:$M$78,$A25,'Argentina III - Nuevos Bonos'!BH$25:BH$78)</f>
        <v>472.81514483540809</v>
      </c>
      <c r="F25" s="225">
        <f>+SUMIF('Argentina III - Nuevos Bonos'!$M$25:$M$78,$A25,'Argentina III - Nuevos Bonos'!BI$25:BI$78)</f>
        <v>2353.093455920035</v>
      </c>
      <c r="G25" s="318">
        <f t="shared" si="1"/>
        <v>2825.9086007554433</v>
      </c>
      <c r="H25" s="112">
        <f>+SUMIF('AHBG-EBG Nuevos Bonos'!$Q:$Q,$A25,'AHBG-EBG Nuevos Bonos'!$CQ:$CQ)</f>
        <v>667.28526894525885</v>
      </c>
      <c r="I25" s="225">
        <f>+SUMIF('AHBG-EBG Nuevos Bonos'!$Q:$Q,$A25,'AHBG-EBG Nuevos Bonos'!$CR:$CR)</f>
        <v>2278.3646109326492</v>
      </c>
      <c r="J25" s="318">
        <f t="shared" si="2"/>
        <v>2945.649879877908</v>
      </c>
      <c r="K25" s="112">
        <f>+SUMIF('BG - Nuevos Bonos'!$N:$N,$A25,'BG - Nuevos Bonos'!$BM:$BM)</f>
        <v>476.89050910038753</v>
      </c>
      <c r="L25" s="225">
        <f>+SUMIF('BG - Nuevos Bonos'!$N:$N,$A25,'BG - Nuevos Bonos'!$BN:$BN)</f>
        <v>2361.5873333041754</v>
      </c>
      <c r="M25" s="318">
        <f t="shared" si="3"/>
        <v>2838.477842404563</v>
      </c>
    </row>
    <row r="26" spans="1:13" x14ac:dyDescent="0.15">
      <c r="A26" s="319">
        <v>2038</v>
      </c>
      <c r="B26" s="112">
        <v>750.94993500246017</v>
      </c>
      <c r="C26" s="225">
        <v>1900.7729099115581</v>
      </c>
      <c r="D26" s="318">
        <f t="shared" si="0"/>
        <v>2651.7228449140184</v>
      </c>
      <c r="E26" s="112">
        <f>+SUMIF('Argentina III - Nuevos Bonos'!$M$25:$M$78,$A26,'Argentina III - Nuevos Bonos'!BH$25:BH$78)</f>
        <v>362.7894588251479</v>
      </c>
      <c r="F26" s="225">
        <f>+SUMIF('Argentina III - Nuevos Bonos'!$M$25:$M$78,$A26,'Argentina III - Nuevos Bonos'!BI$25:BI$78)</f>
        <v>2353.093455920035</v>
      </c>
      <c r="G26" s="318">
        <f t="shared" si="1"/>
        <v>2715.8829147451829</v>
      </c>
      <c r="H26" s="112">
        <f>+SUMIF('AHBG-EBG Nuevos Bonos'!$Q:$Q,$A26,'AHBG-EBG Nuevos Bonos'!$CQ:$CQ)</f>
        <v>547.69923078500437</v>
      </c>
      <c r="I26" s="225">
        <f>+SUMIF('AHBG-EBG Nuevos Bonos'!$Q:$Q,$A26,'AHBG-EBG Nuevos Bonos'!$CR:$CR)</f>
        <v>2278.3646109326492</v>
      </c>
      <c r="J26" s="318">
        <f t="shared" si="2"/>
        <v>2826.0638417176533</v>
      </c>
      <c r="K26" s="112">
        <f>+SUMIF('BG - Nuevos Bonos'!$N:$N,$A26,'BG - Nuevos Bonos'!$BM:$BM)</f>
        <v>366.44683701166792</v>
      </c>
      <c r="L26" s="225">
        <f>+SUMIF('BG - Nuevos Bonos'!$N:$N,$A26,'BG - Nuevos Bonos'!$BN:$BN)</f>
        <v>2361.5873333041754</v>
      </c>
      <c r="M26" s="318">
        <f t="shared" si="3"/>
        <v>2728.0341703158433</v>
      </c>
    </row>
    <row r="27" spans="1:13" x14ac:dyDescent="0.15">
      <c r="A27" s="319">
        <v>2039</v>
      </c>
      <c r="B27" s="112">
        <v>664.57907015965816</v>
      </c>
      <c r="C27" s="225">
        <v>0</v>
      </c>
      <c r="D27" s="318">
        <f t="shared" si="0"/>
        <v>664.57907015965816</v>
      </c>
      <c r="E27" s="112">
        <f>+SUMIF('Argentina III - Nuevos Bonos'!$M$25:$M$78,$A27,'Argentina III - Nuevos Bonos'!BH$25:BH$78)</f>
        <v>265.3611467931994</v>
      </c>
      <c r="F27" s="225">
        <f>+SUMIF('Argentina III - Nuevos Bonos'!$M$25:$M$78,$A27,'Argentina III - Nuevos Bonos'!BI$25:BI$78)</f>
        <v>1256.7410130915059</v>
      </c>
      <c r="G27" s="318">
        <f t="shared" si="1"/>
        <v>1522.1021598847053</v>
      </c>
      <c r="H27" s="112">
        <f>+SUMIF('AHBG-EBG Nuevos Bonos'!$Q:$Q,$A27,'AHBG-EBG Nuevos Bonos'!$CQ:$CQ)</f>
        <v>441.65221280178451</v>
      </c>
      <c r="I27" s="225">
        <f>+SUMIF('AHBG-EBG Nuevos Bonos'!$Q:$Q,$A27,'AHBG-EBG Nuevos Bonos'!$CR:$CR)</f>
        <v>1212.7964035609787</v>
      </c>
      <c r="J27" s="318">
        <f t="shared" si="2"/>
        <v>1654.4486163627632</v>
      </c>
      <c r="K27" s="112">
        <f>+SUMIF('BG - Nuevos Bonos'!$N:$N,$A27,'BG - Nuevos Bonos'!$BM:$BM)</f>
        <v>268.60053890125994</v>
      </c>
      <c r="L27" s="225">
        <f>+SUMIF('BG - Nuevos Bonos'!$N:$N,$A27,'BG - Nuevos Bonos'!$BN:$BN)</f>
        <v>1265.2348904756466</v>
      </c>
      <c r="M27" s="318">
        <f t="shared" si="3"/>
        <v>1533.8354293769066</v>
      </c>
    </row>
    <row r="28" spans="1:13" x14ac:dyDescent="0.15">
      <c r="A28" s="319">
        <v>2040</v>
      </c>
      <c r="B28" s="112">
        <v>664.72346487519678</v>
      </c>
      <c r="C28" s="225">
        <v>0</v>
      </c>
      <c r="D28" s="318">
        <f t="shared" si="0"/>
        <v>664.72346487519678</v>
      </c>
      <c r="E28" s="112">
        <f>+SUMIF('Argentina III - Nuevos Bonos'!$M$25:$M$78,$A28,'Argentina III - Nuevos Bonos'!BH$25:BH$78)</f>
        <v>205.72495669618581</v>
      </c>
      <c r="F28" s="225">
        <f>+SUMIF('Argentina III - Nuevos Bonos'!$M$25:$M$78,$A28,'Argentina III - Nuevos Bonos'!BI$25:BI$78)</f>
        <v>1256.7410130915059</v>
      </c>
      <c r="G28" s="318">
        <f t="shared" si="1"/>
        <v>1462.4659697876918</v>
      </c>
      <c r="H28" s="112">
        <f>+SUMIF('AHBG-EBG Nuevos Bonos'!$Q:$Q,$A28,'AHBG-EBG Nuevos Bonos'!$CQ:$CQ)</f>
        <v>376.22225534966833</v>
      </c>
      <c r="I28" s="225">
        <f>+SUMIF('AHBG-EBG Nuevos Bonos'!$Q:$Q,$A28,'AHBG-EBG Nuevos Bonos'!$CR:$CR)</f>
        <v>1212.7964035609787</v>
      </c>
      <c r="J28" s="318">
        <f t="shared" si="2"/>
        <v>1589.018658910647</v>
      </c>
      <c r="K28" s="112">
        <f>+SUMIF('BG - Nuevos Bonos'!$N:$N,$A28,'BG - Nuevos Bonos'!$BM:$BM)</f>
        <v>208.54636272578705</v>
      </c>
      <c r="L28" s="225">
        <f>+SUMIF('BG - Nuevos Bonos'!$N:$N,$A28,'BG - Nuevos Bonos'!$BN:$BN)</f>
        <v>1265.2348904756466</v>
      </c>
      <c r="M28" s="318">
        <f t="shared" si="3"/>
        <v>1473.7812532014336</v>
      </c>
    </row>
    <row r="29" spans="1:13" x14ac:dyDescent="0.15">
      <c r="A29" s="319">
        <v>2041</v>
      </c>
      <c r="B29" s="112">
        <v>664.57907015965816</v>
      </c>
      <c r="C29" s="225">
        <v>0</v>
      </c>
      <c r="D29" s="318">
        <f t="shared" si="0"/>
        <v>664.57907015965816</v>
      </c>
      <c r="E29" s="112">
        <f>+SUMIF('Argentina III - Nuevos Bonos'!$M$25:$M$78,$A29,'Argentina III - Nuevos Bonos'!BH$25:BH$78)</f>
        <v>146.08876659917226</v>
      </c>
      <c r="F29" s="225">
        <f>+SUMIF('Argentina III - Nuevos Bonos'!$M$25:$M$78,$A29,'Argentina III - Nuevos Bonos'!BI$25:BI$78)</f>
        <v>1256.7410130915059</v>
      </c>
      <c r="G29" s="318">
        <f t="shared" si="1"/>
        <v>1402.8297796906782</v>
      </c>
      <c r="H29" s="112">
        <f>+SUMIF('AHBG-EBG Nuevos Bonos'!$Q:$Q,$A29,'AHBG-EBG Nuevos Bonos'!$CQ:$CQ)</f>
        <v>310.79229789755209</v>
      </c>
      <c r="I29" s="225">
        <f>+SUMIF('AHBG-EBG Nuevos Bonos'!$Q:$Q,$A29,'AHBG-EBG Nuevos Bonos'!$CR:$CR)</f>
        <v>1212.7964035609787</v>
      </c>
      <c r="J29" s="318">
        <f t="shared" si="2"/>
        <v>1523.5887014585307</v>
      </c>
      <c r="K29" s="112">
        <f>+SUMIF('BG - Nuevos Bonos'!$N:$N,$A29,'BG - Nuevos Bonos'!$BM:$BM)</f>
        <v>148.4921865503141</v>
      </c>
      <c r="L29" s="225">
        <f>+SUMIF('BG - Nuevos Bonos'!$N:$N,$A29,'BG - Nuevos Bonos'!$BN:$BN)</f>
        <v>1265.2348904756466</v>
      </c>
      <c r="M29" s="318">
        <f t="shared" si="3"/>
        <v>1413.7270770259606</v>
      </c>
    </row>
    <row r="30" spans="1:13" x14ac:dyDescent="0.15">
      <c r="A30" s="319">
        <v>2042</v>
      </c>
      <c r="B30" s="112">
        <v>664.57907015965816</v>
      </c>
      <c r="C30" s="225">
        <v>0</v>
      </c>
      <c r="D30" s="318">
        <f t="shared" si="0"/>
        <v>664.57907015965816</v>
      </c>
      <c r="E30" s="112">
        <f>+SUMIF('Argentina III - Nuevos Bonos'!$M$25:$M$78,$A30,'Argentina III - Nuevos Bonos'!BH$25:BH$78)</f>
        <v>96.29354282509135</v>
      </c>
      <c r="F30" s="225">
        <f>+SUMIF('Argentina III - Nuevos Bonos'!$M$25:$M$78,$A30,'Argentina III - Nuevos Bonos'!BI$25:BI$78)</f>
        <v>411.95305313081337</v>
      </c>
      <c r="G30" s="318">
        <f t="shared" si="1"/>
        <v>508.2465959559047</v>
      </c>
      <c r="H30" s="112">
        <f>+SUMIF('AHBG-EBG Nuevos Bonos'!$Q:$Q,$A30,'AHBG-EBG Nuevos Bonos'!$CQ:$CQ)</f>
        <v>245.3623404454359</v>
      </c>
      <c r="I30" s="225">
        <f>+SUMIF('AHBG-EBG Nuevos Bonos'!$Q:$Q,$A30,'AHBG-EBG Nuevos Bonos'!$CR:$CR)</f>
        <v>1212.7964035609787</v>
      </c>
      <c r="J30" s="318">
        <f t="shared" si="2"/>
        <v>1458.1587440064145</v>
      </c>
      <c r="K30" s="112">
        <f>+SUMIF('BG - Nuevos Bonos'!$N:$N,$A30,'BG - Nuevos Bonos'!$BM:$BM)</f>
        <v>98.278976697773771</v>
      </c>
      <c r="L30" s="225">
        <f>+SUMIF('BG - Nuevos Bonos'!$N:$N,$A30,'BG - Nuevos Bonos'!$BN:$BN)</f>
        <v>420.44693051495392</v>
      </c>
      <c r="M30" s="318">
        <f t="shared" si="3"/>
        <v>518.72590721272763</v>
      </c>
    </row>
    <row r="31" spans="1:13" x14ac:dyDescent="0.15">
      <c r="A31" s="319">
        <v>2043</v>
      </c>
      <c r="B31" s="112">
        <v>664.57907015965816</v>
      </c>
      <c r="C31" s="225">
        <v>0</v>
      </c>
      <c r="D31" s="318">
        <f t="shared" si="0"/>
        <v>664.57907015965816</v>
      </c>
      <c r="E31" s="112">
        <f>+SUMIF('Argentina III - Nuevos Bonos'!$M$25:$M$78,$A31,'Argentina III - Nuevos Bonos'!BH$25:BH$78)</f>
        <v>76.021218019808913</v>
      </c>
      <c r="F31" s="225">
        <f>+SUMIF('Argentina III - Nuevos Bonos'!$M$25:$M$78,$A31,'Argentina III - Nuevos Bonos'!BI$25:BI$78)</f>
        <v>411.95305313081337</v>
      </c>
      <c r="G31" s="318">
        <f t="shared" si="1"/>
        <v>487.97427115062226</v>
      </c>
      <c r="H31" s="112">
        <f>+SUMIF('AHBG-EBG Nuevos Bonos'!$Q:$Q,$A31,'AHBG-EBG Nuevos Bonos'!$CQ:$CQ)</f>
        <v>179.93238299331966</v>
      </c>
      <c r="I31" s="225">
        <f>+SUMIF('AHBG-EBG Nuevos Bonos'!$Q:$Q,$A31,'AHBG-EBG Nuevos Bonos'!$CR:$CR)</f>
        <v>1212.7964035609787</v>
      </c>
      <c r="J31" s="318">
        <f t="shared" si="2"/>
        <v>1392.7287865542983</v>
      </c>
      <c r="K31" s="112">
        <f>+SUMIF('BG - Nuevos Bonos'!$N:$N,$A31,'BG - Nuevos Bonos'!$BM:$BM)</f>
        <v>77.588665814031941</v>
      </c>
      <c r="L31" s="225">
        <f>+SUMIF('BG - Nuevos Bonos'!$N:$N,$A31,'BG - Nuevos Bonos'!$BN:$BN)</f>
        <v>420.44693051495392</v>
      </c>
      <c r="M31" s="318">
        <f t="shared" si="3"/>
        <v>498.03559632898589</v>
      </c>
    </row>
    <row r="32" spans="1:13" x14ac:dyDescent="0.15">
      <c r="A32" s="319">
        <v>2044</v>
      </c>
      <c r="B32" s="112">
        <v>664.72346487519678</v>
      </c>
      <c r="C32" s="225">
        <v>0</v>
      </c>
      <c r="D32" s="318">
        <f t="shared" si="0"/>
        <v>664.72346487519678</v>
      </c>
      <c r="E32" s="112">
        <f>+SUMIF('Argentina III - Nuevos Bonos'!$M$25:$M$78,$A32,'Argentina III - Nuevos Bonos'!BH$25:BH$78)</f>
        <v>55.748893214526461</v>
      </c>
      <c r="F32" s="225">
        <f>+SUMIF('Argentina III - Nuevos Bonos'!$M$25:$M$78,$A32,'Argentina III - Nuevos Bonos'!BI$25:BI$78)</f>
        <v>411.95305313081337</v>
      </c>
      <c r="G32" s="318">
        <f t="shared" si="1"/>
        <v>467.70194634533982</v>
      </c>
      <c r="H32" s="112">
        <f>+SUMIF('AHBG-EBG Nuevos Bonos'!$Q:$Q,$A32,'AHBG-EBG Nuevos Bonos'!$CQ:$CQ)</f>
        <v>114.50242554120345</v>
      </c>
      <c r="I32" s="225">
        <f>+SUMIF('AHBG-EBG Nuevos Bonos'!$Q:$Q,$A32,'AHBG-EBG Nuevos Bonos'!$CR:$CR)</f>
        <v>1212.7964035609787</v>
      </c>
      <c r="J32" s="318">
        <f t="shared" si="2"/>
        <v>1327.298829102182</v>
      </c>
      <c r="K32" s="112">
        <f>+SUMIF('BG - Nuevos Bonos'!$N:$N,$A32,'BG - Nuevos Bonos'!$BM:$BM)</f>
        <v>56.898354930290083</v>
      </c>
      <c r="L32" s="225">
        <f>+SUMIF('BG - Nuevos Bonos'!$N:$N,$A32,'BG - Nuevos Bonos'!$BN:$BN)</f>
        <v>420.44693051495392</v>
      </c>
      <c r="M32" s="318">
        <f t="shared" si="3"/>
        <v>477.34528544524403</v>
      </c>
    </row>
    <row r="33" spans="1:13" x14ac:dyDescent="0.15">
      <c r="A33" s="319">
        <v>2045</v>
      </c>
      <c r="B33" s="112">
        <v>664.57907015965816</v>
      </c>
      <c r="C33" s="225">
        <v>0</v>
      </c>
      <c r="D33" s="318">
        <f t="shared" si="0"/>
        <v>664.57907015965816</v>
      </c>
      <c r="E33" s="112">
        <f>+SUMIF('Argentina III - Nuevos Bonos'!$M$25:$M$78,$A33,'Argentina III - Nuevos Bonos'!BH$25:BH$78)</f>
        <v>35.47656840924401</v>
      </c>
      <c r="F33" s="225">
        <f>+SUMIF('Argentina III - Nuevos Bonos'!$M$25:$M$78,$A33,'Argentina III - Nuevos Bonos'!BI$25:BI$78)</f>
        <v>411.95305313081337</v>
      </c>
      <c r="G33" s="318">
        <f t="shared" si="1"/>
        <v>447.42962154005738</v>
      </c>
      <c r="H33" s="112">
        <f>+SUMIF('AHBG-EBG Nuevos Bonos'!$Q:$Q,$A33,'AHBG-EBG Nuevos Bonos'!$CQ:$CQ)</f>
        <v>49.072468089087238</v>
      </c>
      <c r="I33" s="225">
        <f>+SUMIF('AHBG-EBG Nuevos Bonos'!$Q:$Q,$A33,'AHBG-EBG Nuevos Bonos'!$CR:$CR)</f>
        <v>1212.7964035609787</v>
      </c>
      <c r="J33" s="318">
        <f t="shared" si="2"/>
        <v>1261.868871650066</v>
      </c>
      <c r="K33" s="112">
        <f>+SUMIF('BG - Nuevos Bonos'!$N:$N,$A33,'BG - Nuevos Bonos'!$BM:$BM)</f>
        <v>36.208044046548238</v>
      </c>
      <c r="L33" s="225">
        <f>+SUMIF('BG - Nuevos Bonos'!$N:$N,$A33,'BG - Nuevos Bonos'!$BN:$BN)</f>
        <v>420.44693051495392</v>
      </c>
      <c r="M33" s="318">
        <f t="shared" si="3"/>
        <v>456.65497456150217</v>
      </c>
    </row>
    <row r="34" spans="1:13" x14ac:dyDescent="0.15">
      <c r="A34" s="319">
        <v>2046</v>
      </c>
      <c r="B34" s="112">
        <v>559.73532015965816</v>
      </c>
      <c r="C34" s="225">
        <v>2750</v>
      </c>
      <c r="D34" s="318">
        <f t="shared" si="0"/>
        <v>3309.7353201596579</v>
      </c>
      <c r="E34" s="112">
        <f>+SUMIF('Argentina III - Nuevos Bonos'!$M$25:$M$78,$A34,'Argentina III - Nuevos Bonos'!BH$25:BH$78)</f>
        <v>15.204243603961562</v>
      </c>
      <c r="F34" s="225">
        <f>+SUMIF('Argentina III - Nuevos Bonos'!$M$25:$M$78,$A34,'Argentina III - Nuevos Bonos'!BI$25:BI$78)</f>
        <v>411.95305313081337</v>
      </c>
      <c r="G34" s="318">
        <f t="shared" si="1"/>
        <v>427.15729673477495</v>
      </c>
      <c r="H34" s="112">
        <f>+SUMIF('AHBG-EBG Nuevos Bonos'!$Q:$Q,$A34,'AHBG-EBG Nuevos Bonos'!$CQ:$CQ)</f>
        <v>0</v>
      </c>
      <c r="I34" s="225">
        <f>+SUMIF('AHBG-EBG Nuevos Bonos'!$Q:$Q,$A34,'AHBG-EBG Nuevos Bonos'!$CR:$CR)</f>
        <v>0</v>
      </c>
      <c r="J34" s="318">
        <f t="shared" si="2"/>
        <v>0</v>
      </c>
      <c r="K34" s="112">
        <f>+SUMIF('BG - Nuevos Bonos'!$N:$N,$A34,'BG - Nuevos Bonos'!$BM:$BM)</f>
        <v>15.517733162806387</v>
      </c>
      <c r="L34" s="225">
        <f>+SUMIF('BG - Nuevos Bonos'!$N:$N,$A34,'BG - Nuevos Bonos'!$BN:$BN)</f>
        <v>420.44693051495392</v>
      </c>
      <c r="M34" s="318">
        <f t="shared" si="3"/>
        <v>435.96466367776031</v>
      </c>
    </row>
    <row r="35" spans="1:13" x14ac:dyDescent="0.15">
      <c r="A35" s="319">
        <v>2047</v>
      </c>
      <c r="B35" s="112">
        <v>454.89157015965822</v>
      </c>
      <c r="C35" s="225">
        <v>843.26512255453122</v>
      </c>
      <c r="D35" s="318">
        <f t="shared" si="0"/>
        <v>1298.1566927141894</v>
      </c>
      <c r="E35" s="112">
        <f>+SUMIF('Argentina III - Nuevos Bonos'!$M$25:$M$78,$A35,'Argentina III - Nuevos Bonos'!BH$25:BH$78)</f>
        <v>0</v>
      </c>
      <c r="F35" s="225">
        <f>+SUMIF('Argentina III - Nuevos Bonos'!$M$25:$M$78,$A35,'Argentina III - Nuevos Bonos'!BI$25:BI$78)</f>
        <v>0</v>
      </c>
      <c r="G35" s="318">
        <v>0</v>
      </c>
      <c r="H35" s="112">
        <f>+SUMIF('AHBG-EBG Nuevos Bonos'!$Q:$Q,$A35,'AHBG-EBG Nuevos Bonos'!$CQ:$CQ)</f>
        <v>0</v>
      </c>
      <c r="I35" s="225">
        <f>+SUMIF('AHBG-EBG Nuevos Bonos'!$Q:$Q,$A35,'AHBG-EBG Nuevos Bonos'!$CR:$CR)</f>
        <v>0</v>
      </c>
      <c r="J35" s="318">
        <f t="shared" si="2"/>
        <v>0</v>
      </c>
      <c r="K35" s="112">
        <f>+SUMIF('BG - Nuevos Bonos'!$N:$N,$A35,'BG - Nuevos Bonos'!$BM:$BM)</f>
        <v>0</v>
      </c>
      <c r="L35" s="225">
        <f>+SUMIF('BG - Nuevos Bonos'!$N:$N,$A35,'BG - Nuevos Bonos'!$BN:$BN)</f>
        <v>0</v>
      </c>
      <c r="M35" s="318">
        <v>0</v>
      </c>
    </row>
    <row r="36" spans="1:13" x14ac:dyDescent="0.15">
      <c r="A36" s="319">
        <v>2048</v>
      </c>
      <c r="B36" s="112">
        <v>299.0625</v>
      </c>
      <c r="C36" s="225">
        <v>3000</v>
      </c>
      <c r="D36" s="318">
        <f t="shared" si="0"/>
        <v>3299.0625</v>
      </c>
      <c r="E36" s="112">
        <f>+SUMIF('Argentina III - Nuevos Bonos'!$M$25:$M$78,$A36,'Argentina III - Nuevos Bonos'!BH$25:BH$78)</f>
        <v>0</v>
      </c>
      <c r="F36" s="225">
        <f>+SUMIF('Argentina III - Nuevos Bonos'!$M$25:$M$78,$A36,'Argentina III - Nuevos Bonos'!BI$25:BI$78)</f>
        <v>0</v>
      </c>
      <c r="G36" s="318">
        <v>0</v>
      </c>
      <c r="H36" s="112">
        <f>+SUMIF('AHBG-EBG Nuevos Bonos'!$Q:$Q,$A36,'AHBG-EBG Nuevos Bonos'!$CQ:$CQ)</f>
        <v>0</v>
      </c>
      <c r="I36" s="225">
        <f>+SUMIF('AHBG-EBG Nuevos Bonos'!$Q:$Q,$A36,'AHBG-EBG Nuevos Bonos'!$CR:$CR)</f>
        <v>0</v>
      </c>
      <c r="J36" s="318">
        <f t="shared" si="2"/>
        <v>0</v>
      </c>
      <c r="K36" s="112">
        <f>+SUMIF('BG - Nuevos Bonos'!$N:$N,$A36,'BG - Nuevos Bonos'!$BM:$BM)</f>
        <v>0</v>
      </c>
      <c r="L36" s="225">
        <f>+SUMIF('BG - Nuevos Bonos'!$N:$N,$A36,'BG - Nuevos Bonos'!$BN:$BN)</f>
        <v>0</v>
      </c>
      <c r="M36" s="318">
        <v>0</v>
      </c>
    </row>
    <row r="37" spans="1:13" x14ac:dyDescent="0.15">
      <c r="A37" s="319" t="s">
        <v>133</v>
      </c>
      <c r="B37" s="112">
        <v>13421.71875</v>
      </c>
      <c r="C37" s="225">
        <v>2750</v>
      </c>
      <c r="D37" s="318">
        <f t="shared" si="0"/>
        <v>16171.71875</v>
      </c>
      <c r="E37" s="112">
        <f>+SUMIF('Argentina III - Nuevos Bonos'!$M$25:$M$78,$A37,'Argentina III - Nuevos Bonos'!BH$25:BH$78)</f>
        <v>0</v>
      </c>
      <c r="F37" s="225">
        <f>+SUMIF('Argentina III - Nuevos Bonos'!$M$25:$M$78,$A37,'Argentina III - Nuevos Bonos'!BI$25:BI$78)</f>
        <v>0</v>
      </c>
      <c r="G37" s="318">
        <v>0</v>
      </c>
      <c r="H37" s="112">
        <f>+SUMIF('AHBG-EBG Nuevos Bonos'!$Q:$Q,$A37,'AHBG-EBG Nuevos Bonos'!$CQ:$CQ)</f>
        <v>0</v>
      </c>
      <c r="I37" s="225">
        <f>+SUMIF('AHBG-EBG Nuevos Bonos'!$Q:$Q,$A37,'AHBG-EBG Nuevos Bonos'!$CR:$CR)</f>
        <v>0</v>
      </c>
      <c r="J37" s="318">
        <f t="shared" si="2"/>
        <v>0</v>
      </c>
      <c r="K37" s="112">
        <f>+SUMIF('BG - Nuevos Bonos'!$N:$N,$A37,'BG - Nuevos Bonos'!$BM:$BM)</f>
        <v>0</v>
      </c>
      <c r="L37" s="225">
        <f>+SUMIF('BG - Nuevos Bonos'!$N:$N,$A37,'BG - Nuevos Bonos'!$BN:$BN)</f>
        <v>0</v>
      </c>
      <c r="M37" s="318">
        <v>0</v>
      </c>
    </row>
    <row r="38" spans="1:13" ht="20.25" customHeight="1" x14ac:dyDescent="0.15">
      <c r="A38" s="70" t="s">
        <v>183</v>
      </c>
      <c r="B38" s="324">
        <f>+SUM(B8:B37)</f>
        <v>60062.698700163201</v>
      </c>
      <c r="C38" s="325">
        <f t="shared" ref="C38:M38" si="4">+SUM(C8:C37)</f>
        <v>66306.226174177253</v>
      </c>
      <c r="D38" s="326">
        <f t="shared" si="4"/>
        <v>126368.92487434045</v>
      </c>
      <c r="E38" s="324">
        <f t="shared" si="4"/>
        <v>26495.482066594817</v>
      </c>
      <c r="F38" s="325">
        <f t="shared" si="4"/>
        <v>67296.163056953548</v>
      </c>
      <c r="G38" s="326">
        <f t="shared" si="4"/>
        <v>93791.645123548355</v>
      </c>
      <c r="H38" s="324">
        <f t="shared" si="4"/>
        <v>35866.734500249746</v>
      </c>
      <c r="I38" s="325">
        <f t="shared" si="4"/>
        <v>67104.37476840704</v>
      </c>
      <c r="J38" s="326">
        <f t="shared" si="4"/>
        <v>102971.10926865679</v>
      </c>
      <c r="K38" s="324">
        <f t="shared" si="4"/>
        <v>24934.09552372749</v>
      </c>
      <c r="L38" s="325">
        <f t="shared" si="4"/>
        <v>68127.653655030401</v>
      </c>
      <c r="M38" s="326">
        <f t="shared" si="4"/>
        <v>93061.749178757949</v>
      </c>
    </row>
    <row r="40" spans="1:13" ht="19.5" x14ac:dyDescent="0.15">
      <c r="A40" s="226" t="s">
        <v>134</v>
      </c>
      <c r="I40" s="226"/>
    </row>
    <row r="41" spans="1:13" ht="15" x14ac:dyDescent="0.15">
      <c r="A41" s="227" t="s">
        <v>128</v>
      </c>
      <c r="I41" s="227"/>
    </row>
  </sheetData>
  <mergeCells count="4">
    <mergeCell ref="B5:D6"/>
    <mergeCell ref="E5:G6"/>
    <mergeCell ref="H5:J6"/>
    <mergeCell ref="K5:M6"/>
  </mergeCells>
  <pageMargins left="0.7" right="0.7" top="0.75" bottom="0.75" header="0.3" footer="0.3"/>
  <pageSetup orientation="portrait" r:id="rId1"/>
  <ignoredErrors>
    <ignoredError sqref="D8:D9 D10:D3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673F5-0C3D-4430-A4D6-AFCFC66C7D4E}">
  <sheetPr codeName="Hoja3"/>
  <dimension ref="A1:Q26"/>
  <sheetViews>
    <sheetView showGridLines="0" workbookViewId="0"/>
  </sheetViews>
  <sheetFormatPr baseColWidth="10" defaultColWidth="11.42578125" defaultRowHeight="11.25" x14ac:dyDescent="0.25"/>
  <cols>
    <col min="1" max="1" width="24.5703125" style="69" customWidth="1"/>
    <col min="2" max="2" width="11.28515625" style="84" customWidth="1"/>
    <col min="3" max="5" width="12.28515625" style="14" customWidth="1"/>
    <col min="6" max="6" width="11.28515625" style="69" customWidth="1"/>
    <col min="7" max="7" width="14.5703125" style="69" bestFit="1" customWidth="1"/>
    <col min="8" max="8" width="15.42578125" style="69" bestFit="1" customWidth="1"/>
    <col min="9" max="9" width="12.7109375" style="69" customWidth="1"/>
    <col min="10" max="10" width="12.140625" style="69" bestFit="1" customWidth="1"/>
    <col min="11" max="11" width="11.7109375" style="69" bestFit="1" customWidth="1"/>
    <col min="12" max="12" width="12.42578125" style="69" bestFit="1" customWidth="1"/>
    <col min="13" max="16384" width="11.42578125" style="69"/>
  </cols>
  <sheetData>
    <row r="1" spans="1:17" s="315" customFormat="1" ht="22.5" x14ac:dyDescent="0.25">
      <c r="A1" s="68" t="s">
        <v>49</v>
      </c>
      <c r="B1" s="314"/>
      <c r="C1" s="314"/>
      <c r="D1" s="314"/>
      <c r="E1" s="314"/>
      <c r="G1" s="327" t="s">
        <v>50</v>
      </c>
      <c r="H1" s="398">
        <v>44027</v>
      </c>
      <c r="I1" s="81"/>
      <c r="J1" s="81"/>
      <c r="K1" s="63" t="s">
        <v>215</v>
      </c>
      <c r="L1" s="328">
        <v>43999</v>
      </c>
      <c r="M1" s="81"/>
      <c r="N1" s="81"/>
      <c r="O1" s="81"/>
      <c r="P1" s="81"/>
      <c r="Q1" s="81"/>
    </row>
    <row r="2" spans="1:17" x14ac:dyDescent="0.25">
      <c r="A2" s="2" t="s">
        <v>190</v>
      </c>
      <c r="B2" s="14"/>
      <c r="K2" s="276" t="s">
        <v>15</v>
      </c>
      <c r="L2" s="277">
        <v>0.88939999999999997</v>
      </c>
    </row>
    <row r="3" spans="1:17" x14ac:dyDescent="0.25">
      <c r="B3" s="14"/>
      <c r="K3" s="278" t="s">
        <v>17</v>
      </c>
      <c r="L3" s="248">
        <v>0.9486</v>
      </c>
    </row>
    <row r="4" spans="1:17" ht="48" x14ac:dyDescent="0.25">
      <c r="A4" s="70" t="s">
        <v>51</v>
      </c>
      <c r="B4" s="70" t="s">
        <v>52</v>
      </c>
      <c r="C4" s="70" t="s">
        <v>53</v>
      </c>
      <c r="D4" s="70" t="s">
        <v>54</v>
      </c>
      <c r="E4" s="70" t="s">
        <v>55</v>
      </c>
      <c r="F4" s="70" t="s">
        <v>56</v>
      </c>
      <c r="G4" s="70" t="s">
        <v>57</v>
      </c>
      <c r="H4" s="70" t="s">
        <v>211</v>
      </c>
      <c r="I4" s="70" t="s">
        <v>58</v>
      </c>
    </row>
    <row r="5" spans="1:17" x14ac:dyDescent="0.15">
      <c r="A5" s="71" t="s">
        <v>59</v>
      </c>
      <c r="B5" s="71">
        <v>1750</v>
      </c>
      <c r="C5" s="72">
        <v>4.6249999999999999E-2</v>
      </c>
      <c r="D5" s="73">
        <v>43841</v>
      </c>
      <c r="E5" s="74">
        <f>+DAYS360(D5,$H$1)</f>
        <v>184</v>
      </c>
      <c r="F5" s="73" t="s">
        <v>1</v>
      </c>
      <c r="G5" s="72">
        <f t="shared" ref="G5:G15" si="0">+DAYS360(D5,$H$1)*(C5/2)/180</f>
        <v>2.363888888888889E-2</v>
      </c>
      <c r="H5" s="75">
        <f t="shared" ref="H5:H25" si="1">+B5*G5</f>
        <v>41.368055555555557</v>
      </c>
      <c r="I5" s="75">
        <f>+H5</f>
        <v>41.368055555555557</v>
      </c>
    </row>
    <row r="6" spans="1:17" x14ac:dyDescent="0.15">
      <c r="A6" s="71" t="s">
        <v>60</v>
      </c>
      <c r="B6" s="71">
        <v>3250</v>
      </c>
      <c r="C6" s="72">
        <v>5.6250000000000001E-2</v>
      </c>
      <c r="D6" s="73">
        <v>43856</v>
      </c>
      <c r="E6" s="74">
        <f t="shared" ref="E6:E25" si="2">+DAYS360(D6,$H$1)</f>
        <v>169</v>
      </c>
      <c r="F6" s="73" t="s">
        <v>1</v>
      </c>
      <c r="G6" s="72">
        <f t="shared" si="0"/>
        <v>2.6406249999999999E-2</v>
      </c>
      <c r="H6" s="75">
        <f t="shared" si="1"/>
        <v>85.8203125</v>
      </c>
      <c r="I6" s="75">
        <f t="shared" ref="I6:I15" si="3">+H6</f>
        <v>85.8203125</v>
      </c>
    </row>
    <row r="7" spans="1:17" x14ac:dyDescent="0.15">
      <c r="A7" s="71" t="s">
        <v>61</v>
      </c>
      <c r="B7" s="71">
        <v>4250</v>
      </c>
      <c r="C7" s="72">
        <v>5.8749999999999997E-2</v>
      </c>
      <c r="D7" s="73">
        <v>43841</v>
      </c>
      <c r="E7" s="74">
        <f t="shared" si="2"/>
        <v>184</v>
      </c>
      <c r="F7" s="73" t="s">
        <v>1</v>
      </c>
      <c r="G7" s="72">
        <f t="shared" si="0"/>
        <v>3.0027777777777775E-2</v>
      </c>
      <c r="H7" s="75">
        <f t="shared" si="1"/>
        <v>127.61805555555554</v>
      </c>
      <c r="I7" s="75">
        <f t="shared" si="3"/>
        <v>127.61805555555554</v>
      </c>
    </row>
    <row r="8" spans="1:17" x14ac:dyDescent="0.15">
      <c r="A8" s="71" t="s">
        <v>62</v>
      </c>
      <c r="B8" s="71">
        <v>1000</v>
      </c>
      <c r="C8" s="72">
        <v>6.6250000000000003E-2</v>
      </c>
      <c r="D8" s="73">
        <v>43836</v>
      </c>
      <c r="E8" s="74">
        <f t="shared" si="2"/>
        <v>189</v>
      </c>
      <c r="F8" s="73" t="s">
        <v>1</v>
      </c>
      <c r="G8" s="72">
        <f t="shared" si="0"/>
        <v>3.478125E-2</v>
      </c>
      <c r="H8" s="75">
        <f t="shared" si="1"/>
        <v>34.78125</v>
      </c>
      <c r="I8" s="75">
        <f t="shared" si="3"/>
        <v>34.78125</v>
      </c>
    </row>
    <row r="9" spans="1:17" x14ac:dyDescent="0.15">
      <c r="A9" s="71" t="s">
        <v>63</v>
      </c>
      <c r="B9" s="71">
        <v>3000</v>
      </c>
      <c r="C9" s="72">
        <v>6.8750000000000006E-2</v>
      </c>
      <c r="D9" s="73">
        <v>43841</v>
      </c>
      <c r="E9" s="74">
        <f t="shared" si="2"/>
        <v>184</v>
      </c>
      <c r="F9" s="73" t="s">
        <v>1</v>
      </c>
      <c r="G9" s="72">
        <f t="shared" si="0"/>
        <v>3.5138888888888893E-2</v>
      </c>
      <c r="H9" s="75">
        <f t="shared" si="1"/>
        <v>105.41666666666669</v>
      </c>
      <c r="I9" s="75">
        <f t="shared" si="3"/>
        <v>105.41666666666669</v>
      </c>
    </row>
    <row r="10" spans="1:17" x14ac:dyDescent="0.15">
      <c r="A10" s="71" t="s">
        <v>64</v>
      </c>
      <c r="B10" s="71">
        <v>4500</v>
      </c>
      <c r="C10" s="72">
        <v>6.8750000000000006E-2</v>
      </c>
      <c r="D10" s="73">
        <v>43760</v>
      </c>
      <c r="E10" s="74">
        <f t="shared" si="2"/>
        <v>263</v>
      </c>
      <c r="F10" s="73" t="s">
        <v>1</v>
      </c>
      <c r="G10" s="72">
        <f t="shared" si="0"/>
        <v>5.0225694444444448E-2</v>
      </c>
      <c r="H10" s="75">
        <f t="shared" si="1"/>
        <v>226.01562500000003</v>
      </c>
      <c r="I10" s="75">
        <f t="shared" si="3"/>
        <v>226.01562500000003</v>
      </c>
    </row>
    <row r="11" spans="1:17" x14ac:dyDescent="0.15">
      <c r="A11" s="71" t="s">
        <v>65</v>
      </c>
      <c r="B11" s="71">
        <v>3750</v>
      </c>
      <c r="C11" s="72">
        <v>6.8750000000000006E-2</v>
      </c>
      <c r="D11" s="73">
        <v>43856</v>
      </c>
      <c r="E11" s="74">
        <f t="shared" si="2"/>
        <v>169</v>
      </c>
      <c r="F11" s="73" t="s">
        <v>1</v>
      </c>
      <c r="G11" s="72">
        <f t="shared" si="0"/>
        <v>3.2274305555555556E-2</v>
      </c>
      <c r="H11" s="75">
        <f t="shared" si="1"/>
        <v>121.02864583333333</v>
      </c>
      <c r="I11" s="75">
        <f t="shared" si="3"/>
        <v>121.02864583333333</v>
      </c>
    </row>
    <row r="12" spans="1:17" x14ac:dyDescent="0.15">
      <c r="A12" s="71" t="s">
        <v>66</v>
      </c>
      <c r="B12" s="71">
        <v>1750</v>
      </c>
      <c r="C12" s="72">
        <v>7.1249999999999994E-2</v>
      </c>
      <c r="D12" s="73">
        <v>43836</v>
      </c>
      <c r="E12" s="74">
        <f t="shared" si="2"/>
        <v>189</v>
      </c>
      <c r="F12" s="73" t="s">
        <v>1</v>
      </c>
      <c r="G12" s="72">
        <f t="shared" si="0"/>
        <v>3.7406249999999995E-2</v>
      </c>
      <c r="H12" s="75">
        <f t="shared" si="1"/>
        <v>65.460937499999986</v>
      </c>
      <c r="I12" s="75">
        <f t="shared" si="3"/>
        <v>65.460937499999986</v>
      </c>
    </row>
    <row r="13" spans="1:17" x14ac:dyDescent="0.15">
      <c r="A13" s="71" t="s">
        <v>67</v>
      </c>
      <c r="B13" s="71">
        <v>2750</v>
      </c>
      <c r="C13" s="72">
        <v>7.1249999999999994E-2</v>
      </c>
      <c r="D13" s="73">
        <v>43827</v>
      </c>
      <c r="E13" s="74">
        <f t="shared" si="2"/>
        <v>197</v>
      </c>
      <c r="F13" s="73" t="s">
        <v>1</v>
      </c>
      <c r="G13" s="72">
        <f t="shared" si="0"/>
        <v>3.8989583333333327E-2</v>
      </c>
      <c r="H13" s="75">
        <f t="shared" si="1"/>
        <v>107.22135416666666</v>
      </c>
      <c r="I13" s="75">
        <f t="shared" si="3"/>
        <v>107.22135416666666</v>
      </c>
    </row>
    <row r="14" spans="1:17" x14ac:dyDescent="0.15">
      <c r="A14" s="71" t="s">
        <v>68</v>
      </c>
      <c r="B14" s="71">
        <v>6500</v>
      </c>
      <c r="C14" s="72">
        <v>7.4999999999999997E-2</v>
      </c>
      <c r="D14" s="73">
        <v>43760</v>
      </c>
      <c r="E14" s="74">
        <f t="shared" si="2"/>
        <v>263</v>
      </c>
      <c r="F14" s="73" t="s">
        <v>1</v>
      </c>
      <c r="G14" s="72">
        <f t="shared" si="0"/>
        <v>5.4791666666666662E-2</v>
      </c>
      <c r="H14" s="75">
        <f t="shared" si="1"/>
        <v>356.14583333333331</v>
      </c>
      <c r="I14" s="75">
        <f t="shared" si="3"/>
        <v>356.14583333333331</v>
      </c>
    </row>
    <row r="15" spans="1:17" x14ac:dyDescent="0.15">
      <c r="A15" s="71" t="s">
        <v>69</v>
      </c>
      <c r="B15" s="71">
        <v>2750</v>
      </c>
      <c r="C15" s="72">
        <v>7.6249999999999998E-2</v>
      </c>
      <c r="D15" s="73">
        <v>43760</v>
      </c>
      <c r="E15" s="74">
        <f t="shared" si="2"/>
        <v>263</v>
      </c>
      <c r="F15" s="73" t="s">
        <v>1</v>
      </c>
      <c r="G15" s="72">
        <f t="shared" si="0"/>
        <v>5.5704861111111115E-2</v>
      </c>
      <c r="H15" s="75">
        <f t="shared" si="1"/>
        <v>153.18836805555557</v>
      </c>
      <c r="I15" s="75">
        <f t="shared" si="3"/>
        <v>153.18836805555557</v>
      </c>
    </row>
    <row r="16" spans="1:17" x14ac:dyDescent="0.15">
      <c r="A16" s="71" t="s">
        <v>70</v>
      </c>
      <c r="B16" s="71">
        <v>999.99999999999932</v>
      </c>
      <c r="C16" s="72">
        <v>3.3750000000000002E-2</v>
      </c>
      <c r="D16" s="73">
        <v>43845</v>
      </c>
      <c r="E16" s="74">
        <f t="shared" si="2"/>
        <v>180</v>
      </c>
      <c r="F16" s="73" t="s">
        <v>18</v>
      </c>
      <c r="G16" s="72">
        <f t="shared" ref="G16:G21" si="4">+DAYS360(D16,$H$1)*C16/360</f>
        <v>1.6875000000000001E-2</v>
      </c>
      <c r="H16" s="75">
        <f t="shared" si="1"/>
        <v>16.874999999999989</v>
      </c>
      <c r="I16" s="75">
        <f>+H16/$L$2</f>
        <v>18.973465257476938</v>
      </c>
    </row>
    <row r="17" spans="1:11" x14ac:dyDescent="0.15">
      <c r="A17" s="71" t="s">
        <v>71</v>
      </c>
      <c r="B17" s="71">
        <v>1249.9999999999991</v>
      </c>
      <c r="C17" s="72">
        <v>3.875E-2</v>
      </c>
      <c r="D17" s="73">
        <v>43845</v>
      </c>
      <c r="E17" s="74">
        <f t="shared" si="2"/>
        <v>180</v>
      </c>
      <c r="F17" s="73" t="s">
        <v>18</v>
      </c>
      <c r="G17" s="72">
        <f t="shared" si="4"/>
        <v>1.9375E-2</v>
      </c>
      <c r="H17" s="75">
        <f t="shared" si="1"/>
        <v>24.218749999999982</v>
      </c>
      <c r="I17" s="75">
        <f t="shared" ref="I17:I22" si="5">+H17/$L$2</f>
        <v>27.230436249156718</v>
      </c>
    </row>
    <row r="18" spans="1:11" x14ac:dyDescent="0.15">
      <c r="A18" s="71" t="s">
        <v>72</v>
      </c>
      <c r="B18" s="71">
        <v>1249.9999999999991</v>
      </c>
      <c r="C18" s="72">
        <v>0.05</v>
      </c>
      <c r="D18" s="73">
        <v>43845</v>
      </c>
      <c r="E18" s="74">
        <f t="shared" si="2"/>
        <v>180</v>
      </c>
      <c r="F18" s="73" t="s">
        <v>18</v>
      </c>
      <c r="G18" s="72">
        <f t="shared" si="4"/>
        <v>2.5000000000000001E-2</v>
      </c>
      <c r="H18" s="75">
        <f t="shared" si="1"/>
        <v>31.249999999999979</v>
      </c>
      <c r="I18" s="75">
        <f t="shared" si="5"/>
        <v>35.136046773105441</v>
      </c>
    </row>
    <row r="19" spans="1:11" x14ac:dyDescent="0.15">
      <c r="A19" s="71" t="s">
        <v>73</v>
      </c>
      <c r="B19" s="71">
        <v>999.99999999999932</v>
      </c>
      <c r="C19" s="72">
        <v>5.2499999999999998E-2</v>
      </c>
      <c r="D19" s="73">
        <v>43845</v>
      </c>
      <c r="E19" s="74">
        <f t="shared" si="2"/>
        <v>180</v>
      </c>
      <c r="F19" s="73" t="s">
        <v>18</v>
      </c>
      <c r="G19" s="72">
        <f t="shared" si="4"/>
        <v>2.6249999999999999E-2</v>
      </c>
      <c r="H19" s="75">
        <f t="shared" si="1"/>
        <v>26.249999999999982</v>
      </c>
      <c r="I19" s="75">
        <f t="shared" si="5"/>
        <v>29.51427928940857</v>
      </c>
    </row>
    <row r="20" spans="1:11" x14ac:dyDescent="0.15">
      <c r="A20" s="71" t="s">
        <v>74</v>
      </c>
      <c r="B20" s="71">
        <v>749.99999999999943</v>
      </c>
      <c r="C20" s="72">
        <v>6.25E-2</v>
      </c>
      <c r="D20" s="73">
        <v>43778</v>
      </c>
      <c r="E20" s="74">
        <f t="shared" si="2"/>
        <v>246</v>
      </c>
      <c r="F20" s="73" t="s">
        <v>18</v>
      </c>
      <c r="G20" s="72">
        <f t="shared" si="4"/>
        <v>4.2708333333333334E-2</v>
      </c>
      <c r="H20" s="75">
        <f t="shared" si="1"/>
        <v>32.031249999999979</v>
      </c>
      <c r="I20" s="75">
        <f t="shared" si="5"/>
        <v>36.01444794243308</v>
      </c>
    </row>
    <row r="21" spans="1:11" x14ac:dyDescent="0.15">
      <c r="A21" s="71" t="s">
        <v>75</v>
      </c>
      <c r="B21" s="71">
        <v>400</v>
      </c>
      <c r="C21" s="72">
        <v>3.3750000000000002E-2</v>
      </c>
      <c r="D21" s="73">
        <v>43750</v>
      </c>
      <c r="E21" s="74">
        <f t="shared" si="2"/>
        <v>273</v>
      </c>
      <c r="F21" s="73" t="s">
        <v>18</v>
      </c>
      <c r="G21" s="72">
        <f t="shared" si="4"/>
        <v>2.5593750000000002E-2</v>
      </c>
      <c r="H21" s="75">
        <f t="shared" si="1"/>
        <v>10.237500000000001</v>
      </c>
      <c r="I21" s="75">
        <f>+H21/$L$3</f>
        <v>10.792220113851993</v>
      </c>
    </row>
    <row r="22" spans="1:11" x14ac:dyDescent="0.15">
      <c r="A22" s="71" t="s">
        <v>76</v>
      </c>
      <c r="B22" s="71">
        <v>5776.2840187699994</v>
      </c>
      <c r="C22" s="72">
        <v>7.8200000000000006E-2</v>
      </c>
      <c r="D22" s="73">
        <v>43830</v>
      </c>
      <c r="E22" s="74">
        <f t="shared" si="2"/>
        <v>195</v>
      </c>
      <c r="F22" s="73" t="s">
        <v>1</v>
      </c>
      <c r="G22" s="72">
        <f>+DAYS360(D22,$H$1)*(C22/2)/180</f>
        <v>4.2358333333333338E-2</v>
      </c>
      <c r="H22" s="75">
        <f t="shared" si="1"/>
        <v>244.67376389506592</v>
      </c>
      <c r="I22" s="75">
        <f t="shared" si="5"/>
        <v>275.09980199580156</v>
      </c>
    </row>
    <row r="23" spans="1:11" x14ac:dyDescent="0.15">
      <c r="A23" s="71" t="s">
        <v>77</v>
      </c>
      <c r="B23" s="71">
        <v>5565.2917364500008</v>
      </c>
      <c r="C23" s="72">
        <v>8.2799999999999999E-2</v>
      </c>
      <c r="D23" s="73">
        <v>43830</v>
      </c>
      <c r="E23" s="74">
        <f t="shared" si="2"/>
        <v>195</v>
      </c>
      <c r="F23" s="73" t="s">
        <v>1</v>
      </c>
      <c r="G23" s="72">
        <f>+DAYS360(D23,$H$1)*(C23/2)/180</f>
        <v>4.4850000000000001E-2</v>
      </c>
      <c r="H23" s="75">
        <f t="shared" si="1"/>
        <v>249.60333437978255</v>
      </c>
      <c r="I23" s="75">
        <f>+H23</f>
        <v>249.60333437978255</v>
      </c>
    </row>
    <row r="24" spans="1:11" x14ac:dyDescent="0.15">
      <c r="A24" s="71" t="s">
        <v>78</v>
      </c>
      <c r="B24" s="71">
        <v>6473.2230980000004</v>
      </c>
      <c r="C24" s="72">
        <v>3.3799999999999997E-2</v>
      </c>
      <c r="D24" s="73">
        <v>43921</v>
      </c>
      <c r="E24" s="74">
        <f t="shared" si="2"/>
        <v>105</v>
      </c>
      <c r="F24" s="73" t="s">
        <v>1</v>
      </c>
      <c r="G24" s="72">
        <f>+DAYS360(D24,$H$1)*(C24/2)/180</f>
        <v>9.8583333333333318E-3</v>
      </c>
      <c r="H24" s="75">
        <f t="shared" si="1"/>
        <v>63.815191041116663</v>
      </c>
      <c r="I24" s="75">
        <f>+H24/$L$2</f>
        <v>71.750833192170745</v>
      </c>
    </row>
    <row r="25" spans="1:11" x14ac:dyDescent="0.15">
      <c r="A25" s="76" t="s">
        <v>79</v>
      </c>
      <c r="B25" s="76">
        <v>5393.6283739999999</v>
      </c>
      <c r="C25" s="77">
        <v>3.7499999999999999E-2</v>
      </c>
      <c r="D25" s="78">
        <v>43921</v>
      </c>
      <c r="E25" s="79">
        <f t="shared" si="2"/>
        <v>105</v>
      </c>
      <c r="F25" s="78" t="s">
        <v>1</v>
      </c>
      <c r="G25" s="77">
        <f>+DAYS360(D25,$H$1)*(C25/2)/180</f>
        <v>1.0937499999999999E-2</v>
      </c>
      <c r="H25" s="80">
        <f t="shared" si="1"/>
        <v>58.992810340624992</v>
      </c>
      <c r="I25" s="80">
        <f>+H25</f>
        <v>58.992810340624992</v>
      </c>
    </row>
    <row r="26" spans="1:11" s="81" customFormat="1" ht="12" x14ac:dyDescent="0.25">
      <c r="B26" s="82"/>
      <c r="C26" s="83"/>
      <c r="D26" s="83"/>
      <c r="E26" s="83"/>
      <c r="H26" s="70" t="s">
        <v>45</v>
      </c>
      <c r="I26" s="298">
        <f>+SUM(I5:I25)</f>
        <v>2237.1727797004792</v>
      </c>
      <c r="J26" s="69"/>
      <c r="K26" s="6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A3D2-B6AB-4246-ABA9-19F2DB7BB3CF}">
  <sheetPr codeName="Hoja4">
    <tabColor rgb="FF26547F"/>
  </sheetPr>
  <dimension ref="A1:BZ80"/>
  <sheetViews>
    <sheetView showGridLines="0" zoomScaleNormal="100" workbookViewId="0"/>
  </sheetViews>
  <sheetFormatPr baseColWidth="10" defaultColWidth="11.42578125" defaultRowHeight="11.25" x14ac:dyDescent="0.25"/>
  <cols>
    <col min="1" max="1" width="25.7109375" style="2" customWidth="1"/>
    <col min="2" max="12" width="11.28515625" style="2" customWidth="1"/>
    <col min="13" max="13" width="4.7109375" style="2" customWidth="1"/>
    <col min="14" max="14" width="12" style="2" customWidth="1"/>
    <col min="15" max="55" width="10" style="4" customWidth="1"/>
    <col min="56" max="16384" width="11.42578125" style="2"/>
  </cols>
  <sheetData>
    <row r="1" spans="1:78" s="68" customFormat="1" ht="15" x14ac:dyDescent="0.25">
      <c r="A1" s="85" t="s">
        <v>184</v>
      </c>
      <c r="B1" s="85"/>
      <c r="I1" s="313"/>
      <c r="J1" s="330" t="s">
        <v>12</v>
      </c>
      <c r="K1" s="331">
        <v>12</v>
      </c>
      <c r="L1" s="332">
        <v>1</v>
      </c>
      <c r="M1" s="309"/>
      <c r="N1" s="309"/>
      <c r="O1" s="339" t="s">
        <v>215</v>
      </c>
      <c r="P1" s="340">
        <v>43999</v>
      </c>
      <c r="Q1" s="329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3"/>
      <c r="AL1" s="313"/>
      <c r="AM1" s="313"/>
      <c r="AN1" s="313"/>
      <c r="AO1" s="313"/>
      <c r="AP1" s="313"/>
      <c r="AQ1" s="313"/>
      <c r="AR1" s="313"/>
      <c r="AS1" s="313"/>
      <c r="AT1" s="313"/>
      <c r="AU1" s="313"/>
      <c r="AV1" s="313"/>
      <c r="AW1" s="313"/>
      <c r="AX1" s="313"/>
      <c r="AY1" s="313"/>
      <c r="AZ1" s="313"/>
      <c r="BA1" s="313"/>
      <c r="BB1" s="313"/>
      <c r="BC1" s="313"/>
    </row>
    <row r="2" spans="1:78" x14ac:dyDescent="0.25">
      <c r="A2" s="2" t="s">
        <v>13</v>
      </c>
      <c r="J2" s="333" t="s">
        <v>14</v>
      </c>
      <c r="K2" s="334">
        <v>4</v>
      </c>
      <c r="L2" s="335">
        <v>3</v>
      </c>
      <c r="O2" s="330" t="s">
        <v>15</v>
      </c>
      <c r="P2" s="341">
        <v>0.88939999999999997</v>
      </c>
    </row>
    <row r="3" spans="1:78" x14ac:dyDescent="0.25">
      <c r="A3" s="2" t="s">
        <v>16</v>
      </c>
      <c r="J3" s="333" t="s">
        <v>1</v>
      </c>
      <c r="K3" s="334">
        <v>2</v>
      </c>
      <c r="L3" s="335">
        <v>6</v>
      </c>
      <c r="O3" s="336" t="s">
        <v>17</v>
      </c>
      <c r="P3" s="342">
        <v>0.9486</v>
      </c>
    </row>
    <row r="4" spans="1:78" x14ac:dyDescent="0.25">
      <c r="J4" s="336" t="s">
        <v>18</v>
      </c>
      <c r="K4" s="337">
        <v>1</v>
      </c>
      <c r="L4" s="338">
        <v>12</v>
      </c>
    </row>
    <row r="5" spans="1:78" ht="15" customHeight="1" x14ac:dyDescent="0.25">
      <c r="A5" s="6" t="s">
        <v>19</v>
      </c>
      <c r="B5" s="399">
        <v>0.1</v>
      </c>
      <c r="O5" s="8"/>
      <c r="P5" s="9"/>
      <c r="Q5" s="9"/>
      <c r="R5" s="9"/>
      <c r="S5" s="8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8"/>
      <c r="BS5" s="8"/>
      <c r="BT5" s="8"/>
      <c r="BU5" s="8"/>
      <c r="BV5" s="8"/>
      <c r="BW5" s="8"/>
      <c r="BX5" s="8"/>
      <c r="BY5" s="8"/>
      <c r="BZ5" s="8"/>
    </row>
    <row r="6" spans="1:78" s="14" customFormat="1" ht="24.75" customHeight="1" x14ac:dyDescent="0.25">
      <c r="A6" s="10" t="s">
        <v>20</v>
      </c>
      <c r="B6" s="11" t="s">
        <v>135</v>
      </c>
      <c r="C6" s="12" t="s">
        <v>2</v>
      </c>
      <c r="D6" s="12" t="s">
        <v>7</v>
      </c>
      <c r="E6" s="12" t="s">
        <v>3</v>
      </c>
      <c r="F6" s="12" t="s">
        <v>8</v>
      </c>
      <c r="G6" s="12" t="s">
        <v>4</v>
      </c>
      <c r="H6" s="12" t="s">
        <v>9</v>
      </c>
      <c r="I6" s="12" t="s">
        <v>5</v>
      </c>
      <c r="J6" s="12" t="s">
        <v>10</v>
      </c>
      <c r="K6" s="12" t="s">
        <v>6</v>
      </c>
      <c r="L6" s="12" t="s">
        <v>11</v>
      </c>
      <c r="N6" s="2"/>
    </row>
    <row r="7" spans="1:78" x14ac:dyDescent="0.25">
      <c r="A7" s="15" t="s">
        <v>21</v>
      </c>
      <c r="B7" s="292">
        <v>44027</v>
      </c>
      <c r="C7" s="292">
        <v>44027</v>
      </c>
      <c r="D7" s="292">
        <v>44027</v>
      </c>
      <c r="E7" s="292">
        <v>44027</v>
      </c>
      <c r="F7" s="292">
        <v>44027</v>
      </c>
      <c r="G7" s="292">
        <v>44027</v>
      </c>
      <c r="H7" s="292">
        <v>44027</v>
      </c>
      <c r="I7" s="292">
        <v>44027</v>
      </c>
      <c r="J7" s="292">
        <v>44027</v>
      </c>
      <c r="K7" s="292">
        <v>44027</v>
      </c>
      <c r="L7" s="292">
        <v>44027</v>
      </c>
      <c r="M7" s="14"/>
    </row>
    <row r="8" spans="1:78" x14ac:dyDescent="0.25">
      <c r="A8" s="15" t="s">
        <v>22</v>
      </c>
      <c r="B8" s="292">
        <v>47618</v>
      </c>
      <c r="C8" s="292">
        <v>47802</v>
      </c>
      <c r="D8" s="292">
        <v>47802</v>
      </c>
      <c r="E8" s="292">
        <v>49628</v>
      </c>
      <c r="F8" s="292">
        <v>49628</v>
      </c>
      <c r="G8" s="292">
        <v>50724</v>
      </c>
      <c r="H8" s="292">
        <v>50724</v>
      </c>
      <c r="I8" s="292">
        <v>51820</v>
      </c>
      <c r="J8" s="292">
        <v>51820</v>
      </c>
      <c r="K8" s="292">
        <v>53646</v>
      </c>
      <c r="L8" s="292">
        <v>53646</v>
      </c>
      <c r="M8" s="14"/>
    </row>
    <row r="9" spans="1:78" x14ac:dyDescent="0.25">
      <c r="A9" s="15" t="s">
        <v>23</v>
      </c>
      <c r="B9" s="292" t="s">
        <v>24</v>
      </c>
      <c r="C9" s="292" t="s">
        <v>24</v>
      </c>
      <c r="D9" s="292" t="s">
        <v>15</v>
      </c>
      <c r="E9" s="292" t="s">
        <v>24</v>
      </c>
      <c r="F9" s="292" t="s">
        <v>15</v>
      </c>
      <c r="G9" s="292" t="s">
        <v>24</v>
      </c>
      <c r="H9" s="292" t="s">
        <v>15</v>
      </c>
      <c r="I9" s="292" t="s">
        <v>24</v>
      </c>
      <c r="J9" s="292" t="s">
        <v>15</v>
      </c>
      <c r="K9" s="292" t="s">
        <v>24</v>
      </c>
      <c r="L9" s="292" t="s">
        <v>15</v>
      </c>
      <c r="M9" s="14"/>
    </row>
    <row r="10" spans="1:78" x14ac:dyDescent="0.25">
      <c r="A10" s="15" t="s">
        <v>25</v>
      </c>
      <c r="B10" s="293">
        <f>+YEARFRAC(B7,B8)</f>
        <v>9.8333333333333339</v>
      </c>
      <c r="C10" s="293">
        <f>+YEARFRAC(C7,C8)</f>
        <v>10.333333333333334</v>
      </c>
      <c r="D10" s="293">
        <f t="shared" ref="D10:L10" si="0">+YEARFRAC(D7,D8)</f>
        <v>10.333333333333334</v>
      </c>
      <c r="E10" s="293">
        <f t="shared" si="0"/>
        <v>15.333333333333334</v>
      </c>
      <c r="F10" s="293">
        <f t="shared" si="0"/>
        <v>15.333333333333334</v>
      </c>
      <c r="G10" s="293">
        <f t="shared" si="0"/>
        <v>18.333333333333332</v>
      </c>
      <c r="H10" s="293">
        <f t="shared" si="0"/>
        <v>18.333333333333332</v>
      </c>
      <c r="I10" s="293">
        <f t="shared" si="0"/>
        <v>21.333333333333332</v>
      </c>
      <c r="J10" s="293">
        <f t="shared" si="0"/>
        <v>21.333333333333332</v>
      </c>
      <c r="K10" s="293">
        <f t="shared" si="0"/>
        <v>26.333333333333332</v>
      </c>
      <c r="L10" s="293">
        <f t="shared" si="0"/>
        <v>26.333333333333332</v>
      </c>
      <c r="M10" s="14"/>
    </row>
    <row r="11" spans="1:78" x14ac:dyDescent="0.25">
      <c r="A11" s="15" t="s">
        <v>26</v>
      </c>
      <c r="B11" s="293">
        <f>+YEARFRAC(B7,B12)</f>
        <v>0.33333333333333331</v>
      </c>
      <c r="C11" s="293">
        <f>+YEARFRAC(C7,C12)</f>
        <v>0.33333333333333331</v>
      </c>
      <c r="D11" s="293">
        <f t="shared" ref="D11:L11" si="1">+YEARFRAC(D7,D12)</f>
        <v>0.33333333333333331</v>
      </c>
      <c r="E11" s="293">
        <f t="shared" si="1"/>
        <v>0.33333333333333331</v>
      </c>
      <c r="F11" s="293">
        <f t="shared" si="1"/>
        <v>0.33333333333333331</v>
      </c>
      <c r="G11" s="293">
        <f t="shared" si="1"/>
        <v>0.33333333333333331</v>
      </c>
      <c r="H11" s="293">
        <f t="shared" si="1"/>
        <v>0.83333333333333337</v>
      </c>
      <c r="I11" s="293">
        <f t="shared" si="1"/>
        <v>0.33333333333333331</v>
      </c>
      <c r="J11" s="293">
        <f t="shared" si="1"/>
        <v>0.83333333333333337</v>
      </c>
      <c r="K11" s="293">
        <f t="shared" si="1"/>
        <v>0.33333333333333331</v>
      </c>
      <c r="L11" s="293">
        <f t="shared" si="1"/>
        <v>0.83333333333333337</v>
      </c>
      <c r="M11" s="14"/>
    </row>
    <row r="12" spans="1:78" x14ac:dyDescent="0.25">
      <c r="A12" s="15" t="s">
        <v>27</v>
      </c>
      <c r="B12" s="292">
        <v>44150</v>
      </c>
      <c r="C12" s="292">
        <v>44150</v>
      </c>
      <c r="D12" s="292">
        <v>44150</v>
      </c>
      <c r="E12" s="292">
        <v>44150</v>
      </c>
      <c r="F12" s="292">
        <v>44150</v>
      </c>
      <c r="G12" s="292">
        <v>44150</v>
      </c>
      <c r="H12" s="292">
        <v>44331</v>
      </c>
      <c r="I12" s="292">
        <v>44150</v>
      </c>
      <c r="J12" s="292">
        <v>44331</v>
      </c>
      <c r="K12" s="292">
        <v>44150</v>
      </c>
      <c r="L12" s="292">
        <v>44331</v>
      </c>
      <c r="M12" s="14"/>
    </row>
    <row r="13" spans="1:78" x14ac:dyDescent="0.25">
      <c r="A13" s="15" t="s">
        <v>28</v>
      </c>
      <c r="B13" s="292">
        <f>DATE(YEAR(B$12),MONTH(B$12)+VLOOKUP(B$15,$J$1:$L$4,3,0),DAY(B$12))</f>
        <v>44331</v>
      </c>
      <c r="C13" s="292">
        <f>DATE(YEAR(C$12),MONTH(C$12)+VLOOKUP(C$15,$J$1:$L$4,3,0),DAY(C$12))</f>
        <v>44331</v>
      </c>
      <c r="D13" s="292">
        <f t="shared" ref="D13:L13" si="2">DATE(YEAR(D$12),MONTH(D$12)+VLOOKUP(D$15,$J$1:$L$4,3,0),DAY(D$12))</f>
        <v>44331</v>
      </c>
      <c r="E13" s="292">
        <f t="shared" si="2"/>
        <v>44331</v>
      </c>
      <c r="F13" s="292">
        <f t="shared" si="2"/>
        <v>44331</v>
      </c>
      <c r="G13" s="292">
        <f t="shared" si="2"/>
        <v>44331</v>
      </c>
      <c r="H13" s="292">
        <f t="shared" si="2"/>
        <v>44515</v>
      </c>
      <c r="I13" s="292">
        <f t="shared" si="2"/>
        <v>44331</v>
      </c>
      <c r="J13" s="292">
        <f t="shared" si="2"/>
        <v>44515</v>
      </c>
      <c r="K13" s="292">
        <f t="shared" si="2"/>
        <v>44331</v>
      </c>
      <c r="L13" s="292">
        <f t="shared" si="2"/>
        <v>44515</v>
      </c>
      <c r="M13" s="14"/>
    </row>
    <row r="14" spans="1:78" x14ac:dyDescent="0.25">
      <c r="A14" s="15" t="s">
        <v>29</v>
      </c>
      <c r="B14" s="294" t="s">
        <v>30</v>
      </c>
      <c r="C14" s="294" t="s">
        <v>30</v>
      </c>
      <c r="D14" s="294" t="s">
        <v>30</v>
      </c>
      <c r="E14" s="294" t="s">
        <v>30</v>
      </c>
      <c r="F14" s="294" t="s">
        <v>30</v>
      </c>
      <c r="G14" s="294" t="s">
        <v>30</v>
      </c>
      <c r="H14" s="294" t="s">
        <v>30</v>
      </c>
      <c r="I14" s="294" t="s">
        <v>30</v>
      </c>
      <c r="J14" s="294" t="s">
        <v>30</v>
      </c>
      <c r="K14" s="294" t="s">
        <v>30</v>
      </c>
      <c r="L14" s="294" t="s">
        <v>30</v>
      </c>
      <c r="M14" s="14"/>
    </row>
    <row r="15" spans="1:78" x14ac:dyDescent="0.25">
      <c r="A15" s="15" t="s">
        <v>31</v>
      </c>
      <c r="B15" s="292" t="s">
        <v>1</v>
      </c>
      <c r="C15" s="292" t="s">
        <v>1</v>
      </c>
      <c r="D15" s="292" t="s">
        <v>1</v>
      </c>
      <c r="E15" s="292" t="s">
        <v>1</v>
      </c>
      <c r="F15" s="292" t="s">
        <v>1</v>
      </c>
      <c r="G15" s="292" t="s">
        <v>1</v>
      </c>
      <c r="H15" s="292" t="s">
        <v>1</v>
      </c>
      <c r="I15" s="292" t="s">
        <v>1</v>
      </c>
      <c r="J15" s="292" t="s">
        <v>1</v>
      </c>
      <c r="K15" s="292" t="s">
        <v>1</v>
      </c>
      <c r="L15" s="292" t="s">
        <v>1</v>
      </c>
      <c r="M15" s="14"/>
    </row>
    <row r="16" spans="1:78" x14ac:dyDescent="0.25">
      <c r="A16" s="15" t="s">
        <v>32</v>
      </c>
      <c r="B16" s="295">
        <v>8</v>
      </c>
      <c r="C16" s="295">
        <v>12</v>
      </c>
      <c r="D16" s="295">
        <v>12</v>
      </c>
      <c r="E16" s="295">
        <v>10</v>
      </c>
      <c r="F16" s="295">
        <v>10</v>
      </c>
      <c r="G16" s="295">
        <v>22</v>
      </c>
      <c r="H16" s="295">
        <v>22</v>
      </c>
      <c r="I16" s="295">
        <v>30</v>
      </c>
      <c r="J16" s="295">
        <v>30</v>
      </c>
      <c r="K16" s="295">
        <v>44</v>
      </c>
      <c r="L16" s="295">
        <v>44</v>
      </c>
      <c r="M16" s="14"/>
    </row>
    <row r="17" spans="1:78" x14ac:dyDescent="0.25">
      <c r="A17" s="15" t="s">
        <v>33</v>
      </c>
      <c r="B17" s="292">
        <v>46341</v>
      </c>
      <c r="C17" s="292">
        <v>45792</v>
      </c>
      <c r="D17" s="292">
        <v>45792</v>
      </c>
      <c r="E17" s="292">
        <v>47983</v>
      </c>
      <c r="F17" s="292">
        <v>47983</v>
      </c>
      <c r="G17" s="292">
        <v>46888</v>
      </c>
      <c r="H17" s="292">
        <v>46888</v>
      </c>
      <c r="I17" s="292">
        <v>46522</v>
      </c>
      <c r="J17" s="292">
        <v>46522</v>
      </c>
      <c r="K17" s="292">
        <v>45792</v>
      </c>
      <c r="L17" s="292">
        <v>45792</v>
      </c>
      <c r="M17" s="14"/>
    </row>
    <row r="18" spans="1:78" x14ac:dyDescent="0.25">
      <c r="A18" s="17" t="s">
        <v>34</v>
      </c>
      <c r="B18" s="350">
        <v>100</v>
      </c>
      <c r="C18" s="350">
        <v>97</v>
      </c>
      <c r="D18" s="350">
        <v>97</v>
      </c>
      <c r="E18" s="350">
        <v>97</v>
      </c>
      <c r="F18" s="350">
        <v>97</v>
      </c>
      <c r="G18" s="350">
        <v>100</v>
      </c>
      <c r="H18" s="350">
        <v>100</v>
      </c>
      <c r="I18" s="350">
        <v>100</v>
      </c>
      <c r="J18" s="350">
        <v>100</v>
      </c>
      <c r="K18" s="350">
        <v>97</v>
      </c>
      <c r="L18" s="350">
        <v>97</v>
      </c>
      <c r="M18" s="14"/>
    </row>
    <row r="19" spans="1:78" x14ac:dyDescent="0.25">
      <c r="A19" s="18" t="s">
        <v>35</v>
      </c>
      <c r="B19" s="351">
        <f t="shared" ref="B19:L19" si="3">+B$18*(IF(B$14="no",1,(1+B$14/VLOOKUP(B$15,$J$1:$K$4,2,0))^(VLOOKUP(B$15,$J$1:$K$4,2,0)*B$11)))</f>
        <v>100</v>
      </c>
      <c r="C19" s="351">
        <f t="shared" si="3"/>
        <v>97</v>
      </c>
      <c r="D19" s="351">
        <f t="shared" si="3"/>
        <v>97</v>
      </c>
      <c r="E19" s="351">
        <f t="shared" si="3"/>
        <v>97</v>
      </c>
      <c r="F19" s="351">
        <f t="shared" si="3"/>
        <v>97</v>
      </c>
      <c r="G19" s="351">
        <f t="shared" si="3"/>
        <v>100</v>
      </c>
      <c r="H19" s="351">
        <f t="shared" si="3"/>
        <v>100</v>
      </c>
      <c r="I19" s="351">
        <f t="shared" si="3"/>
        <v>100</v>
      </c>
      <c r="J19" s="351">
        <f t="shared" si="3"/>
        <v>100</v>
      </c>
      <c r="K19" s="351">
        <f t="shared" si="3"/>
        <v>97</v>
      </c>
      <c r="L19" s="351">
        <f t="shared" si="3"/>
        <v>97</v>
      </c>
      <c r="M19" s="14"/>
    </row>
    <row r="20" spans="1:78" s="4" customFormat="1" ht="21" customHeight="1" x14ac:dyDescent="0.25">
      <c r="A20" s="12" t="s">
        <v>36</v>
      </c>
      <c r="B20" s="19">
        <f>$R$80</f>
        <v>51.712344927138489</v>
      </c>
      <c r="C20" s="19">
        <f>$V$80</f>
        <v>50.722819506843678</v>
      </c>
      <c r="D20" s="19">
        <f>$Z$80</f>
        <v>48.316243525715642</v>
      </c>
      <c r="E20" s="19">
        <f>$AD$80</f>
        <v>49.768553146148072</v>
      </c>
      <c r="F20" s="19">
        <f>$AH$80</f>
        <v>45.739379736020204</v>
      </c>
      <c r="G20" s="19">
        <f>$AL$80</f>
        <v>54.28662978400245</v>
      </c>
      <c r="H20" s="19">
        <f>$AP$80</f>
        <v>50.201000750991881</v>
      </c>
      <c r="I20" s="19">
        <f>$AT$80</f>
        <v>50.170008069770674</v>
      </c>
      <c r="J20" s="19">
        <f>$AX$80</f>
        <v>46.733750745030164</v>
      </c>
      <c r="K20" s="19">
        <f>$BB$80</f>
        <v>48.926577370677784</v>
      </c>
      <c r="L20" s="19">
        <f>$BF$80</f>
        <v>44.954014766064958</v>
      </c>
      <c r="M20" s="14"/>
      <c r="N20" s="2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</row>
    <row r="21" spans="1:78" s="4" customFormat="1" ht="21" customHeight="1" x14ac:dyDescent="0.25">
      <c r="A21" s="12" t="s">
        <v>37</v>
      </c>
      <c r="B21" s="19">
        <f t="shared" ref="B21:L21" si="4">+B20/IF(B$9="USD",1,$P$2)</f>
        <v>51.712344927138489</v>
      </c>
      <c r="C21" s="19">
        <f t="shared" si="4"/>
        <v>50.722819506843678</v>
      </c>
      <c r="D21" s="19">
        <f t="shared" si="4"/>
        <v>54.324537357449564</v>
      </c>
      <c r="E21" s="19">
        <f t="shared" si="4"/>
        <v>49.768553146148072</v>
      </c>
      <c r="F21" s="19">
        <f t="shared" si="4"/>
        <v>51.427231544884421</v>
      </c>
      <c r="G21" s="19">
        <f t="shared" si="4"/>
        <v>54.28662978400245</v>
      </c>
      <c r="H21" s="19">
        <f t="shared" si="4"/>
        <v>56.443670734193709</v>
      </c>
      <c r="I21" s="19">
        <f t="shared" si="4"/>
        <v>50.170008069770674</v>
      </c>
      <c r="J21" s="19">
        <f t="shared" si="4"/>
        <v>52.545256065921031</v>
      </c>
      <c r="K21" s="19">
        <f t="shared" si="4"/>
        <v>48.926577370677784</v>
      </c>
      <c r="L21" s="19">
        <f t="shared" si="4"/>
        <v>50.544203694698631</v>
      </c>
      <c r="M21" s="14"/>
      <c r="N21" s="2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</row>
    <row r="22" spans="1:78" x14ac:dyDescent="0.25">
      <c r="A22" s="4"/>
      <c r="B22" s="4"/>
    </row>
    <row r="23" spans="1:78" x14ac:dyDescent="0.25">
      <c r="A23" s="21"/>
      <c r="B23" s="21"/>
      <c r="C23" s="21"/>
      <c r="D23" s="22"/>
      <c r="E23" s="22"/>
      <c r="F23" s="22"/>
      <c r="G23" s="22"/>
      <c r="H23" s="22"/>
      <c r="I23" s="22"/>
      <c r="J23" s="22"/>
      <c r="K23" s="22"/>
      <c r="L23" s="22"/>
      <c r="O23" s="471" t="str">
        <f>B6</f>
        <v>USDI 2030</v>
      </c>
      <c r="P23" s="466"/>
      <c r="Q23" s="466"/>
      <c r="R23" s="467"/>
      <c r="S23" s="471" t="str">
        <f>C6</f>
        <v>USD 2030</v>
      </c>
      <c r="T23" s="466"/>
      <c r="U23" s="466"/>
      <c r="V23" s="467"/>
      <c r="W23" s="466" t="str">
        <f>D6</f>
        <v>EUR 2030</v>
      </c>
      <c r="X23" s="466"/>
      <c r="Y23" s="466"/>
      <c r="Z23" s="467"/>
      <c r="AA23" s="466" t="str">
        <f>E6</f>
        <v>USD 2035</v>
      </c>
      <c r="AB23" s="466"/>
      <c r="AC23" s="466"/>
      <c r="AD23" s="467"/>
      <c r="AE23" s="466" t="str">
        <f>F6</f>
        <v>EUR 2035</v>
      </c>
      <c r="AF23" s="466"/>
      <c r="AG23" s="466"/>
      <c r="AH23" s="467"/>
      <c r="AI23" s="466" t="str">
        <f>G6</f>
        <v>USD 2038</v>
      </c>
      <c r="AJ23" s="466"/>
      <c r="AK23" s="466"/>
      <c r="AL23" s="467"/>
      <c r="AM23" s="466" t="str">
        <f>H6</f>
        <v>EUR 2038</v>
      </c>
      <c r="AN23" s="466"/>
      <c r="AO23" s="466"/>
      <c r="AP23" s="467"/>
      <c r="AQ23" s="466" t="str">
        <f>I6</f>
        <v>USD 2041</v>
      </c>
      <c r="AR23" s="466"/>
      <c r="AS23" s="466"/>
      <c r="AT23" s="467"/>
      <c r="AU23" s="466" t="str">
        <f>J6</f>
        <v>EUR 2041</v>
      </c>
      <c r="AV23" s="466"/>
      <c r="AW23" s="466"/>
      <c r="AX23" s="467"/>
      <c r="AY23" s="466" t="str">
        <f>K6</f>
        <v>USD 2046</v>
      </c>
      <c r="AZ23" s="466"/>
      <c r="BA23" s="466"/>
      <c r="BB23" s="467"/>
      <c r="BC23" s="466" t="str">
        <f>L6</f>
        <v>EUR 2046</v>
      </c>
      <c r="BD23" s="466"/>
      <c r="BE23" s="466"/>
      <c r="BF23" s="467"/>
      <c r="BG23" s="4"/>
    </row>
    <row r="24" spans="1:78" ht="22.5" x14ac:dyDescent="0.25">
      <c r="A24" s="228" t="s">
        <v>38</v>
      </c>
      <c r="B24" s="468" t="s">
        <v>39</v>
      </c>
      <c r="C24" s="469"/>
      <c r="D24" s="469"/>
      <c r="E24" s="469"/>
      <c r="F24" s="469"/>
      <c r="G24" s="469"/>
      <c r="H24" s="469"/>
      <c r="I24" s="469"/>
      <c r="J24" s="469"/>
      <c r="K24" s="469"/>
      <c r="L24" s="470"/>
      <c r="N24" s="24" t="s">
        <v>40</v>
      </c>
      <c r="O24" s="24" t="s">
        <v>41</v>
      </c>
      <c r="P24" s="25" t="s">
        <v>42</v>
      </c>
      <c r="Q24" s="25" t="s">
        <v>43</v>
      </c>
      <c r="R24" s="26" t="s">
        <v>44</v>
      </c>
      <c r="S24" s="24" t="s">
        <v>41</v>
      </c>
      <c r="T24" s="25" t="s">
        <v>42</v>
      </c>
      <c r="U24" s="25" t="s">
        <v>43</v>
      </c>
      <c r="V24" s="26" t="s">
        <v>44</v>
      </c>
      <c r="W24" s="24" t="s">
        <v>41</v>
      </c>
      <c r="X24" s="25" t="s">
        <v>42</v>
      </c>
      <c r="Y24" s="25" t="s">
        <v>43</v>
      </c>
      <c r="Z24" s="26" t="s">
        <v>44</v>
      </c>
      <c r="AA24" s="24" t="s">
        <v>41</v>
      </c>
      <c r="AB24" s="25" t="s">
        <v>42</v>
      </c>
      <c r="AC24" s="25" t="s">
        <v>43</v>
      </c>
      <c r="AD24" s="26" t="s">
        <v>44</v>
      </c>
      <c r="AE24" s="24" t="s">
        <v>41</v>
      </c>
      <c r="AF24" s="25" t="s">
        <v>42</v>
      </c>
      <c r="AG24" s="25" t="s">
        <v>43</v>
      </c>
      <c r="AH24" s="26" t="s">
        <v>44</v>
      </c>
      <c r="AI24" s="24" t="s">
        <v>41</v>
      </c>
      <c r="AJ24" s="25" t="s">
        <v>42</v>
      </c>
      <c r="AK24" s="25" t="s">
        <v>43</v>
      </c>
      <c r="AL24" s="26" t="s">
        <v>44</v>
      </c>
      <c r="AM24" s="24" t="s">
        <v>41</v>
      </c>
      <c r="AN24" s="25" t="s">
        <v>42</v>
      </c>
      <c r="AO24" s="25" t="s">
        <v>43</v>
      </c>
      <c r="AP24" s="26" t="s">
        <v>44</v>
      </c>
      <c r="AQ24" s="24" t="s">
        <v>41</v>
      </c>
      <c r="AR24" s="25" t="s">
        <v>42</v>
      </c>
      <c r="AS24" s="25" t="s">
        <v>43</v>
      </c>
      <c r="AT24" s="26" t="s">
        <v>44</v>
      </c>
      <c r="AU24" s="24" t="s">
        <v>41</v>
      </c>
      <c r="AV24" s="25" t="s">
        <v>42</v>
      </c>
      <c r="AW24" s="25" t="s">
        <v>43</v>
      </c>
      <c r="AX24" s="26" t="s">
        <v>44</v>
      </c>
      <c r="AY24" s="24" t="s">
        <v>41</v>
      </c>
      <c r="AZ24" s="25" t="s">
        <v>42</v>
      </c>
      <c r="BA24" s="25" t="s">
        <v>43</v>
      </c>
      <c r="BB24" s="26" t="s">
        <v>44</v>
      </c>
      <c r="BC24" s="24" t="s">
        <v>41</v>
      </c>
      <c r="BD24" s="25" t="s">
        <v>42</v>
      </c>
      <c r="BE24" s="25" t="s">
        <v>43</v>
      </c>
      <c r="BF24" s="26" t="s">
        <v>44</v>
      </c>
      <c r="BG24" s="4"/>
    </row>
    <row r="25" spans="1:78" x14ac:dyDescent="0.25">
      <c r="A25" s="27">
        <f>B7</f>
        <v>44027</v>
      </c>
      <c r="B25" s="229">
        <v>0</v>
      </c>
      <c r="C25" s="230">
        <v>0</v>
      </c>
      <c r="D25" s="230">
        <v>0</v>
      </c>
      <c r="E25" s="230">
        <v>0</v>
      </c>
      <c r="F25" s="230">
        <v>0</v>
      </c>
      <c r="G25" s="230">
        <v>0</v>
      </c>
      <c r="H25" s="230">
        <v>0</v>
      </c>
      <c r="I25" s="230">
        <v>0</v>
      </c>
      <c r="J25" s="230">
        <v>0</v>
      </c>
      <c r="K25" s="230">
        <v>0</v>
      </c>
      <c r="L25" s="231">
        <v>0</v>
      </c>
      <c r="N25" s="32">
        <f>A25</f>
        <v>44027</v>
      </c>
      <c r="O25" s="232"/>
      <c r="P25" s="42">
        <f>+IF($N25&gt;B$8,"FIN",IF($N25&lt;B$17,0,B$19/B$16))</f>
        <v>0</v>
      </c>
      <c r="Q25" s="36">
        <f>+SUM(O25:P25)</f>
        <v>0</v>
      </c>
      <c r="R25" s="34">
        <f t="shared" ref="R25:R45" si="5">Q25/(1+$B$5)^(YEARFRAC($N$25,$N25))</f>
        <v>0</v>
      </c>
      <c r="S25" s="45"/>
      <c r="T25" s="42">
        <f t="shared" ref="T25:T46" si="6">+IF($N25&gt;C$8,"FIN",IF($N25&lt;C$17,0,C$19/C$16))</f>
        <v>0</v>
      </c>
      <c r="U25" s="36">
        <f t="shared" ref="U25:U26" si="7">+SUM(S25:T25)</f>
        <v>0</v>
      </c>
      <c r="V25" s="34">
        <f t="shared" ref="V25:V46" si="8">U25/(1+$B$5)^(YEARFRAC($N$25,$N25))</f>
        <v>0</v>
      </c>
      <c r="W25" s="36"/>
      <c r="X25" s="42">
        <f t="shared" ref="X25:X40" si="9">+IF($N25&gt;D$8,"FIN",IF($N25&lt;D$17,0,D$19/D$16))</f>
        <v>0</v>
      </c>
      <c r="Y25" s="36"/>
      <c r="Z25" s="34"/>
      <c r="AA25" s="36"/>
      <c r="AB25" s="42">
        <f t="shared" ref="AB25:AB56" si="10">+IF($N25&gt;E$8,"FIN",IF($N25&lt;E$17,0,E$19/E$16))</f>
        <v>0</v>
      </c>
      <c r="AC25" s="36">
        <f t="shared" ref="AC25:AC56" si="11">+SUM(AA25:AB25)</f>
        <v>0</v>
      </c>
      <c r="AD25" s="34">
        <f t="shared" ref="AD25:AD56" si="12">AC25/(1+$B$5)^(YEARFRAC($N$25,$N25))</f>
        <v>0</v>
      </c>
      <c r="AE25" s="36"/>
      <c r="AF25" s="42">
        <f>+IF($N25&gt;F$8,"FIN",IF($N25&lt;F$17,0,F$19/F$16))</f>
        <v>0</v>
      </c>
      <c r="AG25" s="36"/>
      <c r="AH25" s="34"/>
      <c r="AI25" s="36"/>
      <c r="AJ25" s="42">
        <f>+IF($N25&gt;G$8,"FIN",IF($N25&lt;G$17,0,G$19/G$16))</f>
        <v>0</v>
      </c>
      <c r="AK25" s="36">
        <f t="shared" ref="AK25:AK62" si="13">+SUM(AI25:AJ25)</f>
        <v>0</v>
      </c>
      <c r="AL25" s="34">
        <f t="shared" ref="AL25:AL62" si="14">AK25/(1+$B$5)^(YEARFRAC($N$25,$N25))</f>
        <v>0</v>
      </c>
      <c r="AM25" s="36"/>
      <c r="AN25" s="42">
        <f>+IF($N25&gt;H$8,"FIN",IF($N25&lt;H$17,0,H$19/H$16))</f>
        <v>0</v>
      </c>
      <c r="AO25" s="36"/>
      <c r="AP25" s="34"/>
      <c r="AQ25" s="36"/>
      <c r="AR25" s="42">
        <f>+IF($N25&gt;I$8,"FIN",IF($N25&lt;I$17,0,I$19/I$16))</f>
        <v>0</v>
      </c>
      <c r="AS25" s="36">
        <f t="shared" ref="AS25:AS68" si="15">+SUM(AQ25:AR25)</f>
        <v>0</v>
      </c>
      <c r="AT25" s="34">
        <f t="shared" ref="AT25:AT68" si="16">AS25/(1+$B$5)^(YEARFRAC($N$25,$N25))</f>
        <v>0</v>
      </c>
      <c r="AU25" s="36"/>
      <c r="AV25" s="42">
        <f>+IF($N25&gt;J$8,"FIN",IF($N25&lt;J$17,0,J$19/J$16))</f>
        <v>0</v>
      </c>
      <c r="AW25" s="36"/>
      <c r="AX25" s="34"/>
      <c r="AY25" s="36"/>
      <c r="AZ25" s="42">
        <f t="shared" ref="AZ25:AZ78" si="17">+IF($N25&gt;K$8,"FIN",IF($N25&lt;K$17,0,K$19/K$16))</f>
        <v>0</v>
      </c>
      <c r="BA25" s="36">
        <f t="shared" ref="BA25:BA78" si="18">+SUM(AY25:AZ25)</f>
        <v>0</v>
      </c>
      <c r="BB25" s="34">
        <f t="shared" ref="BB25:BB78" si="19">BA25/(1+$B$5)^(YEARFRAC($N$25,$N25))</f>
        <v>0</v>
      </c>
      <c r="BC25" s="36"/>
      <c r="BD25" s="42">
        <f>+IF($N25&gt;L$8,"FIN",IF($N25&lt;L$17,0,L$19/L$16))</f>
        <v>0</v>
      </c>
      <c r="BE25" s="36"/>
      <c r="BF25" s="34"/>
      <c r="BG25" s="4"/>
    </row>
    <row r="26" spans="1:78" x14ac:dyDescent="0.25">
      <c r="A26" s="27">
        <v>44150</v>
      </c>
      <c r="B26" s="229">
        <v>0</v>
      </c>
      <c r="C26" s="230">
        <v>0</v>
      </c>
      <c r="D26" s="230">
        <v>0</v>
      </c>
      <c r="E26" s="230">
        <v>0</v>
      </c>
      <c r="F26" s="230">
        <v>0</v>
      </c>
      <c r="G26" s="230">
        <v>0</v>
      </c>
      <c r="H26" s="230">
        <v>0</v>
      </c>
      <c r="I26" s="230">
        <v>0</v>
      </c>
      <c r="J26" s="230">
        <v>0</v>
      </c>
      <c r="K26" s="230">
        <v>0</v>
      </c>
      <c r="L26" s="231">
        <v>0</v>
      </c>
      <c r="N26" s="32">
        <v>44150</v>
      </c>
      <c r="O26" s="35">
        <f>+IF($N26&gt;B$8,"FIN",(B$19-SUM(P$25:P25))*VLOOKUP($N26,$A:$M,2,0)/VLOOKUP(B$15,$J$1:$L$4,2,0))</f>
        <v>0</v>
      </c>
      <c r="P26" s="42">
        <f t="shared" ref="P26:P45" si="20">+IF($N26&gt;B$8,"FIN",IF($N26&lt;B$17,0,B$19/B$16))</f>
        <v>0</v>
      </c>
      <c r="Q26" s="33">
        <f t="shared" ref="Q26:Q45" si="21">+SUM(O26:P26)</f>
        <v>0</v>
      </c>
      <c r="R26" s="34">
        <f t="shared" si="5"/>
        <v>0</v>
      </c>
      <c r="S26" s="35">
        <f>+IF($N26&gt;C$8,"FIN",(C$19-SUM(T$25:T25))*VLOOKUP($N26,$A:$M,3,0)/VLOOKUP(C$15,$J$1:$L$4,2,0))</f>
        <v>0</v>
      </c>
      <c r="T26" s="42">
        <f t="shared" si="6"/>
        <v>0</v>
      </c>
      <c r="U26" s="33">
        <f t="shared" si="7"/>
        <v>0</v>
      </c>
      <c r="V26" s="34">
        <f t="shared" si="8"/>
        <v>0</v>
      </c>
      <c r="W26" s="35">
        <f>+IF($N26&gt;D$8,"FIN",(D$19-SUM(X$25:X25))*VLOOKUP($N26,$A:$M,4,0)/VLOOKUP(D$15,$J$1:$L$4,2,0))</f>
        <v>0</v>
      </c>
      <c r="X26" s="33">
        <f t="shared" si="9"/>
        <v>0</v>
      </c>
      <c r="Y26" s="33">
        <f t="shared" ref="Y26:Y46" si="22">+SUM(W26:X26)</f>
        <v>0</v>
      </c>
      <c r="Z26" s="34">
        <f>Y26/(1+$B$5)^(YEARFRAC($N$25,$N26))</f>
        <v>0</v>
      </c>
      <c r="AA26" s="35">
        <f>+IF($N26&gt;E$8,"FIN",(E$19-SUM(AB$25:AB25))*VLOOKUP($N26,$A:$M,5,0)/VLOOKUP(E$15,$J$1:$L$4,2,0))</f>
        <v>0</v>
      </c>
      <c r="AB26" s="42">
        <f t="shared" si="10"/>
        <v>0</v>
      </c>
      <c r="AC26" s="36">
        <f t="shared" si="11"/>
        <v>0</v>
      </c>
      <c r="AD26" s="34">
        <f t="shared" si="12"/>
        <v>0</v>
      </c>
      <c r="AE26" s="35">
        <f>+IF($N26&gt;F$8,"FIN",(F$19-SUM(AF$25:AF25))*VLOOKUP($N26,$A:$M,6,0)/VLOOKUP(F$15,$J$1:$L$4,2,0))</f>
        <v>0</v>
      </c>
      <c r="AF26" s="33">
        <f t="shared" ref="AF26:AF56" si="23">+IF($N26&gt;F$8,"FIN",IF($N26&lt;F$17,0,F$19/F$16))</f>
        <v>0</v>
      </c>
      <c r="AG26" s="36">
        <f t="shared" ref="AG26:AG56" si="24">+SUM(AE26:AF26)</f>
        <v>0</v>
      </c>
      <c r="AH26" s="34">
        <f>AG26/(1+$B$5)^(YEARFRAC($N$25,$N26))</f>
        <v>0</v>
      </c>
      <c r="AI26" s="35">
        <f>+IF($N26&gt;G$8,"FIN",(G$19-SUM(AJ$25:AJ25))*VLOOKUP($N26,$A:$M,7,0)/VLOOKUP(G$15,$J$1:$L$4,2,0))</f>
        <v>0</v>
      </c>
      <c r="AJ26" s="36">
        <f t="shared" ref="AJ26:AJ62" si="25">+IF($N26&gt;G$8,"FIN",IF($N26&lt;G$17,0,G$19/G$16))</f>
        <v>0</v>
      </c>
      <c r="AK26" s="36">
        <f t="shared" si="13"/>
        <v>0</v>
      </c>
      <c r="AL26" s="34">
        <f t="shared" si="14"/>
        <v>0</v>
      </c>
      <c r="AM26" s="35">
        <f>+IF($N26&gt;H$8,"FIN",(H$19-SUM(AN$25:AN25))*VLOOKUP($N26,$A:$M,8,0)/VLOOKUP(H$15,$J$1:$L$4,2,0))</f>
        <v>0</v>
      </c>
      <c r="AN26" s="36">
        <f t="shared" ref="AN26:AN62" si="26">+IF($N26&gt;H$8,"FIN",IF($N26&lt;H$17,0,H$19/H$16))</f>
        <v>0</v>
      </c>
      <c r="AO26" s="36">
        <f t="shared" ref="AO26:AO62" si="27">+SUM(AM26:AN26)</f>
        <v>0</v>
      </c>
      <c r="AP26" s="34">
        <f>AO26/(1+$B$5)^(YEARFRAC($N$25,$N26))</f>
        <v>0</v>
      </c>
      <c r="AQ26" s="35">
        <f>+IF($N26&gt;I$8,"FIN",(I$19-SUM(AR$25:AR25))*VLOOKUP($N26,$A:$M,9,0)/VLOOKUP(I$15,$J$1:$L$4,2,0))</f>
        <v>0</v>
      </c>
      <c r="AR26" s="33">
        <f t="shared" ref="AR26:AR68" si="28">+IF($N26&gt;I$8,"FIN",IF($N26&lt;I$17,0,I$19/I$16))</f>
        <v>0</v>
      </c>
      <c r="AS26" s="36">
        <f t="shared" si="15"/>
        <v>0</v>
      </c>
      <c r="AT26" s="34">
        <f t="shared" si="16"/>
        <v>0</v>
      </c>
      <c r="AU26" s="35">
        <f>+IF($N26&gt;J$8,"FIN",(J$19-SUM(AV$25:AV25))*VLOOKUP($N26,$A:$M,10,0)/VLOOKUP(J$15,$J$1:$L$4,2,0))</f>
        <v>0</v>
      </c>
      <c r="AV26" s="36">
        <f t="shared" ref="AV26:AV68" si="29">+IF($N26&gt;J$8,"FIN",IF($N26&lt;J$17,0,J$19/J$16))</f>
        <v>0</v>
      </c>
      <c r="AW26" s="36">
        <f t="shared" ref="AW26:AW68" si="30">+SUM(AU26:AV26)</f>
        <v>0</v>
      </c>
      <c r="AX26" s="34">
        <f>AW26/(1+$B$5)^(YEARFRAC($N$25,$N26))</f>
        <v>0</v>
      </c>
      <c r="AY26" s="35">
        <f>+IF($N26&gt;K$8,"FIN",(K$19-SUM(AZ$25:AZ25))*VLOOKUP($N26,$A:$M,11,0)/VLOOKUP(K$15,$J$1:$L$4,2,0))</f>
        <v>0</v>
      </c>
      <c r="AZ26" s="42">
        <f t="shared" si="17"/>
        <v>0</v>
      </c>
      <c r="BA26" s="36">
        <f t="shared" si="18"/>
        <v>0</v>
      </c>
      <c r="BB26" s="34">
        <f t="shared" si="19"/>
        <v>0</v>
      </c>
      <c r="BC26" s="35">
        <f>+IF($N26&gt;L$8,"FIN",(L$19-SUM(BD$25:BD25))*VLOOKUP($N26,$A:$M,12,0)/VLOOKUP(L$15,$J$1:$L$4,2,0))</f>
        <v>0</v>
      </c>
      <c r="BD26" s="36">
        <f t="shared" ref="BD26:BD78" si="31">+IF($N26&gt;L$8,"FIN",IF($N26&lt;L$17,0,L$19/L$16))</f>
        <v>0</v>
      </c>
      <c r="BE26" s="36">
        <f t="shared" ref="BE26:BE78" si="32">+SUM(BC26:BD26)</f>
        <v>0</v>
      </c>
      <c r="BF26" s="34">
        <f>BE26/(1+$B$5)^(YEARFRAC($N$25,$N26))</f>
        <v>0</v>
      </c>
      <c r="BG26" s="4"/>
    </row>
    <row r="27" spans="1:78" x14ac:dyDescent="0.25">
      <c r="A27" s="27">
        <f t="shared" ref="A27:A78" si="33">DATE(YEAR(A26),MONTH(A26)+VLOOKUP($C$15,$J$1:$L$4,3,0),DAY(A26))</f>
        <v>44331</v>
      </c>
      <c r="B27" s="229">
        <v>0.01</v>
      </c>
      <c r="C27" s="233">
        <v>1.25E-3</v>
      </c>
      <c r="D27" s="230">
        <v>1.25E-3</v>
      </c>
      <c r="E27" s="233">
        <v>1.25E-3</v>
      </c>
      <c r="F27" s="230">
        <v>1.25E-3</v>
      </c>
      <c r="G27" s="230">
        <v>1.25E-3</v>
      </c>
      <c r="H27" s="230">
        <v>1.25E-3</v>
      </c>
      <c r="I27" s="230">
        <v>1.25E-3</v>
      </c>
      <c r="J27" s="230">
        <v>1.25E-3</v>
      </c>
      <c r="K27" s="230">
        <v>1.25E-3</v>
      </c>
      <c r="L27" s="231">
        <v>1.25E-3</v>
      </c>
      <c r="N27" s="32">
        <f t="shared" ref="N27:N79" si="34">+DATE(YEAR(N26),MONTH(N26)+VLOOKUP(C$15,$J$1:$L$4,3,0),DAY(N26))</f>
        <v>44331</v>
      </c>
      <c r="O27" s="35">
        <f>+IF($N27&gt;B$8,"FIN",(B$19-SUM(P$25:P26))*VLOOKUP($N27,$A:$M,2,0)/VLOOKUP(B$15,$J$1:$L$4,2,0))</f>
        <v>0.5</v>
      </c>
      <c r="P27" s="42">
        <f t="shared" si="20"/>
        <v>0</v>
      </c>
      <c r="Q27" s="33">
        <f t="shared" si="21"/>
        <v>0.5</v>
      </c>
      <c r="R27" s="34">
        <f t="shared" si="5"/>
        <v>0.46182357626063059</v>
      </c>
      <c r="S27" s="35">
        <f>+IF($N27&gt;C$8,"FIN",(C$19-SUM(T$25:T26))*VLOOKUP($N27,$A:$M,3,0)/VLOOKUP(C$15,$J$1:$L$4,2,0))</f>
        <v>6.0624999999999998E-2</v>
      </c>
      <c r="T27" s="42">
        <f t="shared" si="6"/>
        <v>0</v>
      </c>
      <c r="U27" s="33">
        <f>+SUM(S27:T27)</f>
        <v>6.0624999999999998E-2</v>
      </c>
      <c r="V27" s="34">
        <f t="shared" si="8"/>
        <v>5.5996108621601461E-2</v>
      </c>
      <c r="W27" s="35">
        <f>+IF($N27&gt;D$8,"FIN",(D$19-SUM(X$25:X26))*VLOOKUP($N27,$A:$M,4,0)/VLOOKUP(D$15,$J$1:$L$4,2,0))</f>
        <v>6.0624999999999998E-2</v>
      </c>
      <c r="X27" s="33">
        <f t="shared" si="9"/>
        <v>0</v>
      </c>
      <c r="Y27" s="33">
        <f t="shared" si="22"/>
        <v>6.0624999999999998E-2</v>
      </c>
      <c r="Z27" s="34">
        <f t="shared" ref="Z27:Z46" si="35">Y27/(1+$B$5)^(YEARFRAC($N$25,$N27))</f>
        <v>5.5996108621601461E-2</v>
      </c>
      <c r="AA27" s="35">
        <f>+IF($N27&gt;E$8,"FIN",(E$19-SUM(AB$25:AB26))*VLOOKUP($N27,$A:$M,5,0)/VLOOKUP(E$15,$J$1:$L$4,2,0))</f>
        <v>6.0624999999999998E-2</v>
      </c>
      <c r="AB27" s="42">
        <f t="shared" si="10"/>
        <v>0</v>
      </c>
      <c r="AC27" s="36">
        <f t="shared" si="11"/>
        <v>6.0624999999999998E-2</v>
      </c>
      <c r="AD27" s="34">
        <f t="shared" si="12"/>
        <v>5.5996108621601461E-2</v>
      </c>
      <c r="AE27" s="35">
        <f>+IF($N27&gt;F$8,"FIN",(F$19-SUM(AF$25:AF26))*VLOOKUP($N27,$A:$M,6,0)/VLOOKUP(F$15,$J$1:$L$4,2,0))</f>
        <v>6.0624999999999998E-2</v>
      </c>
      <c r="AF27" s="33">
        <f t="shared" si="23"/>
        <v>0</v>
      </c>
      <c r="AG27" s="36">
        <f t="shared" si="24"/>
        <v>6.0624999999999998E-2</v>
      </c>
      <c r="AH27" s="34">
        <f t="shared" ref="AH27:AH56" si="36">AG27/(1+$B$5)^(YEARFRAC($N$25,$N27))</f>
        <v>5.5996108621601461E-2</v>
      </c>
      <c r="AI27" s="35">
        <f>+IF($N27&gt;G$8,"FIN",(G$19-SUM(AJ$25:AJ26))*VLOOKUP($N27,$A:$M,7,0)/VLOOKUP(G$15,$J$1:$L$4,2,0))</f>
        <v>6.25E-2</v>
      </c>
      <c r="AJ27" s="36">
        <f t="shared" si="25"/>
        <v>0</v>
      </c>
      <c r="AK27" s="36">
        <f t="shared" si="13"/>
        <v>6.25E-2</v>
      </c>
      <c r="AL27" s="34">
        <f t="shared" si="14"/>
        <v>5.7727947032578823E-2</v>
      </c>
      <c r="AM27" s="35">
        <f>+IF($N27&gt;H$8,"FIN",(H$19-SUM(AN$25:AN26))*VLOOKUP($N27,$A:$M,8,0)/VLOOKUP(H$15,$J$1:$L$4,2,0))</f>
        <v>6.25E-2</v>
      </c>
      <c r="AN27" s="33">
        <f t="shared" si="26"/>
        <v>0</v>
      </c>
      <c r="AO27" s="36">
        <f t="shared" si="27"/>
        <v>6.25E-2</v>
      </c>
      <c r="AP27" s="34">
        <f t="shared" ref="AP27:AP62" si="37">AO27/(1+$B$5)^(YEARFRAC($N$25,$N27))</f>
        <v>5.7727947032578823E-2</v>
      </c>
      <c r="AQ27" s="35">
        <f>+IF($N27&gt;I$8,"FIN",(I$19-SUM(AR$25:AR26))*VLOOKUP($N27,$A:$M,9,0)/VLOOKUP(I$15,$J$1:$L$4,2,0))</f>
        <v>6.25E-2</v>
      </c>
      <c r="AR27" s="33">
        <f t="shared" si="28"/>
        <v>0</v>
      </c>
      <c r="AS27" s="36">
        <f t="shared" si="15"/>
        <v>6.25E-2</v>
      </c>
      <c r="AT27" s="34">
        <f t="shared" si="16"/>
        <v>5.7727947032578823E-2</v>
      </c>
      <c r="AU27" s="35">
        <f>+IF($N27&gt;J$8,"FIN",(J$19-SUM(AV$25:AV26))*VLOOKUP($N27,$A:$M,10,0)/VLOOKUP(J$15,$J$1:$L$4,2,0))</f>
        <v>6.25E-2</v>
      </c>
      <c r="AV27" s="33">
        <f t="shared" si="29"/>
        <v>0</v>
      </c>
      <c r="AW27" s="36">
        <f t="shared" si="30"/>
        <v>6.25E-2</v>
      </c>
      <c r="AX27" s="34">
        <f t="shared" ref="AX27:AX68" si="38">AW27/(1+$B$5)^(YEARFRAC($N$25,$N27))</f>
        <v>5.7727947032578823E-2</v>
      </c>
      <c r="AY27" s="35">
        <f>+IF($N27&gt;K$8,"FIN",(K$19-SUM(AZ$25:AZ26))*VLOOKUP($N27,$A:$M,11,0)/VLOOKUP(K$15,$J$1:$L$4,2,0))</f>
        <v>6.0624999999999998E-2</v>
      </c>
      <c r="AZ27" s="42">
        <f t="shared" si="17"/>
        <v>0</v>
      </c>
      <c r="BA27" s="36">
        <f t="shared" si="18"/>
        <v>6.0624999999999998E-2</v>
      </c>
      <c r="BB27" s="34">
        <f t="shared" si="19"/>
        <v>5.5996108621601461E-2</v>
      </c>
      <c r="BC27" s="35">
        <f>+IF($N27&gt;L$8,"FIN",(L$19-SUM(BD$25:BD26))*VLOOKUP($N27,$A:$M,12,0)/VLOOKUP(L$15,$J$1:$L$4,2,0))</f>
        <v>6.0624999999999998E-2</v>
      </c>
      <c r="BD27" s="33">
        <f t="shared" si="31"/>
        <v>0</v>
      </c>
      <c r="BE27" s="36">
        <f t="shared" si="32"/>
        <v>6.0624999999999998E-2</v>
      </c>
      <c r="BF27" s="34">
        <f t="shared" ref="BF27:BF78" si="39">BE27/(1+$B$5)^(YEARFRAC($N$25,$N27))</f>
        <v>5.5996108621601461E-2</v>
      </c>
      <c r="BG27" s="4"/>
    </row>
    <row r="28" spans="1:78" x14ac:dyDescent="0.25">
      <c r="A28" s="27">
        <f t="shared" si="33"/>
        <v>44515</v>
      </c>
      <c r="B28" s="229">
        <v>0.01</v>
      </c>
      <c r="C28" s="233">
        <v>1.25E-3</v>
      </c>
      <c r="D28" s="230">
        <v>1.25E-3</v>
      </c>
      <c r="E28" s="233">
        <v>1.25E-3</v>
      </c>
      <c r="F28" s="230">
        <v>1.25E-3</v>
      </c>
      <c r="G28" s="230">
        <v>1.25E-3</v>
      </c>
      <c r="H28" s="230">
        <v>1.25E-3</v>
      </c>
      <c r="I28" s="230">
        <v>1.25E-3</v>
      </c>
      <c r="J28" s="230">
        <v>1.25E-3</v>
      </c>
      <c r="K28" s="230">
        <v>1.25E-3</v>
      </c>
      <c r="L28" s="231">
        <v>1.25E-3</v>
      </c>
      <c r="M28" s="44"/>
      <c r="N28" s="32">
        <f t="shared" si="34"/>
        <v>44515</v>
      </c>
      <c r="O28" s="35">
        <f>+IF($N28&gt;B$8,"FIN",(B$19-SUM(P$25:P27))*VLOOKUP($N28,$A:$M,2,0)/VLOOKUP(B$15,$J$1:$L$4,2,0))</f>
        <v>0.5</v>
      </c>
      <c r="P28" s="33">
        <f t="shared" si="20"/>
        <v>0</v>
      </c>
      <c r="Q28" s="33">
        <f t="shared" si="21"/>
        <v>0.5</v>
      </c>
      <c r="R28" s="34">
        <f t="shared" si="5"/>
        <v>0.4403315027961201</v>
      </c>
      <c r="S28" s="35">
        <f>+IF($N28&gt;C$8,"FIN",(C$19-SUM(T$25:T27))*VLOOKUP($N28,$A:$M,3,0)/VLOOKUP(C$15,$J$1:$L$4,2,0))</f>
        <v>6.0624999999999998E-2</v>
      </c>
      <c r="T28" s="33">
        <f t="shared" si="6"/>
        <v>0</v>
      </c>
      <c r="U28" s="33">
        <f t="shared" ref="U28:U46" si="40">+SUM(S28:T28)</f>
        <v>6.0624999999999998E-2</v>
      </c>
      <c r="V28" s="34">
        <f t="shared" si="8"/>
        <v>5.339019471402956E-2</v>
      </c>
      <c r="W28" s="35">
        <f>+IF($N28&gt;D$8,"FIN",(D$19-SUM(X$25:X27))*VLOOKUP($N28,$A:$M,4,0)/VLOOKUP(D$15,$J$1:$L$4,2,0))</f>
        <v>6.0624999999999998E-2</v>
      </c>
      <c r="X28" s="33">
        <f t="shared" si="9"/>
        <v>0</v>
      </c>
      <c r="Y28" s="33">
        <f t="shared" si="22"/>
        <v>6.0624999999999998E-2</v>
      </c>
      <c r="Z28" s="34">
        <f t="shared" si="35"/>
        <v>5.339019471402956E-2</v>
      </c>
      <c r="AA28" s="35">
        <f>+IF($N28&gt;E$8,"FIN",(E$19-SUM(AB$25:AB27))*VLOOKUP($N28,$A:$M,5,0)/VLOOKUP(E$15,$J$1:$L$4,2,0))</f>
        <v>6.0624999999999998E-2</v>
      </c>
      <c r="AB28" s="33">
        <f t="shared" si="10"/>
        <v>0</v>
      </c>
      <c r="AC28" s="36">
        <f t="shared" si="11"/>
        <v>6.0624999999999998E-2</v>
      </c>
      <c r="AD28" s="34">
        <f t="shared" si="12"/>
        <v>5.339019471402956E-2</v>
      </c>
      <c r="AE28" s="35">
        <f>+IF($N28&gt;F$8,"FIN",(F$19-SUM(AF$25:AF27))*VLOOKUP($N28,$A:$M,6,0)/VLOOKUP(F$15,$J$1:$L$4,2,0))</f>
        <v>6.0624999999999998E-2</v>
      </c>
      <c r="AF28" s="33">
        <f t="shared" si="23"/>
        <v>0</v>
      </c>
      <c r="AG28" s="36">
        <f t="shared" si="24"/>
        <v>6.0624999999999998E-2</v>
      </c>
      <c r="AH28" s="34">
        <f t="shared" si="36"/>
        <v>5.339019471402956E-2</v>
      </c>
      <c r="AI28" s="35">
        <f>+IF($N28&gt;G$8,"FIN",(G$19-SUM(AJ$25:AJ27))*VLOOKUP($N28,$A:$M,7,0)/VLOOKUP(G$15,$J$1:$L$4,2,0))</f>
        <v>6.25E-2</v>
      </c>
      <c r="AJ28" s="36">
        <f t="shared" si="25"/>
        <v>0</v>
      </c>
      <c r="AK28" s="36">
        <f t="shared" si="13"/>
        <v>6.25E-2</v>
      </c>
      <c r="AL28" s="34">
        <f t="shared" si="14"/>
        <v>5.5041437849515013E-2</v>
      </c>
      <c r="AM28" s="35">
        <f>+IF($N28&gt;H$8,"FIN",(H$19-SUM(AN$25:AN27))*VLOOKUP($N28,$A:$M,8,0)/VLOOKUP(H$15,$J$1:$L$4,2,0))</f>
        <v>6.25E-2</v>
      </c>
      <c r="AN28" s="33">
        <f t="shared" si="26"/>
        <v>0</v>
      </c>
      <c r="AO28" s="36">
        <f t="shared" si="27"/>
        <v>6.25E-2</v>
      </c>
      <c r="AP28" s="34">
        <f t="shared" si="37"/>
        <v>5.5041437849515013E-2</v>
      </c>
      <c r="AQ28" s="35">
        <f>+IF($N28&gt;I$8,"FIN",(I$19-SUM(AR$25:AR27))*VLOOKUP($N28,$A:$M,9,0)/VLOOKUP(I$15,$J$1:$L$4,2,0))</f>
        <v>6.25E-2</v>
      </c>
      <c r="AR28" s="33">
        <f t="shared" si="28"/>
        <v>0</v>
      </c>
      <c r="AS28" s="36">
        <f t="shared" si="15"/>
        <v>6.25E-2</v>
      </c>
      <c r="AT28" s="34">
        <f t="shared" si="16"/>
        <v>5.5041437849515013E-2</v>
      </c>
      <c r="AU28" s="35">
        <f>+IF($N28&gt;J$8,"FIN",(J$19-SUM(AV$25:AV27))*VLOOKUP($N28,$A:$M,10,0)/VLOOKUP(J$15,$J$1:$L$4,2,0))</f>
        <v>6.25E-2</v>
      </c>
      <c r="AV28" s="33">
        <f t="shared" si="29"/>
        <v>0</v>
      </c>
      <c r="AW28" s="36">
        <f t="shared" si="30"/>
        <v>6.25E-2</v>
      </c>
      <c r="AX28" s="34">
        <f t="shared" si="38"/>
        <v>5.5041437849515013E-2</v>
      </c>
      <c r="AY28" s="35">
        <f>+IF($N28&gt;K$8,"FIN",(K$19-SUM(AZ$25:AZ27))*VLOOKUP($N28,$A:$M,11,0)/VLOOKUP(K$15,$J$1:$L$4,2,0))</f>
        <v>6.0624999999999998E-2</v>
      </c>
      <c r="AZ28" s="33">
        <f t="shared" si="17"/>
        <v>0</v>
      </c>
      <c r="BA28" s="36">
        <f t="shared" si="18"/>
        <v>6.0624999999999998E-2</v>
      </c>
      <c r="BB28" s="34">
        <f t="shared" si="19"/>
        <v>5.339019471402956E-2</v>
      </c>
      <c r="BC28" s="35">
        <f>+IF($N28&gt;L$8,"FIN",(L$19-SUM(BD$25:BD27))*VLOOKUP($N28,$A:$M,12,0)/VLOOKUP(L$15,$J$1:$L$4,2,0))</f>
        <v>6.0624999999999998E-2</v>
      </c>
      <c r="BD28" s="36">
        <f t="shared" si="31"/>
        <v>0</v>
      </c>
      <c r="BE28" s="36">
        <f t="shared" si="32"/>
        <v>6.0624999999999998E-2</v>
      </c>
      <c r="BF28" s="34">
        <f t="shared" si="39"/>
        <v>5.339019471402956E-2</v>
      </c>
      <c r="BG28" s="4"/>
    </row>
    <row r="29" spans="1:78" x14ac:dyDescent="0.25">
      <c r="A29" s="27">
        <f t="shared" si="33"/>
        <v>44696</v>
      </c>
      <c r="B29" s="233">
        <v>0.01</v>
      </c>
      <c r="C29" s="233">
        <v>5.0000000000000001E-3</v>
      </c>
      <c r="D29" s="230">
        <v>1.25E-3</v>
      </c>
      <c r="E29" s="234">
        <v>1.125E-2</v>
      </c>
      <c r="F29" s="233">
        <v>7.4999999999999997E-3</v>
      </c>
      <c r="G29" s="233">
        <v>1.6250000000000001E-2</v>
      </c>
      <c r="H29" s="233">
        <v>8.7500000000000008E-3</v>
      </c>
      <c r="I29" s="233">
        <v>1.6250000000000001E-2</v>
      </c>
      <c r="J29" s="233">
        <v>8.7500000000000008E-3</v>
      </c>
      <c r="K29" s="233">
        <v>1.125E-2</v>
      </c>
      <c r="L29" s="233">
        <v>7.4999999999999997E-3</v>
      </c>
      <c r="M29" s="235"/>
      <c r="N29" s="32">
        <f t="shared" si="34"/>
        <v>44696</v>
      </c>
      <c r="O29" s="35">
        <f>+IF($N29&gt;B$8,"FIN",(B$19-SUM(P$25:P28))*VLOOKUP($N29,$A:$M,2,0)/VLOOKUP(B$15,$J$1:$L$4,2,0))</f>
        <v>0.5</v>
      </c>
      <c r="P29" s="36">
        <f t="shared" si="20"/>
        <v>0</v>
      </c>
      <c r="Q29" s="36">
        <f t="shared" si="21"/>
        <v>0.5</v>
      </c>
      <c r="R29" s="34">
        <f t="shared" si="5"/>
        <v>0.4198396147823914</v>
      </c>
      <c r="S29" s="35">
        <f>+IF($N29&gt;C$8,"FIN",(C$19-SUM(T$25:T28))*VLOOKUP($N29,$A:$M,3,0)/VLOOKUP(C$15,$J$1:$L$4,2,0))</f>
        <v>0.24249999999999999</v>
      </c>
      <c r="T29" s="36">
        <f t="shared" si="6"/>
        <v>0</v>
      </c>
      <c r="U29" s="36">
        <f t="shared" si="40"/>
        <v>0.24249999999999999</v>
      </c>
      <c r="V29" s="34">
        <f t="shared" si="8"/>
        <v>0.20362221316945983</v>
      </c>
      <c r="W29" s="35">
        <f>+IF($N29&gt;D$8,"FIN",(D$19-SUM(X$25:X28))*VLOOKUP($N29,$A:$M,4,0)/VLOOKUP(D$15,$J$1:$L$4,2,0))</f>
        <v>6.0624999999999998E-2</v>
      </c>
      <c r="X29" s="33">
        <f t="shared" si="9"/>
        <v>0</v>
      </c>
      <c r="Y29" s="33">
        <f t="shared" si="22"/>
        <v>6.0624999999999998E-2</v>
      </c>
      <c r="Z29" s="34">
        <f t="shared" si="35"/>
        <v>5.0905553292364958E-2</v>
      </c>
      <c r="AA29" s="35">
        <f>+IF($N29&gt;E$8,"FIN",(E$19-SUM(AB$25:AB28))*VLOOKUP($N29,$A:$M,5,0)/VLOOKUP(E$15,$J$1:$L$4,2,0))</f>
        <v>0.54562500000000003</v>
      </c>
      <c r="AB29" s="36">
        <f t="shared" si="10"/>
        <v>0</v>
      </c>
      <c r="AC29" s="36">
        <f t="shared" si="11"/>
        <v>0.54562500000000003</v>
      </c>
      <c r="AD29" s="34">
        <f t="shared" si="12"/>
        <v>0.45814997963128462</v>
      </c>
      <c r="AE29" s="35">
        <f>+IF($N29&gt;F$8,"FIN",(F$19-SUM(AF$25:AF28))*VLOOKUP($N29,$A:$M,6,0)/VLOOKUP(F$15,$J$1:$L$4,2,0))</f>
        <v>0.36374999999999996</v>
      </c>
      <c r="AF29" s="36">
        <f t="shared" si="23"/>
        <v>0</v>
      </c>
      <c r="AG29" s="36">
        <f t="shared" si="24"/>
        <v>0.36374999999999996</v>
      </c>
      <c r="AH29" s="34">
        <f t="shared" si="36"/>
        <v>0.30543331975418969</v>
      </c>
      <c r="AI29" s="35">
        <f>+IF($N29&gt;G$8,"FIN",(G$19-SUM(AJ$25:AJ28))*VLOOKUP($N29,$A:$M,7,0)/VLOOKUP(G$15,$J$1:$L$4,2,0))</f>
        <v>0.8125</v>
      </c>
      <c r="AJ29" s="36">
        <f t="shared" si="25"/>
        <v>0</v>
      </c>
      <c r="AK29" s="36">
        <f t="shared" si="13"/>
        <v>0.8125</v>
      </c>
      <c r="AL29" s="34">
        <f t="shared" si="14"/>
        <v>0.68223937402138601</v>
      </c>
      <c r="AM29" s="35">
        <f>+IF($N29&gt;H$8,"FIN",(H$19-SUM(AN$25:AN28))*VLOOKUP($N29,$A:$M,8,0)/VLOOKUP(H$15,$J$1:$L$4,2,0))</f>
        <v>0.43750000000000006</v>
      </c>
      <c r="AN29" s="36">
        <f t="shared" si="26"/>
        <v>0</v>
      </c>
      <c r="AO29" s="36">
        <f t="shared" si="27"/>
        <v>0.43750000000000006</v>
      </c>
      <c r="AP29" s="34">
        <f t="shared" si="37"/>
        <v>0.36735966293459255</v>
      </c>
      <c r="AQ29" s="35">
        <f>+IF($N29&gt;I$8,"FIN",(I$19-SUM(AR$25:AR28))*VLOOKUP($N29,$A:$M,9,0)/VLOOKUP(I$15,$J$1:$L$4,2,0))</f>
        <v>0.8125</v>
      </c>
      <c r="AR29" s="36">
        <f t="shared" si="28"/>
        <v>0</v>
      </c>
      <c r="AS29" s="36">
        <f t="shared" si="15"/>
        <v>0.8125</v>
      </c>
      <c r="AT29" s="34">
        <f t="shared" si="16"/>
        <v>0.68223937402138601</v>
      </c>
      <c r="AU29" s="35">
        <f>+IF($N29&gt;J$8,"FIN",(J$19-SUM(AV$25:AV28))*VLOOKUP($N29,$A:$M,10,0)/VLOOKUP(J$15,$J$1:$L$4,2,0))</f>
        <v>0.43750000000000006</v>
      </c>
      <c r="AV29" s="36">
        <f t="shared" si="29"/>
        <v>0</v>
      </c>
      <c r="AW29" s="36">
        <f t="shared" si="30"/>
        <v>0.43750000000000006</v>
      </c>
      <c r="AX29" s="34">
        <f t="shared" si="38"/>
        <v>0.36735966293459255</v>
      </c>
      <c r="AY29" s="35">
        <f>+IF($N29&gt;K$8,"FIN",(K$19-SUM(AZ$25:AZ28))*VLOOKUP($N29,$A:$M,11,0)/VLOOKUP(K$15,$J$1:$L$4,2,0))</f>
        <v>0.54562500000000003</v>
      </c>
      <c r="AZ29" s="36">
        <f t="shared" si="17"/>
        <v>0</v>
      </c>
      <c r="BA29" s="36">
        <f t="shared" si="18"/>
        <v>0.54562500000000003</v>
      </c>
      <c r="BB29" s="34">
        <f t="shared" si="19"/>
        <v>0.45814997963128462</v>
      </c>
      <c r="BC29" s="35">
        <f>+IF($N29&gt;L$8,"FIN",(L$19-SUM(BD$25:BD28))*VLOOKUP($N29,$A:$M,12,0)/VLOOKUP(L$15,$J$1:$L$4,2,0))</f>
        <v>0.36374999999999996</v>
      </c>
      <c r="BD29" s="36">
        <f t="shared" si="31"/>
        <v>0</v>
      </c>
      <c r="BE29" s="36">
        <f t="shared" si="32"/>
        <v>0.36374999999999996</v>
      </c>
      <c r="BF29" s="34">
        <f t="shared" si="39"/>
        <v>0.30543331975418969</v>
      </c>
      <c r="BG29" s="4"/>
    </row>
    <row r="30" spans="1:78" x14ac:dyDescent="0.25">
      <c r="A30" s="27">
        <f t="shared" si="33"/>
        <v>44880</v>
      </c>
      <c r="B30" s="233">
        <v>0.01</v>
      </c>
      <c r="C30" s="233">
        <v>5.0000000000000001E-3</v>
      </c>
      <c r="D30" s="230">
        <v>1.25E-3</v>
      </c>
      <c r="E30" s="234">
        <v>1.125E-2</v>
      </c>
      <c r="F30" s="233">
        <v>7.4999999999999997E-3</v>
      </c>
      <c r="G30" s="233">
        <v>1.6250000000000001E-2</v>
      </c>
      <c r="H30" s="233">
        <v>8.7500000000000008E-3</v>
      </c>
      <c r="I30" s="233">
        <v>1.6250000000000001E-2</v>
      </c>
      <c r="J30" s="233">
        <v>8.7500000000000008E-3</v>
      </c>
      <c r="K30" s="233">
        <v>1.125E-2</v>
      </c>
      <c r="L30" s="233">
        <v>7.4999999999999997E-3</v>
      </c>
      <c r="M30" s="235"/>
      <c r="N30" s="32">
        <f t="shared" si="34"/>
        <v>44880</v>
      </c>
      <c r="O30" s="35">
        <f>+IF($N30&gt;B$8,"FIN",(B$19-SUM(P$25:P29))*VLOOKUP($N30,$A:$M,2,0)/VLOOKUP(B$15,$J$1:$L$4,2,0))</f>
        <v>0.5</v>
      </c>
      <c r="P30" s="36">
        <f t="shared" si="20"/>
        <v>0</v>
      </c>
      <c r="Q30" s="36">
        <f t="shared" si="21"/>
        <v>0.5</v>
      </c>
      <c r="R30" s="34">
        <f t="shared" si="5"/>
        <v>0.40030136617829093</v>
      </c>
      <c r="S30" s="35">
        <f>+IF($N30&gt;C$8,"FIN",(C$19-SUM(T$25:T29))*VLOOKUP($N30,$A:$M,3,0)/VLOOKUP(C$15,$J$1:$L$4,2,0))</f>
        <v>0.24249999999999999</v>
      </c>
      <c r="T30" s="36">
        <f t="shared" si="6"/>
        <v>0</v>
      </c>
      <c r="U30" s="36">
        <f t="shared" si="40"/>
        <v>0.24249999999999999</v>
      </c>
      <c r="V30" s="34">
        <f t="shared" si="8"/>
        <v>0.19414616259647111</v>
      </c>
      <c r="W30" s="35">
        <f>+IF($N30&gt;D$8,"FIN",(D$19-SUM(X$25:X29))*VLOOKUP($N30,$A:$M,4,0)/VLOOKUP(D$15,$J$1:$L$4,2,0))</f>
        <v>6.0624999999999998E-2</v>
      </c>
      <c r="X30" s="33">
        <f t="shared" si="9"/>
        <v>0</v>
      </c>
      <c r="Y30" s="33">
        <f t="shared" si="22"/>
        <v>6.0624999999999998E-2</v>
      </c>
      <c r="Z30" s="34">
        <f t="shared" si="35"/>
        <v>4.8536540649117776E-2</v>
      </c>
      <c r="AA30" s="35">
        <f>+IF($N30&gt;E$8,"FIN",(E$19-SUM(AB$25:AB29))*VLOOKUP($N30,$A:$M,5,0)/VLOOKUP(E$15,$J$1:$L$4,2,0))</f>
        <v>0.54562500000000003</v>
      </c>
      <c r="AB30" s="36">
        <f t="shared" si="10"/>
        <v>0</v>
      </c>
      <c r="AC30" s="36">
        <f t="shared" si="11"/>
        <v>0.54562500000000003</v>
      </c>
      <c r="AD30" s="34">
        <f t="shared" si="12"/>
        <v>0.43682886584206004</v>
      </c>
      <c r="AE30" s="35">
        <f>+IF($N30&gt;F$8,"FIN",(F$19-SUM(AF$25:AF29))*VLOOKUP($N30,$A:$M,6,0)/VLOOKUP(F$15,$J$1:$L$4,2,0))</f>
        <v>0.36374999999999996</v>
      </c>
      <c r="AF30" s="36">
        <f t="shared" si="23"/>
        <v>0</v>
      </c>
      <c r="AG30" s="36">
        <f t="shared" si="24"/>
        <v>0.36374999999999996</v>
      </c>
      <c r="AH30" s="34">
        <f t="shared" si="36"/>
        <v>0.29121924389470666</v>
      </c>
      <c r="AI30" s="35">
        <f>+IF($N30&gt;G$8,"FIN",(G$19-SUM(AJ$25:AJ29))*VLOOKUP($N30,$A:$M,7,0)/VLOOKUP(G$15,$J$1:$L$4,2,0))</f>
        <v>0.8125</v>
      </c>
      <c r="AJ30" s="36">
        <f t="shared" si="25"/>
        <v>0</v>
      </c>
      <c r="AK30" s="36">
        <f t="shared" si="13"/>
        <v>0.8125</v>
      </c>
      <c r="AL30" s="34">
        <f t="shared" si="14"/>
        <v>0.65048972003972283</v>
      </c>
      <c r="AM30" s="35">
        <f>+IF($N30&gt;H$8,"FIN",(H$19-SUM(AN$25:AN29))*VLOOKUP($N30,$A:$M,8,0)/VLOOKUP(H$15,$J$1:$L$4,2,0))</f>
        <v>0.43750000000000006</v>
      </c>
      <c r="AN30" s="36">
        <f t="shared" si="26"/>
        <v>0</v>
      </c>
      <c r="AO30" s="36">
        <f t="shared" si="27"/>
        <v>0.43750000000000006</v>
      </c>
      <c r="AP30" s="34">
        <f t="shared" si="37"/>
        <v>0.3502636954060046</v>
      </c>
      <c r="AQ30" s="35">
        <f>+IF($N30&gt;I$8,"FIN",(I$19-SUM(AR$25:AR29))*VLOOKUP($N30,$A:$M,9,0)/VLOOKUP(I$15,$J$1:$L$4,2,0))</f>
        <v>0.8125</v>
      </c>
      <c r="AR30" s="36">
        <f t="shared" si="28"/>
        <v>0</v>
      </c>
      <c r="AS30" s="36">
        <f t="shared" si="15"/>
        <v>0.8125</v>
      </c>
      <c r="AT30" s="34">
        <f t="shared" si="16"/>
        <v>0.65048972003972283</v>
      </c>
      <c r="AU30" s="35">
        <f>+IF($N30&gt;J$8,"FIN",(J$19-SUM(AV$25:AV29))*VLOOKUP($N30,$A:$M,10,0)/VLOOKUP(J$15,$J$1:$L$4,2,0))</f>
        <v>0.43750000000000006</v>
      </c>
      <c r="AV30" s="36">
        <f t="shared" si="29"/>
        <v>0</v>
      </c>
      <c r="AW30" s="36">
        <f t="shared" si="30"/>
        <v>0.43750000000000006</v>
      </c>
      <c r="AX30" s="34">
        <f t="shared" si="38"/>
        <v>0.3502636954060046</v>
      </c>
      <c r="AY30" s="35">
        <f>+IF($N30&gt;K$8,"FIN",(K$19-SUM(AZ$25:AZ29))*VLOOKUP($N30,$A:$M,11,0)/VLOOKUP(K$15,$J$1:$L$4,2,0))</f>
        <v>0.54562500000000003</v>
      </c>
      <c r="AZ30" s="36">
        <f t="shared" si="17"/>
        <v>0</v>
      </c>
      <c r="BA30" s="36">
        <f t="shared" si="18"/>
        <v>0.54562500000000003</v>
      </c>
      <c r="BB30" s="34">
        <f t="shared" si="19"/>
        <v>0.43682886584206004</v>
      </c>
      <c r="BC30" s="35">
        <f>+IF($N30&gt;L$8,"FIN",(L$19-SUM(BD$25:BD29))*VLOOKUP($N30,$A:$M,12,0)/VLOOKUP(L$15,$J$1:$L$4,2,0))</f>
        <v>0.36374999999999996</v>
      </c>
      <c r="BD30" s="36">
        <f t="shared" si="31"/>
        <v>0</v>
      </c>
      <c r="BE30" s="36">
        <f t="shared" si="32"/>
        <v>0.36374999999999996</v>
      </c>
      <c r="BF30" s="34">
        <f t="shared" si="39"/>
        <v>0.29121924389470666</v>
      </c>
      <c r="BG30" s="4"/>
    </row>
    <row r="31" spans="1:78" x14ac:dyDescent="0.25">
      <c r="A31" s="27">
        <f t="shared" si="33"/>
        <v>45061</v>
      </c>
      <c r="B31" s="233">
        <v>0.01</v>
      </c>
      <c r="C31" s="233">
        <v>5.0000000000000001E-3</v>
      </c>
      <c r="D31" s="230">
        <v>1.25E-3</v>
      </c>
      <c r="E31" s="234">
        <v>1.4999999999999999E-2</v>
      </c>
      <c r="F31" s="234">
        <v>8.7500000000000008E-3</v>
      </c>
      <c r="G31" s="234">
        <v>3.125E-2</v>
      </c>
      <c r="H31" s="234">
        <v>2.2499999999999999E-2</v>
      </c>
      <c r="I31" s="234">
        <v>0.03</v>
      </c>
      <c r="J31" s="234">
        <v>0.02</v>
      </c>
      <c r="K31" s="233">
        <v>1.4999999999999999E-2</v>
      </c>
      <c r="L31" s="233">
        <v>8.7500000000000008E-3</v>
      </c>
      <c r="M31" s="235"/>
      <c r="N31" s="32">
        <f t="shared" si="34"/>
        <v>45061</v>
      </c>
      <c r="O31" s="35">
        <f>+IF($N31&gt;B$8,"FIN",(B$19-SUM(P$25:P30))*VLOOKUP($N31,$A:$M,2,0)/VLOOKUP(B$15,$J$1:$L$4,2,0))</f>
        <v>0.5</v>
      </c>
      <c r="P31" s="36">
        <f t="shared" si="20"/>
        <v>0</v>
      </c>
      <c r="Q31" s="36">
        <f t="shared" si="21"/>
        <v>0.5</v>
      </c>
      <c r="R31" s="34">
        <f t="shared" si="5"/>
        <v>0.38167237707490126</v>
      </c>
      <c r="S31" s="35">
        <f>+IF($N31&gt;C$8,"FIN",(C$19-SUM(T$25:T30))*VLOOKUP($N31,$A:$M,3,0)/VLOOKUP(C$15,$J$1:$L$4,2,0))</f>
        <v>0.24249999999999999</v>
      </c>
      <c r="T31" s="36">
        <f t="shared" si="6"/>
        <v>0</v>
      </c>
      <c r="U31" s="36">
        <f t="shared" si="40"/>
        <v>0.24249999999999999</v>
      </c>
      <c r="V31" s="34">
        <f t="shared" si="8"/>
        <v>0.18511110288132712</v>
      </c>
      <c r="W31" s="35">
        <f>+IF($N31&gt;D$8,"FIN",(D$19-SUM(X$25:X30))*VLOOKUP($N31,$A:$M,4,0)/VLOOKUP(D$15,$J$1:$L$4,2,0))</f>
        <v>6.0624999999999998E-2</v>
      </c>
      <c r="X31" s="33">
        <f t="shared" si="9"/>
        <v>0</v>
      </c>
      <c r="Y31" s="33">
        <f t="shared" si="22"/>
        <v>6.0624999999999998E-2</v>
      </c>
      <c r="Z31" s="34">
        <f t="shared" si="35"/>
        <v>4.627777572033178E-2</v>
      </c>
      <c r="AA31" s="35">
        <f>+IF($N31&gt;E$8,"FIN",(E$19-SUM(AB$25:AB30))*VLOOKUP($N31,$A:$M,5,0)/VLOOKUP(E$15,$J$1:$L$4,2,0))</f>
        <v>0.72749999999999992</v>
      </c>
      <c r="AB31" s="36">
        <f t="shared" si="10"/>
        <v>0</v>
      </c>
      <c r="AC31" s="36">
        <f t="shared" si="11"/>
        <v>0.72749999999999992</v>
      </c>
      <c r="AD31" s="34">
        <f t="shared" si="12"/>
        <v>0.55533330864398134</v>
      </c>
      <c r="AE31" s="35">
        <f>+IF($N31&gt;F$8,"FIN",(F$19-SUM(AF$25:AF30))*VLOOKUP($N31,$A:$M,6,0)/VLOOKUP(F$15,$J$1:$L$4,2,0))</f>
        <v>0.42437500000000006</v>
      </c>
      <c r="AF31" s="36">
        <f t="shared" si="23"/>
        <v>0</v>
      </c>
      <c r="AG31" s="36">
        <f t="shared" si="24"/>
        <v>0.42437500000000006</v>
      </c>
      <c r="AH31" s="34">
        <f t="shared" si="36"/>
        <v>0.32394443004232248</v>
      </c>
      <c r="AI31" s="35">
        <f>+IF($N31&gt;G$8,"FIN",(G$19-SUM(AJ$25:AJ30))*VLOOKUP($N31,$A:$M,7,0)/VLOOKUP(G$15,$J$1:$L$4,2,0))</f>
        <v>1.5625</v>
      </c>
      <c r="AJ31" s="36">
        <f t="shared" si="25"/>
        <v>0</v>
      </c>
      <c r="AK31" s="36">
        <f t="shared" si="13"/>
        <v>1.5625</v>
      </c>
      <c r="AL31" s="34">
        <f t="shared" si="14"/>
        <v>1.1927261783590666</v>
      </c>
      <c r="AM31" s="35">
        <f>+IF($N31&gt;H$8,"FIN",(H$19-SUM(AN$25:AN30))*VLOOKUP($N31,$A:$M,8,0)/VLOOKUP(H$15,$J$1:$L$4,2,0))</f>
        <v>1.125</v>
      </c>
      <c r="AN31" s="36">
        <f t="shared" si="26"/>
        <v>0</v>
      </c>
      <c r="AO31" s="36">
        <f t="shared" si="27"/>
        <v>1.125</v>
      </c>
      <c r="AP31" s="34">
        <f t="shared" si="37"/>
        <v>0.8587628484185279</v>
      </c>
      <c r="AQ31" s="35">
        <f>+IF($N31&gt;I$8,"FIN",(I$19-SUM(AR$25:AR30))*VLOOKUP($N31,$A:$M,9,0)/VLOOKUP(I$15,$J$1:$L$4,2,0))</f>
        <v>1.5</v>
      </c>
      <c r="AR31" s="36">
        <f t="shared" si="28"/>
        <v>0</v>
      </c>
      <c r="AS31" s="36">
        <f t="shared" si="15"/>
        <v>1.5</v>
      </c>
      <c r="AT31" s="34">
        <f t="shared" si="16"/>
        <v>1.1450171312247039</v>
      </c>
      <c r="AU31" s="35">
        <f>+IF($N31&gt;J$8,"FIN",(J$19-SUM(AV$25:AV30))*VLOOKUP($N31,$A:$M,10,0)/VLOOKUP(J$15,$J$1:$L$4,2,0))</f>
        <v>1</v>
      </c>
      <c r="AV31" s="36">
        <f t="shared" si="29"/>
        <v>0</v>
      </c>
      <c r="AW31" s="36">
        <f t="shared" si="30"/>
        <v>1</v>
      </c>
      <c r="AX31" s="34">
        <f t="shared" si="38"/>
        <v>0.76334475414980252</v>
      </c>
      <c r="AY31" s="35">
        <f>+IF($N31&gt;K$8,"FIN",(K$19-SUM(AZ$25:AZ30))*VLOOKUP($N31,$A:$M,11,0)/VLOOKUP(K$15,$J$1:$L$4,2,0))</f>
        <v>0.72749999999999992</v>
      </c>
      <c r="AZ31" s="36">
        <f t="shared" si="17"/>
        <v>0</v>
      </c>
      <c r="BA31" s="36">
        <f t="shared" si="18"/>
        <v>0.72749999999999992</v>
      </c>
      <c r="BB31" s="34">
        <f t="shared" si="19"/>
        <v>0.55533330864398134</v>
      </c>
      <c r="BC31" s="35">
        <f>+IF($N31&gt;L$8,"FIN",(L$19-SUM(BD$25:BD30))*VLOOKUP($N31,$A:$M,12,0)/VLOOKUP(L$15,$J$1:$L$4,2,0))</f>
        <v>0.42437500000000006</v>
      </c>
      <c r="BD31" s="36">
        <f t="shared" si="31"/>
        <v>0</v>
      </c>
      <c r="BE31" s="36">
        <f t="shared" si="32"/>
        <v>0.42437500000000006</v>
      </c>
      <c r="BF31" s="34">
        <f t="shared" si="39"/>
        <v>0.32394443004232248</v>
      </c>
      <c r="BG31" s="4"/>
    </row>
    <row r="32" spans="1:78" x14ac:dyDescent="0.25">
      <c r="A32" s="27">
        <f t="shared" si="33"/>
        <v>45245</v>
      </c>
      <c r="B32" s="233">
        <v>0.01</v>
      </c>
      <c r="C32" s="233">
        <v>5.0000000000000001E-3</v>
      </c>
      <c r="D32" s="230">
        <v>1.25E-3</v>
      </c>
      <c r="E32" s="234">
        <v>1.4999999999999999E-2</v>
      </c>
      <c r="F32" s="234">
        <v>8.7500000000000008E-3</v>
      </c>
      <c r="G32" s="234">
        <v>3.125E-2</v>
      </c>
      <c r="H32" s="234">
        <v>2.2499999999999999E-2</v>
      </c>
      <c r="I32" s="234">
        <v>0.03</v>
      </c>
      <c r="J32" s="234">
        <v>0.02</v>
      </c>
      <c r="K32" s="233">
        <v>1.4999999999999999E-2</v>
      </c>
      <c r="L32" s="233">
        <v>8.7500000000000008E-3</v>
      </c>
      <c r="M32" s="235"/>
      <c r="N32" s="32">
        <f t="shared" si="34"/>
        <v>45245</v>
      </c>
      <c r="O32" s="35">
        <f>+IF($N32&gt;B$8,"FIN",(B$19-SUM(P$25:P31))*VLOOKUP($N32,$A:$M,2,0)/VLOOKUP(B$15,$J$1:$L$4,2,0))</f>
        <v>0.5</v>
      </c>
      <c r="P32" s="36">
        <f t="shared" si="20"/>
        <v>0</v>
      </c>
      <c r="Q32" s="36">
        <f t="shared" si="21"/>
        <v>0.5</v>
      </c>
      <c r="R32" s="34">
        <f t="shared" si="5"/>
        <v>0.36391033288935537</v>
      </c>
      <c r="S32" s="35">
        <f>+IF($N32&gt;C$8,"FIN",(C$19-SUM(T$25:T31))*VLOOKUP($N32,$A:$M,3,0)/VLOOKUP(C$15,$J$1:$L$4,2,0))</f>
        <v>0.24249999999999999</v>
      </c>
      <c r="T32" s="36">
        <f t="shared" si="6"/>
        <v>0</v>
      </c>
      <c r="U32" s="36">
        <f t="shared" si="40"/>
        <v>0.24249999999999999</v>
      </c>
      <c r="V32" s="34">
        <f t="shared" si="8"/>
        <v>0.17649651145133735</v>
      </c>
      <c r="W32" s="35">
        <f>+IF($N32&gt;D$8,"FIN",(D$19-SUM(X$25:X31))*VLOOKUP($N32,$A:$M,4,0)/VLOOKUP(D$15,$J$1:$L$4,2,0))</f>
        <v>6.0624999999999998E-2</v>
      </c>
      <c r="X32" s="33">
        <f t="shared" si="9"/>
        <v>0</v>
      </c>
      <c r="Y32" s="33">
        <f t="shared" si="22"/>
        <v>6.0624999999999998E-2</v>
      </c>
      <c r="Z32" s="34">
        <f t="shared" si="35"/>
        <v>4.4124127862834338E-2</v>
      </c>
      <c r="AA32" s="35">
        <f>+IF($N32&gt;E$8,"FIN",(E$19-SUM(AB$25:AB31))*VLOOKUP($N32,$A:$M,5,0)/VLOOKUP(E$15,$J$1:$L$4,2,0))</f>
        <v>0.72749999999999992</v>
      </c>
      <c r="AB32" s="36">
        <f t="shared" si="10"/>
        <v>0</v>
      </c>
      <c r="AC32" s="36">
        <f t="shared" si="11"/>
        <v>0.72749999999999992</v>
      </c>
      <c r="AD32" s="34">
        <f t="shared" si="12"/>
        <v>0.52948953435401203</v>
      </c>
      <c r="AE32" s="35">
        <f>+IF($N32&gt;F$8,"FIN",(F$19-SUM(AF$25:AF31))*VLOOKUP($N32,$A:$M,6,0)/VLOOKUP(F$15,$J$1:$L$4,2,0))</f>
        <v>0.42437500000000006</v>
      </c>
      <c r="AF32" s="36">
        <f t="shared" si="23"/>
        <v>0</v>
      </c>
      <c r="AG32" s="36">
        <f t="shared" si="24"/>
        <v>0.42437500000000006</v>
      </c>
      <c r="AH32" s="34">
        <f t="shared" si="36"/>
        <v>0.30886889503984044</v>
      </c>
      <c r="AI32" s="35">
        <f>+IF($N32&gt;G$8,"FIN",(G$19-SUM(AJ$25:AJ31))*VLOOKUP($N32,$A:$M,7,0)/VLOOKUP(G$15,$J$1:$L$4,2,0))</f>
        <v>1.5625</v>
      </c>
      <c r="AJ32" s="36">
        <f t="shared" si="25"/>
        <v>0</v>
      </c>
      <c r="AK32" s="36">
        <f t="shared" si="13"/>
        <v>1.5625</v>
      </c>
      <c r="AL32" s="34">
        <f t="shared" si="14"/>
        <v>1.1372197902792356</v>
      </c>
      <c r="AM32" s="35">
        <f>+IF($N32&gt;H$8,"FIN",(H$19-SUM(AN$25:AN31))*VLOOKUP($N32,$A:$M,8,0)/VLOOKUP(H$15,$J$1:$L$4,2,0))</f>
        <v>1.125</v>
      </c>
      <c r="AN32" s="36">
        <f t="shared" si="26"/>
        <v>0</v>
      </c>
      <c r="AO32" s="36">
        <f t="shared" si="27"/>
        <v>1.125</v>
      </c>
      <c r="AP32" s="34">
        <f t="shared" si="37"/>
        <v>0.81879824900104958</v>
      </c>
      <c r="AQ32" s="35">
        <f>+IF($N32&gt;I$8,"FIN",(I$19-SUM(AR$25:AR31))*VLOOKUP($N32,$A:$M,9,0)/VLOOKUP(I$15,$J$1:$L$4,2,0))</f>
        <v>1.5</v>
      </c>
      <c r="AR32" s="36">
        <f t="shared" si="28"/>
        <v>0</v>
      </c>
      <c r="AS32" s="36">
        <f t="shared" si="15"/>
        <v>1.5</v>
      </c>
      <c r="AT32" s="34">
        <f t="shared" si="16"/>
        <v>1.0917309986680661</v>
      </c>
      <c r="AU32" s="35">
        <f>+IF($N32&gt;J$8,"FIN",(J$19-SUM(AV$25:AV31))*VLOOKUP($N32,$A:$M,10,0)/VLOOKUP(J$15,$J$1:$L$4,2,0))</f>
        <v>1</v>
      </c>
      <c r="AV32" s="36">
        <f t="shared" si="29"/>
        <v>0</v>
      </c>
      <c r="AW32" s="36">
        <f t="shared" si="30"/>
        <v>1</v>
      </c>
      <c r="AX32" s="34">
        <f t="shared" si="38"/>
        <v>0.72782066577871074</v>
      </c>
      <c r="AY32" s="35">
        <f>+IF($N32&gt;K$8,"FIN",(K$19-SUM(AZ$25:AZ31))*VLOOKUP($N32,$A:$M,11,0)/VLOOKUP(K$15,$J$1:$L$4,2,0))</f>
        <v>0.72749999999999992</v>
      </c>
      <c r="AZ32" s="36">
        <f t="shared" si="17"/>
        <v>0</v>
      </c>
      <c r="BA32" s="36">
        <f t="shared" si="18"/>
        <v>0.72749999999999992</v>
      </c>
      <c r="BB32" s="34">
        <f t="shared" si="19"/>
        <v>0.52948953435401203</v>
      </c>
      <c r="BC32" s="35">
        <f>+IF($N32&gt;L$8,"FIN",(L$19-SUM(BD$25:BD31))*VLOOKUP($N32,$A:$M,12,0)/VLOOKUP(L$15,$J$1:$L$4,2,0))</f>
        <v>0.42437500000000006</v>
      </c>
      <c r="BD32" s="36">
        <f t="shared" si="31"/>
        <v>0</v>
      </c>
      <c r="BE32" s="36">
        <f t="shared" si="32"/>
        <v>0.42437500000000006</v>
      </c>
      <c r="BF32" s="34">
        <f t="shared" si="39"/>
        <v>0.30886889503984044</v>
      </c>
      <c r="BG32" s="4"/>
    </row>
    <row r="33" spans="1:59" x14ac:dyDescent="0.25">
      <c r="A33" s="27">
        <f t="shared" si="33"/>
        <v>45427</v>
      </c>
      <c r="B33" s="233">
        <v>0.01</v>
      </c>
      <c r="C33" s="233">
        <v>7.4999999999999997E-3</v>
      </c>
      <c r="D33" s="230">
        <v>1.25E-3</v>
      </c>
      <c r="E33" s="234">
        <v>3.6249999999999998E-2</v>
      </c>
      <c r="F33" s="234">
        <v>2.5000000000000001E-2</v>
      </c>
      <c r="G33" s="234">
        <v>3.7499999999999999E-2</v>
      </c>
      <c r="H33" s="234">
        <v>3.2500000000000001E-2</v>
      </c>
      <c r="I33" s="234">
        <v>3.5000000000000003E-2</v>
      </c>
      <c r="J33" s="234">
        <v>0.03</v>
      </c>
      <c r="K33" s="233">
        <v>3.6249999999999998E-2</v>
      </c>
      <c r="L33" s="233">
        <v>2.5000000000000001E-2</v>
      </c>
      <c r="M33" s="235"/>
      <c r="N33" s="32">
        <f t="shared" si="34"/>
        <v>45427</v>
      </c>
      <c r="O33" s="35">
        <f>+IF($N33&gt;B$8,"FIN",(B$19-SUM(P$25:P32))*VLOOKUP($N33,$A:$M,2,0)/VLOOKUP(B$15,$J$1:$L$4,2,0))</f>
        <v>0.5</v>
      </c>
      <c r="P33" s="36">
        <f t="shared" si="20"/>
        <v>0</v>
      </c>
      <c r="Q33" s="36">
        <f t="shared" si="21"/>
        <v>0.5</v>
      </c>
      <c r="R33" s="34">
        <f t="shared" si="5"/>
        <v>0.34697488824991024</v>
      </c>
      <c r="S33" s="35">
        <f>+IF($N33&gt;C$8,"FIN",(C$19-SUM(T$25:T32))*VLOOKUP($N33,$A:$M,3,0)/VLOOKUP(C$15,$J$1:$L$4,2,0))</f>
        <v>0.36374999999999996</v>
      </c>
      <c r="T33" s="36">
        <f t="shared" si="6"/>
        <v>0</v>
      </c>
      <c r="U33" s="36">
        <f t="shared" si="40"/>
        <v>0.36374999999999996</v>
      </c>
      <c r="V33" s="34">
        <f t="shared" si="8"/>
        <v>0.25242423120180968</v>
      </c>
      <c r="W33" s="35">
        <f>+IF($N33&gt;D$8,"FIN",(D$19-SUM(X$25:X32))*VLOOKUP($N33,$A:$M,4,0)/VLOOKUP(D$15,$J$1:$L$4,2,0))</f>
        <v>6.0624999999999998E-2</v>
      </c>
      <c r="X33" s="33">
        <f t="shared" si="9"/>
        <v>0</v>
      </c>
      <c r="Y33" s="33">
        <f t="shared" si="22"/>
        <v>6.0624999999999998E-2</v>
      </c>
      <c r="Z33" s="34">
        <f t="shared" si="35"/>
        <v>4.2070705200301615E-2</v>
      </c>
      <c r="AA33" s="35">
        <f>+IF($N33&gt;E$8,"FIN",(E$19-SUM(AB$25:AB32))*VLOOKUP($N33,$A:$M,5,0)/VLOOKUP(E$15,$J$1:$L$4,2,0))</f>
        <v>1.7581249999999999</v>
      </c>
      <c r="AB33" s="36">
        <f t="shared" si="10"/>
        <v>0</v>
      </c>
      <c r="AC33" s="36">
        <f t="shared" si="11"/>
        <v>1.7581249999999999</v>
      </c>
      <c r="AD33" s="34">
        <f t="shared" si="12"/>
        <v>1.2200504508087469</v>
      </c>
      <c r="AE33" s="35">
        <f>+IF($N33&gt;F$8,"FIN",(F$19-SUM(AF$25:AF32))*VLOOKUP($N33,$A:$M,6,0)/VLOOKUP(F$15,$J$1:$L$4,2,0))</f>
        <v>1.2125000000000001</v>
      </c>
      <c r="AF33" s="36">
        <f t="shared" si="23"/>
        <v>0</v>
      </c>
      <c r="AG33" s="36">
        <f t="shared" si="24"/>
        <v>1.2125000000000001</v>
      </c>
      <c r="AH33" s="34">
        <f t="shared" si="36"/>
        <v>0.84141410400603245</v>
      </c>
      <c r="AI33" s="35">
        <f>+IF($N33&gt;G$8,"FIN",(G$19-SUM(AJ$25:AJ32))*VLOOKUP($N33,$A:$M,7,0)/VLOOKUP(G$15,$J$1:$L$4,2,0))</f>
        <v>1.875</v>
      </c>
      <c r="AJ33" s="36">
        <f t="shared" si="25"/>
        <v>0</v>
      </c>
      <c r="AK33" s="36">
        <f t="shared" si="13"/>
        <v>1.875</v>
      </c>
      <c r="AL33" s="34">
        <f t="shared" si="14"/>
        <v>1.3011558309371634</v>
      </c>
      <c r="AM33" s="35">
        <f>+IF($N33&gt;H$8,"FIN",(H$19-SUM(AN$25:AN32))*VLOOKUP($N33,$A:$M,8,0)/VLOOKUP(H$15,$J$1:$L$4,2,0))</f>
        <v>1.625</v>
      </c>
      <c r="AN33" s="36">
        <f t="shared" si="26"/>
        <v>0</v>
      </c>
      <c r="AO33" s="36">
        <f t="shared" si="27"/>
        <v>1.625</v>
      </c>
      <c r="AP33" s="34">
        <f t="shared" si="37"/>
        <v>1.1276683868122082</v>
      </c>
      <c r="AQ33" s="35">
        <f>+IF($N33&gt;I$8,"FIN",(I$19-SUM(AR$25:AR32))*VLOOKUP($N33,$A:$M,9,0)/VLOOKUP(I$15,$J$1:$L$4,2,0))</f>
        <v>1.7500000000000002</v>
      </c>
      <c r="AR33" s="36">
        <f t="shared" si="28"/>
        <v>0</v>
      </c>
      <c r="AS33" s="36">
        <f t="shared" si="15"/>
        <v>1.7500000000000002</v>
      </c>
      <c r="AT33" s="34">
        <f t="shared" si="16"/>
        <v>1.214412108874686</v>
      </c>
      <c r="AU33" s="35">
        <f>+IF($N33&gt;J$8,"FIN",(J$19-SUM(AV$25:AV32))*VLOOKUP($N33,$A:$M,10,0)/VLOOKUP(J$15,$J$1:$L$4,2,0))</f>
        <v>1.5</v>
      </c>
      <c r="AV33" s="36">
        <f t="shared" si="29"/>
        <v>0</v>
      </c>
      <c r="AW33" s="36">
        <f t="shared" si="30"/>
        <v>1.5</v>
      </c>
      <c r="AX33" s="34">
        <f t="shared" si="38"/>
        <v>1.0409246647497308</v>
      </c>
      <c r="AY33" s="35">
        <f>+IF($N33&gt;K$8,"FIN",(K$19-SUM(AZ$25:AZ32))*VLOOKUP($N33,$A:$M,11,0)/VLOOKUP(K$15,$J$1:$L$4,2,0))</f>
        <v>1.7581249999999999</v>
      </c>
      <c r="AZ33" s="36">
        <f t="shared" si="17"/>
        <v>0</v>
      </c>
      <c r="BA33" s="36">
        <f t="shared" si="18"/>
        <v>1.7581249999999999</v>
      </c>
      <c r="BB33" s="34">
        <f t="shared" si="19"/>
        <v>1.2200504508087469</v>
      </c>
      <c r="BC33" s="35">
        <f>+IF($N33&gt;L$8,"FIN",(L$19-SUM(BD$25:BD32))*VLOOKUP($N33,$A:$M,12,0)/VLOOKUP(L$15,$J$1:$L$4,2,0))</f>
        <v>1.2125000000000001</v>
      </c>
      <c r="BD33" s="36">
        <f t="shared" si="31"/>
        <v>0</v>
      </c>
      <c r="BE33" s="36">
        <f t="shared" si="32"/>
        <v>1.2125000000000001</v>
      </c>
      <c r="BF33" s="34">
        <f t="shared" si="39"/>
        <v>0.84141410400603245</v>
      </c>
      <c r="BG33" s="4"/>
    </row>
    <row r="34" spans="1:59" x14ac:dyDescent="0.25">
      <c r="A34" s="27">
        <f t="shared" si="33"/>
        <v>45611</v>
      </c>
      <c r="B34" s="233">
        <v>0.01</v>
      </c>
      <c r="C34" s="233">
        <v>7.4999999999999997E-3</v>
      </c>
      <c r="D34" s="230">
        <v>1.25E-3</v>
      </c>
      <c r="E34" s="234">
        <v>3.6249999999999998E-2</v>
      </c>
      <c r="F34" s="234">
        <v>2.5000000000000001E-2</v>
      </c>
      <c r="G34" s="234">
        <v>3.7499999999999999E-2</v>
      </c>
      <c r="H34" s="234">
        <v>3.2500000000000001E-2</v>
      </c>
      <c r="I34" s="234">
        <v>3.5000000000000003E-2</v>
      </c>
      <c r="J34" s="234">
        <v>0.03</v>
      </c>
      <c r="K34" s="233">
        <v>3.6249999999999998E-2</v>
      </c>
      <c r="L34" s="233">
        <v>2.5000000000000001E-2</v>
      </c>
      <c r="M34" s="235"/>
      <c r="N34" s="32">
        <f t="shared" si="34"/>
        <v>45611</v>
      </c>
      <c r="O34" s="35">
        <f>+IF($N34&gt;B$8,"FIN",(B$19-SUM(P$25:P33))*VLOOKUP($N34,$A:$M,2,0)/VLOOKUP(B$15,$J$1:$L$4,2,0))</f>
        <v>0.5</v>
      </c>
      <c r="P34" s="36">
        <f t="shared" si="20"/>
        <v>0</v>
      </c>
      <c r="Q34" s="36">
        <f t="shared" si="21"/>
        <v>0.5</v>
      </c>
      <c r="R34" s="34">
        <f t="shared" si="5"/>
        <v>0.33082757535395946</v>
      </c>
      <c r="S34" s="35">
        <f>+IF($N34&gt;C$8,"FIN",(C$19-SUM(T$25:T33))*VLOOKUP($N34,$A:$M,3,0)/VLOOKUP(C$15,$J$1:$L$4,2,0))</f>
        <v>0.36374999999999996</v>
      </c>
      <c r="T34" s="36">
        <f t="shared" si="6"/>
        <v>0</v>
      </c>
      <c r="U34" s="36">
        <f t="shared" si="40"/>
        <v>0.36374999999999996</v>
      </c>
      <c r="V34" s="34">
        <f t="shared" si="8"/>
        <v>0.24067706107000547</v>
      </c>
      <c r="W34" s="35">
        <f>+IF($N34&gt;D$8,"FIN",(D$19-SUM(X$25:X33))*VLOOKUP($N34,$A:$M,4,0)/VLOOKUP(D$15,$J$1:$L$4,2,0))</f>
        <v>6.0624999999999998E-2</v>
      </c>
      <c r="X34" s="33">
        <f t="shared" si="9"/>
        <v>0</v>
      </c>
      <c r="Y34" s="33">
        <f t="shared" si="22"/>
        <v>6.0624999999999998E-2</v>
      </c>
      <c r="Z34" s="34">
        <f t="shared" si="35"/>
        <v>4.0112843511667579E-2</v>
      </c>
      <c r="AA34" s="35">
        <f>+IF($N34&gt;E$8,"FIN",(E$19-SUM(AB$25:AB33))*VLOOKUP($N34,$A:$M,5,0)/VLOOKUP(E$15,$J$1:$L$4,2,0))</f>
        <v>1.7581249999999999</v>
      </c>
      <c r="AB34" s="36">
        <f t="shared" si="10"/>
        <v>0</v>
      </c>
      <c r="AC34" s="36">
        <f t="shared" si="11"/>
        <v>1.7581249999999999</v>
      </c>
      <c r="AD34" s="34">
        <f t="shared" si="12"/>
        <v>1.1632724618383599</v>
      </c>
      <c r="AE34" s="35">
        <f>+IF($N34&gt;F$8,"FIN",(F$19-SUM(AF$25:AF33))*VLOOKUP($N34,$A:$M,6,0)/VLOOKUP(F$15,$J$1:$L$4,2,0))</f>
        <v>1.2125000000000001</v>
      </c>
      <c r="AF34" s="36">
        <f t="shared" si="23"/>
        <v>0</v>
      </c>
      <c r="AG34" s="36">
        <f t="shared" si="24"/>
        <v>1.2125000000000001</v>
      </c>
      <c r="AH34" s="34">
        <f t="shared" si="36"/>
        <v>0.80225687023335168</v>
      </c>
      <c r="AI34" s="35">
        <f>+IF($N34&gt;G$8,"FIN",(G$19-SUM(AJ$25:AJ33))*VLOOKUP($N34,$A:$M,7,0)/VLOOKUP(G$15,$J$1:$L$4,2,0))</f>
        <v>1.875</v>
      </c>
      <c r="AJ34" s="36">
        <f t="shared" si="25"/>
        <v>0</v>
      </c>
      <c r="AK34" s="36">
        <f t="shared" si="13"/>
        <v>1.875</v>
      </c>
      <c r="AL34" s="34">
        <f t="shared" si="14"/>
        <v>1.2406034075773478</v>
      </c>
      <c r="AM34" s="35">
        <f>+IF($N34&gt;H$8,"FIN",(H$19-SUM(AN$25:AN33))*VLOOKUP($N34,$A:$M,8,0)/VLOOKUP(H$15,$J$1:$L$4,2,0))</f>
        <v>1.625</v>
      </c>
      <c r="AN34" s="36">
        <f t="shared" si="26"/>
        <v>0</v>
      </c>
      <c r="AO34" s="36">
        <f t="shared" si="27"/>
        <v>1.625</v>
      </c>
      <c r="AP34" s="34">
        <f t="shared" si="37"/>
        <v>1.0751896199003681</v>
      </c>
      <c r="AQ34" s="35">
        <f>+IF($N34&gt;I$8,"FIN",(I$19-SUM(AR$25:AR33))*VLOOKUP($N34,$A:$M,9,0)/VLOOKUP(I$15,$J$1:$L$4,2,0))</f>
        <v>1.7500000000000002</v>
      </c>
      <c r="AR34" s="36">
        <f t="shared" si="28"/>
        <v>0</v>
      </c>
      <c r="AS34" s="36">
        <f t="shared" si="15"/>
        <v>1.7500000000000002</v>
      </c>
      <c r="AT34" s="34">
        <f t="shared" si="16"/>
        <v>1.1578965137388582</v>
      </c>
      <c r="AU34" s="35">
        <f>+IF($N34&gt;J$8,"FIN",(J$19-SUM(AV$25:AV33))*VLOOKUP($N34,$A:$M,10,0)/VLOOKUP(J$15,$J$1:$L$4,2,0))</f>
        <v>1.5</v>
      </c>
      <c r="AV34" s="36">
        <f t="shared" si="29"/>
        <v>0</v>
      </c>
      <c r="AW34" s="36">
        <f t="shared" si="30"/>
        <v>1.5</v>
      </c>
      <c r="AX34" s="34">
        <f t="shared" si="38"/>
        <v>0.99248272606187826</v>
      </c>
      <c r="AY34" s="35">
        <f>+IF($N34&gt;K$8,"FIN",(K$19-SUM(AZ$25:AZ33))*VLOOKUP($N34,$A:$M,11,0)/VLOOKUP(K$15,$J$1:$L$4,2,0))</f>
        <v>1.7581249999999999</v>
      </c>
      <c r="AZ34" s="36">
        <f t="shared" si="17"/>
        <v>0</v>
      </c>
      <c r="BA34" s="36">
        <f t="shared" si="18"/>
        <v>1.7581249999999999</v>
      </c>
      <c r="BB34" s="34">
        <f t="shared" si="19"/>
        <v>1.1632724618383599</v>
      </c>
      <c r="BC34" s="35">
        <f>+IF($N34&gt;L$8,"FIN",(L$19-SUM(BD$25:BD33))*VLOOKUP($N34,$A:$M,12,0)/VLOOKUP(L$15,$J$1:$L$4,2,0))</f>
        <v>1.2125000000000001</v>
      </c>
      <c r="BD34" s="36">
        <f t="shared" si="31"/>
        <v>0</v>
      </c>
      <c r="BE34" s="36">
        <f t="shared" si="32"/>
        <v>1.2125000000000001</v>
      </c>
      <c r="BF34" s="34">
        <f t="shared" si="39"/>
        <v>0.80225687023335168</v>
      </c>
      <c r="BG34" s="4"/>
    </row>
    <row r="35" spans="1:59" x14ac:dyDescent="0.25">
      <c r="A35" s="27">
        <f t="shared" si="33"/>
        <v>45792</v>
      </c>
      <c r="B35" s="233">
        <v>0.01</v>
      </c>
      <c r="C35" s="233">
        <v>7.4999999999999997E-3</v>
      </c>
      <c r="D35" s="230">
        <v>1.25E-3</v>
      </c>
      <c r="E35" s="234">
        <v>4.3749999999999997E-2</v>
      </c>
      <c r="F35" s="234">
        <v>3.7499999999999999E-2</v>
      </c>
      <c r="G35" s="234">
        <v>4.4999999999999998E-2</v>
      </c>
      <c r="H35" s="234">
        <v>0.04</v>
      </c>
      <c r="I35" s="234">
        <v>3.5000000000000003E-2</v>
      </c>
      <c r="J35" s="234">
        <v>0.03</v>
      </c>
      <c r="K35" s="233">
        <v>4.3749999999999997E-2</v>
      </c>
      <c r="L35" s="233">
        <v>3.7499999999999999E-2</v>
      </c>
      <c r="M35" s="235"/>
      <c r="N35" s="32">
        <f t="shared" si="34"/>
        <v>45792</v>
      </c>
      <c r="O35" s="35">
        <f>+IF($N35&gt;B$8,"FIN",(B$19-SUM(P$25:P34))*VLOOKUP($N35,$A:$M,2,0)/VLOOKUP(B$15,$J$1:$L$4,2,0))</f>
        <v>0.5</v>
      </c>
      <c r="P35" s="36">
        <f t="shared" si="20"/>
        <v>0</v>
      </c>
      <c r="Q35" s="36">
        <f t="shared" si="21"/>
        <v>0.5</v>
      </c>
      <c r="R35" s="34">
        <f t="shared" si="5"/>
        <v>0.31543171659082747</v>
      </c>
      <c r="S35" s="35">
        <f>+IF($N35&gt;C$8,"FIN",(C$19-SUM(T$25:T34))*VLOOKUP($N35,$A:$M,3,0)/VLOOKUP(C$15,$J$1:$L$4,2,0))</f>
        <v>0.36374999999999996</v>
      </c>
      <c r="T35" s="36">
        <f t="shared" si="6"/>
        <v>8.0833333333333339</v>
      </c>
      <c r="U35" s="36">
        <f t="shared" si="40"/>
        <v>8.4470833333333335</v>
      </c>
      <c r="V35" s="34">
        <f t="shared" si="8"/>
        <v>5.3289559920382041</v>
      </c>
      <c r="W35" s="35">
        <f>+IF($N35&gt;D$8,"FIN",(D$19-SUM(X$25:X34))*VLOOKUP($N35,$A:$M,4,0)/VLOOKUP(D$15,$J$1:$L$4,2,0))</f>
        <v>6.0624999999999998E-2</v>
      </c>
      <c r="X35" s="33">
        <f t="shared" si="9"/>
        <v>8.0833333333333339</v>
      </c>
      <c r="Y35" s="33">
        <f t="shared" si="22"/>
        <v>8.1439583333333339</v>
      </c>
      <c r="Z35" s="34">
        <f t="shared" si="35"/>
        <v>5.1377255138550151</v>
      </c>
      <c r="AA35" s="35">
        <f>+IF($N35&gt;E$8,"FIN",(E$19-SUM(AB$25:AB34))*VLOOKUP($N35,$A:$M,5,0)/VLOOKUP(E$15,$J$1:$L$4,2,0))</f>
        <v>2.1218749999999997</v>
      </c>
      <c r="AB35" s="36">
        <f t="shared" si="10"/>
        <v>0</v>
      </c>
      <c r="AC35" s="36">
        <f t="shared" si="11"/>
        <v>2.1218749999999997</v>
      </c>
      <c r="AD35" s="34">
        <f t="shared" si="12"/>
        <v>1.3386133472823238</v>
      </c>
      <c r="AE35" s="35">
        <f>+IF($N35&gt;F$8,"FIN",(F$19-SUM(AF$25:AF34))*VLOOKUP($N35,$A:$M,6,0)/VLOOKUP(F$15,$J$1:$L$4,2,0))</f>
        <v>1.8187499999999999</v>
      </c>
      <c r="AF35" s="36">
        <f t="shared" si="23"/>
        <v>0</v>
      </c>
      <c r="AG35" s="36">
        <f t="shared" si="24"/>
        <v>1.8187499999999999</v>
      </c>
      <c r="AH35" s="34">
        <f t="shared" si="36"/>
        <v>1.1473828690991348</v>
      </c>
      <c r="AI35" s="35">
        <f>+IF($N35&gt;G$8,"FIN",(G$19-SUM(AJ$25:AJ34))*VLOOKUP($N35,$A:$M,7,0)/VLOOKUP(G$15,$J$1:$L$4,2,0))</f>
        <v>2.25</v>
      </c>
      <c r="AJ35" s="36">
        <f t="shared" si="25"/>
        <v>0</v>
      </c>
      <c r="AK35" s="36">
        <f t="shared" si="13"/>
        <v>2.25</v>
      </c>
      <c r="AL35" s="34">
        <f t="shared" si="14"/>
        <v>1.4194427246587236</v>
      </c>
      <c r="AM35" s="35">
        <f>+IF($N35&gt;H$8,"FIN",(H$19-SUM(AN$25:AN34))*VLOOKUP($N35,$A:$M,8,0)/VLOOKUP(H$15,$J$1:$L$4,2,0))</f>
        <v>2</v>
      </c>
      <c r="AN35" s="36">
        <f t="shared" si="26"/>
        <v>0</v>
      </c>
      <c r="AO35" s="36">
        <f t="shared" si="27"/>
        <v>2</v>
      </c>
      <c r="AP35" s="34">
        <f t="shared" si="37"/>
        <v>1.2617268663633099</v>
      </c>
      <c r="AQ35" s="35">
        <f>+IF($N35&gt;I$8,"FIN",(I$19-SUM(AR$25:AR34))*VLOOKUP($N35,$A:$M,9,0)/VLOOKUP(I$15,$J$1:$L$4,2,0))</f>
        <v>1.7500000000000002</v>
      </c>
      <c r="AR35" s="36">
        <f t="shared" si="28"/>
        <v>0</v>
      </c>
      <c r="AS35" s="36">
        <f t="shared" si="15"/>
        <v>1.7500000000000002</v>
      </c>
      <c r="AT35" s="34">
        <f t="shared" si="16"/>
        <v>1.1040110080678962</v>
      </c>
      <c r="AU35" s="35">
        <f>+IF($N35&gt;J$8,"FIN",(J$19-SUM(AV$25:AV34))*VLOOKUP($N35,$A:$M,10,0)/VLOOKUP(J$15,$J$1:$L$4,2,0))</f>
        <v>1.5</v>
      </c>
      <c r="AV35" s="36">
        <f t="shared" si="29"/>
        <v>0</v>
      </c>
      <c r="AW35" s="36">
        <f t="shared" si="30"/>
        <v>1.5</v>
      </c>
      <c r="AX35" s="34">
        <f t="shared" si="38"/>
        <v>0.94629514977248241</v>
      </c>
      <c r="AY35" s="35">
        <f>+IF($N35&gt;K$8,"FIN",(K$19-SUM(AZ$25:AZ34))*VLOOKUP($N35,$A:$M,11,0)/VLOOKUP(K$15,$J$1:$L$4,2,0))</f>
        <v>2.1218749999999997</v>
      </c>
      <c r="AZ35" s="36">
        <f t="shared" si="17"/>
        <v>2.2045454545454546</v>
      </c>
      <c r="BA35" s="36">
        <f t="shared" si="18"/>
        <v>4.3264204545454543</v>
      </c>
      <c r="BB35" s="34">
        <f t="shared" si="19"/>
        <v>2.7293804613418811</v>
      </c>
      <c r="BC35" s="35">
        <f>+IF($N35&gt;L$8,"FIN",(L$19-SUM(BD$25:BD34))*VLOOKUP($N35,$A:$M,12,0)/VLOOKUP(L$15,$J$1:$L$4,2,0))</f>
        <v>1.8187499999999999</v>
      </c>
      <c r="BD35" s="36">
        <f t="shared" si="31"/>
        <v>2.2045454545454546</v>
      </c>
      <c r="BE35" s="36">
        <f t="shared" si="32"/>
        <v>4.0232954545454547</v>
      </c>
      <c r="BF35" s="34">
        <f t="shared" si="39"/>
        <v>2.5381499831586924</v>
      </c>
      <c r="BG35" s="4"/>
    </row>
    <row r="36" spans="1:59" x14ac:dyDescent="0.25">
      <c r="A36" s="27">
        <f t="shared" si="33"/>
        <v>45976</v>
      </c>
      <c r="B36" s="233">
        <v>0.01</v>
      </c>
      <c r="C36" s="233">
        <v>7.4999999999999997E-3</v>
      </c>
      <c r="D36" s="230">
        <v>1.25E-3</v>
      </c>
      <c r="E36" s="234">
        <v>4.3749999999999997E-2</v>
      </c>
      <c r="F36" s="234">
        <v>3.7499999999999999E-2</v>
      </c>
      <c r="G36" s="234">
        <v>4.4999999999999998E-2</v>
      </c>
      <c r="H36" s="234">
        <v>0.04</v>
      </c>
      <c r="I36" s="234">
        <v>3.5000000000000003E-2</v>
      </c>
      <c r="J36" s="234">
        <v>0.03</v>
      </c>
      <c r="K36" s="233">
        <v>4.3749999999999997E-2</v>
      </c>
      <c r="L36" s="233">
        <v>3.7499999999999999E-2</v>
      </c>
      <c r="M36" s="235"/>
      <c r="N36" s="32">
        <f t="shared" si="34"/>
        <v>45976</v>
      </c>
      <c r="O36" s="35">
        <f>+IF($N36&gt;B$8,"FIN",(B$19-SUM(P$25:P35))*VLOOKUP($N36,$A:$M,2,0)/VLOOKUP(B$15,$J$1:$L$4,2,0))</f>
        <v>0.5</v>
      </c>
      <c r="P36" s="36">
        <f t="shared" si="20"/>
        <v>0</v>
      </c>
      <c r="Q36" s="36">
        <f t="shared" si="21"/>
        <v>0.5</v>
      </c>
      <c r="R36" s="34">
        <f t="shared" si="5"/>
        <v>0.30075234123087219</v>
      </c>
      <c r="S36" s="35">
        <f>+IF($N36&gt;C$8,"FIN",(C$19-SUM(T$25:T35))*VLOOKUP($N36,$A:$M,3,0)/VLOOKUP(C$15,$J$1:$L$4,2,0))</f>
        <v>0.3334375</v>
      </c>
      <c r="T36" s="36">
        <f t="shared" si="6"/>
        <v>8.0833333333333339</v>
      </c>
      <c r="U36" s="36">
        <f t="shared" si="40"/>
        <v>8.4167708333333344</v>
      </c>
      <c r="V36" s="34">
        <f t="shared" si="8"/>
        <v>5.0627270674574394</v>
      </c>
      <c r="W36" s="35">
        <f>+IF($N36&gt;D$8,"FIN",(D$19-SUM(X$25:X35))*VLOOKUP($N36,$A:$M,4,0)/VLOOKUP(D$15,$J$1:$L$4,2,0))</f>
        <v>5.5572916666666673E-2</v>
      </c>
      <c r="X36" s="33">
        <f t="shared" si="9"/>
        <v>8.0833333333333339</v>
      </c>
      <c r="Y36" s="33">
        <f t="shared" si="22"/>
        <v>8.1389062499999998</v>
      </c>
      <c r="Z36" s="34">
        <f t="shared" si="35"/>
        <v>4.8955902194921572</v>
      </c>
      <c r="AA36" s="35">
        <f>+IF($N36&gt;E$8,"FIN",(E$19-SUM(AB$25:AB35))*VLOOKUP($N36,$A:$M,5,0)/VLOOKUP(E$15,$J$1:$L$4,2,0))</f>
        <v>2.1218749999999997</v>
      </c>
      <c r="AB36" s="36">
        <f t="shared" si="10"/>
        <v>0</v>
      </c>
      <c r="AC36" s="36">
        <f t="shared" si="11"/>
        <v>2.1218749999999997</v>
      </c>
      <c r="AD36" s="34">
        <f t="shared" si="12"/>
        <v>1.2763177480985137</v>
      </c>
      <c r="AE36" s="35">
        <f>+IF($N36&gt;F$8,"FIN",(F$19-SUM(AF$25:AF35))*VLOOKUP($N36,$A:$M,6,0)/VLOOKUP(F$15,$J$1:$L$4,2,0))</f>
        <v>1.8187499999999999</v>
      </c>
      <c r="AF36" s="36">
        <f t="shared" si="23"/>
        <v>0</v>
      </c>
      <c r="AG36" s="36">
        <f t="shared" si="24"/>
        <v>1.8187499999999999</v>
      </c>
      <c r="AH36" s="34">
        <f t="shared" si="36"/>
        <v>1.0939866412272976</v>
      </c>
      <c r="AI36" s="35">
        <f>+IF($N36&gt;G$8,"FIN",(G$19-SUM(AJ$25:AJ35))*VLOOKUP($N36,$A:$M,7,0)/VLOOKUP(G$15,$J$1:$L$4,2,0))</f>
        <v>2.25</v>
      </c>
      <c r="AJ36" s="36">
        <f t="shared" si="25"/>
        <v>0</v>
      </c>
      <c r="AK36" s="36">
        <f t="shared" si="13"/>
        <v>2.25</v>
      </c>
      <c r="AL36" s="34">
        <f t="shared" si="14"/>
        <v>1.353385535538925</v>
      </c>
      <c r="AM36" s="35">
        <f>+IF($N36&gt;H$8,"FIN",(H$19-SUM(AN$25:AN35))*VLOOKUP($N36,$A:$M,8,0)/VLOOKUP(H$15,$J$1:$L$4,2,0))</f>
        <v>2</v>
      </c>
      <c r="AN36" s="36">
        <f t="shared" si="26"/>
        <v>0</v>
      </c>
      <c r="AO36" s="36">
        <f t="shared" si="27"/>
        <v>2</v>
      </c>
      <c r="AP36" s="34">
        <f t="shared" si="37"/>
        <v>1.2030093649234888</v>
      </c>
      <c r="AQ36" s="35">
        <f>+IF($N36&gt;I$8,"FIN",(I$19-SUM(AR$25:AR35))*VLOOKUP($N36,$A:$M,9,0)/VLOOKUP(I$15,$J$1:$L$4,2,0))</f>
        <v>1.7500000000000002</v>
      </c>
      <c r="AR36" s="36">
        <f t="shared" si="28"/>
        <v>0</v>
      </c>
      <c r="AS36" s="36">
        <f t="shared" si="15"/>
        <v>1.7500000000000002</v>
      </c>
      <c r="AT36" s="34">
        <f t="shared" si="16"/>
        <v>1.0526331943080529</v>
      </c>
      <c r="AU36" s="35">
        <f>+IF($N36&gt;J$8,"FIN",(J$19-SUM(AV$25:AV35))*VLOOKUP($N36,$A:$M,10,0)/VLOOKUP(J$15,$J$1:$L$4,2,0))</f>
        <v>1.5</v>
      </c>
      <c r="AV36" s="36">
        <f t="shared" si="29"/>
        <v>0</v>
      </c>
      <c r="AW36" s="36">
        <f t="shared" si="30"/>
        <v>1.5</v>
      </c>
      <c r="AX36" s="34">
        <f t="shared" si="38"/>
        <v>0.90225702369261662</v>
      </c>
      <c r="AY36" s="35">
        <f>+IF($N36&gt;K$8,"FIN",(K$19-SUM(AZ$25:AZ35))*VLOOKUP($N36,$A:$M,11,0)/VLOOKUP(K$15,$J$1:$L$4,2,0))</f>
        <v>2.0736505681818183</v>
      </c>
      <c r="AZ36" s="36">
        <f t="shared" si="17"/>
        <v>2.2045454545454546</v>
      </c>
      <c r="BA36" s="36">
        <f t="shared" si="18"/>
        <v>4.2781960227272728</v>
      </c>
      <c r="BB36" s="34">
        <f t="shared" si="19"/>
        <v>2.5733549401596663</v>
      </c>
      <c r="BC36" s="35">
        <f>+IF($N36&gt;L$8,"FIN",(L$19-SUM(BD$25:BD35))*VLOOKUP($N36,$A:$M,12,0)/VLOOKUP(L$15,$J$1:$L$4,2,0))</f>
        <v>1.7774147727272727</v>
      </c>
      <c r="BD36" s="36">
        <f t="shared" si="31"/>
        <v>2.2045454545454546</v>
      </c>
      <c r="BE36" s="36">
        <f t="shared" si="32"/>
        <v>3.9819602272727272</v>
      </c>
      <c r="BF36" s="34">
        <f t="shared" si="39"/>
        <v>2.3951677220809775</v>
      </c>
      <c r="BG36" s="4"/>
    </row>
    <row r="37" spans="1:59" x14ac:dyDescent="0.25">
      <c r="A37" s="27">
        <f t="shared" si="33"/>
        <v>46157</v>
      </c>
      <c r="B37" s="233">
        <v>0.01</v>
      </c>
      <c r="C37" s="233">
        <v>7.4999999999999997E-3</v>
      </c>
      <c r="D37" s="230">
        <v>1.25E-3</v>
      </c>
      <c r="E37" s="234">
        <v>4.3749999999999997E-2</v>
      </c>
      <c r="F37" s="234">
        <v>0.04</v>
      </c>
      <c r="G37" s="234">
        <v>4.4999999999999998E-2</v>
      </c>
      <c r="H37" s="234">
        <v>0.04</v>
      </c>
      <c r="I37" s="234">
        <v>3.5000000000000003E-2</v>
      </c>
      <c r="J37" s="234">
        <v>0.03</v>
      </c>
      <c r="K37" s="233">
        <v>4.3749999999999997E-2</v>
      </c>
      <c r="L37" s="233">
        <v>0.04</v>
      </c>
      <c r="M37" s="235"/>
      <c r="N37" s="32">
        <f t="shared" si="34"/>
        <v>46157</v>
      </c>
      <c r="O37" s="35">
        <f>+IF($N37&gt;B$8,"FIN",(B$19-SUM(P$25:P36))*VLOOKUP($N37,$A:$M,2,0)/VLOOKUP(B$15,$J$1:$L$4,2,0))</f>
        <v>0.5</v>
      </c>
      <c r="P37" s="36">
        <f t="shared" si="20"/>
        <v>0</v>
      </c>
      <c r="Q37" s="36">
        <f t="shared" si="21"/>
        <v>0.5</v>
      </c>
      <c r="R37" s="34">
        <f t="shared" si="5"/>
        <v>0.28675610599166129</v>
      </c>
      <c r="S37" s="35">
        <f>+IF($N37&gt;C$8,"FIN",(C$19-SUM(T$25:T36))*VLOOKUP($N37,$A:$M,3,0)/VLOOKUP(C$15,$J$1:$L$4,2,0))</f>
        <v>0.30312499999999998</v>
      </c>
      <c r="T37" s="36">
        <f t="shared" si="6"/>
        <v>8.0833333333333339</v>
      </c>
      <c r="U37" s="36">
        <f t="shared" si="40"/>
        <v>8.3864583333333336</v>
      </c>
      <c r="V37" s="34">
        <f t="shared" si="8"/>
        <v>4.8097362694559695</v>
      </c>
      <c r="W37" s="35">
        <f>+IF($N37&gt;D$8,"FIN",(D$19-SUM(X$25:X36))*VLOOKUP($N37,$A:$M,4,0)/VLOOKUP(D$15,$J$1:$L$4,2,0))</f>
        <v>5.0520833333333334E-2</v>
      </c>
      <c r="X37" s="33">
        <f t="shared" si="9"/>
        <v>8.0833333333333339</v>
      </c>
      <c r="Y37" s="33">
        <f t="shared" si="22"/>
        <v>8.1338541666666675</v>
      </c>
      <c r="Z37" s="34">
        <f t="shared" si="35"/>
        <v>4.6648646950747654</v>
      </c>
      <c r="AA37" s="35">
        <f>+IF($N37&gt;E$8,"FIN",(E$19-SUM(AB$25:AB36))*VLOOKUP($N37,$A:$M,5,0)/VLOOKUP(E$15,$J$1:$L$4,2,0))</f>
        <v>2.1218749999999997</v>
      </c>
      <c r="AB37" s="36">
        <f t="shared" si="10"/>
        <v>0</v>
      </c>
      <c r="AC37" s="36">
        <f t="shared" si="11"/>
        <v>2.1218749999999997</v>
      </c>
      <c r="AD37" s="34">
        <f t="shared" si="12"/>
        <v>1.2169212248021124</v>
      </c>
      <c r="AE37" s="35">
        <f>+IF($N37&gt;F$8,"FIN",(F$19-SUM(AF$25:AF36))*VLOOKUP($N37,$A:$M,6,0)/VLOOKUP(F$15,$J$1:$L$4,2,0))</f>
        <v>1.94</v>
      </c>
      <c r="AF37" s="36">
        <f t="shared" si="23"/>
        <v>0</v>
      </c>
      <c r="AG37" s="36">
        <f t="shared" si="24"/>
        <v>1.94</v>
      </c>
      <c r="AH37" s="34">
        <f t="shared" si="36"/>
        <v>1.1126136912476459</v>
      </c>
      <c r="AI37" s="35">
        <f>+IF($N37&gt;G$8,"FIN",(G$19-SUM(AJ$25:AJ36))*VLOOKUP($N37,$A:$M,7,0)/VLOOKUP(G$15,$J$1:$L$4,2,0))</f>
        <v>2.25</v>
      </c>
      <c r="AJ37" s="36">
        <f t="shared" si="25"/>
        <v>0</v>
      </c>
      <c r="AK37" s="36">
        <f t="shared" si="13"/>
        <v>2.25</v>
      </c>
      <c r="AL37" s="34">
        <f t="shared" si="14"/>
        <v>1.2904024769624758</v>
      </c>
      <c r="AM37" s="35">
        <f>+IF($N37&gt;H$8,"FIN",(H$19-SUM(AN$25:AN36))*VLOOKUP($N37,$A:$M,8,0)/VLOOKUP(H$15,$J$1:$L$4,2,0))</f>
        <v>2</v>
      </c>
      <c r="AN37" s="36">
        <f t="shared" si="26"/>
        <v>0</v>
      </c>
      <c r="AO37" s="36">
        <f t="shared" si="27"/>
        <v>2</v>
      </c>
      <c r="AP37" s="34">
        <f t="shared" si="37"/>
        <v>1.1470244239666452</v>
      </c>
      <c r="AQ37" s="35">
        <f>+IF($N37&gt;I$8,"FIN",(I$19-SUM(AR$25:AR36))*VLOOKUP($N37,$A:$M,9,0)/VLOOKUP(I$15,$J$1:$L$4,2,0))</f>
        <v>1.7500000000000002</v>
      </c>
      <c r="AR37" s="36">
        <f t="shared" si="28"/>
        <v>0</v>
      </c>
      <c r="AS37" s="36">
        <f t="shared" si="15"/>
        <v>1.7500000000000002</v>
      </c>
      <c r="AT37" s="34">
        <f t="shared" si="16"/>
        <v>1.0036463709708148</v>
      </c>
      <c r="AU37" s="35">
        <f>+IF($N37&gt;J$8,"FIN",(J$19-SUM(AV$25:AV36))*VLOOKUP($N37,$A:$M,10,0)/VLOOKUP(J$15,$J$1:$L$4,2,0))</f>
        <v>1.5</v>
      </c>
      <c r="AV37" s="36">
        <f t="shared" si="29"/>
        <v>0</v>
      </c>
      <c r="AW37" s="36">
        <f t="shared" si="30"/>
        <v>1.5</v>
      </c>
      <c r="AX37" s="34">
        <f t="shared" si="38"/>
        <v>0.86026831797498393</v>
      </c>
      <c r="AY37" s="35">
        <f>+IF($N37&gt;K$8,"FIN",(K$19-SUM(AZ$25:AZ36))*VLOOKUP($N37,$A:$M,11,0)/VLOOKUP(K$15,$J$1:$L$4,2,0))</f>
        <v>2.0254261363636363</v>
      </c>
      <c r="AZ37" s="36">
        <f t="shared" si="17"/>
        <v>2.2045454545454546</v>
      </c>
      <c r="BA37" s="36">
        <f t="shared" si="18"/>
        <v>4.2299715909090914</v>
      </c>
      <c r="BB37" s="34">
        <f t="shared" si="19"/>
        <v>2.4259403637288872</v>
      </c>
      <c r="BC37" s="35">
        <f>+IF($N37&gt;L$8,"FIN",(L$19-SUM(BD$25:BD36))*VLOOKUP($N37,$A:$M,12,0)/VLOOKUP(L$15,$J$1:$L$4,2,0))</f>
        <v>1.8518181818181818</v>
      </c>
      <c r="BD37" s="36">
        <f t="shared" si="31"/>
        <v>2.2045454545454546</v>
      </c>
      <c r="BE37" s="36">
        <f t="shared" si="32"/>
        <v>4.0563636363636366</v>
      </c>
      <c r="BF37" s="34">
        <f t="shared" si="39"/>
        <v>2.3263740816996235</v>
      </c>
      <c r="BG37" s="4"/>
    </row>
    <row r="38" spans="1:59" x14ac:dyDescent="0.25">
      <c r="A38" s="27">
        <f t="shared" si="33"/>
        <v>46341</v>
      </c>
      <c r="B38" s="233">
        <v>0.01</v>
      </c>
      <c r="C38" s="233">
        <v>7.4999999999999997E-3</v>
      </c>
      <c r="D38" s="230">
        <v>1.25E-3</v>
      </c>
      <c r="E38" s="234">
        <v>4.3749999999999997E-2</v>
      </c>
      <c r="F38" s="234">
        <v>0.04</v>
      </c>
      <c r="G38" s="234">
        <v>4.4999999999999998E-2</v>
      </c>
      <c r="H38" s="234">
        <v>0.04</v>
      </c>
      <c r="I38" s="234">
        <v>3.5000000000000003E-2</v>
      </c>
      <c r="J38" s="234">
        <v>0.03</v>
      </c>
      <c r="K38" s="233">
        <v>4.3749999999999997E-2</v>
      </c>
      <c r="L38" s="233">
        <v>0.04</v>
      </c>
      <c r="M38" s="235"/>
      <c r="N38" s="32">
        <f t="shared" si="34"/>
        <v>46341</v>
      </c>
      <c r="O38" s="35">
        <f>+IF($N38&gt;B$8,"FIN",(B$19-SUM(P$25:P37))*VLOOKUP($N38,$A:$M,2,0)/VLOOKUP(B$15,$J$1:$L$4,2,0))</f>
        <v>0.5</v>
      </c>
      <c r="P38" s="36">
        <f t="shared" si="20"/>
        <v>12.5</v>
      </c>
      <c r="Q38" s="36">
        <f t="shared" si="21"/>
        <v>13</v>
      </c>
      <c r="R38" s="34">
        <f t="shared" si="5"/>
        <v>7.1086917018206144</v>
      </c>
      <c r="S38" s="35">
        <f>+IF($N38&gt;C$8,"FIN",(C$19-SUM(T$25:T37))*VLOOKUP($N38,$A:$M,3,0)/VLOOKUP(C$15,$J$1:$L$4,2,0))</f>
        <v>0.27281250000000001</v>
      </c>
      <c r="T38" s="36">
        <f t="shared" si="6"/>
        <v>8.0833333333333339</v>
      </c>
      <c r="U38" s="36">
        <f t="shared" si="40"/>
        <v>8.3561458333333345</v>
      </c>
      <c r="V38" s="34">
        <f t="shared" si="8"/>
        <v>4.5693280418938134</v>
      </c>
      <c r="W38" s="35">
        <f>+IF($N38&gt;D$8,"FIN",(D$19-SUM(X$25:X37))*VLOOKUP($N38,$A:$M,4,0)/VLOOKUP(D$15,$J$1:$L$4,2,0))</f>
        <v>4.5468750000000002E-2</v>
      </c>
      <c r="X38" s="33">
        <f t="shared" si="9"/>
        <v>8.0833333333333339</v>
      </c>
      <c r="Y38" s="33">
        <f t="shared" si="22"/>
        <v>8.1288020833333334</v>
      </c>
      <c r="Z38" s="34">
        <f t="shared" si="35"/>
        <v>4.4450113781179841</v>
      </c>
      <c r="AA38" s="35">
        <f>+IF($N38&gt;E$8,"FIN",(E$19-SUM(AB$25:AB37))*VLOOKUP($N38,$A:$M,5,0)/VLOOKUP(E$15,$J$1:$L$4,2,0))</f>
        <v>2.1218749999999997</v>
      </c>
      <c r="AB38" s="36">
        <f t="shared" si="10"/>
        <v>0</v>
      </c>
      <c r="AC38" s="36">
        <f t="shared" si="11"/>
        <v>2.1218749999999997</v>
      </c>
      <c r="AD38" s="34">
        <f t="shared" si="12"/>
        <v>1.1602888619077396</v>
      </c>
      <c r="AE38" s="35">
        <f>+IF($N38&gt;F$8,"FIN",(F$19-SUM(AF$25:AF37))*VLOOKUP($N38,$A:$M,6,0)/VLOOKUP(F$15,$J$1:$L$4,2,0))</f>
        <v>1.94</v>
      </c>
      <c r="AF38" s="36">
        <f t="shared" si="23"/>
        <v>0</v>
      </c>
      <c r="AG38" s="36">
        <f t="shared" si="24"/>
        <v>1.94</v>
      </c>
      <c r="AH38" s="34">
        <f t="shared" si="36"/>
        <v>1.0608355308870763</v>
      </c>
      <c r="AI38" s="35">
        <f>+IF($N38&gt;G$8,"FIN",(G$19-SUM(AJ$25:AJ37))*VLOOKUP($N38,$A:$M,7,0)/VLOOKUP(G$15,$J$1:$L$4,2,0))</f>
        <v>2.25</v>
      </c>
      <c r="AJ38" s="36">
        <f t="shared" si="25"/>
        <v>0</v>
      </c>
      <c r="AK38" s="36">
        <f t="shared" si="13"/>
        <v>2.25</v>
      </c>
      <c r="AL38" s="34">
        <f t="shared" si="14"/>
        <v>1.230350486853568</v>
      </c>
      <c r="AM38" s="35">
        <f>+IF($N38&gt;H$8,"FIN",(H$19-SUM(AN$25:AN37))*VLOOKUP($N38,$A:$M,8,0)/VLOOKUP(H$15,$J$1:$L$4,2,0))</f>
        <v>2</v>
      </c>
      <c r="AN38" s="36">
        <f t="shared" si="26"/>
        <v>0</v>
      </c>
      <c r="AO38" s="36">
        <f t="shared" si="27"/>
        <v>2</v>
      </c>
      <c r="AP38" s="34">
        <f t="shared" si="37"/>
        <v>1.0936448772031715</v>
      </c>
      <c r="AQ38" s="35">
        <f>+IF($N38&gt;I$8,"FIN",(I$19-SUM(AR$25:AR37))*VLOOKUP($N38,$A:$M,9,0)/VLOOKUP(I$15,$J$1:$L$4,2,0))</f>
        <v>1.7500000000000002</v>
      </c>
      <c r="AR38" s="36">
        <f t="shared" si="28"/>
        <v>0</v>
      </c>
      <c r="AS38" s="36">
        <f t="shared" si="15"/>
        <v>1.7500000000000002</v>
      </c>
      <c r="AT38" s="34">
        <f t="shared" si="16"/>
        <v>0.95693926755277514</v>
      </c>
      <c r="AU38" s="35">
        <f>+IF($N38&gt;J$8,"FIN",(J$19-SUM(AV$25:AV37))*VLOOKUP($N38,$A:$M,10,0)/VLOOKUP(J$15,$J$1:$L$4,2,0))</f>
        <v>1.5</v>
      </c>
      <c r="AV38" s="36">
        <f t="shared" si="29"/>
        <v>0</v>
      </c>
      <c r="AW38" s="36">
        <f t="shared" si="30"/>
        <v>1.5</v>
      </c>
      <c r="AX38" s="34">
        <f t="shared" si="38"/>
        <v>0.82023365790237857</v>
      </c>
      <c r="AY38" s="35">
        <f>+IF($N38&gt;K$8,"FIN",(K$19-SUM(AZ$25:AZ37))*VLOOKUP($N38,$A:$M,11,0)/VLOOKUP(K$15,$J$1:$L$4,2,0))</f>
        <v>1.9772017045454544</v>
      </c>
      <c r="AZ38" s="36">
        <f t="shared" si="17"/>
        <v>2.2045454545454546</v>
      </c>
      <c r="BA38" s="36">
        <f t="shared" si="18"/>
        <v>4.181747159090909</v>
      </c>
      <c r="BB38" s="34">
        <f t="shared" si="19"/>
        <v>2.2866731791493442</v>
      </c>
      <c r="BC38" s="35">
        <f>+IF($N38&gt;L$8,"FIN",(L$19-SUM(BD$25:BD37))*VLOOKUP($N38,$A:$M,12,0)/VLOOKUP(L$15,$J$1:$L$4,2,0))</f>
        <v>1.8077272727272728</v>
      </c>
      <c r="BD38" s="36">
        <f t="shared" si="31"/>
        <v>2.2045454545454546</v>
      </c>
      <c r="BE38" s="36">
        <f t="shared" si="32"/>
        <v>4.0122727272727277</v>
      </c>
      <c r="BF38" s="34">
        <f t="shared" si="39"/>
        <v>2.1940007570619078</v>
      </c>
      <c r="BG38" s="4"/>
    </row>
    <row r="39" spans="1:59" x14ac:dyDescent="0.25">
      <c r="A39" s="27">
        <f t="shared" si="33"/>
        <v>46522</v>
      </c>
      <c r="B39" s="233">
        <v>0.01</v>
      </c>
      <c r="C39" s="233">
        <v>7.4999999999999997E-3</v>
      </c>
      <c r="D39" s="230">
        <v>1.25E-3</v>
      </c>
      <c r="E39" s="234">
        <v>4.3749999999999997E-2</v>
      </c>
      <c r="F39" s="234">
        <v>0.04</v>
      </c>
      <c r="G39" s="234">
        <v>0.05</v>
      </c>
      <c r="H39" s="234">
        <v>4.2500000000000003E-2</v>
      </c>
      <c r="I39" s="234">
        <v>3.5000000000000003E-2</v>
      </c>
      <c r="J39" s="234">
        <v>0.03</v>
      </c>
      <c r="K39" s="233">
        <v>4.3749999999999997E-2</v>
      </c>
      <c r="L39" s="233">
        <v>4.1250000000000002E-2</v>
      </c>
      <c r="M39" s="235"/>
      <c r="N39" s="32">
        <f t="shared" si="34"/>
        <v>46522</v>
      </c>
      <c r="O39" s="35">
        <f>+IF($N39&gt;B$8,"FIN",(B$19-SUM(P$25:P38))*VLOOKUP($N39,$A:$M,2,0)/VLOOKUP(B$15,$J$1:$L$4,2,0))</f>
        <v>0.4375</v>
      </c>
      <c r="P39" s="36">
        <f t="shared" si="20"/>
        <v>12.5</v>
      </c>
      <c r="Q39" s="36">
        <f t="shared" si="21"/>
        <v>12.9375</v>
      </c>
      <c r="R39" s="34">
        <f t="shared" si="5"/>
        <v>6.7452856750311234</v>
      </c>
      <c r="S39" s="35">
        <f>+IF($N39&gt;C$8,"FIN",(C$19-SUM(T$25:T38))*VLOOKUP($N39,$A:$M,3,0)/VLOOKUP(C$15,$J$1:$L$4,2,0))</f>
        <v>0.24249999999999997</v>
      </c>
      <c r="T39" s="36">
        <f t="shared" si="6"/>
        <v>8.0833333333333339</v>
      </c>
      <c r="U39" s="36">
        <f t="shared" si="40"/>
        <v>8.3258333333333336</v>
      </c>
      <c r="V39" s="34">
        <f t="shared" si="8"/>
        <v>4.3408791741858908</v>
      </c>
      <c r="W39" s="35">
        <f>+IF($N39&gt;D$8,"FIN",(D$19-SUM(X$25:X38))*VLOOKUP($N39,$A:$M,4,0)/VLOOKUP(D$15,$J$1:$L$4,2,0))</f>
        <v>4.0416666666666663E-2</v>
      </c>
      <c r="X39" s="33">
        <f t="shared" si="9"/>
        <v>8.0833333333333339</v>
      </c>
      <c r="Y39" s="33">
        <f t="shared" si="22"/>
        <v>8.1237500000000011</v>
      </c>
      <c r="Z39" s="34">
        <f t="shared" si="35"/>
        <v>4.235518029181379</v>
      </c>
      <c r="AA39" s="35">
        <f>+IF($N39&gt;E$8,"FIN",(E$19-SUM(AB$25:AB38))*VLOOKUP($N39,$A:$M,5,0)/VLOOKUP(E$15,$J$1:$L$4,2,0))</f>
        <v>2.1218749999999997</v>
      </c>
      <c r="AB39" s="36">
        <f t="shared" si="10"/>
        <v>0</v>
      </c>
      <c r="AC39" s="36">
        <f t="shared" si="11"/>
        <v>2.1218749999999997</v>
      </c>
      <c r="AD39" s="34">
        <f t="shared" si="12"/>
        <v>1.1062920225473749</v>
      </c>
      <c r="AE39" s="35">
        <f>+IF($N39&gt;F$8,"FIN",(F$19-SUM(AF$25:AF38))*VLOOKUP($N39,$A:$M,6,0)/VLOOKUP(F$15,$J$1:$L$4,2,0))</f>
        <v>1.94</v>
      </c>
      <c r="AF39" s="36">
        <f t="shared" si="23"/>
        <v>0</v>
      </c>
      <c r="AG39" s="36">
        <f t="shared" si="24"/>
        <v>1.94</v>
      </c>
      <c r="AH39" s="34">
        <f t="shared" si="36"/>
        <v>1.0114669920433144</v>
      </c>
      <c r="AI39" s="35">
        <f>+IF($N39&gt;G$8,"FIN",(G$19-SUM(AJ$25:AJ38))*VLOOKUP($N39,$A:$M,7,0)/VLOOKUP(G$15,$J$1:$L$4,2,0))</f>
        <v>2.5</v>
      </c>
      <c r="AJ39" s="36">
        <f t="shared" si="25"/>
        <v>0</v>
      </c>
      <c r="AK39" s="36">
        <f t="shared" si="13"/>
        <v>2.5</v>
      </c>
      <c r="AL39" s="34">
        <f t="shared" si="14"/>
        <v>1.3034368454166423</v>
      </c>
      <c r="AM39" s="35">
        <f>+IF($N39&gt;H$8,"FIN",(H$19-SUM(AN$25:AN38))*VLOOKUP($N39,$A:$M,8,0)/VLOOKUP(H$15,$J$1:$L$4,2,0))</f>
        <v>2.125</v>
      </c>
      <c r="AN39" s="36">
        <f t="shared" si="26"/>
        <v>0</v>
      </c>
      <c r="AO39" s="36">
        <f t="shared" si="27"/>
        <v>2.125</v>
      </c>
      <c r="AP39" s="34">
        <f t="shared" si="37"/>
        <v>1.1079213186041459</v>
      </c>
      <c r="AQ39" s="35">
        <f>+IF($N39&gt;I$8,"FIN",(I$19-SUM(AR$25:AR38))*VLOOKUP($N39,$A:$M,9,0)/VLOOKUP(I$15,$J$1:$L$4,2,0))</f>
        <v>1.7500000000000002</v>
      </c>
      <c r="AR39" s="36">
        <f t="shared" si="28"/>
        <v>3.3333333333333335</v>
      </c>
      <c r="AS39" s="36">
        <f t="shared" si="15"/>
        <v>5.0833333333333339</v>
      </c>
      <c r="AT39" s="34">
        <f t="shared" si="16"/>
        <v>2.6503215856805062</v>
      </c>
      <c r="AU39" s="35">
        <f>+IF($N39&gt;J$8,"FIN",(J$19-SUM(AV$25:AV38))*VLOOKUP($N39,$A:$M,10,0)/VLOOKUP(J$15,$J$1:$L$4,2,0))</f>
        <v>1.5</v>
      </c>
      <c r="AV39" s="36">
        <f t="shared" si="29"/>
        <v>3.3333333333333335</v>
      </c>
      <c r="AW39" s="36">
        <f t="shared" si="30"/>
        <v>4.8333333333333339</v>
      </c>
      <c r="AX39" s="34">
        <f t="shared" si="38"/>
        <v>2.5199779011388417</v>
      </c>
      <c r="AY39" s="35">
        <f>+IF($N39&gt;K$8,"FIN",(K$19-SUM(AZ$25:AZ38))*VLOOKUP($N39,$A:$M,11,0)/VLOOKUP(K$15,$J$1:$L$4,2,0))</f>
        <v>1.9289772727272727</v>
      </c>
      <c r="AZ39" s="36">
        <f t="shared" si="17"/>
        <v>2.2045454545454546</v>
      </c>
      <c r="BA39" s="36">
        <f t="shared" si="18"/>
        <v>4.1335227272727275</v>
      </c>
      <c r="BB39" s="34">
        <f t="shared" si="19"/>
        <v>2.1551143296377435</v>
      </c>
      <c r="BC39" s="35">
        <f>+IF($N39&gt;L$8,"FIN",(L$19-SUM(BD$25:BD38))*VLOOKUP($N39,$A:$M,12,0)/VLOOKUP(L$15,$J$1:$L$4,2,0))</f>
        <v>1.8187500000000001</v>
      </c>
      <c r="BD39" s="36">
        <f t="shared" si="31"/>
        <v>2.2045454545454546</v>
      </c>
      <c r="BE39" s="36">
        <f t="shared" si="32"/>
        <v>4.0232954545454547</v>
      </c>
      <c r="BF39" s="34">
        <f t="shared" si="39"/>
        <v>2.0976446141807372</v>
      </c>
      <c r="BG39" s="4"/>
    </row>
    <row r="40" spans="1:59" x14ac:dyDescent="0.25">
      <c r="A40" s="27">
        <f t="shared" si="33"/>
        <v>46706</v>
      </c>
      <c r="B40" s="233">
        <v>0.01</v>
      </c>
      <c r="C40" s="233">
        <v>7.4999999999999997E-3</v>
      </c>
      <c r="D40" s="230">
        <v>1.25E-3</v>
      </c>
      <c r="E40" s="234">
        <v>4.3749999999999997E-2</v>
      </c>
      <c r="F40" s="234">
        <v>0.04</v>
      </c>
      <c r="G40" s="234">
        <v>0.05</v>
      </c>
      <c r="H40" s="234">
        <v>4.2500000000000003E-2</v>
      </c>
      <c r="I40" s="234">
        <v>3.5000000000000003E-2</v>
      </c>
      <c r="J40" s="234">
        <v>0.03</v>
      </c>
      <c r="K40" s="233">
        <v>4.3749999999999997E-2</v>
      </c>
      <c r="L40" s="233">
        <v>4.1250000000000002E-2</v>
      </c>
      <c r="M40" s="235"/>
      <c r="N40" s="32">
        <f t="shared" si="34"/>
        <v>46706</v>
      </c>
      <c r="O40" s="35">
        <f>+IF($N40&gt;B$8,"FIN",(B$19-SUM(P$25:P39))*VLOOKUP($N40,$A:$M,2,0)/VLOOKUP(B$15,$J$1:$L$4,2,0))</f>
        <v>0.375</v>
      </c>
      <c r="P40" s="36">
        <f t="shared" si="20"/>
        <v>12.5</v>
      </c>
      <c r="Q40" s="36">
        <f t="shared" si="21"/>
        <v>12.875</v>
      </c>
      <c r="R40" s="34">
        <f t="shared" si="5"/>
        <v>6.4003080881776517</v>
      </c>
      <c r="S40" s="35">
        <f>+IF($N40&gt;C$8,"FIN",(C$19-SUM(T$25:T39))*VLOOKUP($N40,$A:$M,3,0)/VLOOKUP(C$15,$J$1:$L$4,2,0))</f>
        <v>0.21218749999999997</v>
      </c>
      <c r="T40" s="36">
        <f t="shared" si="6"/>
        <v>8.0833333333333339</v>
      </c>
      <c r="U40" s="36">
        <f t="shared" si="40"/>
        <v>8.2955208333333346</v>
      </c>
      <c r="V40" s="34">
        <f t="shared" si="8"/>
        <v>4.1237972105032661</v>
      </c>
      <c r="W40" s="35">
        <f>+IF($N40&gt;D$8,"FIN",(D$19-SUM(X$25:X39))*VLOOKUP($N40,$A:$M,4,0)/VLOOKUP(D$15,$J$1:$L$4,2,0))</f>
        <v>3.5364583333333331E-2</v>
      </c>
      <c r="X40" s="33">
        <f t="shared" si="9"/>
        <v>8.0833333333333339</v>
      </c>
      <c r="Y40" s="33">
        <f t="shared" si="22"/>
        <v>8.1186979166666671</v>
      </c>
      <c r="Z40" s="34">
        <f t="shared" si="35"/>
        <v>4.0358965391466191</v>
      </c>
      <c r="AA40" s="35">
        <f>+IF($N40&gt;E$8,"FIN",(E$19-SUM(AB$25:AB39))*VLOOKUP($N40,$A:$M,5,0)/VLOOKUP(E$15,$J$1:$L$4,2,0))</f>
        <v>2.1218749999999997</v>
      </c>
      <c r="AB40" s="36">
        <f t="shared" si="10"/>
        <v>0</v>
      </c>
      <c r="AC40" s="36">
        <f t="shared" si="11"/>
        <v>2.1218749999999997</v>
      </c>
      <c r="AD40" s="34">
        <f t="shared" si="12"/>
        <v>1.0548080562797633</v>
      </c>
      <c r="AE40" s="35">
        <f>+IF($N40&gt;F$8,"FIN",(F$19-SUM(AF$25:AF39))*VLOOKUP($N40,$A:$M,6,0)/VLOOKUP(F$15,$J$1:$L$4,2,0))</f>
        <v>1.94</v>
      </c>
      <c r="AF40" s="36">
        <f t="shared" si="23"/>
        <v>0</v>
      </c>
      <c r="AG40" s="36">
        <f t="shared" si="24"/>
        <v>1.94</v>
      </c>
      <c r="AH40" s="34">
        <f t="shared" si="36"/>
        <v>0.96439593717006944</v>
      </c>
      <c r="AI40" s="35">
        <f>+IF($N40&gt;G$8,"FIN",(G$19-SUM(AJ$25:AJ39))*VLOOKUP($N40,$A:$M,7,0)/VLOOKUP(G$15,$J$1:$L$4,2,0))</f>
        <v>2.5</v>
      </c>
      <c r="AJ40" s="36">
        <f t="shared" si="25"/>
        <v>0</v>
      </c>
      <c r="AK40" s="36">
        <f t="shared" si="13"/>
        <v>2.5</v>
      </c>
      <c r="AL40" s="34">
        <f t="shared" si="14"/>
        <v>1.2427782695490586</v>
      </c>
      <c r="AM40" s="35">
        <f>+IF($N40&gt;H$8,"FIN",(H$19-SUM(AN$25:AN39))*VLOOKUP($N40,$A:$M,8,0)/VLOOKUP(H$15,$J$1:$L$4,2,0))</f>
        <v>2.125</v>
      </c>
      <c r="AN40" s="36">
        <f t="shared" si="26"/>
        <v>0</v>
      </c>
      <c r="AO40" s="36">
        <f t="shared" si="27"/>
        <v>2.125</v>
      </c>
      <c r="AP40" s="34">
        <f t="shared" si="37"/>
        <v>1.0563615291166997</v>
      </c>
      <c r="AQ40" s="35">
        <f>+IF($N40&gt;I$8,"FIN",(I$19-SUM(AR$25:AR39))*VLOOKUP($N40,$A:$M,9,0)/VLOOKUP(I$15,$J$1:$L$4,2,0))</f>
        <v>1.6916666666666669</v>
      </c>
      <c r="AR40" s="36">
        <f t="shared" si="28"/>
        <v>3.3333333333333335</v>
      </c>
      <c r="AS40" s="36">
        <f t="shared" si="15"/>
        <v>5.0250000000000004</v>
      </c>
      <c r="AT40" s="34">
        <f t="shared" si="16"/>
        <v>2.497984321793608</v>
      </c>
      <c r="AU40" s="35">
        <f>+IF($N40&gt;J$8,"FIN",(J$19-SUM(AV$25:AV39))*VLOOKUP($N40,$A:$M,10,0)/VLOOKUP(J$15,$J$1:$L$4,2,0))</f>
        <v>1.45</v>
      </c>
      <c r="AV40" s="36">
        <f t="shared" si="29"/>
        <v>3.3333333333333335</v>
      </c>
      <c r="AW40" s="36">
        <f t="shared" si="30"/>
        <v>4.7833333333333332</v>
      </c>
      <c r="AX40" s="34">
        <f t="shared" si="38"/>
        <v>2.3778490890705317</v>
      </c>
      <c r="AY40" s="35">
        <f>+IF($N40&gt;K$8,"FIN",(K$19-SUM(AZ$25:AZ39))*VLOOKUP($N40,$A:$M,11,0)/VLOOKUP(K$15,$J$1:$L$4,2,0))</f>
        <v>1.8807528409090906</v>
      </c>
      <c r="AZ40" s="36">
        <f t="shared" si="17"/>
        <v>2.2045454545454546</v>
      </c>
      <c r="BA40" s="36">
        <f t="shared" si="18"/>
        <v>4.0852982954545451</v>
      </c>
      <c r="BB40" s="34">
        <f t="shared" si="19"/>
        <v>2.0308479784866873</v>
      </c>
      <c r="BC40" s="35">
        <f>+IF($N40&gt;L$8,"FIN",(L$19-SUM(BD$25:BD39))*VLOOKUP($N40,$A:$M,12,0)/VLOOKUP(L$15,$J$1:$L$4,2,0))</f>
        <v>1.7732812499999999</v>
      </c>
      <c r="BD40" s="36">
        <f t="shared" si="31"/>
        <v>2.2045454545454546</v>
      </c>
      <c r="BE40" s="36">
        <f t="shared" si="32"/>
        <v>3.9778267045454543</v>
      </c>
      <c r="BF40" s="34">
        <f t="shared" si="39"/>
        <v>1.9774226353764135</v>
      </c>
      <c r="BG40" s="4"/>
    </row>
    <row r="41" spans="1:59" x14ac:dyDescent="0.25">
      <c r="A41" s="27">
        <f t="shared" si="33"/>
        <v>46888</v>
      </c>
      <c r="B41" s="233">
        <v>0.01</v>
      </c>
      <c r="C41" s="233">
        <v>1.7500000000000002E-2</v>
      </c>
      <c r="D41" s="230">
        <v>1.25E-3</v>
      </c>
      <c r="E41" s="234">
        <v>4.3749999999999997E-2</v>
      </c>
      <c r="F41" s="234">
        <v>0.04</v>
      </c>
      <c r="G41" s="234">
        <v>0.05</v>
      </c>
      <c r="H41" s="234">
        <v>4.2500000000000003E-2</v>
      </c>
      <c r="I41" s="234">
        <v>3.5000000000000003E-2</v>
      </c>
      <c r="J41" s="234">
        <v>0.03</v>
      </c>
      <c r="K41" s="233">
        <v>4.3749999999999997E-2</v>
      </c>
      <c r="L41" s="233">
        <v>4.1250000000000002E-2</v>
      </c>
      <c r="M41" s="235"/>
      <c r="N41" s="32">
        <f t="shared" si="34"/>
        <v>46888</v>
      </c>
      <c r="O41" s="35">
        <f>+IF($N41&gt;B$8,"FIN",(B$19-SUM(P$25:P40))*VLOOKUP($N41,$A:$M,2,0)/VLOOKUP(B$15,$J$1:$L$4,2,0))</f>
        <v>0.3125</v>
      </c>
      <c r="P41" s="36">
        <f t="shared" si="20"/>
        <v>12.5</v>
      </c>
      <c r="Q41" s="36">
        <f t="shared" si="21"/>
        <v>12.8125</v>
      </c>
      <c r="R41" s="34">
        <f t="shared" si="5"/>
        <v>6.0728307570548088</v>
      </c>
      <c r="S41" s="35">
        <f>+IF($N41&gt;C$8,"FIN",(C$19-SUM(T$25:T40))*VLOOKUP($N41,$A:$M,3,0)/VLOOKUP(C$15,$J$1:$L$4,2,0))</f>
        <v>0.424375</v>
      </c>
      <c r="T41" s="36">
        <f t="shared" si="6"/>
        <v>8.0833333333333339</v>
      </c>
      <c r="U41" s="36">
        <f t="shared" si="40"/>
        <v>8.5077083333333334</v>
      </c>
      <c r="V41" s="34">
        <f t="shared" si="8"/>
        <v>4.032458367899955</v>
      </c>
      <c r="W41" s="35">
        <f>+IF($N41&gt;D$8,"FIN",(D$19-SUM(X$25:X40))*VLOOKUP($N41,$A:$M,4,0)/VLOOKUP(D$15,$J$1:$L$4,2,0))</f>
        <v>3.0312499999999996E-2</v>
      </c>
      <c r="X41" s="33">
        <f>+IF($N41&gt;D$8,"FIN",IF($N41&lt;D$17,0,D$19/D$16))</f>
        <v>8.0833333333333339</v>
      </c>
      <c r="Y41" s="33">
        <f t="shared" si="22"/>
        <v>8.1136458333333348</v>
      </c>
      <c r="Z41" s="34">
        <f t="shared" si="35"/>
        <v>3.8456817926646845</v>
      </c>
      <c r="AA41" s="35">
        <f>+IF($N41&gt;E$8,"FIN",(E$19-SUM(AB$25:AB40))*VLOOKUP($N41,$A:$M,5,0)/VLOOKUP(E$15,$J$1:$L$4,2,0))</f>
        <v>2.1218749999999997</v>
      </c>
      <c r="AB41" s="36">
        <f t="shared" si="10"/>
        <v>0</v>
      </c>
      <c r="AC41" s="36">
        <f t="shared" si="11"/>
        <v>2.1218749999999997</v>
      </c>
      <c r="AD41" s="34">
        <f t="shared" si="12"/>
        <v>1.0057200204976133</v>
      </c>
      <c r="AE41" s="35">
        <f>+IF($N41&gt;F$8,"FIN",(F$19-SUM(AF$25:AF40))*VLOOKUP($N41,$A:$M,6,0)/VLOOKUP(F$15,$J$1:$L$4,2,0))</f>
        <v>1.94</v>
      </c>
      <c r="AF41" s="36">
        <f t="shared" si="23"/>
        <v>0</v>
      </c>
      <c r="AG41" s="36">
        <f t="shared" si="24"/>
        <v>1.94</v>
      </c>
      <c r="AH41" s="34">
        <f t="shared" si="36"/>
        <v>0.91951544731210366</v>
      </c>
      <c r="AI41" s="35">
        <f>+IF($N41&gt;G$8,"FIN",(G$19-SUM(AJ$25:AJ40))*VLOOKUP($N41,$A:$M,7,0)/VLOOKUP(G$15,$J$1:$L$4,2,0))</f>
        <v>2.5</v>
      </c>
      <c r="AJ41" s="36">
        <f t="shared" si="25"/>
        <v>4.5454545454545459</v>
      </c>
      <c r="AK41" s="36">
        <f t="shared" si="13"/>
        <v>7.0454545454545459</v>
      </c>
      <c r="AL41" s="34">
        <f t="shared" si="14"/>
        <v>3.3393836535467685</v>
      </c>
      <c r="AM41" s="35">
        <f>+IF($N41&gt;H$8,"FIN",(H$19-SUM(AN$25:AN40))*VLOOKUP($N41,$A:$M,8,0)/VLOOKUP(H$15,$J$1:$L$4,2,0))</f>
        <v>2.125</v>
      </c>
      <c r="AN41" s="36">
        <f t="shared" si="26"/>
        <v>4.5454545454545459</v>
      </c>
      <c r="AO41" s="36">
        <f t="shared" si="27"/>
        <v>6.6704545454545459</v>
      </c>
      <c r="AP41" s="34">
        <f t="shared" si="37"/>
        <v>3.1616422655354084</v>
      </c>
      <c r="AQ41" s="35">
        <f>+IF($N41&gt;I$8,"FIN",(I$19-SUM(AR$25:AR40))*VLOOKUP($N41,$A:$M,9,0)/VLOOKUP(I$15,$J$1:$L$4,2,0))</f>
        <v>1.6333333333333333</v>
      </c>
      <c r="AR41" s="36">
        <f t="shared" si="28"/>
        <v>3.3333333333333335</v>
      </c>
      <c r="AS41" s="36">
        <f t="shared" si="15"/>
        <v>4.9666666666666668</v>
      </c>
      <c r="AT41" s="34">
        <f t="shared" si="16"/>
        <v>2.3540859389949049</v>
      </c>
      <c r="AU41" s="35">
        <f>+IF($N41&gt;J$8,"FIN",(J$19-SUM(AV$25:AV40))*VLOOKUP($N41,$A:$M,10,0)/VLOOKUP(J$15,$J$1:$L$4,2,0))</f>
        <v>1.4</v>
      </c>
      <c r="AV41" s="36">
        <f t="shared" si="29"/>
        <v>3.3333333333333335</v>
      </c>
      <c r="AW41" s="36">
        <f t="shared" si="30"/>
        <v>4.7333333333333334</v>
      </c>
      <c r="AX41" s="34">
        <f t="shared" si="38"/>
        <v>2.2434912975656141</v>
      </c>
      <c r="AY41" s="35">
        <f>+IF($N41&gt;K$8,"FIN",(K$19-SUM(AZ$25:AZ40))*VLOOKUP($N41,$A:$M,11,0)/VLOOKUP(K$15,$J$1:$L$4,2,0))</f>
        <v>1.8325284090909089</v>
      </c>
      <c r="AZ41" s="36">
        <f t="shared" si="17"/>
        <v>2.2045454545454546</v>
      </c>
      <c r="BA41" s="36">
        <f t="shared" si="18"/>
        <v>4.0370738636363637</v>
      </c>
      <c r="BB41" s="34">
        <f t="shared" si="19"/>
        <v>1.9134802987389659</v>
      </c>
      <c r="BC41" s="35">
        <f>+IF($N41&gt;L$8,"FIN",(L$19-SUM(BD$25:BD40))*VLOOKUP($N41,$A:$M,12,0)/VLOOKUP(L$15,$J$1:$L$4,2,0))</f>
        <v>1.7278125</v>
      </c>
      <c r="BD41" s="36">
        <f t="shared" si="31"/>
        <v>2.2045454545454546</v>
      </c>
      <c r="BE41" s="36">
        <f t="shared" si="32"/>
        <v>3.9323579545454548</v>
      </c>
      <c r="BF41" s="34">
        <f t="shared" si="39"/>
        <v>1.8638473626624603</v>
      </c>
      <c r="BG41" s="4"/>
    </row>
    <row r="42" spans="1:59" x14ac:dyDescent="0.25">
      <c r="A42" s="27">
        <f t="shared" si="33"/>
        <v>47072</v>
      </c>
      <c r="B42" s="233">
        <v>0.01</v>
      </c>
      <c r="C42" s="233">
        <v>1.7500000000000002E-2</v>
      </c>
      <c r="D42" s="230">
        <v>1.25E-3</v>
      </c>
      <c r="E42" s="234">
        <v>4.3749999999999997E-2</v>
      </c>
      <c r="F42" s="234">
        <v>0.04</v>
      </c>
      <c r="G42" s="234">
        <v>0.05</v>
      </c>
      <c r="H42" s="234">
        <v>4.2500000000000003E-2</v>
      </c>
      <c r="I42" s="234">
        <v>3.5000000000000003E-2</v>
      </c>
      <c r="J42" s="234">
        <v>0.03</v>
      </c>
      <c r="K42" s="233">
        <v>4.3749999999999997E-2</v>
      </c>
      <c r="L42" s="233">
        <v>4.1250000000000002E-2</v>
      </c>
      <c r="M42" s="235"/>
      <c r="N42" s="32">
        <f t="shared" si="34"/>
        <v>47072</v>
      </c>
      <c r="O42" s="35">
        <f>+IF($N42&gt;B$8,"FIN",(B$19-SUM(P$25:P41))*VLOOKUP($N42,$A:$M,2,0)/VLOOKUP(B$15,$J$1:$L$4,2,0))</f>
        <v>0.25</v>
      </c>
      <c r="P42" s="36">
        <f t="shared" si="20"/>
        <v>12.5</v>
      </c>
      <c r="Q42" s="36">
        <f t="shared" si="21"/>
        <v>12.75</v>
      </c>
      <c r="R42" s="34">
        <f t="shared" si="5"/>
        <v>5.7619719770001794</v>
      </c>
      <c r="S42" s="35">
        <f>+IF($N42&gt;C$8,"FIN",(C$19-SUM(T$25:T41))*VLOOKUP($N42,$A:$M,3,0)/VLOOKUP(C$15,$J$1:$L$4,2,0))</f>
        <v>0.35364583333333327</v>
      </c>
      <c r="T42" s="36">
        <f t="shared" si="6"/>
        <v>8.0833333333333339</v>
      </c>
      <c r="U42" s="36">
        <f t="shared" si="40"/>
        <v>8.4369791666666671</v>
      </c>
      <c r="V42" s="34">
        <f t="shared" si="8"/>
        <v>3.8128343159896207</v>
      </c>
      <c r="W42" s="35">
        <f>+IF($N42&gt;D$8,"FIN",(D$19-SUM(X$25:X41))*VLOOKUP($N42,$A:$M,4,0)/VLOOKUP(D$15,$J$1:$L$4,2,0))</f>
        <v>2.526041666666666E-2</v>
      </c>
      <c r="X42" s="33">
        <f t="shared" ref="X42:X46" si="41">+IF($N42&gt;D$8,"FIN",IF($N42&lt;D$17,0,D$19/D$16))</f>
        <v>8.0833333333333339</v>
      </c>
      <c r="Y42" s="33">
        <f t="shared" si="22"/>
        <v>8.1085937500000007</v>
      </c>
      <c r="Z42" s="34">
        <f t="shared" si="35"/>
        <v>3.6644305851277492</v>
      </c>
      <c r="AA42" s="35">
        <f>+IF($N42&gt;E$8,"FIN",(E$19-SUM(AB$25:AB41))*VLOOKUP($N42,$A:$M,5,0)/VLOOKUP(E$15,$J$1:$L$4,2,0))</f>
        <v>2.1218749999999997</v>
      </c>
      <c r="AB42" s="36">
        <f t="shared" si="10"/>
        <v>0</v>
      </c>
      <c r="AC42" s="36">
        <f t="shared" si="11"/>
        <v>2.1218749999999997</v>
      </c>
      <c r="AD42" s="34">
        <f t="shared" si="12"/>
        <v>0.95891641479978462</v>
      </c>
      <c r="AE42" s="35">
        <f>+IF($N42&gt;F$8,"FIN",(F$19-SUM(AF$25:AF41))*VLOOKUP($N42,$A:$M,6,0)/VLOOKUP(F$15,$J$1:$L$4,2,0))</f>
        <v>1.94</v>
      </c>
      <c r="AF42" s="36">
        <f t="shared" si="23"/>
        <v>0</v>
      </c>
      <c r="AG42" s="36">
        <f t="shared" si="24"/>
        <v>1.94</v>
      </c>
      <c r="AH42" s="34">
        <f t="shared" si="36"/>
        <v>0.87672357924551747</v>
      </c>
      <c r="AI42" s="35">
        <f>+IF($N42&gt;G$8,"FIN",(G$19-SUM(AJ$25:AJ41))*VLOOKUP($N42,$A:$M,7,0)/VLOOKUP(G$15,$J$1:$L$4,2,0))</f>
        <v>2.3863636363636362</v>
      </c>
      <c r="AJ42" s="36">
        <f t="shared" si="25"/>
        <v>4.5454545454545459</v>
      </c>
      <c r="AK42" s="36">
        <f t="shared" si="13"/>
        <v>6.9318181818181817</v>
      </c>
      <c r="AL42" s="34">
        <f t="shared" si="14"/>
        <v>3.1326229108467998</v>
      </c>
      <c r="AM42" s="35">
        <f>+IF($N42&gt;H$8,"FIN",(H$19-SUM(AN$25:AN41))*VLOOKUP($N42,$A:$M,8,0)/VLOOKUP(H$15,$J$1:$L$4,2,0))</f>
        <v>2.0284090909090908</v>
      </c>
      <c r="AN42" s="36">
        <f t="shared" si="26"/>
        <v>4.5454545454545459</v>
      </c>
      <c r="AO42" s="36">
        <f t="shared" si="27"/>
        <v>6.5738636363636367</v>
      </c>
      <c r="AP42" s="34">
        <f t="shared" si="37"/>
        <v>2.9708563179096292</v>
      </c>
      <c r="AQ42" s="35">
        <f>+IF($N42&gt;I$8,"FIN",(I$19-SUM(AR$25:AR41))*VLOOKUP($N42,$A:$M,9,0)/VLOOKUP(I$15,$J$1:$L$4,2,0))</f>
        <v>1.5750000000000002</v>
      </c>
      <c r="AR42" s="36">
        <f t="shared" si="28"/>
        <v>3.3333333333333335</v>
      </c>
      <c r="AS42" s="36">
        <f t="shared" si="15"/>
        <v>4.9083333333333332</v>
      </c>
      <c r="AT42" s="34">
        <f t="shared" si="16"/>
        <v>2.2181709114072587</v>
      </c>
      <c r="AU42" s="35">
        <f>+IF($N42&gt;J$8,"FIN",(J$19-SUM(AV$25:AV41))*VLOOKUP($N42,$A:$M,10,0)/VLOOKUP(J$15,$J$1:$L$4,2,0))</f>
        <v>1.3499999999999999</v>
      </c>
      <c r="AV42" s="36">
        <f t="shared" si="29"/>
        <v>3.3333333333333335</v>
      </c>
      <c r="AW42" s="36">
        <f t="shared" si="30"/>
        <v>4.6833333333333336</v>
      </c>
      <c r="AX42" s="34">
        <f t="shared" si="38"/>
        <v>2.1164890529896083</v>
      </c>
      <c r="AY42" s="35">
        <f>+IF($N42&gt;K$8,"FIN",(K$19-SUM(AZ$25:AZ41))*VLOOKUP($N42,$A:$M,11,0)/VLOOKUP(K$15,$J$1:$L$4,2,0))</f>
        <v>1.7843039772727269</v>
      </c>
      <c r="AZ42" s="36">
        <f t="shared" si="17"/>
        <v>2.2045454545454546</v>
      </c>
      <c r="BA42" s="36">
        <f t="shared" si="18"/>
        <v>3.9888494318181813</v>
      </c>
      <c r="BB42" s="34">
        <f t="shared" si="19"/>
        <v>1.8026383252242704</v>
      </c>
      <c r="BC42" s="35">
        <f>+IF($N42&gt;L$8,"FIN",(L$19-SUM(BD$25:BD41))*VLOOKUP($N42,$A:$M,12,0)/VLOOKUP(L$15,$J$1:$L$4,2,0))</f>
        <v>1.68234375</v>
      </c>
      <c r="BD42" s="36">
        <f t="shared" si="31"/>
        <v>2.2045454545454546</v>
      </c>
      <c r="BE42" s="36">
        <f t="shared" si="32"/>
        <v>3.8868892045454544</v>
      </c>
      <c r="BF42" s="34">
        <f t="shared" si="39"/>
        <v>1.756560523474151</v>
      </c>
      <c r="BG42" s="4"/>
    </row>
    <row r="43" spans="1:59" x14ac:dyDescent="0.25">
      <c r="A43" s="27">
        <f t="shared" si="33"/>
        <v>47253</v>
      </c>
      <c r="B43" s="233">
        <v>0.01</v>
      </c>
      <c r="C43" s="233">
        <v>1.7500000000000002E-2</v>
      </c>
      <c r="D43" s="230">
        <v>1.25E-3</v>
      </c>
      <c r="E43" s="234">
        <v>0.05</v>
      </c>
      <c r="F43" s="234">
        <v>0.04</v>
      </c>
      <c r="G43" s="234">
        <v>0.05</v>
      </c>
      <c r="H43" s="234">
        <v>4.2500000000000003E-2</v>
      </c>
      <c r="I43" s="234">
        <v>3.5000000000000003E-2</v>
      </c>
      <c r="J43" s="234">
        <v>0.03</v>
      </c>
      <c r="K43" s="233">
        <v>0.05</v>
      </c>
      <c r="L43" s="230">
        <v>4.1250000000000002E-2</v>
      </c>
      <c r="M43" s="235"/>
      <c r="N43" s="32">
        <f t="shared" si="34"/>
        <v>47253</v>
      </c>
      <c r="O43" s="35">
        <f>+IF($N43&gt;B$8,"FIN",(B$19-SUM(P$25:P42))*VLOOKUP($N43,$A:$M,2,0)/VLOOKUP(B$15,$J$1:$L$4,2,0))</f>
        <v>0.1875</v>
      </c>
      <c r="P43" s="36">
        <f t="shared" si="20"/>
        <v>12.5</v>
      </c>
      <c r="Q43" s="36">
        <f t="shared" si="21"/>
        <v>12.6875</v>
      </c>
      <c r="R43" s="34">
        <f t="shared" si="5"/>
        <v>5.4668942070160806</v>
      </c>
      <c r="S43" s="35">
        <f>+IF($N43&gt;C$8,"FIN",(C$19-SUM(T$25:T42))*VLOOKUP($N43,$A:$M,3,0)/VLOOKUP(C$15,$J$1:$L$4,2,0))</f>
        <v>0.28291666666666665</v>
      </c>
      <c r="T43" s="36">
        <f t="shared" si="6"/>
        <v>8.0833333333333339</v>
      </c>
      <c r="U43" s="36">
        <f t="shared" si="40"/>
        <v>8.3662500000000009</v>
      </c>
      <c r="V43" s="34">
        <f t="shared" si="8"/>
        <v>3.6049185150304073</v>
      </c>
      <c r="W43" s="35">
        <f>+IF($N43&gt;D$8,"FIN",(D$19-SUM(X$25:X42))*VLOOKUP($N43,$A:$M,4,0)/VLOOKUP(D$15,$J$1:$L$4,2,0))</f>
        <v>2.0208333333333332E-2</v>
      </c>
      <c r="X43" s="33">
        <f t="shared" si="41"/>
        <v>8.0833333333333339</v>
      </c>
      <c r="Y43" s="33">
        <f t="shared" si="22"/>
        <v>8.1035416666666666</v>
      </c>
      <c r="Z43" s="34">
        <f t="shared" si="35"/>
        <v>3.4917205906453939</v>
      </c>
      <c r="AA43" s="35">
        <f>+IF($N43&gt;E$8,"FIN",(E$19-SUM(AB$25:AB42))*VLOOKUP($N43,$A:$M,5,0)/VLOOKUP(E$15,$J$1:$L$4,2,0))</f>
        <v>2.4250000000000003</v>
      </c>
      <c r="AB43" s="36">
        <f t="shared" si="10"/>
        <v>0</v>
      </c>
      <c r="AC43" s="36">
        <f t="shared" si="11"/>
        <v>2.4250000000000003</v>
      </c>
      <c r="AD43" s="34">
        <f t="shared" si="12"/>
        <v>1.044903917400118</v>
      </c>
      <c r="AE43" s="35">
        <f>+IF($N43&gt;F$8,"FIN",(F$19-SUM(AF$25:AF42))*VLOOKUP($N43,$A:$M,6,0)/VLOOKUP(F$15,$J$1:$L$4,2,0))</f>
        <v>1.94</v>
      </c>
      <c r="AF43" s="36">
        <f t="shared" si="23"/>
        <v>0</v>
      </c>
      <c r="AG43" s="36">
        <f t="shared" si="24"/>
        <v>1.94</v>
      </c>
      <c r="AH43" s="34">
        <f t="shared" si="36"/>
        <v>0.83592313392009432</v>
      </c>
      <c r="AI43" s="35">
        <f>+IF($N43&gt;G$8,"FIN",(G$19-SUM(AJ$25:AJ42))*VLOOKUP($N43,$A:$M,7,0)/VLOOKUP(G$15,$J$1:$L$4,2,0))</f>
        <v>2.2727272727272729</v>
      </c>
      <c r="AJ43" s="36">
        <f t="shared" si="25"/>
        <v>4.5454545454545459</v>
      </c>
      <c r="AK43" s="36">
        <f t="shared" si="13"/>
        <v>6.8181818181818183</v>
      </c>
      <c r="AL43" s="34">
        <f t="shared" si="14"/>
        <v>2.9378741820059551</v>
      </c>
      <c r="AM43" s="35">
        <f>+IF($N43&gt;H$8,"FIN",(H$19-SUM(AN$25:AN42))*VLOOKUP($N43,$A:$M,8,0)/VLOOKUP(H$15,$J$1:$L$4,2,0))</f>
        <v>1.9318181818181819</v>
      </c>
      <c r="AN43" s="36">
        <f t="shared" si="26"/>
        <v>4.5454545454545459</v>
      </c>
      <c r="AO43" s="36">
        <f t="shared" si="27"/>
        <v>6.4772727272727275</v>
      </c>
      <c r="AP43" s="34">
        <f t="shared" si="37"/>
        <v>2.7909804729056571</v>
      </c>
      <c r="AQ43" s="35">
        <f>+IF($N43&gt;I$8,"FIN",(I$19-SUM(AR$25:AR42))*VLOOKUP($N43,$A:$M,9,0)/VLOOKUP(I$15,$J$1:$L$4,2,0))</f>
        <v>1.5166666666666668</v>
      </c>
      <c r="AR43" s="36">
        <f t="shared" si="28"/>
        <v>3.3333333333333335</v>
      </c>
      <c r="AS43" s="36">
        <f t="shared" si="15"/>
        <v>4.8500000000000005</v>
      </c>
      <c r="AT43" s="34">
        <f t="shared" si="16"/>
        <v>2.089807834800236</v>
      </c>
      <c r="AU43" s="35">
        <f>+IF($N43&gt;J$8,"FIN",(J$19-SUM(AV$25:AV42))*VLOOKUP($N43,$A:$M,10,0)/VLOOKUP(J$15,$J$1:$L$4,2,0))</f>
        <v>1.3</v>
      </c>
      <c r="AV43" s="36">
        <f t="shared" si="29"/>
        <v>3.3333333333333335</v>
      </c>
      <c r="AW43" s="36">
        <f t="shared" si="30"/>
        <v>4.6333333333333337</v>
      </c>
      <c r="AX43" s="34">
        <f t="shared" si="38"/>
        <v>1.9964487219053801</v>
      </c>
      <c r="AY43" s="35">
        <f>+IF($N43&gt;K$8,"FIN",(K$19-SUM(AZ$25:AZ42))*VLOOKUP($N43,$A:$M,11,0)/VLOOKUP(K$15,$J$1:$L$4,2,0))</f>
        <v>1.9840909090909091</v>
      </c>
      <c r="AZ43" s="36">
        <f t="shared" si="17"/>
        <v>2.2045454545454546</v>
      </c>
      <c r="BA43" s="36">
        <f t="shared" si="18"/>
        <v>4.1886363636363635</v>
      </c>
      <c r="BB43" s="34">
        <f t="shared" si="19"/>
        <v>1.8048340391456581</v>
      </c>
      <c r="BC43" s="35">
        <f>+IF($N43&gt;L$8,"FIN",(L$19-SUM(BD$25:BD42))*VLOOKUP($N43,$A:$M,12,0)/VLOOKUP(L$15,$J$1:$L$4,2,0))</f>
        <v>1.6368750000000001</v>
      </c>
      <c r="BD43" s="36">
        <f t="shared" si="31"/>
        <v>2.2045454545454546</v>
      </c>
      <c r="BE43" s="36">
        <f t="shared" si="32"/>
        <v>3.8414204545454549</v>
      </c>
      <c r="BF43" s="34">
        <f t="shared" si="39"/>
        <v>1.6552227964270052</v>
      </c>
      <c r="BG43" s="4"/>
    </row>
    <row r="44" spans="1:59" x14ac:dyDescent="0.25">
      <c r="A44" s="27">
        <f t="shared" si="33"/>
        <v>47437</v>
      </c>
      <c r="B44" s="233">
        <v>0.01</v>
      </c>
      <c r="C44" s="233">
        <v>1.7500000000000002E-2</v>
      </c>
      <c r="D44" s="230">
        <v>1.25E-3</v>
      </c>
      <c r="E44" s="234">
        <v>0.05</v>
      </c>
      <c r="F44" s="234">
        <v>0.04</v>
      </c>
      <c r="G44" s="234">
        <v>0.05</v>
      </c>
      <c r="H44" s="234">
        <v>4.2500000000000003E-2</v>
      </c>
      <c r="I44" s="234">
        <v>4.8750000000000002E-2</v>
      </c>
      <c r="J44" s="234">
        <v>4.4999999999999998E-2</v>
      </c>
      <c r="K44" s="233">
        <v>0.05</v>
      </c>
      <c r="L44" s="230">
        <v>4.1250000000000002E-2</v>
      </c>
      <c r="M44" s="235"/>
      <c r="N44" s="32">
        <f t="shared" si="34"/>
        <v>47437</v>
      </c>
      <c r="O44" s="35">
        <f>+IF($N44&gt;B$8,"FIN",(B$19-SUM(P$25:P43))*VLOOKUP($N44,$A:$M,2,0)/VLOOKUP(B$15,$J$1:$L$4,2,0))</f>
        <v>0.125</v>
      </c>
      <c r="P44" s="36">
        <f t="shared" si="20"/>
        <v>12.5</v>
      </c>
      <c r="Q44" s="36">
        <f t="shared" si="21"/>
        <v>12.625</v>
      </c>
      <c r="R44" s="34">
        <f t="shared" si="5"/>
        <v>5.1868018687791269</v>
      </c>
      <c r="S44" s="35">
        <f>+IF($N44&gt;C$8,"FIN",(C$19-SUM(T$25:T43))*VLOOKUP($N44,$A:$M,3,0)/VLOOKUP(C$15,$J$1:$L$4,2,0))</f>
        <v>0.21218750000000003</v>
      </c>
      <c r="T44" s="36">
        <f t="shared" si="6"/>
        <v>8.0833333333333339</v>
      </c>
      <c r="U44" s="36">
        <f t="shared" si="40"/>
        <v>8.2955208333333346</v>
      </c>
      <c r="V44" s="34">
        <f t="shared" si="8"/>
        <v>3.4080968681845163</v>
      </c>
      <c r="W44" s="35">
        <f>+IF($N44&gt;D$8,"FIN",(D$19-SUM(X$25:X43))*VLOOKUP($N44,$A:$M,4,0)/VLOOKUP(D$15,$J$1:$L$4,2,0))</f>
        <v>1.515625E-2</v>
      </c>
      <c r="X44" s="33">
        <f t="shared" si="41"/>
        <v>8.0833333333333339</v>
      </c>
      <c r="Y44" s="33">
        <f t="shared" si="22"/>
        <v>8.0984895833333344</v>
      </c>
      <c r="Z44" s="34">
        <f t="shared" si="35"/>
        <v>3.3271493786234956</v>
      </c>
      <c r="AA44" s="35">
        <f>+IF($N44&gt;E$8,"FIN",(E$19-SUM(AB$25:AB43))*VLOOKUP($N44,$A:$M,5,0)/VLOOKUP(E$15,$J$1:$L$4,2,0))</f>
        <v>2.4250000000000003</v>
      </c>
      <c r="AB44" s="36">
        <f t="shared" si="10"/>
        <v>0</v>
      </c>
      <c r="AC44" s="36">
        <f t="shared" si="11"/>
        <v>2.4250000000000003</v>
      </c>
      <c r="AD44" s="34">
        <f t="shared" si="12"/>
        <v>0.99627679459717888</v>
      </c>
      <c r="AE44" s="35">
        <f>+IF($N44&gt;F$8,"FIN",(F$19-SUM(AF$25:AF43))*VLOOKUP($N44,$A:$M,6,0)/VLOOKUP(F$15,$J$1:$L$4,2,0))</f>
        <v>1.94</v>
      </c>
      <c r="AF44" s="36">
        <f t="shared" si="23"/>
        <v>0</v>
      </c>
      <c r="AG44" s="36">
        <f t="shared" si="24"/>
        <v>1.94</v>
      </c>
      <c r="AH44" s="34">
        <f t="shared" si="36"/>
        <v>0.79702143567774297</v>
      </c>
      <c r="AI44" s="35">
        <f>+IF($N44&gt;G$8,"FIN",(G$19-SUM(AJ$25:AJ43))*VLOOKUP($N44,$A:$M,7,0)/VLOOKUP(G$15,$J$1:$L$4,2,0))</f>
        <v>2.1590909090909092</v>
      </c>
      <c r="AJ44" s="36">
        <f t="shared" si="25"/>
        <v>4.5454545454545459</v>
      </c>
      <c r="AK44" s="36">
        <f t="shared" si="13"/>
        <v>6.704545454545455</v>
      </c>
      <c r="AL44" s="34">
        <f t="shared" si="14"/>
        <v>2.7544672390456211</v>
      </c>
      <c r="AM44" s="35">
        <f>+IF($N44&gt;H$8,"FIN",(H$19-SUM(AN$25:AN43))*VLOOKUP($N44,$A:$M,8,0)/VLOOKUP(H$15,$J$1:$L$4,2,0))</f>
        <v>1.8352272727272727</v>
      </c>
      <c r="AN44" s="36">
        <f t="shared" si="26"/>
        <v>4.5454545454545459</v>
      </c>
      <c r="AO44" s="36">
        <f t="shared" si="27"/>
        <v>6.3806818181818183</v>
      </c>
      <c r="AP44" s="34">
        <f t="shared" si="37"/>
        <v>2.6214124656340951</v>
      </c>
      <c r="AQ44" s="35">
        <f>+IF($N44&gt;I$8,"FIN",(I$19-SUM(AR$25:AR43))*VLOOKUP($N44,$A:$M,9,0)/VLOOKUP(I$15,$J$1:$L$4,2,0))</f>
        <v>2.03125</v>
      </c>
      <c r="AR44" s="36">
        <f t="shared" si="28"/>
        <v>3.3333333333333335</v>
      </c>
      <c r="AS44" s="36">
        <f t="shared" si="15"/>
        <v>5.3645833333333339</v>
      </c>
      <c r="AT44" s="34">
        <f t="shared" si="16"/>
        <v>2.2039628402815596</v>
      </c>
      <c r="AU44" s="35">
        <f>+IF($N44&gt;J$8,"FIN",(J$19-SUM(AV$25:AV43))*VLOOKUP($N44,$A:$M,10,0)/VLOOKUP(J$15,$J$1:$L$4,2,0))</f>
        <v>1.8749999999999998</v>
      </c>
      <c r="AV44" s="36">
        <f t="shared" si="29"/>
        <v>3.3333333333333335</v>
      </c>
      <c r="AW44" s="36">
        <f t="shared" si="30"/>
        <v>5.208333333333333</v>
      </c>
      <c r="AX44" s="34">
        <f t="shared" si="38"/>
        <v>2.1397697478461741</v>
      </c>
      <c r="AY44" s="35">
        <f>+IF($N44&gt;K$8,"FIN",(K$19-SUM(AZ$25:AZ43))*VLOOKUP($N44,$A:$M,11,0)/VLOOKUP(K$15,$J$1:$L$4,2,0))</f>
        <v>1.9289772727272727</v>
      </c>
      <c r="AZ44" s="36">
        <f t="shared" si="17"/>
        <v>2.2045454545454546</v>
      </c>
      <c r="BA44" s="36">
        <f t="shared" si="18"/>
        <v>4.1335227272727275</v>
      </c>
      <c r="BB44" s="34">
        <f t="shared" si="19"/>
        <v>1.6981990816997365</v>
      </c>
      <c r="BC44" s="35">
        <f>+IF($N44&gt;L$8,"FIN",(L$19-SUM(BD$25:BD43))*VLOOKUP($N44,$A:$M,12,0)/VLOOKUP(L$15,$J$1:$L$4,2,0))</f>
        <v>1.5914062499999999</v>
      </c>
      <c r="BD44" s="36">
        <f t="shared" si="31"/>
        <v>2.2045454545454546</v>
      </c>
      <c r="BE44" s="36">
        <f t="shared" si="32"/>
        <v>3.7959517045454545</v>
      </c>
      <c r="BF44" s="34">
        <f t="shared" si="39"/>
        <v>1.5595128233609248</v>
      </c>
      <c r="BG44" s="4"/>
    </row>
    <row r="45" spans="1:59" x14ac:dyDescent="0.25">
      <c r="A45" s="27">
        <f t="shared" si="33"/>
        <v>47618</v>
      </c>
      <c r="B45" s="233">
        <v>0.01</v>
      </c>
      <c r="C45" s="233">
        <v>1.7500000000000002E-2</v>
      </c>
      <c r="D45" s="230">
        <v>1.25E-3</v>
      </c>
      <c r="E45" s="234">
        <v>0.05</v>
      </c>
      <c r="F45" s="234">
        <v>0.04</v>
      </c>
      <c r="G45" s="234">
        <v>0.05</v>
      </c>
      <c r="H45" s="234">
        <v>4.2500000000000003E-2</v>
      </c>
      <c r="I45" s="234">
        <v>4.8750000000000002E-2</v>
      </c>
      <c r="J45" s="234">
        <v>4.4999999999999998E-2</v>
      </c>
      <c r="K45" s="233">
        <v>0.05</v>
      </c>
      <c r="L45" s="230">
        <v>4.1250000000000002E-2</v>
      </c>
      <c r="M45" s="235"/>
      <c r="N45" s="32">
        <f t="shared" si="34"/>
        <v>47618</v>
      </c>
      <c r="O45" s="35">
        <f>+IF($N45&gt;B$8,"FIN",(B$19-SUM(P$25:P44))*VLOOKUP($N45,$A:$M,2,0)/VLOOKUP(B$15,$J$1:$L$4,2,0))</f>
        <v>6.25E-2</v>
      </c>
      <c r="P45" s="36">
        <f t="shared" si="20"/>
        <v>12.5</v>
      </c>
      <c r="Q45" s="36">
        <f t="shared" si="21"/>
        <v>12.5625</v>
      </c>
      <c r="R45" s="34">
        <f t="shared" si="5"/>
        <v>4.9209392548599737</v>
      </c>
      <c r="S45" s="35">
        <f>+IF($N45&gt;C$8,"FIN",(C$19-SUM(T$25:T44))*VLOOKUP($N45,$A:$M,3,0)/VLOOKUP(C$15,$J$1:$L$4,2,0))</f>
        <v>0.14145833333333338</v>
      </c>
      <c r="T45" s="36">
        <f t="shared" si="6"/>
        <v>8.0833333333333339</v>
      </c>
      <c r="U45" s="36">
        <f t="shared" si="40"/>
        <v>8.2247916666666665</v>
      </c>
      <c r="V45" s="34">
        <f t="shared" si="8"/>
        <v>3.2217870786503631</v>
      </c>
      <c r="W45" s="35">
        <f>+IF($N45&gt;D$8,"FIN",(D$19-SUM(X$25:X44))*VLOOKUP($N45,$A:$M,4,0)/VLOOKUP(D$15,$J$1:$L$4,2,0))</f>
        <v>1.0104166666666669E-2</v>
      </c>
      <c r="X45" s="33">
        <f t="shared" si="41"/>
        <v>8.0833333333333339</v>
      </c>
      <c r="Y45" s="33">
        <f t="shared" si="22"/>
        <v>8.0934375000000003</v>
      </c>
      <c r="Z45" s="34">
        <f t="shared" si="35"/>
        <v>3.1703334766571754</v>
      </c>
      <c r="AA45" s="35">
        <f>+IF($N45&gt;E$8,"FIN",(E$19-SUM(AB$25:AB44))*VLOOKUP($N45,$A:$M,5,0)/VLOOKUP(E$15,$J$1:$L$4,2,0))</f>
        <v>2.4250000000000003</v>
      </c>
      <c r="AB45" s="36">
        <f t="shared" si="10"/>
        <v>0</v>
      </c>
      <c r="AC45" s="36">
        <f t="shared" si="11"/>
        <v>2.4250000000000003</v>
      </c>
      <c r="AD45" s="34">
        <f t="shared" si="12"/>
        <v>0.94991265218192533</v>
      </c>
      <c r="AE45" s="35">
        <f>+IF($N45&gt;F$8,"FIN",(F$19-SUM(AF$25:AF44))*VLOOKUP($N45,$A:$M,6,0)/VLOOKUP(F$15,$J$1:$L$4,2,0))</f>
        <v>1.94</v>
      </c>
      <c r="AF45" s="36">
        <f t="shared" si="23"/>
        <v>0</v>
      </c>
      <c r="AG45" s="36">
        <f t="shared" si="24"/>
        <v>1.94</v>
      </c>
      <c r="AH45" s="34">
        <f t="shared" si="36"/>
        <v>0.75993012174554009</v>
      </c>
      <c r="AI45" s="35">
        <f>+IF($N45&gt;G$8,"FIN",(G$19-SUM(AJ$25:AJ44))*VLOOKUP($N45,$A:$M,7,0)/VLOOKUP(G$15,$J$1:$L$4,2,0))</f>
        <v>2.0454545454545454</v>
      </c>
      <c r="AJ45" s="36">
        <f t="shared" si="25"/>
        <v>4.5454545454545459</v>
      </c>
      <c r="AK45" s="36">
        <f t="shared" si="13"/>
        <v>6.5909090909090917</v>
      </c>
      <c r="AL45" s="34">
        <f t="shared" si="14"/>
        <v>2.5817682205506873</v>
      </c>
      <c r="AM45" s="35">
        <f>+IF($N45&gt;H$8,"FIN",(H$19-SUM(AN$25:AN44))*VLOOKUP($N45,$A:$M,8,0)/VLOOKUP(H$15,$J$1:$L$4,2,0))</f>
        <v>1.7386363636363638</v>
      </c>
      <c r="AN45" s="36">
        <f t="shared" si="26"/>
        <v>4.5454545454545459</v>
      </c>
      <c r="AO45" s="36">
        <f t="shared" si="27"/>
        <v>6.2840909090909101</v>
      </c>
      <c r="AP45" s="34">
        <f t="shared" si="37"/>
        <v>2.4615824585595347</v>
      </c>
      <c r="AQ45" s="35">
        <f>+IF($N45&gt;I$8,"FIN",(I$19-SUM(AR$25:AR44))*VLOOKUP($N45,$A:$M,9,0)/VLOOKUP(I$15,$J$1:$L$4,2,0))</f>
        <v>1.9500000000000002</v>
      </c>
      <c r="AR45" s="36">
        <f t="shared" si="28"/>
        <v>3.3333333333333335</v>
      </c>
      <c r="AS45" s="36">
        <f t="shared" si="15"/>
        <v>5.2833333333333332</v>
      </c>
      <c r="AT45" s="34">
        <f t="shared" si="16"/>
        <v>2.0695691459908612</v>
      </c>
      <c r="AU45" s="35">
        <f>+IF($N45&gt;J$8,"FIN",(J$19-SUM(AV$25:AV44))*VLOOKUP($N45,$A:$M,10,0)/VLOOKUP(J$15,$J$1:$L$4,2,0))</f>
        <v>1.7999999999999998</v>
      </c>
      <c r="AV45" s="36">
        <f t="shared" si="29"/>
        <v>3.3333333333333335</v>
      </c>
      <c r="AW45" s="36">
        <f t="shared" si="30"/>
        <v>5.1333333333333329</v>
      </c>
      <c r="AX45" s="34">
        <f t="shared" si="38"/>
        <v>2.0108116623507417</v>
      </c>
      <c r="AY45" s="35">
        <f>+IF($N45&gt;K$8,"FIN",(K$19-SUM(AZ$25:AZ44))*VLOOKUP($N45,$A:$M,11,0)/VLOOKUP(K$15,$J$1:$L$4,2,0))</f>
        <v>1.8738636363636365</v>
      </c>
      <c r="AZ45" s="36">
        <f t="shared" si="17"/>
        <v>2.2045454545454546</v>
      </c>
      <c r="BA45" s="36">
        <f t="shared" si="18"/>
        <v>4.0784090909090907</v>
      </c>
      <c r="BB45" s="34">
        <f t="shared" si="19"/>
        <v>1.5975803695786923</v>
      </c>
      <c r="BC45" s="35">
        <f>+IF($N45&gt;L$8,"FIN",(L$19-SUM(BD$25:BD44))*VLOOKUP($N45,$A:$M,12,0)/VLOOKUP(L$15,$J$1:$L$4,2,0))</f>
        <v>1.5459375</v>
      </c>
      <c r="BD45" s="36">
        <f t="shared" si="31"/>
        <v>2.2045454545454546</v>
      </c>
      <c r="BE45" s="36">
        <f t="shared" si="32"/>
        <v>3.7504829545454546</v>
      </c>
      <c r="BF45" s="34">
        <f t="shared" si="39"/>
        <v>1.4691262722950003</v>
      </c>
      <c r="BG45" s="4"/>
    </row>
    <row r="46" spans="1:59" x14ac:dyDescent="0.25">
      <c r="A46" s="27">
        <f t="shared" si="33"/>
        <v>47802</v>
      </c>
      <c r="B46" s="233"/>
      <c r="C46" s="233">
        <v>1.7500000000000002E-2</v>
      </c>
      <c r="D46" s="230">
        <v>1.25E-3</v>
      </c>
      <c r="E46" s="234">
        <v>0.05</v>
      </c>
      <c r="F46" s="234">
        <v>0.04</v>
      </c>
      <c r="G46" s="234">
        <v>0.05</v>
      </c>
      <c r="H46" s="234">
        <v>4.2500000000000003E-2</v>
      </c>
      <c r="I46" s="234">
        <v>4.8750000000000002E-2</v>
      </c>
      <c r="J46" s="234">
        <v>4.4999999999999998E-2</v>
      </c>
      <c r="K46" s="233">
        <v>0.05</v>
      </c>
      <c r="L46" s="230">
        <v>4.1250000000000002E-2</v>
      </c>
      <c r="M46" s="235"/>
      <c r="N46" s="32">
        <f t="shared" si="34"/>
        <v>47802</v>
      </c>
      <c r="O46" s="35"/>
      <c r="P46" s="36"/>
      <c r="Q46" s="36"/>
      <c r="R46" s="34"/>
      <c r="S46" s="35">
        <f>+IF($N46&gt;C$8,"FIN",(C$19-SUM(T$25:T45))*VLOOKUP($N46,$A:$M,3,0)/VLOOKUP(C$15,$J$1:$L$4,2,0))</f>
        <v>7.072916666666676E-2</v>
      </c>
      <c r="T46" s="36">
        <f t="shared" si="6"/>
        <v>8.0833333333333339</v>
      </c>
      <c r="U46" s="36">
        <f t="shared" si="40"/>
        <v>8.1540625000000002</v>
      </c>
      <c r="V46" s="34">
        <f t="shared" si="8"/>
        <v>3.0454370198481944</v>
      </c>
      <c r="W46" s="35">
        <f>+IF($N46&gt;D$8,"FIN",(D$19-SUM(X$25:X45))*VLOOKUP($N46,$A:$M,4,0)/VLOOKUP(D$15,$J$1:$L$4,2,0))</f>
        <v>5.052083333333339E-3</v>
      </c>
      <c r="X46" s="33">
        <f t="shared" si="41"/>
        <v>8.0833333333333339</v>
      </c>
      <c r="Y46" s="33">
        <f t="shared" si="22"/>
        <v>8.088385416666668</v>
      </c>
      <c r="Z46" s="34">
        <f t="shared" si="35"/>
        <v>3.020907477556976</v>
      </c>
      <c r="AA46" s="35">
        <f>+IF($N46&gt;E$8,"FIN",(E$19-SUM(AB$25:AB45))*VLOOKUP($N46,$A:$M,5,0)/VLOOKUP(E$15,$J$1:$L$4,2,0))</f>
        <v>2.4250000000000003</v>
      </c>
      <c r="AB46" s="36">
        <f t="shared" si="10"/>
        <v>0</v>
      </c>
      <c r="AC46" s="36">
        <f t="shared" si="11"/>
        <v>2.4250000000000003</v>
      </c>
      <c r="AD46" s="34">
        <f t="shared" si="12"/>
        <v>0.90570617690652622</v>
      </c>
      <c r="AE46" s="35">
        <f>+IF($N46&gt;F$8,"FIN",(F$19-SUM(AF$25:AF45))*VLOOKUP($N46,$A:$M,6,0)/VLOOKUP(F$15,$J$1:$L$4,2,0))</f>
        <v>1.94</v>
      </c>
      <c r="AF46" s="36">
        <f t="shared" si="23"/>
        <v>0</v>
      </c>
      <c r="AG46" s="36">
        <f t="shared" si="24"/>
        <v>1.94</v>
      </c>
      <c r="AH46" s="34">
        <f t="shared" si="36"/>
        <v>0.72456494152522088</v>
      </c>
      <c r="AI46" s="35">
        <f>+IF($N46&gt;G$8,"FIN",(G$19-SUM(AJ$25:AJ45))*VLOOKUP($N46,$A:$M,7,0)/VLOOKUP(G$15,$J$1:$L$4,2,0))</f>
        <v>1.9318181818181817</v>
      </c>
      <c r="AJ46" s="36">
        <f t="shared" si="25"/>
        <v>4.5454545454545459</v>
      </c>
      <c r="AK46" s="36">
        <f t="shared" si="13"/>
        <v>6.4772727272727275</v>
      </c>
      <c r="AL46" s="34">
        <f t="shared" si="14"/>
        <v>2.4191776983913771</v>
      </c>
      <c r="AM46" s="35">
        <f>+IF($N46&gt;H$8,"FIN",(H$19-SUM(AN$25:AN45))*VLOOKUP($N46,$A:$M,8,0)/VLOOKUP(H$15,$J$1:$L$4,2,0))</f>
        <v>1.6420454545454546</v>
      </c>
      <c r="AN46" s="36">
        <f t="shared" si="26"/>
        <v>4.5454545454545459</v>
      </c>
      <c r="AO46" s="36">
        <f t="shared" si="27"/>
        <v>6.1875</v>
      </c>
      <c r="AP46" s="34">
        <f t="shared" si="37"/>
        <v>2.3109513276738682</v>
      </c>
      <c r="AQ46" s="35">
        <f>+IF($N46&gt;I$8,"FIN",(I$19-SUM(AR$25:AR45))*VLOOKUP($N46,$A:$M,9,0)/VLOOKUP(I$15,$J$1:$L$4,2,0))</f>
        <v>1.8687500000000001</v>
      </c>
      <c r="AR46" s="36">
        <f t="shared" si="28"/>
        <v>3.3333333333333335</v>
      </c>
      <c r="AS46" s="36">
        <f t="shared" si="15"/>
        <v>5.2020833333333334</v>
      </c>
      <c r="AT46" s="34">
        <f t="shared" si="16"/>
        <v>1.9429109310443262</v>
      </c>
      <c r="AU46" s="35">
        <f>+IF($N46&gt;J$8,"FIN",(J$19-SUM(AV$25:AV45))*VLOOKUP($N46,$A:$M,10,0)/VLOOKUP(J$15,$J$1:$L$4,2,0))</f>
        <v>1.7250000000000001</v>
      </c>
      <c r="AV46" s="36">
        <f t="shared" si="29"/>
        <v>3.3333333333333335</v>
      </c>
      <c r="AW46" s="36">
        <f t="shared" si="30"/>
        <v>5.0583333333333336</v>
      </c>
      <c r="AX46" s="34">
        <f t="shared" si="38"/>
        <v>1.8892221628256405</v>
      </c>
      <c r="AY46" s="35">
        <f>+IF($N46&gt;K$8,"FIN",(K$19-SUM(AZ$25:AZ45))*VLOOKUP($N46,$A:$M,11,0)/VLOOKUP(K$15,$J$1:$L$4,2,0))</f>
        <v>1.8187500000000001</v>
      </c>
      <c r="AZ46" s="36">
        <f t="shared" si="17"/>
        <v>2.2045454545454546</v>
      </c>
      <c r="BA46" s="36">
        <f t="shared" si="18"/>
        <v>4.0232954545454547</v>
      </c>
      <c r="BB46" s="34">
        <f t="shared" si="19"/>
        <v>1.5026488844131003</v>
      </c>
      <c r="BC46" s="35">
        <f>+IF($N46&gt;L$8,"FIN",(L$19-SUM(BD$25:BD45))*VLOOKUP($N46,$A:$M,12,0)/VLOOKUP(L$15,$J$1:$L$4,2,0))</f>
        <v>1.50046875</v>
      </c>
      <c r="BD46" s="36">
        <f t="shared" si="31"/>
        <v>2.2045454545454546</v>
      </c>
      <c r="BE46" s="36">
        <f t="shared" si="32"/>
        <v>3.7050142045454546</v>
      </c>
      <c r="BF46" s="34">
        <f t="shared" si="39"/>
        <v>1.3837749486941187</v>
      </c>
      <c r="BG46" s="4"/>
    </row>
    <row r="47" spans="1:59" x14ac:dyDescent="0.25">
      <c r="A47" s="27">
        <f t="shared" si="33"/>
        <v>47983</v>
      </c>
      <c r="B47" s="233"/>
      <c r="C47" s="233"/>
      <c r="D47" s="233"/>
      <c r="E47" s="234">
        <v>0.05</v>
      </c>
      <c r="F47" s="234">
        <v>0.04</v>
      </c>
      <c r="G47" s="234">
        <v>0.05</v>
      </c>
      <c r="H47" s="234">
        <v>4.2500000000000003E-2</v>
      </c>
      <c r="I47" s="234">
        <v>4.8750000000000002E-2</v>
      </c>
      <c r="J47" s="234">
        <v>4.4999999999999998E-2</v>
      </c>
      <c r="K47" s="233">
        <v>0.05</v>
      </c>
      <c r="L47" s="230">
        <v>4.1250000000000002E-2</v>
      </c>
      <c r="M47" s="235"/>
      <c r="N47" s="32">
        <f t="shared" si="34"/>
        <v>47983</v>
      </c>
      <c r="O47" s="35"/>
      <c r="P47" s="36"/>
      <c r="Q47" s="36"/>
      <c r="R47" s="34"/>
      <c r="S47" s="35"/>
      <c r="T47" s="36"/>
      <c r="U47" s="36"/>
      <c r="V47" s="34"/>
      <c r="W47" s="35"/>
      <c r="X47" s="36"/>
      <c r="Y47" s="36"/>
      <c r="Z47" s="34"/>
      <c r="AA47" s="35">
        <f>+IF($N47&gt;E$8,"FIN",(E$19-SUM(AB$25:AB46))*VLOOKUP($N47,$A:$M,5,0)/VLOOKUP(E$15,$J$1:$L$4,2,0))</f>
        <v>2.4250000000000003</v>
      </c>
      <c r="AB47" s="36">
        <f t="shared" si="10"/>
        <v>9.6999999999999993</v>
      </c>
      <c r="AC47" s="36">
        <f t="shared" si="11"/>
        <v>12.125</v>
      </c>
      <c r="AD47" s="34">
        <f t="shared" si="12"/>
        <v>4.3177847826451146</v>
      </c>
      <c r="AE47" s="35">
        <f>+IF($N47&gt;F$8,"FIN",(F$19-SUM(AF$25:AF46))*VLOOKUP($N47,$A:$M,6,0)/VLOOKUP(F$15,$J$1:$L$4,2,0))</f>
        <v>1.94</v>
      </c>
      <c r="AF47" s="36">
        <f t="shared" si="23"/>
        <v>9.6999999999999993</v>
      </c>
      <c r="AG47" s="36">
        <f t="shared" si="24"/>
        <v>11.639999999999999</v>
      </c>
      <c r="AH47" s="34">
        <f t="shared" si="36"/>
        <v>4.1450733913393094</v>
      </c>
      <c r="AI47" s="35">
        <f>+IF($N47&gt;G$8,"FIN",(G$19-SUM(AJ$25:AJ46))*VLOOKUP($N47,$A:$M,7,0)/VLOOKUP(G$15,$J$1:$L$4,2,0))</f>
        <v>1.8181818181818181</v>
      </c>
      <c r="AJ47" s="36">
        <f t="shared" si="25"/>
        <v>4.5454545454545459</v>
      </c>
      <c r="AK47" s="36">
        <f t="shared" si="13"/>
        <v>6.3636363636363642</v>
      </c>
      <c r="AL47" s="34">
        <f t="shared" si="14"/>
        <v>2.266128845624428</v>
      </c>
      <c r="AM47" s="35">
        <f>+IF($N47&gt;H$8,"FIN",(H$19-SUM(AN$25:AN46))*VLOOKUP($N47,$A:$M,8,0)/VLOOKUP(H$15,$J$1:$L$4,2,0))</f>
        <v>1.5454545454545454</v>
      </c>
      <c r="AN47" s="36">
        <f t="shared" si="26"/>
        <v>4.5454545454545459</v>
      </c>
      <c r="AO47" s="36">
        <f t="shared" si="27"/>
        <v>6.0909090909090917</v>
      </c>
      <c r="AP47" s="34">
        <f t="shared" si="37"/>
        <v>2.1690090379548095</v>
      </c>
      <c r="AQ47" s="35">
        <f>+IF($N47&gt;I$8,"FIN",(I$19-SUM(AR$25:AR46))*VLOOKUP($N47,$A:$M,9,0)/VLOOKUP(I$15,$J$1:$L$4,2,0))</f>
        <v>1.7875000000000003</v>
      </c>
      <c r="AR47" s="36">
        <f t="shared" si="28"/>
        <v>3.3333333333333335</v>
      </c>
      <c r="AS47" s="36">
        <f t="shared" si="15"/>
        <v>5.1208333333333336</v>
      </c>
      <c r="AT47" s="34">
        <f t="shared" si="16"/>
        <v>1.8235592776188474</v>
      </c>
      <c r="AU47" s="35">
        <f>+IF($N47&gt;J$8,"FIN",(J$19-SUM(AV$25:AV46))*VLOOKUP($N47,$A:$M,10,0)/VLOOKUP(J$15,$J$1:$L$4,2,0))</f>
        <v>1.6500000000000001</v>
      </c>
      <c r="AV47" s="36">
        <f t="shared" si="29"/>
        <v>3.3333333333333335</v>
      </c>
      <c r="AW47" s="36">
        <f t="shared" si="30"/>
        <v>4.9833333333333334</v>
      </c>
      <c r="AX47" s="34">
        <f t="shared" si="38"/>
        <v>1.7745947079187483</v>
      </c>
      <c r="AY47" s="35">
        <f>+IF($N47&gt;K$8,"FIN",(K$19-SUM(AZ$25:AZ46))*VLOOKUP($N47,$A:$M,11,0)/VLOOKUP(K$15,$J$1:$L$4,2,0))</f>
        <v>1.7636363636363637</v>
      </c>
      <c r="AZ47" s="36">
        <f t="shared" si="17"/>
        <v>2.2045454545454546</v>
      </c>
      <c r="BA47" s="36">
        <f t="shared" si="18"/>
        <v>3.9681818181818183</v>
      </c>
      <c r="BB47" s="34">
        <f t="shared" si="19"/>
        <v>1.4130932015929467</v>
      </c>
      <c r="BC47" s="35">
        <f>+IF($N47&gt;L$8,"FIN",(L$19-SUM(BD$25:BD46))*VLOOKUP($N47,$A:$M,12,0)/VLOOKUP(L$15,$J$1:$L$4,2,0))</f>
        <v>1.4550000000000001</v>
      </c>
      <c r="BD47" s="36">
        <f t="shared" si="31"/>
        <v>2.2045454545454546</v>
      </c>
      <c r="BE47" s="36">
        <f t="shared" si="32"/>
        <v>3.6595454545454547</v>
      </c>
      <c r="BF47" s="34">
        <f t="shared" si="39"/>
        <v>1.3031859525801619</v>
      </c>
      <c r="BG47" s="4"/>
    </row>
    <row r="48" spans="1:59" x14ac:dyDescent="0.25">
      <c r="A48" s="27">
        <f t="shared" si="33"/>
        <v>48167</v>
      </c>
      <c r="B48" s="233"/>
      <c r="C48" s="233"/>
      <c r="D48" s="233"/>
      <c r="E48" s="234">
        <v>0.05</v>
      </c>
      <c r="F48" s="234">
        <v>0.04</v>
      </c>
      <c r="G48" s="234">
        <v>0.05</v>
      </c>
      <c r="H48" s="234">
        <v>4.2500000000000003E-2</v>
      </c>
      <c r="I48" s="234">
        <v>4.8750000000000002E-2</v>
      </c>
      <c r="J48" s="234">
        <v>4.4999999999999998E-2</v>
      </c>
      <c r="K48" s="233">
        <v>0.05</v>
      </c>
      <c r="L48" s="230">
        <v>4.1250000000000002E-2</v>
      </c>
      <c r="M48" s="235"/>
      <c r="N48" s="32">
        <f t="shared" si="34"/>
        <v>48167</v>
      </c>
      <c r="O48" s="35"/>
      <c r="P48" s="36"/>
      <c r="Q48" s="36"/>
      <c r="R48" s="34"/>
      <c r="S48" s="35"/>
      <c r="T48" s="36"/>
      <c r="U48" s="36"/>
      <c r="V48" s="34"/>
      <c r="W48" s="36"/>
      <c r="X48" s="36"/>
      <c r="Y48" s="36"/>
      <c r="Z48" s="34"/>
      <c r="AA48" s="35">
        <f>+IF($N48&gt;E$8,"FIN",(E$19-SUM(AB$25:AB47))*VLOOKUP($N48,$A:$M,5,0)/VLOOKUP(E$15,$J$1:$L$4,2,0))</f>
        <v>2.1825000000000001</v>
      </c>
      <c r="AB48" s="36">
        <f t="shared" si="10"/>
        <v>9.6999999999999993</v>
      </c>
      <c r="AC48" s="36">
        <f t="shared" si="11"/>
        <v>11.8825</v>
      </c>
      <c r="AD48" s="34">
        <f t="shared" si="12"/>
        <v>4.0345093334927071</v>
      </c>
      <c r="AE48" s="35">
        <f>+IF($N48&gt;F$8,"FIN",(F$19-SUM(AF$25:AF47))*VLOOKUP($N48,$A:$M,6,0)/VLOOKUP(F$15,$J$1:$L$4,2,0))</f>
        <v>1.746</v>
      </c>
      <c r="AF48" s="36">
        <f t="shared" si="23"/>
        <v>9.6999999999999993</v>
      </c>
      <c r="AG48" s="36">
        <f t="shared" si="24"/>
        <v>11.446</v>
      </c>
      <c r="AH48" s="34">
        <f t="shared" si="36"/>
        <v>3.8863028681807301</v>
      </c>
      <c r="AI48" s="35">
        <f>+IF($N48&gt;G$8,"FIN",(G$19-SUM(AJ$25:AJ47))*VLOOKUP($N48,$A:$M,7,0)/VLOOKUP(G$15,$J$1:$L$4,2,0))</f>
        <v>1.7045454545454544</v>
      </c>
      <c r="AJ48" s="36">
        <f t="shared" si="25"/>
        <v>4.5454545454545459</v>
      </c>
      <c r="AK48" s="36">
        <f t="shared" si="13"/>
        <v>6.25</v>
      </c>
      <c r="AL48" s="34">
        <f t="shared" si="14"/>
        <v>2.1220857003433133</v>
      </c>
      <c r="AM48" s="35">
        <f>+IF($N48&gt;H$8,"FIN",(H$19-SUM(AN$25:AN47))*VLOOKUP($N48,$A:$M,8,0)/VLOOKUP(H$15,$J$1:$L$4,2,0))</f>
        <v>1.4488636363636362</v>
      </c>
      <c r="AN48" s="36">
        <f t="shared" si="26"/>
        <v>4.5454545454545459</v>
      </c>
      <c r="AO48" s="36">
        <f t="shared" si="27"/>
        <v>5.9943181818181817</v>
      </c>
      <c r="AP48" s="34">
        <f t="shared" si="37"/>
        <v>2.0352731035110869</v>
      </c>
      <c r="AQ48" s="35">
        <f>+IF($N48&gt;I$8,"FIN",(I$19-SUM(AR$25:AR47))*VLOOKUP($N48,$A:$M,9,0)/VLOOKUP(I$15,$J$1:$L$4,2,0))</f>
        <v>1.70625</v>
      </c>
      <c r="AR48" s="36">
        <f t="shared" si="28"/>
        <v>3.3333333333333335</v>
      </c>
      <c r="AS48" s="36">
        <f t="shared" si="15"/>
        <v>5.0395833333333337</v>
      </c>
      <c r="AT48" s="34">
        <f t="shared" si="16"/>
        <v>1.7111084363768252</v>
      </c>
      <c r="AU48" s="35">
        <f>+IF($N48&gt;J$8,"FIN",(J$19-SUM(AV$25:AV47))*VLOOKUP($N48,$A:$M,10,0)/VLOOKUP(J$15,$J$1:$L$4,2,0))</f>
        <v>1.575</v>
      </c>
      <c r="AV48" s="36">
        <f t="shared" si="29"/>
        <v>3.3333333333333335</v>
      </c>
      <c r="AW48" s="36">
        <f t="shared" si="30"/>
        <v>4.9083333333333332</v>
      </c>
      <c r="AX48" s="34">
        <f t="shared" si="38"/>
        <v>1.6665446366696153</v>
      </c>
      <c r="AY48" s="35">
        <f>+IF($N48&gt;K$8,"FIN",(K$19-SUM(AZ$25:AZ47))*VLOOKUP($N48,$A:$M,11,0)/VLOOKUP(K$15,$J$1:$L$4,2,0))</f>
        <v>1.7085227272727275</v>
      </c>
      <c r="AZ48" s="36">
        <f t="shared" si="17"/>
        <v>2.2045454545454546</v>
      </c>
      <c r="BA48" s="36">
        <f t="shared" si="18"/>
        <v>3.9130681818181818</v>
      </c>
      <c r="BB48" s="34">
        <f t="shared" si="19"/>
        <v>1.3286185652967635</v>
      </c>
      <c r="BC48" s="35">
        <f>+IF($N48&gt;L$8,"FIN",(L$19-SUM(BD$25:BD47))*VLOOKUP($N48,$A:$M,12,0)/VLOOKUP(L$15,$J$1:$L$4,2,0))</f>
        <v>1.4095312500000001</v>
      </c>
      <c r="BD48" s="36">
        <f t="shared" si="31"/>
        <v>2.2045454545454546</v>
      </c>
      <c r="BE48" s="36">
        <f t="shared" si="32"/>
        <v>3.6140767045454547</v>
      </c>
      <c r="BF48" s="34">
        <f t="shared" si="39"/>
        <v>1.2271008791455673</v>
      </c>
      <c r="BG48" s="4"/>
    </row>
    <row r="49" spans="1:59" x14ac:dyDescent="0.25">
      <c r="A49" s="27">
        <f t="shared" si="33"/>
        <v>48349</v>
      </c>
      <c r="B49" s="233"/>
      <c r="C49" s="233"/>
      <c r="D49" s="233"/>
      <c r="E49" s="234">
        <v>0.05</v>
      </c>
      <c r="F49" s="234">
        <v>0.04</v>
      </c>
      <c r="G49" s="234">
        <v>0.05</v>
      </c>
      <c r="H49" s="234">
        <v>4.2500000000000003E-2</v>
      </c>
      <c r="I49" s="234">
        <v>4.8750000000000002E-2</v>
      </c>
      <c r="J49" s="234">
        <v>4.4999999999999998E-2</v>
      </c>
      <c r="K49" s="233">
        <v>0.05</v>
      </c>
      <c r="L49" s="230">
        <v>4.1250000000000002E-2</v>
      </c>
      <c r="M49" s="235"/>
      <c r="N49" s="32">
        <f t="shared" si="34"/>
        <v>48349</v>
      </c>
      <c r="O49" s="35"/>
      <c r="P49" s="36"/>
      <c r="Q49" s="36"/>
      <c r="R49" s="34"/>
      <c r="S49" s="35"/>
      <c r="T49" s="36"/>
      <c r="U49" s="36"/>
      <c r="V49" s="34"/>
      <c r="W49" s="36"/>
      <c r="X49" s="36"/>
      <c r="Y49" s="36"/>
      <c r="Z49" s="34"/>
      <c r="AA49" s="35">
        <f>+IF($N49&gt;E$8,"FIN",(E$19-SUM(AB$25:AB48))*VLOOKUP($N49,$A:$M,5,0)/VLOOKUP(E$15,$J$1:$L$4,2,0))</f>
        <v>1.94</v>
      </c>
      <c r="AB49" s="36">
        <f t="shared" si="10"/>
        <v>9.6999999999999993</v>
      </c>
      <c r="AC49" s="36">
        <f t="shared" si="11"/>
        <v>11.639999999999999</v>
      </c>
      <c r="AD49" s="34">
        <f t="shared" si="12"/>
        <v>3.76824853758119</v>
      </c>
      <c r="AE49" s="35">
        <f>+IF($N49&gt;F$8,"FIN",(F$19-SUM(AF$25:AF48))*VLOOKUP($N49,$A:$M,6,0)/VLOOKUP(F$15,$J$1:$L$4,2,0))</f>
        <v>1.5519999999999998</v>
      </c>
      <c r="AF49" s="36">
        <f t="shared" si="23"/>
        <v>9.6999999999999993</v>
      </c>
      <c r="AG49" s="36">
        <f t="shared" si="24"/>
        <v>11.251999999999999</v>
      </c>
      <c r="AH49" s="34">
        <f t="shared" si="36"/>
        <v>3.6426402529951503</v>
      </c>
      <c r="AI49" s="35">
        <f>+IF($N49&gt;G$8,"FIN",(G$19-SUM(AJ$25:AJ48))*VLOOKUP($N49,$A:$M,7,0)/VLOOKUP(G$15,$J$1:$L$4,2,0))</f>
        <v>1.5909090909090908</v>
      </c>
      <c r="AJ49" s="36">
        <f t="shared" si="25"/>
        <v>4.5454545454545459</v>
      </c>
      <c r="AK49" s="36">
        <f t="shared" si="13"/>
        <v>6.1363636363636367</v>
      </c>
      <c r="AL49" s="34">
        <f t="shared" si="14"/>
        <v>1.9865415205149202</v>
      </c>
      <c r="AM49" s="35">
        <f>+IF($N49&gt;H$8,"FIN",(H$19-SUM(AN$25:AN48))*VLOOKUP($N49,$A:$M,8,0)/VLOOKUP(H$15,$J$1:$L$4,2,0))</f>
        <v>1.3522727272727273</v>
      </c>
      <c r="AN49" s="36">
        <f t="shared" si="26"/>
        <v>4.5454545454545459</v>
      </c>
      <c r="AO49" s="36">
        <f t="shared" si="27"/>
        <v>5.8977272727272734</v>
      </c>
      <c r="AP49" s="34">
        <f t="shared" si="37"/>
        <v>1.9092871280504511</v>
      </c>
      <c r="AQ49" s="35">
        <f>+IF($N49&gt;I$8,"FIN",(I$19-SUM(AR$25:AR48))*VLOOKUP($N49,$A:$M,9,0)/VLOOKUP(I$15,$J$1:$L$4,2,0))</f>
        <v>1.6250000000000002</v>
      </c>
      <c r="AR49" s="36">
        <f t="shared" si="28"/>
        <v>3.3333333333333335</v>
      </c>
      <c r="AS49" s="36">
        <f t="shared" si="15"/>
        <v>4.9583333333333339</v>
      </c>
      <c r="AT49" s="34">
        <f t="shared" si="16"/>
        <v>1.6051745989839694</v>
      </c>
      <c r="AU49" s="35">
        <f>+IF($N49&gt;J$8,"FIN",(J$19-SUM(AV$25:AV48))*VLOOKUP($N49,$A:$M,10,0)/VLOOKUP(J$15,$J$1:$L$4,2,0))</f>
        <v>1.5</v>
      </c>
      <c r="AV49" s="36">
        <f t="shared" si="29"/>
        <v>3.3333333333333335</v>
      </c>
      <c r="AW49" s="36">
        <f t="shared" si="30"/>
        <v>4.8333333333333339</v>
      </c>
      <c r="AX49" s="34">
        <f t="shared" si="38"/>
        <v>1.5647080124549619</v>
      </c>
      <c r="AY49" s="35">
        <f>+IF($N49&gt;K$8,"FIN",(K$19-SUM(AZ$25:AZ48))*VLOOKUP($N49,$A:$M,11,0)/VLOOKUP(K$15,$J$1:$L$4,2,0))</f>
        <v>1.6534090909090911</v>
      </c>
      <c r="AZ49" s="36">
        <f t="shared" si="17"/>
        <v>2.2045454545454546</v>
      </c>
      <c r="BA49" s="36">
        <f t="shared" si="18"/>
        <v>3.8579545454545459</v>
      </c>
      <c r="BB49" s="34">
        <f t="shared" si="19"/>
        <v>1.2489460115089175</v>
      </c>
      <c r="BC49" s="35">
        <f>+IF($N49&gt;L$8,"FIN",(L$19-SUM(BD$25:BD48))*VLOOKUP($N49,$A:$M,12,0)/VLOOKUP(L$15,$J$1:$L$4,2,0))</f>
        <v>1.3640625000000002</v>
      </c>
      <c r="BD49" s="36">
        <f t="shared" si="31"/>
        <v>2.2045454545454546</v>
      </c>
      <c r="BE49" s="36">
        <f t="shared" si="32"/>
        <v>3.5686079545454548</v>
      </c>
      <c r="BF49" s="34">
        <f t="shared" si="39"/>
        <v>1.1552750606457485</v>
      </c>
      <c r="BG49" s="4"/>
    </row>
    <row r="50" spans="1:59" x14ac:dyDescent="0.25">
      <c r="A50" s="27">
        <f t="shared" si="33"/>
        <v>48533</v>
      </c>
      <c r="B50" s="233"/>
      <c r="C50" s="233"/>
      <c r="D50" s="233"/>
      <c r="E50" s="234">
        <v>0.05</v>
      </c>
      <c r="F50" s="234">
        <v>0.04</v>
      </c>
      <c r="G50" s="234">
        <v>0.05</v>
      </c>
      <c r="H50" s="234">
        <v>4.2500000000000003E-2</v>
      </c>
      <c r="I50" s="234">
        <v>4.8750000000000002E-2</v>
      </c>
      <c r="J50" s="234">
        <v>4.4999999999999998E-2</v>
      </c>
      <c r="K50" s="233">
        <v>0.05</v>
      </c>
      <c r="L50" s="230">
        <v>4.1250000000000002E-2</v>
      </c>
      <c r="M50" s="235"/>
      <c r="N50" s="32">
        <f t="shared" si="34"/>
        <v>48533</v>
      </c>
      <c r="O50" s="35"/>
      <c r="P50" s="36"/>
      <c r="Q50" s="36"/>
      <c r="R50" s="34"/>
      <c r="S50" s="35"/>
      <c r="T50" s="36"/>
      <c r="U50" s="36"/>
      <c r="V50" s="34"/>
      <c r="W50" s="36"/>
      <c r="X50" s="36"/>
      <c r="Y50" s="36"/>
      <c r="Z50" s="34"/>
      <c r="AA50" s="35">
        <f>+IF($N50&gt;E$8,"FIN",(E$19-SUM(AB$25:AB49))*VLOOKUP($N50,$A:$M,5,0)/VLOOKUP(E$15,$J$1:$L$4,2,0))</f>
        <v>1.6975000000000002</v>
      </c>
      <c r="AB50" s="36">
        <f t="shared" si="10"/>
        <v>9.6999999999999993</v>
      </c>
      <c r="AC50" s="36">
        <f t="shared" si="11"/>
        <v>11.397499999999999</v>
      </c>
      <c r="AD50" s="34">
        <f t="shared" si="12"/>
        <v>3.5180322574055141</v>
      </c>
      <c r="AE50" s="35">
        <f>+IF($N50&gt;F$8,"FIN",(F$19-SUM(AF$25:AF49))*VLOOKUP($N50,$A:$M,6,0)/VLOOKUP(F$15,$J$1:$L$4,2,0))</f>
        <v>1.3580000000000001</v>
      </c>
      <c r="AF50" s="36">
        <f t="shared" si="23"/>
        <v>9.6999999999999993</v>
      </c>
      <c r="AG50" s="36">
        <f t="shared" si="24"/>
        <v>11.058</v>
      </c>
      <c r="AH50" s="34">
        <f t="shared" si="36"/>
        <v>3.4132398071849246</v>
      </c>
      <c r="AI50" s="35">
        <f>+IF($N50&gt;G$8,"FIN",(G$19-SUM(AJ$25:AJ49))*VLOOKUP($N50,$A:$M,7,0)/VLOOKUP(G$15,$J$1:$L$4,2,0))</f>
        <v>1.4772727272727273</v>
      </c>
      <c r="AJ50" s="36">
        <f t="shared" si="25"/>
        <v>4.5454545454545459</v>
      </c>
      <c r="AK50" s="36">
        <f t="shared" si="13"/>
        <v>6.0227272727272734</v>
      </c>
      <c r="AL50" s="34">
        <f t="shared" si="14"/>
        <v>1.8590172250941424</v>
      </c>
      <c r="AM50" s="35">
        <f>+IF($N50&gt;H$8,"FIN",(H$19-SUM(AN$25:AN49))*VLOOKUP($N50,$A:$M,8,0)/VLOOKUP(H$15,$J$1:$L$4,2,0))</f>
        <v>1.2556818181818181</v>
      </c>
      <c r="AN50" s="36">
        <f t="shared" si="26"/>
        <v>4.5454545454545459</v>
      </c>
      <c r="AO50" s="36">
        <f t="shared" si="27"/>
        <v>5.8011363636363642</v>
      </c>
      <c r="AP50" s="34">
        <f t="shared" si="37"/>
        <v>1.7906194215293578</v>
      </c>
      <c r="AQ50" s="35">
        <f>+IF($N50&gt;I$8,"FIN",(I$19-SUM(AR$25:AR49))*VLOOKUP($N50,$A:$M,9,0)/VLOOKUP(I$15,$J$1:$L$4,2,0))</f>
        <v>1.5437500000000002</v>
      </c>
      <c r="AR50" s="36">
        <f t="shared" si="28"/>
        <v>3.3333333333333335</v>
      </c>
      <c r="AS50" s="36">
        <f t="shared" si="15"/>
        <v>4.8770833333333332</v>
      </c>
      <c r="AT50" s="34">
        <f t="shared" si="16"/>
        <v>1.5053947346980896</v>
      </c>
      <c r="AU50" s="35">
        <f>+IF($N50&gt;J$8,"FIN",(J$19-SUM(AV$25:AV49))*VLOOKUP($N50,$A:$M,10,0)/VLOOKUP(J$15,$J$1:$L$4,2,0))</f>
        <v>1.425</v>
      </c>
      <c r="AV50" s="36">
        <f t="shared" si="29"/>
        <v>3.3333333333333335</v>
      </c>
      <c r="AW50" s="36">
        <f t="shared" si="30"/>
        <v>4.7583333333333337</v>
      </c>
      <c r="AX50" s="34">
        <f t="shared" si="38"/>
        <v>1.4687405271467053</v>
      </c>
      <c r="AY50" s="35">
        <f>+IF($N50&gt;K$8,"FIN",(K$19-SUM(AZ$25:AZ49))*VLOOKUP($N50,$A:$M,11,0)/VLOOKUP(K$15,$J$1:$L$4,2,0))</f>
        <v>1.5982954545454549</v>
      </c>
      <c r="AZ50" s="36">
        <f t="shared" si="17"/>
        <v>2.2045454545454546</v>
      </c>
      <c r="BA50" s="36">
        <f t="shared" si="18"/>
        <v>3.8028409090909094</v>
      </c>
      <c r="BB50" s="34">
        <f t="shared" si="19"/>
        <v>1.1738115365618014</v>
      </c>
      <c r="BC50" s="35">
        <f>+IF($N50&gt;L$8,"FIN",(L$19-SUM(BD$25:BD49))*VLOOKUP($N50,$A:$M,12,0)/VLOOKUP(L$15,$J$1:$L$4,2,0))</f>
        <v>1.3185937500000002</v>
      </c>
      <c r="BD50" s="36">
        <f t="shared" si="31"/>
        <v>2.2045454545454546</v>
      </c>
      <c r="BE50" s="36">
        <f t="shared" si="32"/>
        <v>3.5231392045454548</v>
      </c>
      <c r="BF50" s="34">
        <f t="shared" si="39"/>
        <v>1.0874768474596108</v>
      </c>
      <c r="BG50" s="4"/>
    </row>
    <row r="51" spans="1:59" x14ac:dyDescent="0.25">
      <c r="A51" s="27">
        <f t="shared" si="33"/>
        <v>48714</v>
      </c>
      <c r="B51" s="233"/>
      <c r="C51" s="233"/>
      <c r="D51" s="233"/>
      <c r="E51" s="234">
        <v>0.05</v>
      </c>
      <c r="F51" s="234">
        <v>0.04</v>
      </c>
      <c r="G51" s="234">
        <v>0.05</v>
      </c>
      <c r="H51" s="234">
        <v>4.2500000000000003E-2</v>
      </c>
      <c r="I51" s="234">
        <v>4.8750000000000002E-2</v>
      </c>
      <c r="J51" s="234">
        <v>4.4999999999999998E-2</v>
      </c>
      <c r="K51" s="233">
        <v>0.05</v>
      </c>
      <c r="L51" s="230">
        <v>4.1250000000000002E-2</v>
      </c>
      <c r="M51" s="235"/>
      <c r="N51" s="32">
        <f t="shared" si="34"/>
        <v>48714</v>
      </c>
      <c r="O51" s="35"/>
      <c r="P51" s="36"/>
      <c r="Q51" s="36"/>
      <c r="R51" s="34"/>
      <c r="S51" s="45"/>
      <c r="T51" s="36"/>
      <c r="U51" s="36"/>
      <c r="V51" s="34"/>
      <c r="W51" s="36"/>
      <c r="X51" s="36"/>
      <c r="Y51" s="36"/>
      <c r="Z51" s="34"/>
      <c r="AA51" s="35">
        <f>+IF($N51&gt;E$8,"FIN",(E$19-SUM(AB$25:AB50))*VLOOKUP($N51,$A:$M,5,0)/VLOOKUP(E$15,$J$1:$L$4,2,0))</f>
        <v>1.4550000000000001</v>
      </c>
      <c r="AB51" s="36">
        <f t="shared" si="10"/>
        <v>9.6999999999999993</v>
      </c>
      <c r="AC51" s="36">
        <f t="shared" si="11"/>
        <v>11.154999999999999</v>
      </c>
      <c r="AD51" s="34">
        <f t="shared" si="12"/>
        <v>3.2829438016805814</v>
      </c>
      <c r="AE51" s="35">
        <f>+IF($N51&gt;F$8,"FIN",(F$19-SUM(AF$25:AF50))*VLOOKUP($N51,$A:$M,6,0)/VLOOKUP(F$15,$J$1:$L$4,2,0))</f>
        <v>1.1640000000000001</v>
      </c>
      <c r="AF51" s="36">
        <f t="shared" si="23"/>
        <v>9.6999999999999993</v>
      </c>
      <c r="AG51" s="36">
        <f t="shared" si="24"/>
        <v>10.863999999999999</v>
      </c>
      <c r="AH51" s="34">
        <f t="shared" si="36"/>
        <v>3.1973017894628271</v>
      </c>
      <c r="AI51" s="35">
        <f>+IF($N51&gt;G$8,"FIN",(G$19-SUM(AJ$25:AJ50))*VLOOKUP($N51,$A:$M,7,0)/VLOOKUP(G$15,$J$1:$L$4,2,0))</f>
        <v>1.3636363636363635</v>
      </c>
      <c r="AJ51" s="36">
        <f t="shared" si="25"/>
        <v>4.5454545454545459</v>
      </c>
      <c r="AK51" s="36">
        <f t="shared" si="13"/>
        <v>5.9090909090909092</v>
      </c>
      <c r="AL51" s="34">
        <f t="shared" si="14"/>
        <v>1.7390599169490879</v>
      </c>
      <c r="AM51" s="35">
        <f>+IF($N51&gt;H$8,"FIN",(H$19-SUM(AN$25:AN50))*VLOOKUP($N51,$A:$M,8,0)/VLOOKUP(H$15,$J$1:$L$4,2,0))</f>
        <v>1.1590909090909089</v>
      </c>
      <c r="AN51" s="36">
        <f t="shared" si="26"/>
        <v>4.5454545454545459</v>
      </c>
      <c r="AO51" s="36">
        <f t="shared" si="27"/>
        <v>5.704545454545455</v>
      </c>
      <c r="AP51" s="34">
        <f t="shared" si="37"/>
        <v>1.6788616890546963</v>
      </c>
      <c r="AQ51" s="35">
        <f>+IF($N51&gt;I$8,"FIN",(I$19-SUM(AR$25:AR50))*VLOOKUP($N51,$A:$M,9,0)/VLOOKUP(I$15,$J$1:$L$4,2,0))</f>
        <v>1.4625000000000001</v>
      </c>
      <c r="AR51" s="36">
        <f t="shared" si="28"/>
        <v>3.3333333333333335</v>
      </c>
      <c r="AS51" s="36">
        <f t="shared" si="15"/>
        <v>4.7958333333333334</v>
      </c>
      <c r="AT51" s="34">
        <f t="shared" si="16"/>
        <v>1.4114254877238719</v>
      </c>
      <c r="AU51" s="35">
        <f>+IF($N51&gt;J$8,"FIN",(J$19-SUM(AV$25:AV50))*VLOOKUP($N51,$A:$M,10,0)/VLOOKUP(J$15,$J$1:$L$4,2,0))</f>
        <v>1.3499999999999999</v>
      </c>
      <c r="AV51" s="36">
        <f t="shared" si="29"/>
        <v>3.3333333333333335</v>
      </c>
      <c r="AW51" s="36">
        <f t="shared" si="30"/>
        <v>4.6833333333333336</v>
      </c>
      <c r="AX51" s="34">
        <f t="shared" si="38"/>
        <v>1.3783164623819566</v>
      </c>
      <c r="AY51" s="35">
        <f>+IF($N51&gt;K$8,"FIN",(K$19-SUM(AZ$25:AZ50))*VLOOKUP($N51,$A:$M,11,0)/VLOOKUP(K$15,$J$1:$L$4,2,0))</f>
        <v>1.5431818181818184</v>
      </c>
      <c r="AZ51" s="36">
        <f t="shared" si="17"/>
        <v>2.2045454545454546</v>
      </c>
      <c r="BA51" s="36">
        <f t="shared" si="18"/>
        <v>3.747727272727273</v>
      </c>
      <c r="BB51" s="34">
        <f t="shared" si="19"/>
        <v>1.1029653088650178</v>
      </c>
      <c r="BC51" s="35">
        <f>+IF($N51&gt;L$8,"FIN",(L$19-SUM(BD$25:BD50))*VLOOKUP($N51,$A:$M,12,0)/VLOOKUP(L$15,$J$1:$L$4,2,0))</f>
        <v>1.2731250000000003</v>
      </c>
      <c r="BD51" s="36">
        <f t="shared" si="31"/>
        <v>2.2045454545454546</v>
      </c>
      <c r="BE51" s="36">
        <f t="shared" si="32"/>
        <v>3.4776704545454549</v>
      </c>
      <c r="BF51" s="34">
        <f t="shared" si="39"/>
        <v>1.0234869263144502</v>
      </c>
      <c r="BG51" s="4"/>
    </row>
    <row r="52" spans="1:59" x14ac:dyDescent="0.25">
      <c r="A52" s="27">
        <f t="shared" si="33"/>
        <v>48898</v>
      </c>
      <c r="B52" s="233"/>
      <c r="C52" s="233"/>
      <c r="D52" s="233"/>
      <c r="E52" s="234">
        <v>0.05</v>
      </c>
      <c r="F52" s="234">
        <v>0.04</v>
      </c>
      <c r="G52" s="234">
        <v>0.05</v>
      </c>
      <c r="H52" s="234">
        <v>4.2500000000000003E-2</v>
      </c>
      <c r="I52" s="234">
        <v>4.8750000000000002E-2</v>
      </c>
      <c r="J52" s="234">
        <v>4.4999999999999998E-2</v>
      </c>
      <c r="K52" s="233">
        <v>0.05</v>
      </c>
      <c r="L52" s="230">
        <v>4.1250000000000002E-2</v>
      </c>
      <c r="M52" s="235"/>
      <c r="N52" s="32">
        <f t="shared" si="34"/>
        <v>48898</v>
      </c>
      <c r="O52" s="35"/>
      <c r="P52" s="36"/>
      <c r="Q52" s="36"/>
      <c r="R52" s="34"/>
      <c r="S52" s="45"/>
      <c r="T52" s="36"/>
      <c r="U52" s="36"/>
      <c r="V52" s="34"/>
      <c r="W52" s="36"/>
      <c r="X52" s="36"/>
      <c r="Y52" s="36"/>
      <c r="Z52" s="34"/>
      <c r="AA52" s="35">
        <f>+IF($N52&gt;E$8,"FIN",(E$19-SUM(AB$25:AB51))*VLOOKUP($N52,$A:$M,5,0)/VLOOKUP(E$15,$J$1:$L$4,2,0))</f>
        <v>1.2125000000000001</v>
      </c>
      <c r="AB52" s="36">
        <f t="shared" si="10"/>
        <v>9.6999999999999993</v>
      </c>
      <c r="AC52" s="36">
        <f t="shared" si="11"/>
        <v>10.9125</v>
      </c>
      <c r="AD52" s="34">
        <f t="shared" si="12"/>
        <v>3.0621170519003509</v>
      </c>
      <c r="AE52" s="35">
        <f>+IF($N52&gt;F$8,"FIN",(F$19-SUM(AF$25:AF51))*VLOOKUP($N52,$A:$M,6,0)/VLOOKUP(F$15,$J$1:$L$4,2,0))</f>
        <v>0.97</v>
      </c>
      <c r="AF52" s="36">
        <f t="shared" si="23"/>
        <v>9.6999999999999993</v>
      </c>
      <c r="AG52" s="36">
        <f t="shared" si="24"/>
        <v>10.67</v>
      </c>
      <c r="AH52" s="34">
        <f t="shared" si="36"/>
        <v>2.9940700063025654</v>
      </c>
      <c r="AI52" s="35">
        <f>+IF($N52&gt;G$8,"FIN",(G$19-SUM(AJ$25:AJ51))*VLOOKUP($N52,$A:$M,7,0)/VLOOKUP(G$15,$J$1:$L$4,2,0))</f>
        <v>1.25</v>
      </c>
      <c r="AJ52" s="36">
        <f t="shared" si="25"/>
        <v>4.5454545454545459</v>
      </c>
      <c r="AK52" s="36">
        <f t="shared" si="13"/>
        <v>5.7954545454545459</v>
      </c>
      <c r="AL52" s="34">
        <f t="shared" si="14"/>
        <v>1.6262414833585119</v>
      </c>
      <c r="AM52" s="35">
        <f>+IF($N52&gt;H$8,"FIN",(H$19-SUM(AN$25:AN51))*VLOOKUP($N52,$A:$M,8,0)/VLOOKUP(H$15,$J$1:$L$4,2,0))</f>
        <v>1.0625</v>
      </c>
      <c r="AN52" s="36">
        <f t="shared" si="26"/>
        <v>4.5454545454545459</v>
      </c>
      <c r="AO52" s="36">
        <f t="shared" si="27"/>
        <v>5.6079545454545459</v>
      </c>
      <c r="AP52" s="34">
        <f t="shared" si="37"/>
        <v>1.5736277883086778</v>
      </c>
      <c r="AQ52" s="35">
        <f>+IF($N52&gt;I$8,"FIN",(I$19-SUM(AR$25:AR51))*VLOOKUP($N52,$A:$M,9,0)/VLOOKUP(I$15,$J$1:$L$4,2,0))</f>
        <v>1.3812500000000001</v>
      </c>
      <c r="AR52" s="36">
        <f t="shared" si="28"/>
        <v>3.3333333333333335</v>
      </c>
      <c r="AS52" s="36">
        <f t="shared" si="15"/>
        <v>4.7145833333333336</v>
      </c>
      <c r="AT52" s="34">
        <f t="shared" si="16"/>
        <v>1.3229421321974979</v>
      </c>
      <c r="AU52" s="35">
        <f>+IF($N52&gt;J$8,"FIN",(J$19-SUM(AV$25:AV51))*VLOOKUP($N52,$A:$M,10,0)/VLOOKUP(J$15,$J$1:$L$4,2,0))</f>
        <v>1.2749999999999999</v>
      </c>
      <c r="AV52" s="36">
        <f t="shared" si="29"/>
        <v>3.3333333333333335</v>
      </c>
      <c r="AW52" s="36">
        <f t="shared" si="30"/>
        <v>4.6083333333333334</v>
      </c>
      <c r="AX52" s="34">
        <f t="shared" si="38"/>
        <v>1.2931277050025918</v>
      </c>
      <c r="AY52" s="35">
        <f>+IF($N52&gt;K$8,"FIN",(K$19-SUM(AZ$25:AZ51))*VLOOKUP($N52,$A:$M,11,0)/VLOOKUP(K$15,$J$1:$L$4,2,0))</f>
        <v>1.488068181818182</v>
      </c>
      <c r="AZ52" s="36">
        <f t="shared" si="17"/>
        <v>2.2045454545454546</v>
      </c>
      <c r="BA52" s="36">
        <f t="shared" si="18"/>
        <v>3.6926136363636366</v>
      </c>
      <c r="BB52" s="34">
        <f t="shared" si="19"/>
        <v>1.036170921602644</v>
      </c>
      <c r="BC52" s="35">
        <f>+IF($N52&gt;L$8,"FIN",(L$19-SUM(BD$25:BD51))*VLOOKUP($N52,$A:$M,12,0)/VLOOKUP(L$15,$J$1:$L$4,2,0))</f>
        <v>1.2276562500000001</v>
      </c>
      <c r="BD52" s="36">
        <f t="shared" si="31"/>
        <v>2.2045454545454546</v>
      </c>
      <c r="BE52" s="36">
        <f t="shared" si="32"/>
        <v>3.4322017045454549</v>
      </c>
      <c r="BF52" s="34">
        <f t="shared" si="39"/>
        <v>0.96309767377320388</v>
      </c>
      <c r="BG52" s="4"/>
    </row>
    <row r="53" spans="1:59" x14ac:dyDescent="0.25">
      <c r="A53" s="27">
        <f t="shared" si="33"/>
        <v>49079</v>
      </c>
      <c r="B53" s="233"/>
      <c r="C53" s="233"/>
      <c r="D53" s="233"/>
      <c r="E53" s="234">
        <v>0.05</v>
      </c>
      <c r="F53" s="234">
        <v>0.04</v>
      </c>
      <c r="G53" s="234">
        <v>0.05</v>
      </c>
      <c r="H53" s="234">
        <v>4.2500000000000003E-2</v>
      </c>
      <c r="I53" s="234">
        <v>4.8750000000000002E-2</v>
      </c>
      <c r="J53" s="234">
        <v>4.4999999999999998E-2</v>
      </c>
      <c r="K53" s="233">
        <v>0.05</v>
      </c>
      <c r="L53" s="230">
        <v>4.1250000000000002E-2</v>
      </c>
      <c r="M53" s="235"/>
      <c r="N53" s="32">
        <f t="shared" si="34"/>
        <v>49079</v>
      </c>
      <c r="O53" s="35"/>
      <c r="P53" s="36"/>
      <c r="Q53" s="36"/>
      <c r="R53" s="34"/>
      <c r="S53" s="45"/>
      <c r="T53" s="36"/>
      <c r="U53" s="36"/>
      <c r="V53" s="34"/>
      <c r="W53" s="36"/>
      <c r="X53" s="36"/>
      <c r="Y53" s="36"/>
      <c r="Z53" s="34"/>
      <c r="AA53" s="35">
        <f>+IF($N53&gt;E$8,"FIN",(E$19-SUM(AB$25:AB52))*VLOOKUP($N53,$A:$M,5,0)/VLOOKUP(E$15,$J$1:$L$4,2,0))</f>
        <v>0.97</v>
      </c>
      <c r="AB53" s="36">
        <f t="shared" si="10"/>
        <v>9.6999999999999993</v>
      </c>
      <c r="AC53" s="36">
        <f t="shared" si="11"/>
        <v>10.67</v>
      </c>
      <c r="AD53" s="34">
        <f t="shared" si="12"/>
        <v>2.854733740591811</v>
      </c>
      <c r="AE53" s="35">
        <f>+IF($N53&gt;F$8,"FIN",(F$19-SUM(AF$25:AF52))*VLOOKUP($N53,$A:$M,6,0)/VLOOKUP(F$15,$J$1:$L$4,2,0))</f>
        <v>0.77599999999999991</v>
      </c>
      <c r="AF53" s="36">
        <f t="shared" si="23"/>
        <v>9.6999999999999993</v>
      </c>
      <c r="AG53" s="36">
        <f t="shared" si="24"/>
        <v>10.475999999999999</v>
      </c>
      <c r="AH53" s="34">
        <f t="shared" si="36"/>
        <v>2.8028294907628686</v>
      </c>
      <c r="AI53" s="35">
        <f>+IF($N53&gt;G$8,"FIN",(G$19-SUM(AJ$25:AJ52))*VLOOKUP($N53,$A:$M,7,0)/VLOOKUP(G$15,$J$1:$L$4,2,0))</f>
        <v>1.1363636363636362</v>
      </c>
      <c r="AJ53" s="36">
        <f t="shared" si="25"/>
        <v>4.5454545454545459</v>
      </c>
      <c r="AK53" s="36">
        <f t="shared" si="13"/>
        <v>5.6818181818181817</v>
      </c>
      <c r="AL53" s="34">
        <f t="shared" si="14"/>
        <v>1.5201572700603916</v>
      </c>
      <c r="AM53" s="35">
        <f>+IF($N53&gt;H$8,"FIN",(H$19-SUM(AN$25:AN52))*VLOOKUP($N53,$A:$M,8,0)/VLOOKUP(H$15,$J$1:$L$4,2,0))</f>
        <v>0.96590909090909083</v>
      </c>
      <c r="AN53" s="36">
        <f t="shared" si="26"/>
        <v>4.5454545454545459</v>
      </c>
      <c r="AO53" s="36">
        <f t="shared" si="27"/>
        <v>5.5113636363636367</v>
      </c>
      <c r="AP53" s="34">
        <f t="shared" si="37"/>
        <v>1.47455255195858</v>
      </c>
      <c r="AQ53" s="35">
        <f>+IF($N53&gt;I$8,"FIN",(I$19-SUM(AR$25:AR52))*VLOOKUP($N53,$A:$M,9,0)/VLOOKUP(I$15,$J$1:$L$4,2,0))</f>
        <v>1.2999999999999998</v>
      </c>
      <c r="AR53" s="36">
        <f t="shared" si="28"/>
        <v>3.3333333333333335</v>
      </c>
      <c r="AS53" s="36">
        <f t="shared" si="15"/>
        <v>4.6333333333333329</v>
      </c>
      <c r="AT53" s="34">
        <f t="shared" si="16"/>
        <v>1.2396375818252474</v>
      </c>
      <c r="AU53" s="35">
        <f>+IF($N53&gt;J$8,"FIN",(J$19-SUM(AV$25:AV52))*VLOOKUP($N53,$A:$M,10,0)/VLOOKUP(J$15,$J$1:$L$4,2,0))</f>
        <v>1.2</v>
      </c>
      <c r="AV53" s="36">
        <f t="shared" si="29"/>
        <v>3.3333333333333335</v>
      </c>
      <c r="AW53" s="36">
        <f t="shared" si="30"/>
        <v>4.5333333333333332</v>
      </c>
      <c r="AX53" s="34">
        <f t="shared" si="38"/>
        <v>1.2128828138721846</v>
      </c>
      <c r="AY53" s="35">
        <f>+IF($N53&gt;K$8,"FIN",(K$19-SUM(AZ$25:AZ52))*VLOOKUP($N53,$A:$M,11,0)/VLOOKUP(K$15,$J$1:$L$4,2,0))</f>
        <v>1.4329545454545458</v>
      </c>
      <c r="AZ53" s="36">
        <f t="shared" si="17"/>
        <v>2.2045454545454546</v>
      </c>
      <c r="BA53" s="36">
        <f t="shared" si="18"/>
        <v>3.6375000000000002</v>
      </c>
      <c r="BB53" s="34">
        <f t="shared" si="19"/>
        <v>0.97320468429266282</v>
      </c>
      <c r="BC53" s="35">
        <f>+IF($N53&gt;L$8,"FIN",(L$19-SUM(BD$25:BD52))*VLOOKUP($N53,$A:$M,12,0)/VLOOKUP(L$15,$J$1:$L$4,2,0))</f>
        <v>1.1821875000000002</v>
      </c>
      <c r="BD53" s="36">
        <f t="shared" si="31"/>
        <v>2.2045454545454546</v>
      </c>
      <c r="BE53" s="36">
        <f t="shared" si="32"/>
        <v>3.3867329545454545</v>
      </c>
      <c r="BF53" s="34">
        <f t="shared" si="39"/>
        <v>0.90611254317854739</v>
      </c>
      <c r="BG53" s="4"/>
    </row>
    <row r="54" spans="1:59" x14ac:dyDescent="0.25">
      <c r="A54" s="27">
        <f t="shared" si="33"/>
        <v>49263</v>
      </c>
      <c r="B54" s="233"/>
      <c r="C54" s="233"/>
      <c r="D54" s="233"/>
      <c r="E54" s="234">
        <v>0.05</v>
      </c>
      <c r="F54" s="234">
        <v>0.04</v>
      </c>
      <c r="G54" s="234">
        <v>0.05</v>
      </c>
      <c r="H54" s="234">
        <v>4.2500000000000003E-2</v>
      </c>
      <c r="I54" s="234">
        <v>4.8750000000000002E-2</v>
      </c>
      <c r="J54" s="234">
        <v>4.4999999999999998E-2</v>
      </c>
      <c r="K54" s="233">
        <v>0.05</v>
      </c>
      <c r="L54" s="230">
        <v>4.1250000000000002E-2</v>
      </c>
      <c r="M54" s="235"/>
      <c r="N54" s="32">
        <f t="shared" si="34"/>
        <v>49263</v>
      </c>
      <c r="O54" s="35"/>
      <c r="P54" s="36"/>
      <c r="Q54" s="36"/>
      <c r="R54" s="34"/>
      <c r="S54" s="45"/>
      <c r="T54" s="36"/>
      <c r="U54" s="36"/>
      <c r="V54" s="34"/>
      <c r="W54" s="36"/>
      <c r="X54" s="36"/>
      <c r="Y54" s="36"/>
      <c r="Z54" s="34"/>
      <c r="AA54" s="35">
        <f>+IF($N54&gt;E$8,"FIN",(E$19-SUM(AB$25:AB53))*VLOOKUP($N54,$A:$M,5,0)/VLOOKUP(E$15,$J$1:$L$4,2,0))</f>
        <v>0.72749999999999992</v>
      </c>
      <c r="AB54" s="36">
        <f t="shared" si="10"/>
        <v>9.6999999999999993</v>
      </c>
      <c r="AC54" s="36">
        <f t="shared" si="11"/>
        <v>10.427499999999998</v>
      </c>
      <c r="AD54" s="34">
        <f t="shared" si="12"/>
        <v>2.6600208733679804</v>
      </c>
      <c r="AE54" s="35">
        <f>+IF($N54&gt;F$8,"FIN",(F$19-SUM(AF$25:AF53))*VLOOKUP($N54,$A:$M,6,0)/VLOOKUP(F$15,$J$1:$L$4,2,0))</f>
        <v>0.58199999999999985</v>
      </c>
      <c r="AF54" s="36">
        <f t="shared" si="23"/>
        <v>9.6999999999999993</v>
      </c>
      <c r="AG54" s="36">
        <f t="shared" si="24"/>
        <v>10.282</v>
      </c>
      <c r="AH54" s="34">
        <f t="shared" si="36"/>
        <v>2.6229043030419161</v>
      </c>
      <c r="AI54" s="35">
        <f>+IF($N54&gt;G$8,"FIN",(G$19-SUM(AJ$25:AJ53))*VLOOKUP($N54,$A:$M,7,0)/VLOOKUP(G$15,$J$1:$L$4,2,0))</f>
        <v>1.0227272727272725</v>
      </c>
      <c r="AJ54" s="36">
        <f t="shared" si="25"/>
        <v>4.5454545454545459</v>
      </c>
      <c r="AK54" s="36">
        <f t="shared" si="13"/>
        <v>5.5681818181818183</v>
      </c>
      <c r="AL54" s="34">
        <f t="shared" si="14"/>
        <v>1.4204248250368461</v>
      </c>
      <c r="AM54" s="35">
        <f>+IF($N54&gt;H$8,"FIN",(H$19-SUM(AN$25:AN53))*VLOOKUP($N54,$A:$M,8,0)/VLOOKUP(H$15,$J$1:$L$4,2,0))</f>
        <v>0.86931818181818166</v>
      </c>
      <c r="AN54" s="36">
        <f t="shared" si="26"/>
        <v>4.5454545454545459</v>
      </c>
      <c r="AO54" s="36">
        <f t="shared" si="27"/>
        <v>5.4147727272727275</v>
      </c>
      <c r="AP54" s="34">
        <f t="shared" si="37"/>
        <v>1.3812906716939941</v>
      </c>
      <c r="AQ54" s="35">
        <f>+IF($N54&gt;I$8,"FIN",(I$19-SUM(AR$25:AR53))*VLOOKUP($N54,$A:$M,9,0)/VLOOKUP(I$15,$J$1:$L$4,2,0))</f>
        <v>1.2187499999999998</v>
      </c>
      <c r="AR54" s="36">
        <f t="shared" si="28"/>
        <v>3.3333333333333335</v>
      </c>
      <c r="AS54" s="36">
        <f t="shared" si="15"/>
        <v>4.552083333333333</v>
      </c>
      <c r="AT54" s="34">
        <f t="shared" si="16"/>
        <v>1.1612214513524011</v>
      </c>
      <c r="AU54" s="35">
        <f>+IF($N54&gt;J$8,"FIN",(J$19-SUM(AV$25:AV53))*VLOOKUP($N54,$A:$M,10,0)/VLOOKUP(J$15,$J$1:$L$4,2,0))</f>
        <v>1.1249999999999998</v>
      </c>
      <c r="AV54" s="36">
        <f t="shared" si="29"/>
        <v>3.3333333333333335</v>
      </c>
      <c r="AW54" s="36">
        <f t="shared" si="30"/>
        <v>4.458333333333333</v>
      </c>
      <c r="AX54" s="34">
        <f t="shared" si="38"/>
        <v>1.1373061354206582</v>
      </c>
      <c r="AY54" s="35">
        <f>+IF($N54&gt;K$8,"FIN",(K$19-SUM(AZ$25:AZ53))*VLOOKUP($N54,$A:$M,11,0)/VLOOKUP(K$15,$J$1:$L$4,2,0))</f>
        <v>1.3778409090909094</v>
      </c>
      <c r="AZ54" s="36">
        <f t="shared" si="17"/>
        <v>2.2045454545454546</v>
      </c>
      <c r="BA54" s="36">
        <f t="shared" si="18"/>
        <v>3.5823863636363642</v>
      </c>
      <c r="BB54" s="34">
        <f t="shared" si="19"/>
        <v>0.9138549512099301</v>
      </c>
      <c r="BC54" s="35">
        <f>+IF($N54&gt;L$8,"FIN",(L$19-SUM(BD$25:BD53))*VLOOKUP($N54,$A:$M,12,0)/VLOOKUP(L$15,$J$1:$L$4,2,0))</f>
        <v>1.1367187500000002</v>
      </c>
      <c r="BD54" s="36">
        <f t="shared" si="31"/>
        <v>2.2045454545454546</v>
      </c>
      <c r="BE54" s="36">
        <f t="shared" si="32"/>
        <v>3.341264204545455</v>
      </c>
      <c r="BF54" s="34">
        <f t="shared" si="39"/>
        <v>0.85234548334003102</v>
      </c>
      <c r="BG54" s="4"/>
    </row>
    <row r="55" spans="1:59" x14ac:dyDescent="0.25">
      <c r="A55" s="27">
        <f t="shared" si="33"/>
        <v>49444</v>
      </c>
      <c r="B55" s="230"/>
      <c r="C55" s="233"/>
      <c r="D55" s="233"/>
      <c r="E55" s="234">
        <v>0.05</v>
      </c>
      <c r="F55" s="234">
        <v>0.04</v>
      </c>
      <c r="G55" s="234">
        <v>0.05</v>
      </c>
      <c r="H55" s="234">
        <v>4.2500000000000003E-2</v>
      </c>
      <c r="I55" s="234">
        <v>4.8750000000000002E-2</v>
      </c>
      <c r="J55" s="234">
        <v>4.4999999999999998E-2</v>
      </c>
      <c r="K55" s="233">
        <v>0.05</v>
      </c>
      <c r="L55" s="230">
        <v>4.1250000000000002E-2</v>
      </c>
      <c r="M55" s="235"/>
      <c r="N55" s="32">
        <f t="shared" si="34"/>
        <v>49444</v>
      </c>
      <c r="O55" s="35"/>
      <c r="P55" s="36"/>
      <c r="Q55" s="36"/>
      <c r="R55" s="34"/>
      <c r="S55" s="45"/>
      <c r="T55" s="36"/>
      <c r="U55" s="36"/>
      <c r="V55" s="34"/>
      <c r="W55" s="36"/>
      <c r="X55" s="36"/>
      <c r="Y55" s="36"/>
      <c r="Z55" s="34"/>
      <c r="AA55" s="35">
        <f>+IF($N55&gt;E$8,"FIN",(E$19-SUM(AB$25:AB54))*VLOOKUP($N55,$A:$M,5,0)/VLOOKUP(E$15,$J$1:$L$4,2,0))</f>
        <v>0.48499999999999982</v>
      </c>
      <c r="AB55" s="36">
        <f t="shared" si="10"/>
        <v>9.6999999999999993</v>
      </c>
      <c r="AC55" s="36">
        <f t="shared" si="11"/>
        <v>10.184999999999999</v>
      </c>
      <c r="AD55" s="34">
        <f t="shared" si="12"/>
        <v>2.4772482872904136</v>
      </c>
      <c r="AE55" s="35">
        <f>+IF($N55&gt;F$8,"FIN",(F$19-SUM(AF$25:AF54))*VLOOKUP($N55,$A:$M,6,0)/VLOOKUP(F$15,$J$1:$L$4,2,0))</f>
        <v>0.38799999999999985</v>
      </c>
      <c r="AF55" s="36">
        <f t="shared" si="23"/>
        <v>9.6999999999999993</v>
      </c>
      <c r="AG55" s="36">
        <f t="shared" si="24"/>
        <v>10.087999999999999</v>
      </c>
      <c r="AH55" s="34">
        <f t="shared" si="36"/>
        <v>2.4536554464590763</v>
      </c>
      <c r="AI55" s="35">
        <f>+IF($N55&gt;G$8,"FIN",(G$19-SUM(AJ$25:AJ54))*VLOOKUP($N55,$A:$M,7,0)/VLOOKUP(G$15,$J$1:$L$4,2,0))</f>
        <v>0.90909090909090884</v>
      </c>
      <c r="AJ55" s="36">
        <f t="shared" si="25"/>
        <v>4.5454545454545459</v>
      </c>
      <c r="AK55" s="36">
        <f t="shared" si="13"/>
        <v>5.454545454545455</v>
      </c>
      <c r="AL55" s="34">
        <f t="shared" si="14"/>
        <v>1.3266827084163417</v>
      </c>
      <c r="AM55" s="35">
        <f>+IF($N55&gt;H$8,"FIN",(H$19-SUM(AN$25:AN54))*VLOOKUP($N55,$A:$M,8,0)/VLOOKUP(H$15,$J$1:$L$4,2,0))</f>
        <v>0.7727272727272726</v>
      </c>
      <c r="AN55" s="36">
        <f t="shared" si="26"/>
        <v>4.5454545454545459</v>
      </c>
      <c r="AO55" s="36">
        <f t="shared" si="27"/>
        <v>5.3181818181818183</v>
      </c>
      <c r="AP55" s="34">
        <f t="shared" si="37"/>
        <v>1.2935156407059332</v>
      </c>
      <c r="AQ55" s="35">
        <f>+IF($N55&gt;I$8,"FIN",(I$19-SUM(AR$25:AR54))*VLOOKUP($N55,$A:$M,9,0)/VLOOKUP(I$15,$J$1:$L$4,2,0))</f>
        <v>1.1374999999999997</v>
      </c>
      <c r="AR55" s="36">
        <f t="shared" si="28"/>
        <v>3.3333333333333335</v>
      </c>
      <c r="AS55" s="36">
        <f t="shared" si="15"/>
        <v>4.4708333333333332</v>
      </c>
      <c r="AT55" s="34">
        <f t="shared" si="16"/>
        <v>1.0874191671831999</v>
      </c>
      <c r="AU55" s="35">
        <f>+IF($N55&gt;J$8,"FIN",(J$19-SUM(AV$25:AV54))*VLOOKUP($N55,$A:$M,10,0)/VLOOKUP(J$15,$J$1:$L$4,2,0))</f>
        <v>1.0499999999999998</v>
      </c>
      <c r="AV55" s="36">
        <f t="shared" si="29"/>
        <v>3.3333333333333335</v>
      </c>
      <c r="AW55" s="36">
        <f t="shared" si="30"/>
        <v>4.3833333333333329</v>
      </c>
      <c r="AX55" s="34">
        <f t="shared" si="38"/>
        <v>1.0661369654023545</v>
      </c>
      <c r="AY55" s="35">
        <f>+IF($N55&gt;K$8,"FIN",(K$19-SUM(AZ$25:AZ54))*VLOOKUP($N55,$A:$M,11,0)/VLOOKUP(K$15,$J$1:$L$4,2,0))</f>
        <v>1.3227272727272732</v>
      </c>
      <c r="AZ55" s="36">
        <f t="shared" si="17"/>
        <v>2.2045454545454546</v>
      </c>
      <c r="BA55" s="36">
        <f t="shared" si="18"/>
        <v>3.5272727272727278</v>
      </c>
      <c r="BB55" s="34">
        <f t="shared" si="19"/>
        <v>0.85792148477590102</v>
      </c>
      <c r="BC55" s="35">
        <f>+IF($N55&gt;L$8,"FIN",(L$19-SUM(BD$25:BD54))*VLOOKUP($N55,$A:$M,12,0)/VLOOKUP(L$15,$J$1:$L$4,2,0))</f>
        <v>1.0912500000000003</v>
      </c>
      <c r="BD55" s="36">
        <f t="shared" si="31"/>
        <v>2.2045454545454546</v>
      </c>
      <c r="BE55" s="36">
        <f t="shared" si="32"/>
        <v>3.2957954545454546</v>
      </c>
      <c r="BF55" s="34">
        <f t="shared" si="39"/>
        <v>0.80162038733748242</v>
      </c>
      <c r="BG55" s="4"/>
    </row>
    <row r="56" spans="1:59" x14ac:dyDescent="0.25">
      <c r="A56" s="27">
        <f t="shared" si="33"/>
        <v>49628</v>
      </c>
      <c r="B56" s="230"/>
      <c r="C56" s="233"/>
      <c r="D56" s="233"/>
      <c r="E56" s="234">
        <v>0.05</v>
      </c>
      <c r="F56" s="234">
        <v>0.04</v>
      </c>
      <c r="G56" s="234">
        <v>0.05</v>
      </c>
      <c r="H56" s="234">
        <v>4.2500000000000003E-2</v>
      </c>
      <c r="I56" s="234">
        <v>4.8750000000000002E-2</v>
      </c>
      <c r="J56" s="234">
        <v>4.4999999999999998E-2</v>
      </c>
      <c r="K56" s="233">
        <v>0.05</v>
      </c>
      <c r="L56" s="230">
        <v>4.1250000000000002E-2</v>
      </c>
      <c r="M56" s="235"/>
      <c r="N56" s="32">
        <f t="shared" si="34"/>
        <v>49628</v>
      </c>
      <c r="O56" s="45"/>
      <c r="P56" s="36"/>
      <c r="Q56" s="36"/>
      <c r="R56" s="34"/>
      <c r="S56" s="45"/>
      <c r="T56" s="36"/>
      <c r="U56" s="36"/>
      <c r="V56" s="34"/>
      <c r="W56" s="36"/>
      <c r="X56" s="36"/>
      <c r="Y56" s="36"/>
      <c r="Z56" s="34"/>
      <c r="AA56" s="35">
        <f>+IF($N56&gt;E$8,"FIN",(E$19-SUM(AB$25:AB55))*VLOOKUP($N56,$A:$M,5,0)/VLOOKUP(E$15,$J$1:$L$4,2,0))</f>
        <v>0.24249999999999972</v>
      </c>
      <c r="AB56" s="36">
        <f t="shared" si="10"/>
        <v>9.6999999999999993</v>
      </c>
      <c r="AC56" s="36">
        <f t="shared" si="11"/>
        <v>9.942499999999999</v>
      </c>
      <c r="AD56" s="34">
        <f t="shared" si="12"/>
        <v>2.3057263384373621</v>
      </c>
      <c r="AE56" s="35">
        <f>+IF($N56&gt;F$8,"FIN",(F$19-SUM(AF$25:AF55))*VLOOKUP($N56,$A:$M,6,0)/VLOOKUP(F$15,$J$1:$L$4,2,0))</f>
        <v>0.19399999999999978</v>
      </c>
      <c r="AF56" s="36">
        <f t="shared" si="23"/>
        <v>9.6999999999999993</v>
      </c>
      <c r="AG56" s="36">
        <f t="shared" si="24"/>
        <v>9.8939999999999984</v>
      </c>
      <c r="AH56" s="34">
        <f t="shared" si="36"/>
        <v>2.2944788928840092</v>
      </c>
      <c r="AI56" s="35">
        <f>+IF($N56&gt;G$8,"FIN",(G$19-SUM(AJ$25:AJ55))*VLOOKUP($N56,$A:$M,7,0)/VLOOKUP(G$15,$J$1:$L$4,2,0))</f>
        <v>0.79545454545454541</v>
      </c>
      <c r="AJ56" s="36">
        <f t="shared" si="25"/>
        <v>4.5454545454545459</v>
      </c>
      <c r="AK56" s="36">
        <f t="shared" si="13"/>
        <v>5.3409090909090917</v>
      </c>
      <c r="AL56" s="34">
        <f t="shared" si="14"/>
        <v>1.2385893650599589</v>
      </c>
      <c r="AM56" s="35">
        <f>+IF($N56&gt;H$8,"FIN",(H$19-SUM(AN$25:AN55))*VLOOKUP($N56,$A:$M,8,0)/VLOOKUP(H$15,$J$1:$L$4,2,0))</f>
        <v>0.67613636363636354</v>
      </c>
      <c r="AN56" s="36">
        <f t="shared" si="26"/>
        <v>4.5454545454545459</v>
      </c>
      <c r="AO56" s="36">
        <f t="shared" si="27"/>
        <v>5.2215909090909092</v>
      </c>
      <c r="AP56" s="34">
        <f t="shared" si="37"/>
        <v>1.2109187515852151</v>
      </c>
      <c r="AQ56" s="35">
        <f>+IF($N56&gt;I$8,"FIN",(I$19-SUM(AR$25:AR55))*VLOOKUP($N56,$A:$M,9,0)/VLOOKUP(I$15,$J$1:$L$4,2,0))</f>
        <v>1.0562499999999997</v>
      </c>
      <c r="AR56" s="36">
        <f t="shared" si="28"/>
        <v>3.3333333333333335</v>
      </c>
      <c r="AS56" s="36">
        <f t="shared" si="15"/>
        <v>4.3895833333333334</v>
      </c>
      <c r="AT56" s="34">
        <f t="shared" si="16"/>
        <v>1.0179711246097398</v>
      </c>
      <c r="AU56" s="35">
        <f>+IF($N56&gt;J$8,"FIN",(J$19-SUM(AV$25:AV55))*VLOOKUP($N56,$A:$M,10,0)/VLOOKUP(J$15,$J$1:$L$4,2,0))</f>
        <v>0.97499999999999964</v>
      </c>
      <c r="AV56" s="36">
        <f t="shared" si="29"/>
        <v>3.3333333333333335</v>
      </c>
      <c r="AW56" s="36">
        <f t="shared" si="30"/>
        <v>4.3083333333333336</v>
      </c>
      <c r="AX56" s="34">
        <f t="shared" si="38"/>
        <v>0.99912875448170013</v>
      </c>
      <c r="AY56" s="35">
        <f>+IF($N56&gt;K$8,"FIN",(K$19-SUM(AZ$25:AZ55))*VLOOKUP($N56,$A:$M,11,0)/VLOOKUP(K$15,$J$1:$L$4,2,0))</f>
        <v>1.2676136363636368</v>
      </c>
      <c r="AZ56" s="36">
        <f t="shared" si="17"/>
        <v>2.2045454545454546</v>
      </c>
      <c r="BA56" s="36">
        <f t="shared" si="18"/>
        <v>3.4721590909090914</v>
      </c>
      <c r="BB56" s="34">
        <f t="shared" si="19"/>
        <v>0.80521485211504351</v>
      </c>
      <c r="BC56" s="35">
        <f>+IF($N56&gt;L$8,"FIN",(L$19-SUM(BD$25:BD55))*VLOOKUP($N56,$A:$M,12,0)/VLOOKUP(L$15,$J$1:$L$4,2,0))</f>
        <v>1.0457812500000003</v>
      </c>
      <c r="BD56" s="36">
        <f t="shared" si="31"/>
        <v>2.2045454545454546</v>
      </c>
      <c r="BE56" s="36">
        <f t="shared" si="32"/>
        <v>3.2503267045454551</v>
      </c>
      <c r="BF56" s="34">
        <f t="shared" si="39"/>
        <v>0.75377056989658242</v>
      </c>
      <c r="BG56" s="4"/>
    </row>
    <row r="57" spans="1:59" x14ac:dyDescent="0.25">
      <c r="A57" s="27">
        <f t="shared" si="33"/>
        <v>49810</v>
      </c>
      <c r="B57" s="230"/>
      <c r="C57" s="233"/>
      <c r="D57" s="233"/>
      <c r="E57" s="233"/>
      <c r="F57" s="233"/>
      <c r="G57" s="234">
        <v>0.05</v>
      </c>
      <c r="H57" s="234">
        <v>4.2500000000000003E-2</v>
      </c>
      <c r="I57" s="234">
        <v>4.8750000000000002E-2</v>
      </c>
      <c r="J57" s="234">
        <v>4.4999999999999998E-2</v>
      </c>
      <c r="K57" s="233">
        <v>0.05</v>
      </c>
      <c r="L57" s="230">
        <v>4.1250000000000002E-2</v>
      </c>
      <c r="M57" s="235"/>
      <c r="N57" s="32">
        <f t="shared" si="34"/>
        <v>49810</v>
      </c>
      <c r="O57" s="45"/>
      <c r="P57" s="36"/>
      <c r="Q57" s="36"/>
      <c r="R57" s="46"/>
      <c r="S57" s="45"/>
      <c r="T57" s="36"/>
      <c r="U57" s="36"/>
      <c r="V57" s="46"/>
      <c r="W57" s="36"/>
      <c r="X57" s="36"/>
      <c r="Y57" s="36"/>
      <c r="Z57" s="46"/>
      <c r="AA57" s="35"/>
      <c r="AB57" s="36"/>
      <c r="AC57" s="36"/>
      <c r="AD57" s="34"/>
      <c r="AE57" s="35"/>
      <c r="AF57" s="36"/>
      <c r="AG57" s="36"/>
      <c r="AH57" s="34"/>
      <c r="AI57" s="35">
        <f>+IF($N57&gt;G$8,"FIN",(G$19-SUM(AJ$25:AJ56))*VLOOKUP($N57,$A:$M,7,0)/VLOOKUP(G$15,$J$1:$L$4,2,0))</f>
        <v>0.68181818181818166</v>
      </c>
      <c r="AJ57" s="36">
        <f t="shared" si="25"/>
        <v>4.5454545454545459</v>
      </c>
      <c r="AK57" s="36">
        <f t="shared" si="13"/>
        <v>5.2272727272727275</v>
      </c>
      <c r="AL57" s="34">
        <f t="shared" si="14"/>
        <v>1.1558220565748432</v>
      </c>
      <c r="AM57" s="35">
        <f>+IF($N57&gt;H$8,"FIN",(H$19-SUM(AN$25:AN56))*VLOOKUP($N57,$A:$M,8,0)/VLOOKUP(H$15,$J$1:$L$4,2,0))</f>
        <v>0.57954545454545447</v>
      </c>
      <c r="AN57" s="36">
        <f t="shared" si="26"/>
        <v>4.5454545454545459</v>
      </c>
      <c r="AO57" s="36">
        <f t="shared" si="27"/>
        <v>5.125</v>
      </c>
      <c r="AP57" s="34">
        <f t="shared" si="37"/>
        <v>1.1332081467722919</v>
      </c>
      <c r="AQ57" s="35">
        <f>+IF($N57&gt;I$8,"FIN",(I$19-SUM(AR$25:AR56))*VLOOKUP($N57,$A:$M,9,0)/VLOOKUP(I$15,$J$1:$L$4,2,0))</f>
        <v>0.97499999999999964</v>
      </c>
      <c r="AR57" s="36">
        <f t="shared" si="28"/>
        <v>3.3333333333333335</v>
      </c>
      <c r="AS57" s="36">
        <f t="shared" si="15"/>
        <v>4.3083333333333336</v>
      </c>
      <c r="AT57" s="34">
        <f t="shared" si="16"/>
        <v>0.95263188923784536</v>
      </c>
      <c r="AU57" s="35">
        <f>+IF($N57&gt;J$8,"FIN",(J$19-SUM(AV$25:AV56))*VLOOKUP($N57,$A:$M,10,0)/VLOOKUP(J$15,$J$1:$L$4,2,0))</f>
        <v>0.89999999999999969</v>
      </c>
      <c r="AV57" s="36">
        <f t="shared" si="29"/>
        <v>3.3333333333333335</v>
      </c>
      <c r="AW57" s="36">
        <f t="shared" si="30"/>
        <v>4.2333333333333334</v>
      </c>
      <c r="AX57" s="34">
        <f t="shared" si="38"/>
        <v>0.93604835538264097</v>
      </c>
      <c r="AY57" s="35">
        <f>+IF($N57&gt;K$8,"FIN",(K$19-SUM(AZ$25:AZ56))*VLOOKUP($N57,$A:$M,11,0)/VLOOKUP(K$15,$J$1:$L$4,2,0))</f>
        <v>1.2125000000000004</v>
      </c>
      <c r="AZ57" s="36">
        <f t="shared" si="17"/>
        <v>2.2045454545454546</v>
      </c>
      <c r="BA57" s="36">
        <f t="shared" si="18"/>
        <v>3.4170454545454549</v>
      </c>
      <c r="BB57" s="34">
        <f t="shared" si="19"/>
        <v>0.75555585306968553</v>
      </c>
      <c r="BC57" s="35">
        <f>+IF($N57&gt;L$8,"FIN",(L$19-SUM(BD$25:BD56))*VLOOKUP($N57,$A:$M,12,0)/VLOOKUP(L$15,$J$1:$L$4,2,0))</f>
        <v>1.0003125000000004</v>
      </c>
      <c r="BD57" s="36">
        <f t="shared" si="31"/>
        <v>2.2045454545454546</v>
      </c>
      <c r="BE57" s="36">
        <f t="shared" si="32"/>
        <v>3.2048579545454547</v>
      </c>
      <c r="BF57" s="34">
        <f t="shared" si="39"/>
        <v>0.70863827187100337</v>
      </c>
      <c r="BG57" s="4"/>
    </row>
    <row r="58" spans="1:59" x14ac:dyDescent="0.25">
      <c r="A58" s="27">
        <f t="shared" si="33"/>
        <v>49994</v>
      </c>
      <c r="B58" s="230"/>
      <c r="C58" s="233"/>
      <c r="D58" s="233"/>
      <c r="E58" s="233"/>
      <c r="F58" s="233"/>
      <c r="G58" s="234">
        <v>0.05</v>
      </c>
      <c r="H58" s="234">
        <v>4.2500000000000003E-2</v>
      </c>
      <c r="I58" s="234">
        <v>4.8750000000000002E-2</v>
      </c>
      <c r="J58" s="234">
        <v>4.4999999999999998E-2</v>
      </c>
      <c r="K58" s="233">
        <v>0.05</v>
      </c>
      <c r="L58" s="230">
        <v>4.1250000000000002E-2</v>
      </c>
      <c r="M58" s="235"/>
      <c r="N58" s="32">
        <f t="shared" si="34"/>
        <v>49994</v>
      </c>
      <c r="O58" s="45"/>
      <c r="P58" s="36"/>
      <c r="Q58" s="36"/>
      <c r="R58" s="46"/>
      <c r="S58" s="45"/>
      <c r="T58" s="36"/>
      <c r="U58" s="36"/>
      <c r="V58" s="46"/>
      <c r="W58" s="36"/>
      <c r="X58" s="36"/>
      <c r="Y58" s="36"/>
      <c r="Z58" s="46"/>
      <c r="AA58" s="36"/>
      <c r="AB58" s="36"/>
      <c r="AC58" s="36"/>
      <c r="AD58" s="34"/>
      <c r="AE58" s="35"/>
      <c r="AF58" s="36"/>
      <c r="AG58" s="36"/>
      <c r="AH58" s="34"/>
      <c r="AI58" s="35">
        <f>+IF($N58&gt;G$8,"FIN",(G$19-SUM(AJ$25:AJ57))*VLOOKUP($N58,$A:$M,7,0)/VLOOKUP(G$15,$J$1:$L$4,2,0))</f>
        <v>0.56818181818181801</v>
      </c>
      <c r="AJ58" s="36">
        <f t="shared" si="25"/>
        <v>4.5454545454545459</v>
      </c>
      <c r="AK58" s="36">
        <f t="shared" si="13"/>
        <v>5.1136363636363642</v>
      </c>
      <c r="AL58" s="34">
        <f t="shared" si="14"/>
        <v>1.0780758496653413</v>
      </c>
      <c r="AM58" s="35">
        <f>+IF($N58&gt;H$8,"FIN",(H$19-SUM(AN$25:AN57))*VLOOKUP($N58,$A:$M,8,0)/VLOOKUP(H$15,$J$1:$L$4,2,0))</f>
        <v>0.4829545454545453</v>
      </c>
      <c r="AN58" s="36">
        <f t="shared" si="26"/>
        <v>4.5454545454545459</v>
      </c>
      <c r="AO58" s="36">
        <f t="shared" si="27"/>
        <v>5.0284090909090908</v>
      </c>
      <c r="AP58" s="34">
        <f t="shared" si="37"/>
        <v>1.0601079188375855</v>
      </c>
      <c r="AQ58" s="35">
        <f>+IF($N58&gt;I$8,"FIN",(I$19-SUM(AR$25:AR57))*VLOOKUP($N58,$A:$M,9,0)/VLOOKUP(I$15,$J$1:$L$4,2,0))</f>
        <v>0.8937499999999996</v>
      </c>
      <c r="AR58" s="36">
        <f t="shared" si="28"/>
        <v>3.3333333333333335</v>
      </c>
      <c r="AS58" s="36">
        <f t="shared" si="15"/>
        <v>4.2270833333333329</v>
      </c>
      <c r="AT58" s="34">
        <f t="shared" si="16"/>
        <v>0.89116944032150924</v>
      </c>
      <c r="AU58" s="35">
        <f>+IF($N58&gt;J$8,"FIN",(J$19-SUM(AV$25:AV57))*VLOOKUP($N58,$A:$M,10,0)/VLOOKUP(J$15,$J$1:$L$4,2,0))</f>
        <v>0.82499999999999962</v>
      </c>
      <c r="AV58" s="36">
        <f t="shared" si="29"/>
        <v>3.3333333333333335</v>
      </c>
      <c r="AW58" s="36">
        <f t="shared" si="30"/>
        <v>4.1583333333333332</v>
      </c>
      <c r="AX58" s="34">
        <f t="shared" si="38"/>
        <v>0.87667530945378636</v>
      </c>
      <c r="AY58" s="35">
        <f>+IF($N58&gt;K$8,"FIN",(K$19-SUM(AZ$25:AZ57))*VLOOKUP($N58,$A:$M,11,0)/VLOOKUP(K$15,$J$1:$L$4,2,0))</f>
        <v>1.1573863636363642</v>
      </c>
      <c r="AZ58" s="36">
        <f t="shared" si="17"/>
        <v>2.2045454545454546</v>
      </c>
      <c r="BA58" s="36">
        <f t="shared" si="18"/>
        <v>3.3619318181818185</v>
      </c>
      <c r="BB58" s="34">
        <f t="shared" si="19"/>
        <v>0.7087749780522028</v>
      </c>
      <c r="BC58" s="35">
        <f>+IF($N58&gt;L$8,"FIN",(L$19-SUM(BD$25:BD57))*VLOOKUP($N58,$A:$M,12,0)/VLOOKUP(L$15,$J$1:$L$4,2,0))</f>
        <v>0.95484375000000032</v>
      </c>
      <c r="BD58" s="36">
        <f t="shared" si="31"/>
        <v>2.2045454545454546</v>
      </c>
      <c r="BE58" s="36">
        <f t="shared" si="32"/>
        <v>3.1593892045454548</v>
      </c>
      <c r="BF58" s="34">
        <f t="shared" si="39"/>
        <v>0.66607419044004135</v>
      </c>
      <c r="BG58" s="4"/>
    </row>
    <row r="59" spans="1:59" x14ac:dyDescent="0.25">
      <c r="A59" s="27">
        <f t="shared" si="33"/>
        <v>50175</v>
      </c>
      <c r="B59" s="230"/>
      <c r="C59" s="233"/>
      <c r="D59" s="233"/>
      <c r="E59" s="233"/>
      <c r="F59" s="233"/>
      <c r="G59" s="234">
        <v>0.05</v>
      </c>
      <c r="H59" s="234">
        <v>4.2500000000000003E-2</v>
      </c>
      <c r="I59" s="234">
        <v>4.8750000000000002E-2</v>
      </c>
      <c r="J59" s="234">
        <v>4.4999999999999998E-2</v>
      </c>
      <c r="K59" s="233">
        <v>0.05</v>
      </c>
      <c r="L59" s="230">
        <v>4.1250000000000002E-2</v>
      </c>
      <c r="M59" s="235"/>
      <c r="N59" s="32">
        <f t="shared" si="34"/>
        <v>50175</v>
      </c>
      <c r="O59" s="45"/>
      <c r="P59" s="36"/>
      <c r="Q59" s="36"/>
      <c r="R59" s="46"/>
      <c r="S59" s="45"/>
      <c r="T59" s="36"/>
      <c r="U59" s="36"/>
      <c r="V59" s="46"/>
      <c r="W59" s="36"/>
      <c r="X59" s="36"/>
      <c r="Y59" s="36"/>
      <c r="Z59" s="46"/>
      <c r="AA59" s="36"/>
      <c r="AB59" s="36"/>
      <c r="AC59" s="36"/>
      <c r="AD59" s="34"/>
      <c r="AE59" s="36"/>
      <c r="AF59" s="36"/>
      <c r="AG59" s="36"/>
      <c r="AH59" s="34"/>
      <c r="AI59" s="35">
        <f>+IF($N59&gt;G$8,"FIN",(G$19-SUM(AJ$25:AJ58))*VLOOKUP($N59,$A:$M,7,0)/VLOOKUP(G$15,$J$1:$L$4,2,0))</f>
        <v>0.45454545454545436</v>
      </c>
      <c r="AJ59" s="36">
        <f t="shared" si="25"/>
        <v>4.5454545454545459</v>
      </c>
      <c r="AK59" s="36">
        <f t="shared" si="13"/>
        <v>5</v>
      </c>
      <c r="AL59" s="34">
        <f t="shared" si="14"/>
        <v>1.0050626578911679</v>
      </c>
      <c r="AM59" s="35">
        <f>+IF($N59&gt;H$8,"FIN",(H$19-SUM(AN$25:AN58))*VLOOKUP($N59,$A:$M,8,0)/VLOOKUP(H$15,$J$1:$L$4,2,0))</f>
        <v>0.38636363636363619</v>
      </c>
      <c r="AN59" s="36">
        <f t="shared" si="26"/>
        <v>4.5454545454545459</v>
      </c>
      <c r="AO59" s="36">
        <f t="shared" si="27"/>
        <v>4.9318181818181817</v>
      </c>
      <c r="AP59" s="34">
        <f t="shared" si="37"/>
        <v>0.99135725801083363</v>
      </c>
      <c r="AQ59" s="35">
        <f>+IF($N59&gt;I$8,"FIN",(I$19-SUM(AR$25:AR58))*VLOOKUP($N59,$A:$M,9,0)/VLOOKUP(I$15,$J$1:$L$4,2,0))</f>
        <v>0.81249999999999956</v>
      </c>
      <c r="AR59" s="36">
        <f t="shared" si="28"/>
        <v>3.3333333333333335</v>
      </c>
      <c r="AS59" s="36">
        <f t="shared" si="15"/>
        <v>4.145833333333333</v>
      </c>
      <c r="AT59" s="34">
        <f t="shared" si="16"/>
        <v>0.83336445383475988</v>
      </c>
      <c r="AU59" s="35">
        <f>+IF($N59&gt;J$8,"FIN",(J$19-SUM(AV$25:AV58))*VLOOKUP($N59,$A:$M,10,0)/VLOOKUP(J$15,$J$1:$L$4,2,0))</f>
        <v>0.74999999999999956</v>
      </c>
      <c r="AV59" s="36">
        <f t="shared" si="29"/>
        <v>3.3333333333333335</v>
      </c>
      <c r="AW59" s="36">
        <f t="shared" si="30"/>
        <v>4.083333333333333</v>
      </c>
      <c r="AX59" s="34">
        <f t="shared" si="38"/>
        <v>0.82080117061112035</v>
      </c>
      <c r="AY59" s="35">
        <f>+IF($N59&gt;K$8,"FIN",(K$19-SUM(AZ$25:AZ58))*VLOOKUP($N59,$A:$M,11,0)/VLOOKUP(K$15,$J$1:$L$4,2,0))</f>
        <v>1.1022727272727277</v>
      </c>
      <c r="AZ59" s="36">
        <f t="shared" si="17"/>
        <v>2.2045454545454546</v>
      </c>
      <c r="BA59" s="36">
        <f t="shared" si="18"/>
        <v>3.3068181818181825</v>
      </c>
      <c r="BB59" s="34">
        <f t="shared" si="19"/>
        <v>0.66471189419620436</v>
      </c>
      <c r="BC59" s="35">
        <f>+IF($N59&gt;L$8,"FIN",(L$19-SUM(BD$25:BD58))*VLOOKUP($N59,$A:$M,12,0)/VLOOKUP(L$15,$J$1:$L$4,2,0))</f>
        <v>0.90937500000000038</v>
      </c>
      <c r="BD59" s="36">
        <f t="shared" si="31"/>
        <v>2.2045454545454546</v>
      </c>
      <c r="BE59" s="36">
        <f t="shared" si="32"/>
        <v>3.1139204545454549</v>
      </c>
      <c r="BF59" s="34">
        <f t="shared" si="39"/>
        <v>0.62593703370142562</v>
      </c>
      <c r="BG59" s="4"/>
    </row>
    <row r="60" spans="1:59" x14ac:dyDescent="0.25">
      <c r="A60" s="27">
        <f t="shared" si="33"/>
        <v>50359</v>
      </c>
      <c r="B60" s="230"/>
      <c r="C60" s="233"/>
      <c r="D60" s="233"/>
      <c r="E60" s="233"/>
      <c r="F60" s="233"/>
      <c r="G60" s="234">
        <v>0.05</v>
      </c>
      <c r="H60" s="234">
        <v>4.2500000000000003E-2</v>
      </c>
      <c r="I60" s="234">
        <v>4.8750000000000002E-2</v>
      </c>
      <c r="J60" s="234">
        <v>4.4999999999999998E-2</v>
      </c>
      <c r="K60" s="233">
        <v>0.05</v>
      </c>
      <c r="L60" s="230">
        <v>4.1250000000000002E-2</v>
      </c>
      <c r="M60" s="235"/>
      <c r="N60" s="32">
        <f t="shared" si="34"/>
        <v>50359</v>
      </c>
      <c r="O60" s="45"/>
      <c r="P60" s="36"/>
      <c r="Q60" s="36"/>
      <c r="R60" s="46"/>
      <c r="S60" s="45"/>
      <c r="T60" s="36"/>
      <c r="U60" s="36"/>
      <c r="V60" s="46"/>
      <c r="W60" s="36"/>
      <c r="X60" s="36"/>
      <c r="Y60" s="36"/>
      <c r="Z60" s="46"/>
      <c r="AA60" s="36"/>
      <c r="AB60" s="36"/>
      <c r="AC60" s="36"/>
      <c r="AD60" s="46"/>
      <c r="AE60" s="36"/>
      <c r="AF60" s="36"/>
      <c r="AG60" s="36"/>
      <c r="AH60" s="46"/>
      <c r="AI60" s="35">
        <f>+IF($N60&gt;G$8,"FIN",(G$19-SUM(AJ$25:AJ59))*VLOOKUP($N60,$A:$M,7,0)/VLOOKUP(G$15,$J$1:$L$4,2,0))</f>
        <v>0.34090909090909066</v>
      </c>
      <c r="AJ60" s="36">
        <f t="shared" si="25"/>
        <v>4.5454545454545459</v>
      </c>
      <c r="AK60" s="36">
        <f t="shared" si="13"/>
        <v>4.8863636363636367</v>
      </c>
      <c r="AL60" s="34">
        <f t="shared" si="14"/>
        <v>0.93651033405272066</v>
      </c>
      <c r="AM60" s="35">
        <f>+IF($N60&gt;H$8,"FIN",(H$19-SUM(AN$25:AN59))*VLOOKUP($N60,$A:$M,8,0)/VLOOKUP(H$15,$J$1:$L$4,2,0))</f>
        <v>0.28977272727272707</v>
      </c>
      <c r="AN60" s="36">
        <f t="shared" si="26"/>
        <v>4.5454545454545459</v>
      </c>
      <c r="AO60" s="36">
        <f t="shared" si="27"/>
        <v>4.8352272727272734</v>
      </c>
      <c r="AP60" s="34">
        <f t="shared" si="37"/>
        <v>0.92670964451030846</v>
      </c>
      <c r="AQ60" s="35">
        <f>+IF($N60&gt;I$8,"FIN",(I$19-SUM(AR$25:AR59))*VLOOKUP($N60,$A:$M,9,0)/VLOOKUP(I$15,$J$1:$L$4,2,0))</f>
        <v>0.73124999999999973</v>
      </c>
      <c r="AR60" s="36">
        <f t="shared" si="28"/>
        <v>3.3333333333333335</v>
      </c>
      <c r="AS60" s="36">
        <f t="shared" si="15"/>
        <v>4.0645833333333332</v>
      </c>
      <c r="AT60" s="34">
        <f t="shared" si="16"/>
        <v>0.77900962322114098</v>
      </c>
      <c r="AU60" s="35">
        <f>+IF($N60&gt;J$8,"FIN",(J$19-SUM(AV$25:AV59))*VLOOKUP($N60,$A:$M,10,0)/VLOOKUP(J$15,$J$1:$L$4,2,0))</f>
        <v>0.6749999999999996</v>
      </c>
      <c r="AV60" s="36">
        <f t="shared" si="29"/>
        <v>3.3333333333333335</v>
      </c>
      <c r="AW60" s="36">
        <f t="shared" si="30"/>
        <v>4.0083333333333329</v>
      </c>
      <c r="AX60" s="34">
        <f t="shared" si="38"/>
        <v>0.76822886472448748</v>
      </c>
      <c r="AY60" s="35">
        <f>+IF($N60&gt;K$8,"FIN",(K$19-SUM(AZ$25:AZ59))*VLOOKUP($N60,$A:$M,11,0)/VLOOKUP(K$15,$J$1:$L$4,2,0))</f>
        <v>1.0471590909090913</v>
      </c>
      <c r="AZ60" s="36">
        <f t="shared" si="17"/>
        <v>2.2045454545454546</v>
      </c>
      <c r="BA60" s="36">
        <f t="shared" si="18"/>
        <v>3.2517045454545457</v>
      </c>
      <c r="BB60" s="34">
        <f t="shared" si="19"/>
        <v>0.62321495834694418</v>
      </c>
      <c r="BC60" s="35">
        <f>+IF($N60&gt;L$8,"FIN",(L$19-SUM(BD$25:BD59))*VLOOKUP($N60,$A:$M,12,0)/VLOOKUP(L$15,$J$1:$L$4,2,0))</f>
        <v>0.86390625000000043</v>
      </c>
      <c r="BD60" s="36">
        <f t="shared" si="31"/>
        <v>2.2045454545454546</v>
      </c>
      <c r="BE60" s="36">
        <f t="shared" si="32"/>
        <v>3.0684517045454549</v>
      </c>
      <c r="BF60" s="34">
        <f t="shared" si="39"/>
        <v>0.58809309840620549</v>
      </c>
      <c r="BG60" s="4"/>
    </row>
    <row r="61" spans="1:59" x14ac:dyDescent="0.25">
      <c r="A61" s="27">
        <f t="shared" si="33"/>
        <v>50540</v>
      </c>
      <c r="B61" s="230"/>
      <c r="C61" s="233"/>
      <c r="D61" s="233"/>
      <c r="E61" s="233"/>
      <c r="F61" s="233"/>
      <c r="G61" s="234">
        <v>0.05</v>
      </c>
      <c r="H61" s="234">
        <v>4.2500000000000003E-2</v>
      </c>
      <c r="I61" s="234">
        <v>4.8750000000000002E-2</v>
      </c>
      <c r="J61" s="234">
        <v>4.4999999999999998E-2</v>
      </c>
      <c r="K61" s="233">
        <v>0.05</v>
      </c>
      <c r="L61" s="230">
        <v>4.1250000000000002E-2</v>
      </c>
      <c r="M61" s="235"/>
      <c r="N61" s="32">
        <f t="shared" si="34"/>
        <v>50540</v>
      </c>
      <c r="O61" s="45"/>
      <c r="P61" s="36"/>
      <c r="Q61" s="36"/>
      <c r="R61" s="46"/>
      <c r="S61" s="45"/>
      <c r="T61" s="36"/>
      <c r="U61" s="36"/>
      <c r="V61" s="46"/>
      <c r="W61" s="36"/>
      <c r="X61" s="36"/>
      <c r="Y61" s="36"/>
      <c r="Z61" s="46"/>
      <c r="AA61" s="36"/>
      <c r="AB61" s="36"/>
      <c r="AC61" s="36"/>
      <c r="AD61" s="46"/>
      <c r="AE61" s="36"/>
      <c r="AF61" s="36"/>
      <c r="AG61" s="36"/>
      <c r="AH61" s="46"/>
      <c r="AI61" s="35">
        <f>+IF($N61&gt;G$8,"FIN",(G$19-SUM(AJ$25:AJ60))*VLOOKUP($N61,$A:$M,7,0)/VLOOKUP(G$15,$J$1:$L$4,2,0))</f>
        <v>0.22727272727272699</v>
      </c>
      <c r="AJ61" s="36">
        <f t="shared" si="25"/>
        <v>4.5454545454545459</v>
      </c>
      <c r="AK61" s="36">
        <f t="shared" si="13"/>
        <v>4.7727272727272725</v>
      </c>
      <c r="AL61" s="34">
        <f t="shared" si="14"/>
        <v>0.87216181056671571</v>
      </c>
      <c r="AM61" s="35">
        <f>+IF($N61&gt;H$8,"FIN",(H$19-SUM(AN$25:AN60))*VLOOKUP($N61,$A:$M,8,0)/VLOOKUP(H$15,$J$1:$L$4,2,0))</f>
        <v>0.19318181818181795</v>
      </c>
      <c r="AN61" s="36">
        <f t="shared" si="26"/>
        <v>4.5454545454545459</v>
      </c>
      <c r="AO61" s="36">
        <f t="shared" si="27"/>
        <v>4.7386363636363642</v>
      </c>
      <c r="AP61" s="34">
        <f t="shared" si="37"/>
        <v>0.86593208334838223</v>
      </c>
      <c r="AQ61" s="35">
        <f>+IF($N61&gt;I$8,"FIN",(I$19-SUM(AR$25:AR60))*VLOOKUP($N61,$A:$M,9,0)/VLOOKUP(I$15,$J$1:$L$4,2,0))</f>
        <v>0.6499999999999998</v>
      </c>
      <c r="AR61" s="36">
        <f t="shared" si="28"/>
        <v>3.3333333333333335</v>
      </c>
      <c r="AS61" s="36">
        <f t="shared" si="15"/>
        <v>3.9833333333333334</v>
      </c>
      <c r="AT61" s="34">
        <f t="shared" si="16"/>
        <v>0.72790901586663359</v>
      </c>
      <c r="AU61" s="35">
        <f>+IF($N61&gt;J$8,"FIN",(J$19-SUM(AV$25:AV60))*VLOOKUP($N61,$A:$M,10,0)/VLOOKUP(J$15,$J$1:$L$4,2,0))</f>
        <v>0.59999999999999976</v>
      </c>
      <c r="AV61" s="36">
        <f t="shared" si="29"/>
        <v>3.3333333333333335</v>
      </c>
      <c r="AW61" s="36">
        <f t="shared" si="30"/>
        <v>3.9333333333333331</v>
      </c>
      <c r="AX61" s="34">
        <f t="shared" si="38"/>
        <v>0.71877208261307746</v>
      </c>
      <c r="AY61" s="35">
        <f>+IF($N61&gt;K$8,"FIN",(K$19-SUM(AZ$25:AZ60))*VLOOKUP($N61,$A:$M,11,0)/VLOOKUP(K$15,$J$1:$L$4,2,0))</f>
        <v>0.99204545454545512</v>
      </c>
      <c r="AZ61" s="36">
        <f t="shared" si="17"/>
        <v>2.2045454545454546</v>
      </c>
      <c r="BA61" s="36">
        <f t="shared" si="18"/>
        <v>3.1965909090909097</v>
      </c>
      <c r="BB61" s="34">
        <f t="shared" si="19"/>
        <v>0.58414075550575517</v>
      </c>
      <c r="BC61" s="35">
        <f>+IF($N61&gt;L$8,"FIN",(L$19-SUM(BD$25:BD60))*VLOOKUP($N61,$A:$M,12,0)/VLOOKUP(L$15,$J$1:$L$4,2,0))</f>
        <v>0.81843750000000048</v>
      </c>
      <c r="BD61" s="36">
        <f t="shared" si="31"/>
        <v>2.2045454545454546</v>
      </c>
      <c r="BE61" s="36">
        <f t="shared" si="32"/>
        <v>3.022982954545455</v>
      </c>
      <c r="BF61" s="34">
        <f t="shared" si="39"/>
        <v>0.55241586964639089</v>
      </c>
      <c r="BG61" s="236"/>
    </row>
    <row r="62" spans="1:59" x14ac:dyDescent="0.25">
      <c r="A62" s="27">
        <f t="shared" si="33"/>
        <v>50724</v>
      </c>
      <c r="B62" s="230"/>
      <c r="C62" s="237"/>
      <c r="D62" s="237"/>
      <c r="E62" s="237"/>
      <c r="F62" s="237"/>
      <c r="G62" s="234">
        <v>0.05</v>
      </c>
      <c r="H62" s="234">
        <v>4.2500000000000003E-2</v>
      </c>
      <c r="I62" s="234">
        <v>4.8750000000000002E-2</v>
      </c>
      <c r="J62" s="234">
        <v>4.4999999999999998E-2</v>
      </c>
      <c r="K62" s="233">
        <v>0.05</v>
      </c>
      <c r="L62" s="230">
        <v>4.1250000000000002E-2</v>
      </c>
      <c r="M62" s="235"/>
      <c r="N62" s="32">
        <f t="shared" si="34"/>
        <v>50724</v>
      </c>
      <c r="O62" s="45"/>
      <c r="P62" s="36"/>
      <c r="Q62" s="36"/>
      <c r="R62" s="46"/>
      <c r="S62" s="45"/>
      <c r="T62" s="36"/>
      <c r="U62" s="36"/>
      <c r="V62" s="46"/>
      <c r="W62" s="36"/>
      <c r="X62" s="36"/>
      <c r="Y62" s="36"/>
      <c r="Z62" s="46"/>
      <c r="AA62" s="36"/>
      <c r="AB62" s="36"/>
      <c r="AC62" s="36"/>
      <c r="AD62" s="46"/>
      <c r="AE62" s="36"/>
      <c r="AF62" s="36"/>
      <c r="AG62" s="36"/>
      <c r="AH62" s="46"/>
      <c r="AI62" s="35">
        <f>+IF($N62&gt;G$8,"FIN",(G$19-SUM(AJ$25:AJ61))*VLOOKUP($N62,$A:$M,7,0)/VLOOKUP(G$15,$J$1:$L$4,2,0))</f>
        <v>0.11363636363636331</v>
      </c>
      <c r="AJ62" s="36">
        <f t="shared" si="25"/>
        <v>4.5454545454545459</v>
      </c>
      <c r="AK62" s="36">
        <f t="shared" si="13"/>
        <v>4.6590909090909092</v>
      </c>
      <c r="AL62" s="34">
        <f t="shared" si="14"/>
        <v>0.81177428533111073</v>
      </c>
      <c r="AM62" s="35">
        <f>+IF($N62&gt;H$8,"FIN",(H$19-SUM(AN$25:AN61))*VLOOKUP($N62,$A:$M,8,0)/VLOOKUP(H$15,$J$1:$L$4,2,0))</f>
        <v>9.6590909090908825E-2</v>
      </c>
      <c r="AN62" s="36">
        <f t="shared" si="26"/>
        <v>4.5454545454545459</v>
      </c>
      <c r="AO62" s="36">
        <f t="shared" si="27"/>
        <v>4.642045454545455</v>
      </c>
      <c r="AP62" s="34">
        <f t="shared" si="37"/>
        <v>0.80880437940916772</v>
      </c>
      <c r="AQ62" s="35">
        <f>+IF($N62&gt;I$8,"FIN",(I$19-SUM(AR$25:AR61))*VLOOKUP($N62,$A:$M,9,0)/VLOOKUP(I$15,$J$1:$L$4,2,0))</f>
        <v>0.56874999999999987</v>
      </c>
      <c r="AR62" s="36">
        <f t="shared" si="28"/>
        <v>3.3333333333333335</v>
      </c>
      <c r="AS62" s="36">
        <f t="shared" si="15"/>
        <v>3.9020833333333336</v>
      </c>
      <c r="AT62" s="34">
        <f t="shared" si="16"/>
        <v>0.67987746344214939</v>
      </c>
      <c r="AU62" s="35">
        <f>+IF($N62&gt;J$8,"FIN",(J$19-SUM(AV$25:AV61))*VLOOKUP($N62,$A:$M,10,0)/VLOOKUP(J$15,$J$1:$L$4,2,0))</f>
        <v>0.52499999999999991</v>
      </c>
      <c r="AV62" s="36">
        <f t="shared" si="29"/>
        <v>3.3333333333333335</v>
      </c>
      <c r="AW62" s="36">
        <f t="shared" si="30"/>
        <v>3.8583333333333334</v>
      </c>
      <c r="AX62" s="34">
        <f t="shared" si="38"/>
        <v>0.67225470490916206</v>
      </c>
      <c r="AY62" s="35">
        <f>+IF($N62&gt;K$8,"FIN",(K$19-SUM(AZ$25:AZ61))*VLOOKUP($N62,$A:$M,11,0)/VLOOKUP(K$15,$J$1:$L$4,2,0))</f>
        <v>0.9369318181818187</v>
      </c>
      <c r="AZ62" s="36">
        <f t="shared" si="17"/>
        <v>2.2045454545454546</v>
      </c>
      <c r="BA62" s="36">
        <f t="shared" si="18"/>
        <v>3.1414772727272733</v>
      </c>
      <c r="BB62" s="34">
        <f t="shared" si="19"/>
        <v>0.54735366141411124</v>
      </c>
      <c r="BC62" s="35">
        <f>+IF($N62&gt;L$8,"FIN",(L$19-SUM(BD$25:BD61))*VLOOKUP($N62,$A:$M,12,0)/VLOOKUP(L$15,$J$1:$L$4,2,0))</f>
        <v>0.77296875000000043</v>
      </c>
      <c r="BD62" s="36">
        <f t="shared" si="31"/>
        <v>2.2045454545454546</v>
      </c>
      <c r="BE62" s="36">
        <f t="shared" si="32"/>
        <v>2.977514204545455</v>
      </c>
      <c r="BF62" s="34">
        <f t="shared" si="39"/>
        <v>0.51878564136662031</v>
      </c>
      <c r="BG62" s="4"/>
    </row>
    <row r="63" spans="1:59" x14ac:dyDescent="0.25">
      <c r="A63" s="27">
        <f t="shared" si="33"/>
        <v>50905</v>
      </c>
      <c r="B63" s="230"/>
      <c r="C63" s="237"/>
      <c r="D63" s="237"/>
      <c r="E63" s="237"/>
      <c r="F63" s="237"/>
      <c r="G63" s="233"/>
      <c r="H63" s="233"/>
      <c r="I63" s="234">
        <v>4.8750000000000002E-2</v>
      </c>
      <c r="J63" s="234">
        <v>4.4999999999999998E-2</v>
      </c>
      <c r="K63" s="233">
        <v>0.05</v>
      </c>
      <c r="L63" s="230">
        <v>4.1250000000000002E-2</v>
      </c>
      <c r="M63" s="235"/>
      <c r="N63" s="32">
        <f t="shared" si="34"/>
        <v>50905</v>
      </c>
      <c r="O63" s="45"/>
      <c r="P63" s="36"/>
      <c r="Q63" s="36"/>
      <c r="R63" s="46"/>
      <c r="S63" s="45"/>
      <c r="T63" s="36"/>
      <c r="U63" s="36"/>
      <c r="V63" s="46"/>
      <c r="W63" s="36"/>
      <c r="X63" s="36"/>
      <c r="Y63" s="36"/>
      <c r="Z63" s="46"/>
      <c r="AA63" s="36"/>
      <c r="AB63" s="36"/>
      <c r="AC63" s="36"/>
      <c r="AD63" s="46"/>
      <c r="AE63" s="36"/>
      <c r="AF63" s="36"/>
      <c r="AG63" s="36"/>
      <c r="AH63" s="46"/>
      <c r="AI63" s="35"/>
      <c r="AJ63" s="36"/>
      <c r="AK63" s="36"/>
      <c r="AL63" s="34"/>
      <c r="AM63" s="35"/>
      <c r="AN63" s="36"/>
      <c r="AO63" s="36"/>
      <c r="AP63" s="34"/>
      <c r="AQ63" s="35">
        <f>+IF($N63&gt;I$8,"FIN",(I$19-SUM(AR$25:AR62))*VLOOKUP($N63,$A:$M,9,0)/VLOOKUP(I$15,$J$1:$L$4,2,0))</f>
        <v>0.48750000000000004</v>
      </c>
      <c r="AR63" s="36">
        <f t="shared" si="28"/>
        <v>3.3333333333333335</v>
      </c>
      <c r="AS63" s="36">
        <f t="shared" si="15"/>
        <v>3.8208333333333337</v>
      </c>
      <c r="AT63" s="34">
        <f t="shared" si="16"/>
        <v>0.63473998435688772</v>
      </c>
      <c r="AU63" s="35">
        <f>+IF($N63&gt;J$8,"FIN",(J$19-SUM(AV$25:AV62))*VLOOKUP($N63,$A:$M,10,0)/VLOOKUP(J$15,$J$1:$L$4,2,0))</f>
        <v>0.44999999999999996</v>
      </c>
      <c r="AV63" s="36">
        <f t="shared" si="29"/>
        <v>3.3333333333333335</v>
      </c>
      <c r="AW63" s="36">
        <f t="shared" si="30"/>
        <v>3.7833333333333332</v>
      </c>
      <c r="AX63" s="34">
        <f t="shared" si="38"/>
        <v>0.62851025713855402</v>
      </c>
      <c r="AY63" s="35">
        <f>+IF($N63&gt;K$8,"FIN",(K$19-SUM(AZ$25:AZ62))*VLOOKUP($N63,$A:$M,11,0)/VLOOKUP(K$15,$J$1:$L$4,2,0))</f>
        <v>0.88181818181818239</v>
      </c>
      <c r="AZ63" s="36">
        <f t="shared" si="17"/>
        <v>2.2045454545454546</v>
      </c>
      <c r="BA63" s="36">
        <f t="shared" si="18"/>
        <v>3.0863636363636369</v>
      </c>
      <c r="BB63" s="34">
        <f t="shared" si="19"/>
        <v>0.51272542803012999</v>
      </c>
      <c r="BC63" s="35">
        <f>+IF($N63&gt;L$8,"FIN",(L$19-SUM(BD$25:BD62))*VLOOKUP($N63,$A:$M,12,0)/VLOOKUP(L$15,$J$1:$L$4,2,0))</f>
        <v>0.72750000000000048</v>
      </c>
      <c r="BD63" s="36">
        <f t="shared" si="31"/>
        <v>2.2045454545454546</v>
      </c>
      <c r="BE63" s="36">
        <f t="shared" si="32"/>
        <v>2.9320454545454551</v>
      </c>
      <c r="BF63" s="34">
        <f t="shared" si="39"/>
        <v>0.48708915662862357</v>
      </c>
      <c r="BG63" s="4"/>
    </row>
    <row r="64" spans="1:59" x14ac:dyDescent="0.25">
      <c r="A64" s="27">
        <f t="shared" si="33"/>
        <v>51089</v>
      </c>
      <c r="B64" s="230"/>
      <c r="C64" s="237"/>
      <c r="D64" s="237"/>
      <c r="E64" s="237"/>
      <c r="F64" s="237"/>
      <c r="G64" s="233"/>
      <c r="H64" s="233"/>
      <c r="I64" s="234">
        <v>4.8750000000000002E-2</v>
      </c>
      <c r="J64" s="234">
        <v>4.4999999999999998E-2</v>
      </c>
      <c r="K64" s="233">
        <v>0.05</v>
      </c>
      <c r="L64" s="230">
        <v>4.1250000000000002E-2</v>
      </c>
      <c r="M64" s="235"/>
      <c r="N64" s="32">
        <f t="shared" si="34"/>
        <v>51089</v>
      </c>
      <c r="O64" s="45"/>
      <c r="P64" s="36"/>
      <c r="Q64" s="36"/>
      <c r="R64" s="46"/>
      <c r="S64" s="45"/>
      <c r="T64" s="36"/>
      <c r="U64" s="36"/>
      <c r="V64" s="46"/>
      <c r="W64" s="36"/>
      <c r="X64" s="36"/>
      <c r="Y64" s="36"/>
      <c r="Z64" s="46"/>
      <c r="AA64" s="36"/>
      <c r="AB64" s="36"/>
      <c r="AC64" s="36"/>
      <c r="AD64" s="46"/>
      <c r="AE64" s="36"/>
      <c r="AF64" s="36"/>
      <c r="AG64" s="36"/>
      <c r="AH64" s="46"/>
      <c r="AI64" s="35"/>
      <c r="AJ64" s="36"/>
      <c r="AK64" s="36"/>
      <c r="AL64" s="34"/>
      <c r="AM64" s="35"/>
      <c r="AN64" s="36"/>
      <c r="AO64" s="36"/>
      <c r="AP64" s="34"/>
      <c r="AQ64" s="35">
        <f>+IF($N64&gt;I$8,"FIN",(I$19-SUM(AR$25:AR63))*VLOOKUP($N64,$A:$M,9,0)/VLOOKUP(I$15,$J$1:$L$4,2,0))</f>
        <v>0.40625000000000011</v>
      </c>
      <c r="AR64" s="36">
        <f t="shared" si="28"/>
        <v>3.3333333333333335</v>
      </c>
      <c r="AS64" s="36">
        <f t="shared" si="15"/>
        <v>3.7395833333333335</v>
      </c>
      <c r="AT64" s="34">
        <f t="shared" si="16"/>
        <v>0.59233123665420484</v>
      </c>
      <c r="AU64" s="35">
        <f>+IF($N64&gt;J$8,"FIN",(J$19-SUM(AV$25:AV63))*VLOOKUP($N64,$A:$M,10,0)/VLOOKUP(J$15,$J$1:$L$4,2,0))</f>
        <v>0.37500000000000011</v>
      </c>
      <c r="AV64" s="36">
        <f t="shared" si="29"/>
        <v>3.3333333333333335</v>
      </c>
      <c r="AW64" s="36">
        <f t="shared" si="30"/>
        <v>3.7083333333333335</v>
      </c>
      <c r="AX64" s="34">
        <f t="shared" si="38"/>
        <v>0.58738139345096629</v>
      </c>
      <c r="AY64" s="35">
        <f>+IF($N64&gt;K$8,"FIN",(K$19-SUM(AZ$25:AZ63))*VLOOKUP($N64,$A:$M,11,0)/VLOOKUP(K$15,$J$1:$L$4,2,0))</f>
        <v>0.82670454545454608</v>
      </c>
      <c r="AZ64" s="36">
        <f t="shared" si="17"/>
        <v>2.2045454545454546</v>
      </c>
      <c r="BA64" s="36">
        <f t="shared" si="18"/>
        <v>3.0312500000000009</v>
      </c>
      <c r="BB64" s="34">
        <f t="shared" si="19"/>
        <v>0.48013479071413268</v>
      </c>
      <c r="BC64" s="35">
        <f>+IF($N64&gt;L$8,"FIN",(L$19-SUM(BD$25:BD63))*VLOOKUP($N64,$A:$M,12,0)/VLOOKUP(L$15,$J$1:$L$4,2,0))</f>
        <v>0.68203125000000053</v>
      </c>
      <c r="BD64" s="36">
        <f t="shared" si="31"/>
        <v>2.2045454545454546</v>
      </c>
      <c r="BE64" s="36">
        <f t="shared" si="32"/>
        <v>2.8865767045454551</v>
      </c>
      <c r="BF64" s="34">
        <f t="shared" si="39"/>
        <v>0.45721926661186724</v>
      </c>
      <c r="BG64" s="4"/>
    </row>
    <row r="65" spans="1:59" x14ac:dyDescent="0.25">
      <c r="A65" s="27">
        <f t="shared" si="33"/>
        <v>51271</v>
      </c>
      <c r="B65" s="230"/>
      <c r="C65" s="237"/>
      <c r="D65" s="237"/>
      <c r="E65" s="237"/>
      <c r="F65" s="237"/>
      <c r="G65" s="233"/>
      <c r="H65" s="233"/>
      <c r="I65" s="234">
        <v>4.8750000000000002E-2</v>
      </c>
      <c r="J65" s="234">
        <v>4.4999999999999998E-2</v>
      </c>
      <c r="K65" s="233">
        <v>0.05</v>
      </c>
      <c r="L65" s="230">
        <v>4.1250000000000002E-2</v>
      </c>
      <c r="M65" s="235"/>
      <c r="N65" s="32">
        <f t="shared" si="34"/>
        <v>51271</v>
      </c>
      <c r="O65" s="45"/>
      <c r="P65" s="36"/>
      <c r="Q65" s="36"/>
      <c r="R65" s="46"/>
      <c r="S65" s="45"/>
      <c r="T65" s="36"/>
      <c r="U65" s="36"/>
      <c r="V65" s="46"/>
      <c r="W65" s="36"/>
      <c r="X65" s="36"/>
      <c r="Y65" s="36"/>
      <c r="Z65" s="46"/>
      <c r="AA65" s="36"/>
      <c r="AB65" s="36"/>
      <c r="AC65" s="36"/>
      <c r="AD65" s="46"/>
      <c r="AE65" s="36"/>
      <c r="AF65" s="36"/>
      <c r="AG65" s="36"/>
      <c r="AH65" s="46"/>
      <c r="AI65" s="36"/>
      <c r="AJ65" s="36"/>
      <c r="AK65" s="36"/>
      <c r="AL65" s="34"/>
      <c r="AM65" s="36"/>
      <c r="AN65" s="36"/>
      <c r="AO65" s="36"/>
      <c r="AP65" s="34"/>
      <c r="AQ65" s="35">
        <f>+IF($N65&gt;I$8,"FIN",(I$19-SUM(AR$25:AR64))*VLOOKUP($N65,$A:$M,9,0)/VLOOKUP(I$15,$J$1:$L$4,2,0))</f>
        <v>0.32500000000000023</v>
      </c>
      <c r="AR65" s="36">
        <f t="shared" si="28"/>
        <v>3.3333333333333335</v>
      </c>
      <c r="AS65" s="36">
        <f t="shared" si="15"/>
        <v>3.6583333333333337</v>
      </c>
      <c r="AT65" s="34">
        <f t="shared" si="16"/>
        <v>0.55249499976737126</v>
      </c>
      <c r="AU65" s="35">
        <f>+IF($N65&gt;J$8,"FIN",(J$19-SUM(AV$25:AV64))*VLOOKUP($N65,$A:$M,10,0)/VLOOKUP(J$15,$J$1:$L$4,2,0))</f>
        <v>0.30000000000000021</v>
      </c>
      <c r="AV65" s="36">
        <f t="shared" si="29"/>
        <v>3.3333333333333335</v>
      </c>
      <c r="AW65" s="36">
        <f t="shared" si="30"/>
        <v>3.6333333333333337</v>
      </c>
      <c r="AX65" s="34">
        <f t="shared" si="38"/>
        <v>0.54871940751383574</v>
      </c>
      <c r="AY65" s="35">
        <f>+IF($N65&gt;K$8,"FIN",(K$19-SUM(AZ$25:AZ64))*VLOOKUP($N65,$A:$M,11,0)/VLOOKUP(K$15,$J$1:$L$4,2,0))</f>
        <v>0.77159090909090977</v>
      </c>
      <c r="AZ65" s="36">
        <f t="shared" si="17"/>
        <v>2.2045454545454546</v>
      </c>
      <c r="BA65" s="36">
        <f t="shared" si="18"/>
        <v>2.9761363636363645</v>
      </c>
      <c r="BB65" s="34">
        <f t="shared" si="19"/>
        <v>0.44946709600043866</v>
      </c>
      <c r="BC65" s="35">
        <f>+IF($N65&gt;L$8,"FIN",(L$19-SUM(BD$25:BD64))*VLOOKUP($N65,$A:$M,12,0)/VLOOKUP(L$15,$J$1:$L$4,2,0))</f>
        <v>0.63656250000000059</v>
      </c>
      <c r="BD65" s="36">
        <f t="shared" si="31"/>
        <v>2.2045454545454546</v>
      </c>
      <c r="BE65" s="36">
        <f t="shared" si="32"/>
        <v>2.8411079545454552</v>
      </c>
      <c r="BF65" s="34">
        <f t="shared" si="39"/>
        <v>0.42907460738560393</v>
      </c>
      <c r="BG65" s="4"/>
    </row>
    <row r="66" spans="1:59" x14ac:dyDescent="0.25">
      <c r="A66" s="27">
        <f t="shared" si="33"/>
        <v>51455</v>
      </c>
      <c r="B66" s="230"/>
      <c r="C66" s="237"/>
      <c r="D66" s="237"/>
      <c r="E66" s="237"/>
      <c r="F66" s="237"/>
      <c r="G66" s="237"/>
      <c r="H66" s="233"/>
      <c r="I66" s="234">
        <v>4.8750000000000002E-2</v>
      </c>
      <c r="J66" s="234">
        <v>4.4999999999999998E-2</v>
      </c>
      <c r="K66" s="233">
        <v>0.05</v>
      </c>
      <c r="L66" s="230">
        <v>4.1250000000000002E-2</v>
      </c>
      <c r="M66" s="235"/>
      <c r="N66" s="32">
        <f t="shared" si="34"/>
        <v>51455</v>
      </c>
      <c r="O66" s="45"/>
      <c r="P66" s="36"/>
      <c r="Q66" s="36"/>
      <c r="R66" s="46"/>
      <c r="S66" s="45"/>
      <c r="T66" s="36"/>
      <c r="U66" s="36"/>
      <c r="V66" s="46"/>
      <c r="W66" s="36"/>
      <c r="X66" s="36"/>
      <c r="Y66" s="36"/>
      <c r="Z66" s="46"/>
      <c r="AA66" s="36"/>
      <c r="AB66" s="36"/>
      <c r="AC66" s="36"/>
      <c r="AD66" s="46"/>
      <c r="AE66" s="36"/>
      <c r="AF66" s="36"/>
      <c r="AG66" s="36"/>
      <c r="AH66" s="46"/>
      <c r="AI66" s="36"/>
      <c r="AJ66" s="36"/>
      <c r="AK66" s="36"/>
      <c r="AL66" s="46"/>
      <c r="AM66" s="36"/>
      <c r="AN66" s="36"/>
      <c r="AO66" s="36"/>
      <c r="AP66" s="46"/>
      <c r="AQ66" s="35">
        <f>+IF($N66&gt;I$8,"FIN",(I$19-SUM(AR$25:AR65))*VLOOKUP($N66,$A:$M,9,0)/VLOOKUP(I$15,$J$1:$L$4,2,0))</f>
        <v>0.24375000000000036</v>
      </c>
      <c r="AR66" s="36">
        <f t="shared" si="28"/>
        <v>3.3333333333333335</v>
      </c>
      <c r="AS66" s="36">
        <f t="shared" si="15"/>
        <v>3.5770833333333338</v>
      </c>
      <c r="AT66" s="34">
        <f t="shared" si="16"/>
        <v>0.51508368363396795</v>
      </c>
      <c r="AU66" s="35">
        <f>+IF($N66&gt;J$8,"FIN",(J$19-SUM(AV$25:AV65))*VLOOKUP($N66,$A:$M,10,0)/VLOOKUP(J$15,$J$1:$L$4,2,0))</f>
        <v>0.22500000000000031</v>
      </c>
      <c r="AV66" s="36">
        <f t="shared" si="29"/>
        <v>3.3333333333333335</v>
      </c>
      <c r="AW66" s="36">
        <f t="shared" si="30"/>
        <v>3.5583333333333336</v>
      </c>
      <c r="AX66" s="34">
        <f t="shared" si="38"/>
        <v>0.51238376915947426</v>
      </c>
      <c r="AY66" s="35">
        <f>+IF($N66&gt;K$8,"FIN",(K$19-SUM(AZ$25:AZ65))*VLOOKUP($N66,$A:$M,11,0)/VLOOKUP(K$15,$J$1:$L$4,2,0))</f>
        <v>0.71647727272727346</v>
      </c>
      <c r="AZ66" s="36">
        <f t="shared" si="17"/>
        <v>2.2045454545454546</v>
      </c>
      <c r="BA66" s="36">
        <f t="shared" si="18"/>
        <v>2.921022727272728</v>
      </c>
      <c r="BB66" s="34">
        <f t="shared" si="19"/>
        <v>0.42061394889006665</v>
      </c>
      <c r="BC66" s="35">
        <f>+IF($N66&gt;L$8,"FIN",(L$19-SUM(BD$25:BD65))*VLOOKUP($N66,$A:$M,12,0)/VLOOKUP(L$15,$J$1:$L$4,2,0))</f>
        <v>0.59109375000000053</v>
      </c>
      <c r="BD66" s="36">
        <f t="shared" si="31"/>
        <v>2.2045454545454546</v>
      </c>
      <c r="BE66" s="36">
        <f t="shared" si="32"/>
        <v>2.7956392045454552</v>
      </c>
      <c r="BF66" s="34">
        <f t="shared" si="39"/>
        <v>0.40255929353676662</v>
      </c>
      <c r="BG66" s="4"/>
    </row>
    <row r="67" spans="1:59" x14ac:dyDescent="0.25">
      <c r="A67" s="27">
        <f t="shared" si="33"/>
        <v>51636</v>
      </c>
      <c r="B67" s="230"/>
      <c r="C67" s="237"/>
      <c r="D67" s="237"/>
      <c r="E67" s="237"/>
      <c r="F67" s="237"/>
      <c r="G67" s="237"/>
      <c r="H67" s="233"/>
      <c r="I67" s="234">
        <v>4.8750000000000002E-2</v>
      </c>
      <c r="J67" s="234">
        <v>4.4999999999999998E-2</v>
      </c>
      <c r="K67" s="233">
        <v>0.05</v>
      </c>
      <c r="L67" s="230">
        <v>4.1250000000000002E-2</v>
      </c>
      <c r="M67" s="235"/>
      <c r="N67" s="32">
        <f t="shared" si="34"/>
        <v>51636</v>
      </c>
      <c r="O67" s="45"/>
      <c r="P67" s="36"/>
      <c r="Q67" s="36"/>
      <c r="R67" s="46"/>
      <c r="S67" s="45"/>
      <c r="T67" s="36"/>
      <c r="U67" s="36"/>
      <c r="V67" s="46"/>
      <c r="W67" s="36"/>
      <c r="X67" s="36"/>
      <c r="Y67" s="36"/>
      <c r="Z67" s="46"/>
      <c r="AA67" s="36"/>
      <c r="AB67" s="36"/>
      <c r="AC67" s="36"/>
      <c r="AD67" s="46"/>
      <c r="AE67" s="36"/>
      <c r="AF67" s="36"/>
      <c r="AG67" s="36"/>
      <c r="AH67" s="46"/>
      <c r="AI67" s="36"/>
      <c r="AJ67" s="36"/>
      <c r="AK67" s="36"/>
      <c r="AL67" s="46"/>
      <c r="AM67" s="36"/>
      <c r="AN67" s="36"/>
      <c r="AO67" s="36"/>
      <c r="AP67" s="46"/>
      <c r="AQ67" s="35">
        <f>+IF($N67&gt;I$8,"FIN",(I$19-SUM(AR$25:AR66))*VLOOKUP($N67,$A:$M,9,0)/VLOOKUP(I$15,$J$1:$L$4,2,0))</f>
        <v>0.16250000000000048</v>
      </c>
      <c r="AR67" s="36">
        <f t="shared" si="28"/>
        <v>3.3333333333333335</v>
      </c>
      <c r="AS67" s="36">
        <f t="shared" si="15"/>
        <v>3.495833333333334</v>
      </c>
      <c r="AT67" s="34">
        <f t="shared" si="16"/>
        <v>0.47995786374490002</v>
      </c>
      <c r="AU67" s="35">
        <f>+IF($N67&gt;J$8,"FIN",(J$19-SUM(AV$25:AV66))*VLOOKUP($N67,$A:$M,10,0)/VLOOKUP(J$15,$J$1:$L$4,2,0))</f>
        <v>0.15000000000000041</v>
      </c>
      <c r="AV67" s="36">
        <f t="shared" si="29"/>
        <v>3.3333333333333335</v>
      </c>
      <c r="AW67" s="36">
        <f t="shared" si="30"/>
        <v>3.4833333333333338</v>
      </c>
      <c r="AX67" s="34">
        <f t="shared" si="38"/>
        <v>0.47824168544783835</v>
      </c>
      <c r="AY67" s="35">
        <f>+IF($N67&gt;K$8,"FIN",(K$19-SUM(AZ$25:AZ66))*VLOOKUP($N67,$A:$M,11,0)/VLOOKUP(K$15,$J$1:$L$4,2,0))</f>
        <v>0.66136363636363704</v>
      </c>
      <c r="AZ67" s="36">
        <f t="shared" si="17"/>
        <v>2.2045454545454546</v>
      </c>
      <c r="BA67" s="36">
        <f t="shared" si="18"/>
        <v>2.8659090909090916</v>
      </c>
      <c r="BB67" s="34">
        <f t="shared" si="19"/>
        <v>0.3934728786535826</v>
      </c>
      <c r="BC67" s="35">
        <f>+IF($N67&gt;L$8,"FIN",(L$19-SUM(BD$25:BD66))*VLOOKUP($N67,$A:$M,12,0)/VLOOKUP(L$15,$J$1:$L$4,2,0))</f>
        <v>0.54562500000000058</v>
      </c>
      <c r="BD67" s="36">
        <f t="shared" si="31"/>
        <v>2.2045454545454546</v>
      </c>
      <c r="BE67" s="36">
        <f t="shared" si="32"/>
        <v>2.7501704545454553</v>
      </c>
      <c r="BF67" s="34">
        <f t="shared" si="39"/>
        <v>0.37758262778488022</v>
      </c>
      <c r="BG67" s="4"/>
    </row>
    <row r="68" spans="1:59" x14ac:dyDescent="0.25">
      <c r="A68" s="27">
        <f t="shared" si="33"/>
        <v>51820</v>
      </c>
      <c r="B68" s="230"/>
      <c r="C68" s="237"/>
      <c r="D68" s="237"/>
      <c r="E68" s="237"/>
      <c r="F68" s="237"/>
      <c r="G68" s="237"/>
      <c r="H68" s="233"/>
      <c r="I68" s="234">
        <v>4.8750000000000002E-2</v>
      </c>
      <c r="J68" s="234">
        <v>4.4999999999999998E-2</v>
      </c>
      <c r="K68" s="233">
        <v>0.05</v>
      </c>
      <c r="L68" s="230">
        <v>4.1250000000000002E-2</v>
      </c>
      <c r="M68" s="235"/>
      <c r="N68" s="32">
        <f t="shared" si="34"/>
        <v>51820</v>
      </c>
      <c r="O68" s="45"/>
      <c r="P68" s="36"/>
      <c r="Q68" s="36"/>
      <c r="R68" s="46"/>
      <c r="S68" s="45"/>
      <c r="T68" s="36"/>
      <c r="U68" s="36"/>
      <c r="V68" s="46"/>
      <c r="W68" s="36"/>
      <c r="X68" s="36"/>
      <c r="Y68" s="36"/>
      <c r="Z68" s="46"/>
      <c r="AA68" s="36"/>
      <c r="AB68" s="36"/>
      <c r="AC68" s="36"/>
      <c r="AD68" s="46"/>
      <c r="AE68" s="36"/>
      <c r="AF68" s="36"/>
      <c r="AG68" s="36"/>
      <c r="AH68" s="46"/>
      <c r="AI68" s="36"/>
      <c r="AJ68" s="36"/>
      <c r="AK68" s="36"/>
      <c r="AL68" s="46"/>
      <c r="AM68" s="36"/>
      <c r="AN68" s="36"/>
      <c r="AO68" s="36"/>
      <c r="AP68" s="46"/>
      <c r="AQ68" s="35">
        <f>+IF($N68&gt;I$8,"FIN",(I$19-SUM(AR$25:AR67))*VLOOKUP($N68,$A:$M,9,0)/VLOOKUP(I$15,$J$1:$L$4,2,0))</f>
        <v>8.1250000000000586E-2</v>
      </c>
      <c r="AR68" s="36">
        <f t="shared" si="28"/>
        <v>3.3333333333333335</v>
      </c>
      <c r="AS68" s="36">
        <f t="shared" si="15"/>
        <v>3.4145833333333342</v>
      </c>
      <c r="AT68" s="34">
        <f t="shared" si="16"/>
        <v>0.44698584077729309</v>
      </c>
      <c r="AU68" s="35">
        <f>+IF($N68&gt;J$8,"FIN",(J$19-SUM(AV$25:AV67))*VLOOKUP($N68,$A:$M,10,0)/VLOOKUP(J$15,$J$1:$L$4,2,0))</f>
        <v>7.5000000000000525E-2</v>
      </c>
      <c r="AV68" s="36">
        <f t="shared" si="29"/>
        <v>3.3333333333333335</v>
      </c>
      <c r="AW68" s="36">
        <f t="shared" si="30"/>
        <v>3.4083333333333341</v>
      </c>
      <c r="AX68" s="34">
        <f t="shared" si="38"/>
        <v>0.44616768487593134</v>
      </c>
      <c r="AY68" s="35">
        <f>+IF($N68&gt;K$8,"FIN",(K$19-SUM(AZ$25:AZ67))*VLOOKUP($N68,$A:$M,11,0)/VLOOKUP(K$15,$J$1:$L$4,2,0))</f>
        <v>0.60625000000000073</v>
      </c>
      <c r="AZ68" s="36">
        <f t="shared" si="17"/>
        <v>2.2045454545454546</v>
      </c>
      <c r="BA68" s="36">
        <f t="shared" si="18"/>
        <v>2.8107954545454552</v>
      </c>
      <c r="BB68" s="34">
        <f t="shared" si="19"/>
        <v>0.36794702218513542</v>
      </c>
      <c r="BC68" s="35">
        <f>+IF($N68&gt;L$8,"FIN",(L$19-SUM(BD$25:BD67))*VLOOKUP($N68,$A:$M,12,0)/VLOOKUP(L$15,$J$1:$L$4,2,0))</f>
        <v>0.50015625000000064</v>
      </c>
      <c r="BD68" s="36">
        <f t="shared" si="31"/>
        <v>2.2045454545454546</v>
      </c>
      <c r="BE68" s="36">
        <f t="shared" si="32"/>
        <v>2.7047017045454553</v>
      </c>
      <c r="BF68" s="34">
        <f t="shared" si="39"/>
        <v>0.35405882575952008</v>
      </c>
      <c r="BG68" s="4"/>
    </row>
    <row r="69" spans="1:59" x14ac:dyDescent="0.25">
      <c r="A69" s="27">
        <f t="shared" si="33"/>
        <v>52001</v>
      </c>
      <c r="B69" s="230"/>
      <c r="C69" s="237"/>
      <c r="D69" s="237"/>
      <c r="E69" s="237"/>
      <c r="F69" s="237"/>
      <c r="G69" s="237"/>
      <c r="H69" s="233"/>
      <c r="I69" s="234"/>
      <c r="J69" s="234"/>
      <c r="K69" s="233">
        <v>0.05</v>
      </c>
      <c r="L69" s="230">
        <v>4.1250000000000002E-2</v>
      </c>
      <c r="M69" s="235"/>
      <c r="N69" s="32">
        <f t="shared" si="34"/>
        <v>52001</v>
      </c>
      <c r="O69" s="45"/>
      <c r="P69" s="36"/>
      <c r="Q69" s="36"/>
      <c r="R69" s="46"/>
      <c r="S69" s="45"/>
      <c r="T69" s="36"/>
      <c r="U69" s="36"/>
      <c r="V69" s="46"/>
      <c r="W69" s="36"/>
      <c r="X69" s="36"/>
      <c r="Y69" s="36"/>
      <c r="Z69" s="46"/>
      <c r="AA69" s="36"/>
      <c r="AB69" s="36"/>
      <c r="AC69" s="36"/>
      <c r="AD69" s="46"/>
      <c r="AE69" s="36"/>
      <c r="AF69" s="36"/>
      <c r="AG69" s="36"/>
      <c r="AH69" s="46"/>
      <c r="AI69" s="36"/>
      <c r="AJ69" s="36"/>
      <c r="AK69" s="36"/>
      <c r="AL69" s="46"/>
      <c r="AM69" s="36"/>
      <c r="AN69" s="36"/>
      <c r="AO69" s="36"/>
      <c r="AP69" s="46"/>
      <c r="AQ69" s="35"/>
      <c r="AR69" s="36"/>
      <c r="AS69" s="36"/>
      <c r="AT69" s="34"/>
      <c r="AU69" s="35"/>
      <c r="AV69" s="36"/>
      <c r="AW69" s="36"/>
      <c r="AX69" s="34"/>
      <c r="AY69" s="35">
        <f>+IF($N69&gt;K$8,"FIN",(K$19-SUM(AZ$25:AZ68))*VLOOKUP($N69,$A:$M,11,0)/VLOOKUP(K$15,$J$1:$L$4,2,0))</f>
        <v>0.55113636363636442</v>
      </c>
      <c r="AZ69" s="36">
        <f t="shared" si="17"/>
        <v>2.2045454545454546</v>
      </c>
      <c r="BA69" s="36">
        <f t="shared" si="18"/>
        <v>2.7556818181818192</v>
      </c>
      <c r="BB69" s="34">
        <f t="shared" si="19"/>
        <v>0.34394482399788695</v>
      </c>
      <c r="BC69" s="35">
        <f>+IF($N69&gt;L$8,"FIN",(L$19-SUM(BD$25:BD68))*VLOOKUP($N69,$A:$M,12,0)/VLOOKUP(L$15,$J$1:$L$4,2,0))</f>
        <v>0.45468750000000063</v>
      </c>
      <c r="BD69" s="36">
        <f t="shared" si="31"/>
        <v>2.2045454545454546</v>
      </c>
      <c r="BE69" s="36">
        <f t="shared" si="32"/>
        <v>2.6592329545454554</v>
      </c>
      <c r="BF69" s="34">
        <f t="shared" si="39"/>
        <v>0.33190675515796092</v>
      </c>
      <c r="BG69" s="4"/>
    </row>
    <row r="70" spans="1:59" x14ac:dyDescent="0.25">
      <c r="A70" s="27">
        <f t="shared" si="33"/>
        <v>52185</v>
      </c>
      <c r="B70" s="230"/>
      <c r="C70" s="237"/>
      <c r="D70" s="237"/>
      <c r="E70" s="237"/>
      <c r="F70" s="237"/>
      <c r="G70" s="237"/>
      <c r="H70" s="233"/>
      <c r="I70" s="234"/>
      <c r="J70" s="234"/>
      <c r="K70" s="233">
        <v>0.05</v>
      </c>
      <c r="L70" s="230">
        <v>4.1250000000000002E-2</v>
      </c>
      <c r="M70" s="235"/>
      <c r="N70" s="32">
        <f t="shared" si="34"/>
        <v>52185</v>
      </c>
      <c r="O70" s="45"/>
      <c r="P70" s="36"/>
      <c r="Q70" s="36"/>
      <c r="R70" s="46"/>
      <c r="S70" s="45"/>
      <c r="T70" s="36"/>
      <c r="U70" s="36"/>
      <c r="V70" s="46"/>
      <c r="W70" s="36"/>
      <c r="X70" s="36"/>
      <c r="Y70" s="36"/>
      <c r="Z70" s="46"/>
      <c r="AA70" s="36"/>
      <c r="AB70" s="36"/>
      <c r="AC70" s="36"/>
      <c r="AD70" s="46"/>
      <c r="AE70" s="36"/>
      <c r="AF70" s="36"/>
      <c r="AG70" s="36"/>
      <c r="AH70" s="46"/>
      <c r="AI70" s="36"/>
      <c r="AJ70" s="36"/>
      <c r="AK70" s="36"/>
      <c r="AL70" s="46"/>
      <c r="AM70" s="36"/>
      <c r="AN70" s="36"/>
      <c r="AO70" s="36"/>
      <c r="AP70" s="46"/>
      <c r="AQ70" s="35"/>
      <c r="AR70" s="36"/>
      <c r="AS70" s="36"/>
      <c r="AT70" s="34"/>
      <c r="AU70" s="35"/>
      <c r="AV70" s="36"/>
      <c r="AW70" s="36"/>
      <c r="AX70" s="34"/>
      <c r="AY70" s="35">
        <f>+IF($N70&gt;K$8,"FIN",(K$19-SUM(AZ$25:AZ69))*VLOOKUP($N70,$A:$M,11,0)/VLOOKUP(K$15,$J$1:$L$4,2,0))</f>
        <v>0.49602272727272806</v>
      </c>
      <c r="AZ70" s="36">
        <f t="shared" si="17"/>
        <v>2.2045454545454546</v>
      </c>
      <c r="BA70" s="36">
        <f t="shared" si="18"/>
        <v>2.7005681818181828</v>
      </c>
      <c r="BB70" s="34">
        <f t="shared" si="19"/>
        <v>0.3213797519977119</v>
      </c>
      <c r="BC70" s="35">
        <f>+IF($N70&gt;L$8,"FIN",(L$19-SUM(BD$25:BD69))*VLOOKUP($N70,$A:$M,12,0)/VLOOKUP(L$15,$J$1:$L$4,2,0))</f>
        <v>0.40921875000000069</v>
      </c>
      <c r="BD70" s="36">
        <f t="shared" si="31"/>
        <v>2.2045454545454546</v>
      </c>
      <c r="BE70" s="36">
        <f t="shared" si="32"/>
        <v>2.6137642045454554</v>
      </c>
      <c r="BF70" s="34">
        <f t="shared" si="39"/>
        <v>0.31104968854064263</v>
      </c>
      <c r="BG70" s="4"/>
    </row>
    <row r="71" spans="1:59" x14ac:dyDescent="0.25">
      <c r="A71" s="27">
        <f t="shared" si="33"/>
        <v>52366</v>
      </c>
      <c r="B71" s="230"/>
      <c r="C71" s="237"/>
      <c r="D71" s="237"/>
      <c r="E71" s="237"/>
      <c r="F71" s="237"/>
      <c r="G71" s="237"/>
      <c r="H71" s="233"/>
      <c r="I71" s="233"/>
      <c r="J71" s="233"/>
      <c r="K71" s="233">
        <v>0.05</v>
      </c>
      <c r="L71" s="230">
        <v>4.1250000000000002E-2</v>
      </c>
      <c r="M71" s="235"/>
      <c r="N71" s="32">
        <f t="shared" si="34"/>
        <v>52366</v>
      </c>
      <c r="O71" s="45"/>
      <c r="P71" s="36"/>
      <c r="Q71" s="36"/>
      <c r="R71" s="46"/>
      <c r="S71" s="45"/>
      <c r="T71" s="36"/>
      <c r="U71" s="36"/>
      <c r="V71" s="46"/>
      <c r="W71" s="36"/>
      <c r="X71" s="36"/>
      <c r="Y71" s="36"/>
      <c r="Z71" s="46"/>
      <c r="AA71" s="36"/>
      <c r="AB71" s="36"/>
      <c r="AC71" s="36"/>
      <c r="AD71" s="46"/>
      <c r="AE71" s="36"/>
      <c r="AF71" s="36"/>
      <c r="AG71" s="36"/>
      <c r="AH71" s="46"/>
      <c r="AI71" s="36"/>
      <c r="AJ71" s="36"/>
      <c r="AK71" s="36"/>
      <c r="AL71" s="46"/>
      <c r="AM71" s="36"/>
      <c r="AN71" s="36"/>
      <c r="AO71" s="36"/>
      <c r="AP71" s="46"/>
      <c r="AQ71" s="35"/>
      <c r="AR71" s="36"/>
      <c r="AS71" s="36"/>
      <c r="AT71" s="34"/>
      <c r="AU71" s="35"/>
      <c r="AV71" s="36"/>
      <c r="AW71" s="36"/>
      <c r="AX71" s="34"/>
      <c r="AY71" s="35">
        <f>+IF($N71&gt;K$8,"FIN",(K$19-SUM(AZ$25:AZ70))*VLOOKUP($N71,$A:$M,11,0)/VLOOKUP(K$15,$J$1:$L$4,2,0))</f>
        <v>0.44090909090909175</v>
      </c>
      <c r="AZ71" s="36">
        <f t="shared" si="17"/>
        <v>2.2045454545454546</v>
      </c>
      <c r="BA71" s="36">
        <f t="shared" si="18"/>
        <v>2.6454545454545464</v>
      </c>
      <c r="BB71" s="34">
        <f t="shared" si="19"/>
        <v>0.30017002821633759</v>
      </c>
      <c r="BC71" s="35">
        <f>+IF($N71&gt;L$8,"FIN",(L$19-SUM(BD$25:BD70))*VLOOKUP($N71,$A:$M,12,0)/VLOOKUP(L$15,$J$1:$L$4,2,0))</f>
        <v>0.36375000000000068</v>
      </c>
      <c r="BD71" s="36">
        <f t="shared" si="31"/>
        <v>2.2045454545454546</v>
      </c>
      <c r="BE71" s="36">
        <f t="shared" si="32"/>
        <v>2.5682954545454555</v>
      </c>
      <c r="BF71" s="34">
        <f t="shared" si="39"/>
        <v>0.29141506906002773</v>
      </c>
      <c r="BG71" s="4"/>
    </row>
    <row r="72" spans="1:59" x14ac:dyDescent="0.25">
      <c r="A72" s="27">
        <f t="shared" si="33"/>
        <v>52550</v>
      </c>
      <c r="B72" s="230"/>
      <c r="C72" s="237"/>
      <c r="D72" s="237"/>
      <c r="E72" s="237"/>
      <c r="F72" s="237"/>
      <c r="G72" s="237"/>
      <c r="H72" s="233"/>
      <c r="I72" s="233"/>
      <c r="J72" s="233"/>
      <c r="K72" s="233">
        <v>0.05</v>
      </c>
      <c r="L72" s="230">
        <v>4.1250000000000002E-2</v>
      </c>
      <c r="M72" s="235"/>
      <c r="N72" s="32">
        <f t="shared" si="34"/>
        <v>52550</v>
      </c>
      <c r="O72" s="45"/>
      <c r="P72" s="36"/>
      <c r="Q72" s="36"/>
      <c r="R72" s="46"/>
      <c r="S72" s="45"/>
      <c r="T72" s="36"/>
      <c r="U72" s="36"/>
      <c r="V72" s="46"/>
      <c r="W72" s="36"/>
      <c r="X72" s="36"/>
      <c r="Y72" s="36"/>
      <c r="Z72" s="46"/>
      <c r="AA72" s="36"/>
      <c r="AB72" s="36"/>
      <c r="AC72" s="36"/>
      <c r="AD72" s="46"/>
      <c r="AE72" s="36"/>
      <c r="AF72" s="36"/>
      <c r="AG72" s="36"/>
      <c r="AH72" s="46"/>
      <c r="AI72" s="36"/>
      <c r="AJ72" s="36"/>
      <c r="AK72" s="36"/>
      <c r="AL72" s="46"/>
      <c r="AM72" s="36"/>
      <c r="AN72" s="36"/>
      <c r="AO72" s="36"/>
      <c r="AP72" s="46"/>
      <c r="AQ72" s="35"/>
      <c r="AR72" s="36"/>
      <c r="AS72" s="36"/>
      <c r="AT72" s="34"/>
      <c r="AU72" s="35"/>
      <c r="AV72" s="36"/>
      <c r="AW72" s="36"/>
      <c r="AX72" s="34"/>
      <c r="AY72" s="35">
        <f>+IF($N72&gt;K$8,"FIN",(K$19-SUM(AZ$25:AZ71))*VLOOKUP($N72,$A:$M,11,0)/VLOOKUP(K$15,$J$1:$L$4,2,0))</f>
        <v>0.38579545454545539</v>
      </c>
      <c r="AZ72" s="36">
        <f t="shared" si="17"/>
        <v>2.2045454545454546</v>
      </c>
      <c r="BA72" s="36">
        <f t="shared" si="18"/>
        <v>2.59034090909091</v>
      </c>
      <c r="BB72" s="34">
        <f t="shared" si="19"/>
        <v>0.28023837372713278</v>
      </c>
      <c r="BC72" s="35">
        <f>+IF($N72&gt;L$8,"FIN",(L$19-SUM(BD$25:BD71))*VLOOKUP($N72,$A:$M,12,0)/VLOOKUP(L$15,$J$1:$L$4,2,0))</f>
        <v>0.31828125000000068</v>
      </c>
      <c r="BD72" s="36">
        <f t="shared" si="31"/>
        <v>2.2045454545454546</v>
      </c>
      <c r="BE72" s="36">
        <f t="shared" si="32"/>
        <v>2.5228267045454551</v>
      </c>
      <c r="BF72" s="34">
        <f t="shared" si="39"/>
        <v>0.2729342884544575</v>
      </c>
      <c r="BG72" s="4"/>
    </row>
    <row r="73" spans="1:59" x14ac:dyDescent="0.25">
      <c r="A73" s="27">
        <f t="shared" si="33"/>
        <v>52732</v>
      </c>
      <c r="B73" s="230"/>
      <c r="C73" s="237"/>
      <c r="D73" s="237"/>
      <c r="E73" s="237"/>
      <c r="F73" s="237"/>
      <c r="G73" s="237"/>
      <c r="H73" s="233"/>
      <c r="I73" s="237"/>
      <c r="J73" s="237"/>
      <c r="K73" s="233">
        <v>0.05</v>
      </c>
      <c r="L73" s="230">
        <v>4.1250000000000002E-2</v>
      </c>
      <c r="M73" s="235"/>
      <c r="N73" s="32">
        <f t="shared" si="34"/>
        <v>52732</v>
      </c>
      <c r="O73" s="45"/>
      <c r="P73" s="36"/>
      <c r="Q73" s="36"/>
      <c r="R73" s="46"/>
      <c r="S73" s="45"/>
      <c r="T73" s="36"/>
      <c r="U73" s="36"/>
      <c r="V73" s="46"/>
      <c r="W73" s="36"/>
      <c r="X73" s="36"/>
      <c r="Y73" s="36"/>
      <c r="Z73" s="46"/>
      <c r="AA73" s="36"/>
      <c r="AB73" s="36"/>
      <c r="AC73" s="36"/>
      <c r="AD73" s="46"/>
      <c r="AE73" s="36"/>
      <c r="AF73" s="36"/>
      <c r="AG73" s="36"/>
      <c r="AH73" s="46"/>
      <c r="AI73" s="36"/>
      <c r="AJ73" s="36"/>
      <c r="AK73" s="36"/>
      <c r="AL73" s="46"/>
      <c r="AM73" s="36"/>
      <c r="AN73" s="36"/>
      <c r="AO73" s="36"/>
      <c r="AP73" s="46"/>
      <c r="AQ73" s="36"/>
      <c r="AR73" s="36"/>
      <c r="AS73" s="36"/>
      <c r="AT73" s="34"/>
      <c r="AU73" s="36"/>
      <c r="AV73" s="36"/>
      <c r="AW73" s="36"/>
      <c r="AX73" s="34"/>
      <c r="AY73" s="35">
        <f>+IF($N73&gt;K$8,"FIN",(K$19-SUM(AZ$25:AZ72))*VLOOKUP($N73,$A:$M,11,0)/VLOOKUP(K$15,$J$1:$L$4,2,0))</f>
        <v>0.33068181818181908</v>
      </c>
      <c r="AZ73" s="36">
        <f t="shared" si="17"/>
        <v>2.2045454545454546</v>
      </c>
      <c r="BA73" s="36">
        <f t="shared" si="18"/>
        <v>2.5352272727272736</v>
      </c>
      <c r="BB73" s="34">
        <f t="shared" si="19"/>
        <v>0.26151176700665779</v>
      </c>
      <c r="BC73" s="35">
        <f>+IF($N73&gt;L$8,"FIN",(L$19-SUM(BD$25:BD72))*VLOOKUP($N73,$A:$M,12,0)/VLOOKUP(L$15,$J$1:$L$4,2,0))</f>
        <v>0.27281250000000073</v>
      </c>
      <c r="BD73" s="36">
        <f t="shared" si="31"/>
        <v>2.2045454545454546</v>
      </c>
      <c r="BE73" s="36">
        <f t="shared" si="32"/>
        <v>2.4773579545454552</v>
      </c>
      <c r="BF73" s="34">
        <f t="shared" si="39"/>
        <v>0.25554247667281016</v>
      </c>
      <c r="BG73" s="4"/>
    </row>
    <row r="74" spans="1:59" x14ac:dyDescent="0.25">
      <c r="A74" s="27">
        <f t="shared" si="33"/>
        <v>52916</v>
      </c>
      <c r="B74" s="230"/>
      <c r="C74" s="237"/>
      <c r="D74" s="237"/>
      <c r="E74" s="237"/>
      <c r="F74" s="237"/>
      <c r="G74" s="237"/>
      <c r="H74" s="233"/>
      <c r="I74" s="237"/>
      <c r="J74" s="237"/>
      <c r="K74" s="233">
        <v>0.05</v>
      </c>
      <c r="L74" s="230">
        <v>4.1250000000000002E-2</v>
      </c>
      <c r="M74" s="235"/>
      <c r="N74" s="32">
        <f t="shared" si="34"/>
        <v>52916</v>
      </c>
      <c r="O74" s="45"/>
      <c r="P74" s="36"/>
      <c r="Q74" s="36"/>
      <c r="R74" s="46"/>
      <c r="S74" s="45"/>
      <c r="T74" s="36"/>
      <c r="U74" s="36"/>
      <c r="V74" s="46"/>
      <c r="W74" s="36"/>
      <c r="X74" s="36"/>
      <c r="Y74" s="36"/>
      <c r="Z74" s="46"/>
      <c r="AA74" s="36"/>
      <c r="AB74" s="36"/>
      <c r="AC74" s="36"/>
      <c r="AD74" s="46"/>
      <c r="AE74" s="36"/>
      <c r="AF74" s="36"/>
      <c r="AG74" s="36"/>
      <c r="AH74" s="46"/>
      <c r="AI74" s="36"/>
      <c r="AJ74" s="36"/>
      <c r="AK74" s="36"/>
      <c r="AL74" s="46"/>
      <c r="AM74" s="36"/>
      <c r="AN74" s="36"/>
      <c r="AO74" s="36"/>
      <c r="AP74" s="46"/>
      <c r="AQ74" s="36"/>
      <c r="AR74" s="36"/>
      <c r="AS74" s="36"/>
      <c r="AT74" s="46"/>
      <c r="AU74" s="36"/>
      <c r="AV74" s="36"/>
      <c r="AW74" s="36"/>
      <c r="AX74" s="46"/>
      <c r="AY74" s="35">
        <f>+IF($N74&gt;K$8,"FIN",(K$19-SUM(AZ$25:AZ73))*VLOOKUP($N74,$A:$M,11,0)/VLOOKUP(K$15,$J$1:$L$4,2,0))</f>
        <v>0.27556818181818271</v>
      </c>
      <c r="AZ74" s="36">
        <f t="shared" si="17"/>
        <v>2.2045454545454546</v>
      </c>
      <c r="BA74" s="36">
        <f t="shared" si="18"/>
        <v>2.4801136363636371</v>
      </c>
      <c r="BB74" s="34">
        <f t="shared" si="19"/>
        <v>0.24392121504295891</v>
      </c>
      <c r="BC74" s="35">
        <f>+IF($N74&gt;L$8,"FIN",(L$19-SUM(BD$25:BD73))*VLOOKUP($N74,$A:$M,12,0)/VLOOKUP(L$15,$J$1:$L$4,2,0))</f>
        <v>0.22734375000000076</v>
      </c>
      <c r="BD74" s="36">
        <f t="shared" si="31"/>
        <v>2.2045454545454546</v>
      </c>
      <c r="BE74" s="36">
        <f t="shared" si="32"/>
        <v>2.4318892045454552</v>
      </c>
      <c r="BF74" s="34">
        <f t="shared" si="39"/>
        <v>0.23917830252823472</v>
      </c>
      <c r="BG74" s="4"/>
    </row>
    <row r="75" spans="1:59" x14ac:dyDescent="0.25">
      <c r="A75" s="27">
        <f t="shared" si="33"/>
        <v>53097</v>
      </c>
      <c r="B75" s="230"/>
      <c r="C75" s="237"/>
      <c r="D75" s="237"/>
      <c r="E75" s="237"/>
      <c r="F75" s="237"/>
      <c r="G75" s="237"/>
      <c r="H75" s="233"/>
      <c r="I75" s="237"/>
      <c r="J75" s="237"/>
      <c r="K75" s="233">
        <v>0.05</v>
      </c>
      <c r="L75" s="230">
        <v>4.1250000000000002E-2</v>
      </c>
      <c r="M75" s="235"/>
      <c r="N75" s="32">
        <f t="shared" si="34"/>
        <v>53097</v>
      </c>
      <c r="O75" s="45"/>
      <c r="P75" s="36"/>
      <c r="Q75" s="36"/>
      <c r="R75" s="46"/>
      <c r="S75" s="45"/>
      <c r="T75" s="36"/>
      <c r="U75" s="36"/>
      <c r="V75" s="46"/>
      <c r="W75" s="36"/>
      <c r="X75" s="36"/>
      <c r="Y75" s="36"/>
      <c r="Z75" s="46"/>
      <c r="AA75" s="36"/>
      <c r="AB75" s="36"/>
      <c r="AC75" s="36"/>
      <c r="AD75" s="46"/>
      <c r="AE75" s="36"/>
      <c r="AF75" s="36"/>
      <c r="AG75" s="36"/>
      <c r="AH75" s="46"/>
      <c r="AI75" s="36"/>
      <c r="AJ75" s="36"/>
      <c r="AK75" s="36"/>
      <c r="AL75" s="46"/>
      <c r="AM75" s="36"/>
      <c r="AN75" s="36"/>
      <c r="AO75" s="36"/>
      <c r="AP75" s="46"/>
      <c r="AQ75" s="36"/>
      <c r="AR75" s="36"/>
      <c r="AS75" s="36"/>
      <c r="AT75" s="46"/>
      <c r="AU75" s="36"/>
      <c r="AV75" s="36"/>
      <c r="AW75" s="36"/>
      <c r="AX75" s="46"/>
      <c r="AY75" s="35">
        <f>+IF($N75&gt;K$8,"FIN",(K$19-SUM(AZ$25:AZ74))*VLOOKUP($N75,$A:$M,11,0)/VLOOKUP(K$15,$J$1:$L$4,2,0))</f>
        <v>0.2204545454545464</v>
      </c>
      <c r="AZ75" s="36">
        <f t="shared" si="17"/>
        <v>2.2045454545454546</v>
      </c>
      <c r="BA75" s="36">
        <f t="shared" si="18"/>
        <v>2.4250000000000012</v>
      </c>
      <c r="BB75" s="34">
        <f t="shared" si="19"/>
        <v>0.22740153652752854</v>
      </c>
      <c r="BC75" s="35">
        <f>+IF($N75&gt;L$8,"FIN",(L$19-SUM(BD$25:BD74))*VLOOKUP($N75,$A:$M,12,0)/VLOOKUP(L$15,$J$1:$L$4,2,0))</f>
        <v>0.18187500000000079</v>
      </c>
      <c r="BD75" s="36">
        <f t="shared" si="31"/>
        <v>2.2045454545454546</v>
      </c>
      <c r="BE75" s="36">
        <f t="shared" si="32"/>
        <v>2.3864204545454553</v>
      </c>
      <c r="BF75" s="34">
        <f t="shared" si="39"/>
        <v>0.2237837848100451</v>
      </c>
      <c r="BG75" s="4"/>
    </row>
    <row r="76" spans="1:59" x14ac:dyDescent="0.25">
      <c r="A76" s="27">
        <f t="shared" si="33"/>
        <v>53281</v>
      </c>
      <c r="B76" s="230"/>
      <c r="C76" s="237"/>
      <c r="D76" s="237"/>
      <c r="E76" s="237"/>
      <c r="F76" s="237"/>
      <c r="G76" s="237"/>
      <c r="H76" s="233"/>
      <c r="I76" s="237"/>
      <c r="J76" s="237"/>
      <c r="K76" s="233">
        <v>0.05</v>
      </c>
      <c r="L76" s="230">
        <v>4.1250000000000002E-2</v>
      </c>
      <c r="M76" s="235"/>
      <c r="N76" s="32">
        <f t="shared" si="34"/>
        <v>53281</v>
      </c>
      <c r="O76" s="45"/>
      <c r="P76" s="36"/>
      <c r="Q76" s="36"/>
      <c r="R76" s="46"/>
      <c r="S76" s="45"/>
      <c r="T76" s="36"/>
      <c r="U76" s="36"/>
      <c r="V76" s="46"/>
      <c r="W76" s="36"/>
      <c r="X76" s="36"/>
      <c r="Y76" s="36"/>
      <c r="Z76" s="46"/>
      <c r="AA76" s="36"/>
      <c r="AB76" s="36"/>
      <c r="AC76" s="36"/>
      <c r="AD76" s="46"/>
      <c r="AE76" s="36"/>
      <c r="AF76" s="36"/>
      <c r="AG76" s="36"/>
      <c r="AH76" s="46"/>
      <c r="AI76" s="36"/>
      <c r="AJ76" s="36"/>
      <c r="AK76" s="36"/>
      <c r="AL76" s="46"/>
      <c r="AM76" s="36"/>
      <c r="AN76" s="36"/>
      <c r="AO76" s="36"/>
      <c r="AP76" s="46"/>
      <c r="AQ76" s="36"/>
      <c r="AR76" s="36"/>
      <c r="AS76" s="36"/>
      <c r="AT76" s="46"/>
      <c r="AU76" s="36"/>
      <c r="AV76" s="36"/>
      <c r="AW76" s="36"/>
      <c r="AX76" s="46"/>
      <c r="AY76" s="35">
        <f>+IF($N76&gt;K$8,"FIN",(K$19-SUM(AZ$25:AZ75))*VLOOKUP($N76,$A:$M,11,0)/VLOOKUP(K$15,$J$1:$L$4,2,0))</f>
        <v>0.16534090909091007</v>
      </c>
      <c r="AZ76" s="36">
        <f t="shared" si="17"/>
        <v>2.2045454545454546</v>
      </c>
      <c r="BA76" s="36">
        <f t="shared" si="18"/>
        <v>2.3698863636363647</v>
      </c>
      <c r="BB76" s="34">
        <f t="shared" si="19"/>
        <v>0.21189115650196427</v>
      </c>
      <c r="BC76" s="35">
        <f>+IF($N76&gt;L$8,"FIN",(L$19-SUM(BD$25:BD75))*VLOOKUP($N76,$A:$M,12,0)/VLOOKUP(L$15,$J$1:$L$4,2,0))</f>
        <v>0.13640625000000081</v>
      </c>
      <c r="BD76" s="36">
        <f t="shared" si="31"/>
        <v>2.2045454545454546</v>
      </c>
      <c r="BE76" s="36">
        <f t="shared" si="32"/>
        <v>2.3409517045454553</v>
      </c>
      <c r="BF76" s="34">
        <f t="shared" si="39"/>
        <v>0.20930411331211468</v>
      </c>
      <c r="BG76" s="4"/>
    </row>
    <row r="77" spans="1:59" x14ac:dyDescent="0.25">
      <c r="A77" s="27">
        <f t="shared" si="33"/>
        <v>53462</v>
      </c>
      <c r="B77" s="230"/>
      <c r="C77" s="237"/>
      <c r="D77" s="237"/>
      <c r="E77" s="237"/>
      <c r="F77" s="237"/>
      <c r="G77" s="237"/>
      <c r="H77" s="233"/>
      <c r="I77" s="237"/>
      <c r="J77" s="237"/>
      <c r="K77" s="233">
        <v>0.05</v>
      </c>
      <c r="L77" s="230">
        <v>4.1250000000000002E-2</v>
      </c>
      <c r="M77" s="235"/>
      <c r="N77" s="32">
        <f t="shared" si="34"/>
        <v>53462</v>
      </c>
      <c r="O77" s="45"/>
      <c r="P77" s="36"/>
      <c r="Q77" s="36"/>
      <c r="R77" s="46"/>
      <c r="S77" s="45"/>
      <c r="T77" s="36"/>
      <c r="U77" s="36"/>
      <c r="V77" s="46"/>
      <c r="W77" s="36"/>
      <c r="X77" s="36"/>
      <c r="Y77" s="36"/>
      <c r="Z77" s="46"/>
      <c r="AA77" s="36"/>
      <c r="AB77" s="36"/>
      <c r="AC77" s="36"/>
      <c r="AD77" s="46"/>
      <c r="AE77" s="36"/>
      <c r="AF77" s="36"/>
      <c r="AG77" s="36"/>
      <c r="AH77" s="46"/>
      <c r="AI77" s="36"/>
      <c r="AJ77" s="36"/>
      <c r="AK77" s="36"/>
      <c r="AL77" s="46"/>
      <c r="AM77" s="36"/>
      <c r="AN77" s="36"/>
      <c r="AO77" s="36"/>
      <c r="AP77" s="46"/>
      <c r="AQ77" s="36"/>
      <c r="AR77" s="36"/>
      <c r="AS77" s="36"/>
      <c r="AT77" s="46"/>
      <c r="AU77" s="36"/>
      <c r="AV77" s="36"/>
      <c r="AW77" s="36"/>
      <c r="AX77" s="46"/>
      <c r="AY77" s="35">
        <f>+IF($N77&gt;K$8,"FIN",(K$19-SUM(AZ$25:AZ76))*VLOOKUP($N77,$A:$M,11,0)/VLOOKUP(K$15,$J$1:$L$4,2,0))</f>
        <v>0.11022727272727373</v>
      </c>
      <c r="AZ77" s="36">
        <f t="shared" si="17"/>
        <v>2.2045454545454546</v>
      </c>
      <c r="BA77" s="36">
        <f t="shared" si="18"/>
        <v>2.3147727272727283</v>
      </c>
      <c r="BB77" s="34">
        <f t="shared" si="19"/>
        <v>0.19733191186273133</v>
      </c>
      <c r="BC77" s="35">
        <f>+IF($N77&gt;L$8,"FIN",(L$19-SUM(BD$25:BD76))*VLOOKUP($N77,$A:$M,12,0)/VLOOKUP(L$15,$J$1:$L$4,2,0))</f>
        <v>9.0937500000000837E-2</v>
      </c>
      <c r="BD77" s="36">
        <f t="shared" si="31"/>
        <v>2.2045454545454546</v>
      </c>
      <c r="BE77" s="36">
        <f t="shared" si="32"/>
        <v>2.2954829545454554</v>
      </c>
      <c r="BF77" s="34">
        <f t="shared" si="39"/>
        <v>0.1956874792638752</v>
      </c>
      <c r="BG77" s="4"/>
    </row>
    <row r="78" spans="1:59" x14ac:dyDescent="0.25">
      <c r="A78" s="27">
        <f t="shared" si="33"/>
        <v>53646</v>
      </c>
      <c r="B78" s="238"/>
      <c r="C78" s="239"/>
      <c r="D78" s="239"/>
      <c r="E78" s="239"/>
      <c r="F78" s="239"/>
      <c r="G78" s="239"/>
      <c r="H78" s="240"/>
      <c r="I78" s="239"/>
      <c r="J78" s="239"/>
      <c r="K78" s="240">
        <v>0.05</v>
      </c>
      <c r="L78" s="241">
        <v>4.1250000000000002E-2</v>
      </c>
      <c r="M78" s="235"/>
      <c r="N78" s="32">
        <f t="shared" si="34"/>
        <v>53646</v>
      </c>
      <c r="O78" s="45"/>
      <c r="P78" s="36"/>
      <c r="Q78" s="36"/>
      <c r="R78" s="46"/>
      <c r="S78" s="45"/>
      <c r="T78" s="36"/>
      <c r="U78" s="36"/>
      <c r="V78" s="46"/>
      <c r="W78" s="36"/>
      <c r="X78" s="36"/>
      <c r="Y78" s="36"/>
      <c r="Z78" s="46"/>
      <c r="AA78" s="36"/>
      <c r="AB78" s="36"/>
      <c r="AC78" s="36"/>
      <c r="AD78" s="46"/>
      <c r="AE78" s="36"/>
      <c r="AF78" s="36"/>
      <c r="AG78" s="36"/>
      <c r="AH78" s="46"/>
      <c r="AI78" s="36"/>
      <c r="AJ78" s="36"/>
      <c r="AK78" s="36"/>
      <c r="AL78" s="46"/>
      <c r="AM78" s="36"/>
      <c r="AN78" s="36"/>
      <c r="AO78" s="36"/>
      <c r="AP78" s="46"/>
      <c r="AQ78" s="36"/>
      <c r="AR78" s="36"/>
      <c r="AS78" s="36"/>
      <c r="AT78" s="46"/>
      <c r="AU78" s="36"/>
      <c r="AV78" s="36"/>
      <c r="AW78" s="36"/>
      <c r="AX78" s="46"/>
      <c r="AY78" s="35">
        <f>+IF($N78&gt;K$8,"FIN",(K$19-SUM(AZ$25:AZ77))*VLOOKUP($N78,$A:$M,11,0)/VLOOKUP(K$15,$J$1:$L$4,2,0))</f>
        <v>5.5113636363637399E-2</v>
      </c>
      <c r="AZ78" s="36">
        <f t="shared" si="17"/>
        <v>2.2045454545454546</v>
      </c>
      <c r="BA78" s="36">
        <f t="shared" si="18"/>
        <v>2.2596590909090919</v>
      </c>
      <c r="BB78" s="34">
        <f t="shared" si="19"/>
        <v>0.18366886715815087</v>
      </c>
      <c r="BC78" s="35">
        <f>+IF($N78&gt;L$8,"FIN",(L$19-SUM(BD$25:BD77))*VLOOKUP($N78,$A:$M,12,0)/VLOOKUP(L$15,$J$1:$L$4,2,0))</f>
        <v>4.5468750000000856E-2</v>
      </c>
      <c r="BD78" s="36">
        <f t="shared" si="31"/>
        <v>2.2045454545454546</v>
      </c>
      <c r="BE78" s="36">
        <f t="shared" si="32"/>
        <v>2.2500142045454554</v>
      </c>
      <c r="BF78" s="34">
        <f t="shared" si="39"/>
        <v>0.18288491467637827</v>
      </c>
      <c r="BG78" s="4"/>
    </row>
    <row r="79" spans="1:59" x14ac:dyDescent="0.25">
      <c r="A79" s="3"/>
      <c r="N79" s="32">
        <f t="shared" si="34"/>
        <v>53827</v>
      </c>
      <c r="O79" s="53"/>
      <c r="P79" s="54"/>
      <c r="Q79" s="54"/>
      <c r="R79" s="46"/>
      <c r="S79" s="53"/>
      <c r="T79" s="54"/>
      <c r="U79" s="54"/>
      <c r="V79" s="46"/>
      <c r="W79" s="54"/>
      <c r="X79" s="54"/>
      <c r="Y79" s="54"/>
      <c r="Z79" s="46"/>
      <c r="AA79" s="54"/>
      <c r="AB79" s="54"/>
      <c r="AC79" s="54"/>
      <c r="AD79" s="46"/>
      <c r="AE79" s="54"/>
      <c r="AF79" s="54"/>
      <c r="AG79" s="54"/>
      <c r="AH79" s="46"/>
      <c r="AI79" s="54"/>
      <c r="AJ79" s="54"/>
      <c r="AK79" s="54"/>
      <c r="AL79" s="46"/>
      <c r="AM79" s="54"/>
      <c r="AN79" s="54"/>
      <c r="AO79" s="54"/>
      <c r="AP79" s="46"/>
      <c r="AQ79" s="54"/>
      <c r="AR79" s="36"/>
      <c r="AS79" s="36"/>
      <c r="AT79" s="46"/>
      <c r="AU79" s="54"/>
      <c r="AV79" s="54"/>
      <c r="AW79" s="54"/>
      <c r="AX79" s="46"/>
      <c r="AY79" s="35"/>
      <c r="AZ79" s="54"/>
      <c r="BA79" s="54"/>
      <c r="BB79" s="46"/>
      <c r="BC79" s="35"/>
      <c r="BD79" s="54"/>
      <c r="BE79" s="54"/>
      <c r="BF79" s="46"/>
      <c r="BG79" s="4"/>
    </row>
    <row r="80" spans="1:59" x14ac:dyDescent="0.25">
      <c r="N80" s="56" t="s">
        <v>45</v>
      </c>
      <c r="O80" s="57">
        <f>+SUM(O25:O79)</f>
        <v>7.75</v>
      </c>
      <c r="P80" s="58">
        <f>+SUM(P25:P79)</f>
        <v>100</v>
      </c>
      <c r="Q80" s="58"/>
      <c r="R80" s="59">
        <f>+SUM(R25:R79)</f>
        <v>51.712344927138489</v>
      </c>
      <c r="S80" s="57">
        <f>+SUM(S25:S79)</f>
        <v>5.0318750000000012</v>
      </c>
      <c r="T80" s="58">
        <f>+SUM(T25:T79)</f>
        <v>96.999999999999986</v>
      </c>
      <c r="U80" s="58"/>
      <c r="V80" s="59">
        <f>+SUM(V25:V79)</f>
        <v>50.722819506843678</v>
      </c>
      <c r="W80" s="58">
        <f>+SUM(W25:W79)</f>
        <v>0.87906249999999986</v>
      </c>
      <c r="X80" s="58">
        <f>+SUM(X25:X79)</f>
        <v>96.999999999999986</v>
      </c>
      <c r="Y80" s="58"/>
      <c r="Z80" s="59">
        <f>+SUM(Z25:Z79)</f>
        <v>48.316243525715642</v>
      </c>
      <c r="AA80" s="58">
        <f>+SUM(AA25:AA79)</f>
        <v>46.196249999999978</v>
      </c>
      <c r="AB80" s="58">
        <f>+SUM(AB25:AB79)</f>
        <v>97.000000000000014</v>
      </c>
      <c r="AC80" s="58"/>
      <c r="AD80" s="59">
        <f>+SUM(AD25:AD79)</f>
        <v>49.768553146148072</v>
      </c>
      <c r="AE80" s="58">
        <f>+SUM(AE25:AE79)</f>
        <v>37.830000000000005</v>
      </c>
      <c r="AF80" s="58">
        <f>+SUM(AF25:AF79)</f>
        <v>97.000000000000014</v>
      </c>
      <c r="AG80" s="58"/>
      <c r="AH80" s="59">
        <f>+SUM(AH25:AH79)</f>
        <v>45.739379736020204</v>
      </c>
      <c r="AI80" s="58">
        <f>+SUM(AI25:AI79)</f>
        <v>51.375</v>
      </c>
      <c r="AJ80" s="58">
        <f>+SUM(AJ25:AJ79)</f>
        <v>100.00000000000001</v>
      </c>
      <c r="AK80" s="58"/>
      <c r="AL80" s="59">
        <f>+SUM(AL25:AL79)</f>
        <v>54.28662978400245</v>
      </c>
      <c r="AM80" s="58">
        <f>+SUM(AM25:AM79)</f>
        <v>43.1875</v>
      </c>
      <c r="AN80" s="58">
        <f>+SUM(AN25:AN79)</f>
        <v>100.00000000000001</v>
      </c>
      <c r="AO80" s="58"/>
      <c r="AP80" s="59">
        <f>+SUM(AP25:AP79)</f>
        <v>50.201000750991881</v>
      </c>
      <c r="AQ80" s="58">
        <f>+SUM(AQ25:AQ79)</f>
        <v>49.822916666666664</v>
      </c>
      <c r="AR80" s="58">
        <f>+SUM(AR25:AR79)</f>
        <v>99.999999999999972</v>
      </c>
      <c r="AS80" s="58"/>
      <c r="AT80" s="59">
        <f>+SUM(AT25:AT79)</f>
        <v>50.170008069770674</v>
      </c>
      <c r="AU80" s="58">
        <f>+SUM(AU25:AU79)</f>
        <v>43.375000000000007</v>
      </c>
      <c r="AV80" s="58">
        <f>+SUM(AV25:AV79)</f>
        <v>99.999999999999972</v>
      </c>
      <c r="AW80" s="58"/>
      <c r="AX80" s="59">
        <f>+SUM(AX25:AX79)</f>
        <v>46.733750745030164</v>
      </c>
      <c r="AY80" s="58">
        <f>+SUM(AY25:AY79)</f>
        <v>58.51414772727275</v>
      </c>
      <c r="AZ80" s="58">
        <f>+SUM(AZ25:AZ79)</f>
        <v>96.999999999999957</v>
      </c>
      <c r="BA80" s="58"/>
      <c r="BB80" s="59">
        <f>+SUM(BB25:BB79)</f>
        <v>48.926577370677784</v>
      </c>
      <c r="BC80" s="58">
        <f>+SUM(BC25:BC79)</f>
        <v>48.662585227272736</v>
      </c>
      <c r="BD80" s="58">
        <f>+SUM(BD25:BD79)</f>
        <v>96.999999999999957</v>
      </c>
      <c r="BE80" s="58"/>
      <c r="BF80" s="59">
        <f>+SUM(BF25:BF79)</f>
        <v>44.954014766064958</v>
      </c>
      <c r="BG80" s="4"/>
    </row>
  </sheetData>
  <mergeCells count="12">
    <mergeCell ref="AM23:AP23"/>
    <mergeCell ref="AQ23:AT23"/>
    <mergeCell ref="AU23:AX23"/>
    <mergeCell ref="AY23:BB23"/>
    <mergeCell ref="BC23:BF23"/>
    <mergeCell ref="AE23:AH23"/>
    <mergeCell ref="AI23:AL23"/>
    <mergeCell ref="B24:L24"/>
    <mergeCell ref="O23:R23"/>
    <mergeCell ref="S23:V23"/>
    <mergeCell ref="W23:Z23"/>
    <mergeCell ref="AA23:AD2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98C28-C016-49AF-82B2-03666AA891FD}">
  <sheetPr codeName="Hoja5">
    <tabColor rgb="FF26547F"/>
  </sheetPr>
  <dimension ref="A1:BX79"/>
  <sheetViews>
    <sheetView showGridLines="0" zoomScaleNormal="100" workbookViewId="0"/>
  </sheetViews>
  <sheetFormatPr baseColWidth="10" defaultColWidth="11.42578125" defaultRowHeight="11.25" x14ac:dyDescent="0.25"/>
  <cols>
    <col min="1" max="1" width="25.7109375" style="2" customWidth="1"/>
    <col min="2" max="12" width="11.28515625" style="2" customWidth="1"/>
    <col min="13" max="13" width="6.42578125" style="2" bestFit="1" customWidth="1"/>
    <col min="14" max="14" width="12" style="2" customWidth="1"/>
    <col min="15" max="55" width="10" style="4" customWidth="1"/>
    <col min="56" max="16384" width="11.42578125" style="2"/>
  </cols>
  <sheetData>
    <row r="1" spans="1:76" s="68" customFormat="1" ht="15" x14ac:dyDescent="0.25">
      <c r="A1" s="85" t="s">
        <v>184</v>
      </c>
      <c r="B1" s="85"/>
      <c r="I1" s="313"/>
      <c r="J1" s="330" t="s">
        <v>12</v>
      </c>
      <c r="K1" s="331">
        <v>12</v>
      </c>
      <c r="L1" s="332">
        <v>1</v>
      </c>
      <c r="O1" s="339" t="s">
        <v>215</v>
      </c>
      <c r="P1" s="340">
        <v>43999</v>
      </c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3"/>
      <c r="AL1" s="313"/>
      <c r="AM1" s="313"/>
      <c r="AN1" s="313"/>
      <c r="AO1" s="313"/>
      <c r="AP1" s="313"/>
      <c r="AQ1" s="313"/>
      <c r="AR1" s="313"/>
      <c r="AS1" s="313"/>
      <c r="AT1" s="313"/>
      <c r="AU1" s="313"/>
      <c r="AV1" s="313"/>
      <c r="AW1" s="313"/>
      <c r="AX1" s="313"/>
      <c r="AY1" s="313"/>
      <c r="AZ1" s="313"/>
      <c r="BA1" s="313"/>
      <c r="BB1" s="313"/>
      <c r="BC1" s="313"/>
    </row>
    <row r="2" spans="1:76" x14ac:dyDescent="0.25">
      <c r="A2" s="2" t="s">
        <v>195</v>
      </c>
      <c r="J2" s="333" t="s">
        <v>14</v>
      </c>
      <c r="K2" s="334">
        <v>4</v>
      </c>
      <c r="L2" s="335">
        <v>3</v>
      </c>
      <c r="O2" s="330" t="s">
        <v>15</v>
      </c>
      <c r="P2" s="341">
        <v>0.88939999999999997</v>
      </c>
    </row>
    <row r="3" spans="1:76" x14ac:dyDescent="0.25">
      <c r="A3" s="2" t="s">
        <v>16</v>
      </c>
      <c r="J3" s="333" t="s">
        <v>1</v>
      </c>
      <c r="K3" s="334">
        <v>2</v>
      </c>
      <c r="L3" s="335">
        <v>6</v>
      </c>
      <c r="O3" s="336" t="s">
        <v>17</v>
      </c>
      <c r="P3" s="342">
        <v>0.9486</v>
      </c>
    </row>
    <row r="4" spans="1:76" x14ac:dyDescent="0.25">
      <c r="J4" s="336" t="s">
        <v>18</v>
      </c>
      <c r="K4" s="337">
        <v>1</v>
      </c>
      <c r="L4" s="338">
        <v>12</v>
      </c>
    </row>
    <row r="5" spans="1:76" ht="15" customHeight="1" x14ac:dyDescent="0.25">
      <c r="A5" s="6" t="s">
        <v>19</v>
      </c>
      <c r="B5" s="399">
        <v>0.1</v>
      </c>
      <c r="O5" s="8"/>
      <c r="P5" s="9"/>
      <c r="Q5" s="9"/>
      <c r="R5" s="9"/>
      <c r="S5" s="8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8"/>
      <c r="BQ5" s="8"/>
      <c r="BR5" s="8"/>
      <c r="BS5" s="8"/>
      <c r="BT5" s="8"/>
      <c r="BU5" s="8"/>
      <c r="BV5" s="8"/>
      <c r="BW5" s="8"/>
      <c r="BX5" s="8"/>
    </row>
    <row r="6" spans="1:76" s="14" customFormat="1" ht="24.75" customHeight="1" x14ac:dyDescent="0.25">
      <c r="A6" s="10" t="s">
        <v>20</v>
      </c>
      <c r="B6" s="11" t="s">
        <v>135</v>
      </c>
      <c r="C6" s="12" t="s">
        <v>2</v>
      </c>
      <c r="D6" s="12" t="s">
        <v>7</v>
      </c>
      <c r="E6" s="12" t="s">
        <v>3</v>
      </c>
      <c r="F6" s="12" t="s">
        <v>8</v>
      </c>
      <c r="G6" s="12" t="s">
        <v>4</v>
      </c>
      <c r="H6" s="12" t="s">
        <v>9</v>
      </c>
      <c r="I6" s="12" t="s">
        <v>5</v>
      </c>
      <c r="J6" s="12" t="s">
        <v>10</v>
      </c>
      <c r="K6" s="12" t="s">
        <v>6</v>
      </c>
      <c r="L6" s="12" t="s">
        <v>11</v>
      </c>
      <c r="M6" s="13"/>
      <c r="N6" s="2"/>
    </row>
    <row r="7" spans="1:76" x14ac:dyDescent="0.25">
      <c r="A7" s="15" t="s">
        <v>21</v>
      </c>
      <c r="B7" s="292">
        <v>44027</v>
      </c>
      <c r="C7" s="292">
        <v>44027</v>
      </c>
      <c r="D7" s="292">
        <v>44027</v>
      </c>
      <c r="E7" s="292">
        <v>44027</v>
      </c>
      <c r="F7" s="292">
        <v>44027</v>
      </c>
      <c r="G7" s="292">
        <v>44027</v>
      </c>
      <c r="H7" s="292">
        <v>44027</v>
      </c>
      <c r="I7" s="292">
        <v>44027</v>
      </c>
      <c r="J7" s="292">
        <v>44027</v>
      </c>
      <c r="K7" s="292">
        <v>44027</v>
      </c>
      <c r="L7" s="292">
        <v>44027</v>
      </c>
      <c r="M7" s="13"/>
    </row>
    <row r="8" spans="1:76" x14ac:dyDescent="0.25">
      <c r="A8" s="15" t="s">
        <v>22</v>
      </c>
      <c r="B8" s="292">
        <v>47618</v>
      </c>
      <c r="C8" s="292">
        <v>47802</v>
      </c>
      <c r="D8" s="292">
        <v>47802</v>
      </c>
      <c r="E8" s="292">
        <v>49628</v>
      </c>
      <c r="F8" s="292">
        <v>49628</v>
      </c>
      <c r="G8" s="292">
        <v>50724</v>
      </c>
      <c r="H8" s="292">
        <v>50724</v>
      </c>
      <c r="I8" s="292">
        <v>51820</v>
      </c>
      <c r="J8" s="292">
        <v>51820</v>
      </c>
      <c r="K8" s="292">
        <v>53646</v>
      </c>
      <c r="L8" s="292">
        <v>53646</v>
      </c>
      <c r="M8" s="13"/>
    </row>
    <row r="9" spans="1:76" x14ac:dyDescent="0.25">
      <c r="A9" s="15" t="s">
        <v>23</v>
      </c>
      <c r="B9" s="292" t="s">
        <v>24</v>
      </c>
      <c r="C9" s="292" t="s">
        <v>24</v>
      </c>
      <c r="D9" s="292" t="s">
        <v>15</v>
      </c>
      <c r="E9" s="292" t="s">
        <v>24</v>
      </c>
      <c r="F9" s="292" t="s">
        <v>15</v>
      </c>
      <c r="G9" s="292" t="s">
        <v>24</v>
      </c>
      <c r="H9" s="292" t="s">
        <v>15</v>
      </c>
      <c r="I9" s="292" t="s">
        <v>24</v>
      </c>
      <c r="J9" s="292" t="s">
        <v>15</v>
      </c>
      <c r="K9" s="292" t="s">
        <v>24</v>
      </c>
      <c r="L9" s="292" t="s">
        <v>15</v>
      </c>
      <c r="M9" s="13"/>
    </row>
    <row r="10" spans="1:76" x14ac:dyDescent="0.25">
      <c r="A10" s="15" t="s">
        <v>25</v>
      </c>
      <c r="B10" s="293">
        <f>+YEARFRAC(B7,B8)</f>
        <v>9.8333333333333339</v>
      </c>
      <c r="C10" s="293">
        <f>+YEARFRAC(C7,C8)</f>
        <v>10.333333333333334</v>
      </c>
      <c r="D10" s="293">
        <f t="shared" ref="D10:L10" si="0">+YEARFRAC(D7,D8)</f>
        <v>10.333333333333334</v>
      </c>
      <c r="E10" s="293">
        <f t="shared" si="0"/>
        <v>15.333333333333334</v>
      </c>
      <c r="F10" s="293">
        <f t="shared" si="0"/>
        <v>15.333333333333334</v>
      </c>
      <c r="G10" s="293">
        <f t="shared" si="0"/>
        <v>18.333333333333332</v>
      </c>
      <c r="H10" s="293">
        <f t="shared" si="0"/>
        <v>18.333333333333332</v>
      </c>
      <c r="I10" s="293">
        <f t="shared" si="0"/>
        <v>21.333333333333332</v>
      </c>
      <c r="J10" s="293">
        <f t="shared" si="0"/>
        <v>21.333333333333332</v>
      </c>
      <c r="K10" s="293">
        <f t="shared" si="0"/>
        <v>26.333333333333332</v>
      </c>
      <c r="L10" s="293">
        <f t="shared" si="0"/>
        <v>26.333333333333332</v>
      </c>
      <c r="M10" s="13"/>
    </row>
    <row r="11" spans="1:76" x14ac:dyDescent="0.25">
      <c r="A11" s="15" t="s">
        <v>26</v>
      </c>
      <c r="B11" s="293">
        <f>+YEARFRAC(B7,B12)</f>
        <v>0.33333333333333331</v>
      </c>
      <c r="C11" s="293">
        <f>+YEARFRAC(C7,C12)</f>
        <v>0.33333333333333331</v>
      </c>
      <c r="D11" s="293">
        <f t="shared" ref="D11:L11" si="1">+YEARFRAC(D7,D12)</f>
        <v>0.33333333333333331</v>
      </c>
      <c r="E11" s="293">
        <f t="shared" si="1"/>
        <v>0.33333333333333331</v>
      </c>
      <c r="F11" s="293">
        <f t="shared" si="1"/>
        <v>0.33333333333333331</v>
      </c>
      <c r="G11" s="293">
        <f t="shared" si="1"/>
        <v>0.33333333333333331</v>
      </c>
      <c r="H11" s="293">
        <f t="shared" si="1"/>
        <v>0.83333333333333337</v>
      </c>
      <c r="I11" s="293">
        <f t="shared" si="1"/>
        <v>0.33333333333333331</v>
      </c>
      <c r="J11" s="293">
        <f t="shared" si="1"/>
        <v>0.83333333333333337</v>
      </c>
      <c r="K11" s="293">
        <f t="shared" si="1"/>
        <v>0.33333333333333331</v>
      </c>
      <c r="L11" s="293">
        <f t="shared" si="1"/>
        <v>0.83333333333333337</v>
      </c>
      <c r="M11" s="13"/>
    </row>
    <row r="12" spans="1:76" x14ac:dyDescent="0.25">
      <c r="A12" s="15" t="s">
        <v>27</v>
      </c>
      <c r="B12" s="292">
        <v>44150</v>
      </c>
      <c r="C12" s="292">
        <v>44150</v>
      </c>
      <c r="D12" s="292">
        <v>44150</v>
      </c>
      <c r="E12" s="292">
        <v>44150</v>
      </c>
      <c r="F12" s="292">
        <v>44150</v>
      </c>
      <c r="G12" s="292">
        <v>44150</v>
      </c>
      <c r="H12" s="292">
        <v>44331</v>
      </c>
      <c r="I12" s="292">
        <v>44150</v>
      </c>
      <c r="J12" s="292">
        <v>44331</v>
      </c>
      <c r="K12" s="292">
        <v>44150</v>
      </c>
      <c r="L12" s="292">
        <v>44331</v>
      </c>
      <c r="M12" s="13"/>
    </row>
    <row r="13" spans="1:76" x14ac:dyDescent="0.25">
      <c r="A13" s="15" t="s">
        <v>28</v>
      </c>
      <c r="B13" s="292">
        <f>DATE(YEAR(B$12),MONTH(B$12)+VLOOKUP(B$15,$J$1:$L$4,3,0),DAY(B$12))</f>
        <v>44331</v>
      </c>
      <c r="C13" s="292">
        <f>DATE(YEAR(C$12),MONTH(C$12)+VLOOKUP(C$15,$J$1:$L$4,3,0),DAY(C$12))</f>
        <v>44331</v>
      </c>
      <c r="D13" s="292">
        <f t="shared" ref="D13:L13" si="2">DATE(YEAR(D$12),MONTH(D$12)+VLOOKUP(D$15,$J$1:$L$4,3,0),DAY(D$12))</f>
        <v>44331</v>
      </c>
      <c r="E13" s="292">
        <f t="shared" si="2"/>
        <v>44331</v>
      </c>
      <c r="F13" s="292">
        <f t="shared" si="2"/>
        <v>44331</v>
      </c>
      <c r="G13" s="292">
        <f t="shared" si="2"/>
        <v>44331</v>
      </c>
      <c r="H13" s="292">
        <f t="shared" si="2"/>
        <v>44515</v>
      </c>
      <c r="I13" s="292">
        <f t="shared" si="2"/>
        <v>44331</v>
      </c>
      <c r="J13" s="292">
        <f t="shared" si="2"/>
        <v>44515</v>
      </c>
      <c r="K13" s="292">
        <f t="shared" si="2"/>
        <v>44331</v>
      </c>
      <c r="L13" s="292">
        <f t="shared" si="2"/>
        <v>44515</v>
      </c>
      <c r="M13" s="13"/>
    </row>
    <row r="14" spans="1:76" x14ac:dyDescent="0.25">
      <c r="A14" s="15" t="s">
        <v>29</v>
      </c>
      <c r="B14" s="294" t="s">
        <v>30</v>
      </c>
      <c r="C14" s="294" t="s">
        <v>30</v>
      </c>
      <c r="D14" s="294" t="s">
        <v>30</v>
      </c>
      <c r="E14" s="294" t="s">
        <v>30</v>
      </c>
      <c r="F14" s="294" t="s">
        <v>30</v>
      </c>
      <c r="G14" s="294" t="s">
        <v>30</v>
      </c>
      <c r="H14" s="294" t="s">
        <v>30</v>
      </c>
      <c r="I14" s="294" t="s">
        <v>30</v>
      </c>
      <c r="J14" s="294" t="s">
        <v>30</v>
      </c>
      <c r="K14" s="294" t="s">
        <v>30</v>
      </c>
      <c r="L14" s="294" t="s">
        <v>30</v>
      </c>
      <c r="M14" s="13"/>
    </row>
    <row r="15" spans="1:76" x14ac:dyDescent="0.25">
      <c r="A15" s="15" t="s">
        <v>31</v>
      </c>
      <c r="B15" s="292" t="s">
        <v>1</v>
      </c>
      <c r="C15" s="292" t="s">
        <v>1</v>
      </c>
      <c r="D15" s="292" t="s">
        <v>1</v>
      </c>
      <c r="E15" s="292" t="s">
        <v>1</v>
      </c>
      <c r="F15" s="292" t="s">
        <v>1</v>
      </c>
      <c r="G15" s="292" t="s">
        <v>1</v>
      </c>
      <c r="H15" s="292" t="s">
        <v>1</v>
      </c>
      <c r="I15" s="292" t="s">
        <v>1</v>
      </c>
      <c r="J15" s="292" t="s">
        <v>1</v>
      </c>
      <c r="K15" s="292" t="s">
        <v>1</v>
      </c>
      <c r="L15" s="292" t="s">
        <v>1</v>
      </c>
      <c r="M15" s="13"/>
    </row>
    <row r="16" spans="1:76" x14ac:dyDescent="0.25">
      <c r="A16" s="15" t="s">
        <v>32</v>
      </c>
      <c r="B16" s="295">
        <v>8</v>
      </c>
      <c r="C16" s="295">
        <v>12</v>
      </c>
      <c r="D16" s="295">
        <v>12</v>
      </c>
      <c r="E16" s="295">
        <v>10</v>
      </c>
      <c r="F16" s="295">
        <v>10</v>
      </c>
      <c r="G16" s="295">
        <v>22</v>
      </c>
      <c r="H16" s="295">
        <v>22</v>
      </c>
      <c r="I16" s="295">
        <v>30</v>
      </c>
      <c r="J16" s="295">
        <v>30</v>
      </c>
      <c r="K16" s="295">
        <v>44</v>
      </c>
      <c r="L16" s="295">
        <v>44</v>
      </c>
      <c r="M16" s="13"/>
    </row>
    <row r="17" spans="1:76" x14ac:dyDescent="0.25">
      <c r="A17" s="15" t="s">
        <v>33</v>
      </c>
      <c r="B17" s="292">
        <v>46341</v>
      </c>
      <c r="C17" s="292">
        <v>45792</v>
      </c>
      <c r="D17" s="292">
        <v>45792</v>
      </c>
      <c r="E17" s="292">
        <v>47983</v>
      </c>
      <c r="F17" s="292">
        <v>47983</v>
      </c>
      <c r="G17" s="292">
        <v>46888</v>
      </c>
      <c r="H17" s="292">
        <v>46888</v>
      </c>
      <c r="I17" s="292">
        <v>46522</v>
      </c>
      <c r="J17" s="292">
        <v>46522</v>
      </c>
      <c r="K17" s="292">
        <v>45792</v>
      </c>
      <c r="L17" s="292">
        <v>45792</v>
      </c>
      <c r="M17" s="13"/>
    </row>
    <row r="18" spans="1:76" x14ac:dyDescent="0.25">
      <c r="A18" s="17" t="s">
        <v>34</v>
      </c>
      <c r="B18" s="296">
        <f>+HLOOKUP(B6,'Argentina III - Canje optimo'!$E$5:$O$27,23,FALSE)</f>
        <v>2237.1727797004796</v>
      </c>
      <c r="C18" s="296">
        <f>+HLOOKUP(C6,'Argentina III - Canje optimo'!$E$5:$O$27,23,FALSE)</f>
        <v>9215</v>
      </c>
      <c r="D18" s="296">
        <f>+HLOOKUP(D6,'Argentina III - Canje optimo'!$E$5:$O$27,23,FALSE)</f>
        <v>2546.285789584651</v>
      </c>
      <c r="E18" s="296">
        <f>+HLOOKUP(E6,'Argentina III - Canje optimo'!$E$5:$O$27,23,FALSE)</f>
        <v>16732.5</v>
      </c>
      <c r="F18" s="296">
        <f>+HLOOKUP(F6,'Argentina III - Canje optimo'!$E$5:$O$27,23,FALSE)</f>
        <v>2182.5</v>
      </c>
      <c r="G18" s="296">
        <f>+HLOOKUP(G6,'Argentina III - Canje optimo'!$E$5:$O$27,23,FALSE)</f>
        <v>5565.2917364499999</v>
      </c>
      <c r="H18" s="296">
        <f>+HLOOKUP(H6,'Argentina III - Canje optimo'!$E$5:$O$27,23,FALSE)</f>
        <v>5776.2840187699994</v>
      </c>
      <c r="I18" s="296">
        <f>+HLOOKUP(I6,'Argentina III - Canje optimo'!$E$5:$O$27,23,FALSE)</f>
        <v>5393.6283739999999</v>
      </c>
      <c r="J18" s="296">
        <f>+HLOOKUP(J6,'Argentina III - Canje optimo'!$E$5:$O$27,23,FALSE)</f>
        <v>6473.2230979999995</v>
      </c>
      <c r="K18" s="296">
        <f>+HLOOKUP(K6,'Argentina III - Canje optimo'!$E$5:$O$27,23,FALSE)</f>
        <v>8245</v>
      </c>
      <c r="L18" s="296">
        <f>+HLOOKUP(L6,'Argentina III - Canje optimo'!$E$5:$O$27,23,FALSE)</f>
        <v>727.5</v>
      </c>
      <c r="M18" s="13"/>
    </row>
    <row r="19" spans="1:76" x14ac:dyDescent="0.25">
      <c r="A19" s="18" t="s">
        <v>35</v>
      </c>
      <c r="B19" s="297">
        <f t="shared" ref="B19:L19" si="3">+B$18*(IF(B$14="no",1,(1+B$14/VLOOKUP(B$15,$J$1:$K$4,2,0))^(VLOOKUP(B$15,$J$1:$K$4,2,0)*B$11)))</f>
        <v>2237.1727797004796</v>
      </c>
      <c r="C19" s="297">
        <f t="shared" si="3"/>
        <v>9215</v>
      </c>
      <c r="D19" s="297">
        <f t="shared" si="3"/>
        <v>2546.285789584651</v>
      </c>
      <c r="E19" s="297">
        <f t="shared" si="3"/>
        <v>16732.5</v>
      </c>
      <c r="F19" s="297">
        <f t="shared" si="3"/>
        <v>2182.5</v>
      </c>
      <c r="G19" s="297">
        <f t="shared" si="3"/>
        <v>5565.2917364499999</v>
      </c>
      <c r="H19" s="297">
        <f t="shared" si="3"/>
        <v>5776.2840187699994</v>
      </c>
      <c r="I19" s="297">
        <f t="shared" si="3"/>
        <v>5393.6283739999999</v>
      </c>
      <c r="J19" s="297">
        <f t="shared" si="3"/>
        <v>6473.2230979999995</v>
      </c>
      <c r="K19" s="297">
        <f t="shared" si="3"/>
        <v>8245</v>
      </c>
      <c r="L19" s="297">
        <f t="shared" si="3"/>
        <v>727.5</v>
      </c>
      <c r="M19" s="13"/>
    </row>
    <row r="20" spans="1:76" s="4" customFormat="1" ht="21" customHeight="1" x14ac:dyDescent="0.25">
      <c r="A20" s="12" t="s">
        <v>36</v>
      </c>
      <c r="B20" s="60">
        <f>$R$79</f>
        <v>1156.8945044547638</v>
      </c>
      <c r="C20" s="60">
        <f>$V$79</f>
        <v>4818.6678531501493</v>
      </c>
      <c r="D20" s="60">
        <f>$Z$79</f>
        <v>1268.3192195426918</v>
      </c>
      <c r="E20" s="60">
        <f>$AD$79</f>
        <v>8585.0754177105428</v>
      </c>
      <c r="F20" s="60">
        <f>$AH$79</f>
        <v>1029.1360440604549</v>
      </c>
      <c r="G20" s="60">
        <f>$AL$79</f>
        <v>3021.2093213662924</v>
      </c>
      <c r="H20" s="60">
        <f>$AP$79</f>
        <v>2899.752383642151</v>
      </c>
      <c r="I20" s="60">
        <f>$AT$79</f>
        <v>2705.9837904892406</v>
      </c>
      <c r="J20" s="60">
        <f>$AX$79</f>
        <v>3025.1799477890386</v>
      </c>
      <c r="K20" s="60">
        <f>$BB$79</f>
        <v>4158.759076507612</v>
      </c>
      <c r="L20" s="60">
        <f>$BF$79</f>
        <v>337.15511074548726</v>
      </c>
      <c r="M20" s="13"/>
      <c r="N20" s="2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</row>
    <row r="21" spans="1:76" s="4" customFormat="1" ht="21" customHeight="1" x14ac:dyDescent="0.25">
      <c r="A21" s="12" t="s">
        <v>37</v>
      </c>
      <c r="B21" s="60">
        <f t="shared" ref="B21:L21" si="4">+B20/IF(B$9="USD",1,$P$2)</f>
        <v>1156.8945044547638</v>
      </c>
      <c r="C21" s="60">
        <f t="shared" si="4"/>
        <v>4818.6678531501493</v>
      </c>
      <c r="D21" s="60">
        <f t="shared" si="4"/>
        <v>1426.0391494745804</v>
      </c>
      <c r="E21" s="60">
        <f t="shared" si="4"/>
        <v>8585.0754177105428</v>
      </c>
      <c r="F21" s="60">
        <f t="shared" si="4"/>
        <v>1157.1127097598999</v>
      </c>
      <c r="G21" s="60">
        <f t="shared" si="4"/>
        <v>3021.2093213662924</v>
      </c>
      <c r="H21" s="60">
        <f t="shared" si="4"/>
        <v>3260.34673222639</v>
      </c>
      <c r="I21" s="60">
        <f t="shared" si="4"/>
        <v>2705.9837904892406</v>
      </c>
      <c r="J21" s="60">
        <f t="shared" si="4"/>
        <v>3401.371652562445</v>
      </c>
      <c r="K21" s="60">
        <f t="shared" si="4"/>
        <v>4158.759076507612</v>
      </c>
      <c r="L21" s="60">
        <f t="shared" si="4"/>
        <v>379.08152771023981</v>
      </c>
      <c r="M21" s="13"/>
      <c r="N21" s="2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</row>
    <row r="22" spans="1:76" x14ac:dyDescent="0.25">
      <c r="A22" s="4"/>
      <c r="B22" s="4"/>
    </row>
    <row r="23" spans="1:76" x14ac:dyDescent="0.25">
      <c r="A23" s="21"/>
      <c r="B23" s="21"/>
      <c r="C23" s="21"/>
      <c r="D23" s="22"/>
      <c r="E23" s="22"/>
      <c r="F23" s="22"/>
      <c r="G23" s="22"/>
      <c r="H23" s="22"/>
      <c r="I23" s="22"/>
      <c r="J23" s="22"/>
      <c r="K23" s="22"/>
      <c r="L23" s="22"/>
      <c r="O23" s="471" t="str">
        <f>B6</f>
        <v>USDI 2030</v>
      </c>
      <c r="P23" s="466"/>
      <c r="Q23" s="466"/>
      <c r="R23" s="467"/>
      <c r="S23" s="471" t="str">
        <f>C6</f>
        <v>USD 2030</v>
      </c>
      <c r="T23" s="466"/>
      <c r="U23" s="466"/>
      <c r="V23" s="467"/>
      <c r="W23" s="466" t="str">
        <f>D6</f>
        <v>EUR 2030</v>
      </c>
      <c r="X23" s="466"/>
      <c r="Y23" s="466"/>
      <c r="Z23" s="467"/>
      <c r="AA23" s="466" t="str">
        <f>E6</f>
        <v>USD 2035</v>
      </c>
      <c r="AB23" s="466"/>
      <c r="AC23" s="466"/>
      <c r="AD23" s="467"/>
      <c r="AE23" s="466" t="str">
        <f>F6</f>
        <v>EUR 2035</v>
      </c>
      <c r="AF23" s="466"/>
      <c r="AG23" s="466"/>
      <c r="AH23" s="467"/>
      <c r="AI23" s="466" t="str">
        <f>G6</f>
        <v>USD 2038</v>
      </c>
      <c r="AJ23" s="466"/>
      <c r="AK23" s="466"/>
      <c r="AL23" s="467"/>
      <c r="AM23" s="466" t="str">
        <f>H6</f>
        <v>EUR 2038</v>
      </c>
      <c r="AN23" s="466"/>
      <c r="AO23" s="466"/>
      <c r="AP23" s="467"/>
      <c r="AQ23" s="466" t="str">
        <f>I6</f>
        <v>USD 2041</v>
      </c>
      <c r="AR23" s="466"/>
      <c r="AS23" s="466"/>
      <c r="AT23" s="467"/>
      <c r="AU23" s="466" t="str">
        <f>J6</f>
        <v>EUR 2041</v>
      </c>
      <c r="AV23" s="466"/>
      <c r="AW23" s="466"/>
      <c r="AX23" s="467"/>
      <c r="AY23" s="466" t="str">
        <f>K6</f>
        <v>USD 2046</v>
      </c>
      <c r="AZ23" s="466"/>
      <c r="BA23" s="466"/>
      <c r="BB23" s="467"/>
      <c r="BC23" s="466" t="str">
        <f>L6</f>
        <v>EUR 2046</v>
      </c>
      <c r="BD23" s="466"/>
      <c r="BE23" s="466"/>
      <c r="BF23" s="467"/>
      <c r="BG23" s="4"/>
      <c r="BH23" s="253" t="s">
        <v>147</v>
      </c>
    </row>
    <row r="24" spans="1:76" ht="22.5" x14ac:dyDescent="0.25">
      <c r="A24" s="228" t="s">
        <v>38</v>
      </c>
      <c r="B24" s="468" t="s">
        <v>39</v>
      </c>
      <c r="C24" s="469"/>
      <c r="D24" s="469"/>
      <c r="E24" s="469"/>
      <c r="F24" s="469"/>
      <c r="G24" s="469"/>
      <c r="H24" s="469"/>
      <c r="I24" s="469"/>
      <c r="J24" s="469"/>
      <c r="K24" s="469"/>
      <c r="L24" s="470"/>
      <c r="M24" s="24" t="s">
        <v>132</v>
      </c>
      <c r="N24" s="24" t="s">
        <v>40</v>
      </c>
      <c r="O24" s="24"/>
      <c r="P24" s="25"/>
      <c r="Q24" s="25"/>
      <c r="R24" s="26"/>
      <c r="S24" s="24" t="s">
        <v>41</v>
      </c>
      <c r="T24" s="25" t="s">
        <v>42</v>
      </c>
      <c r="U24" s="25" t="s">
        <v>43</v>
      </c>
      <c r="V24" s="26" t="s">
        <v>44</v>
      </c>
      <c r="W24" s="24" t="s">
        <v>41</v>
      </c>
      <c r="X24" s="25" t="s">
        <v>42</v>
      </c>
      <c r="Y24" s="25" t="s">
        <v>43</v>
      </c>
      <c r="Z24" s="26" t="s">
        <v>44</v>
      </c>
      <c r="AA24" s="24" t="s">
        <v>41</v>
      </c>
      <c r="AB24" s="25" t="s">
        <v>42</v>
      </c>
      <c r="AC24" s="25" t="s">
        <v>43</v>
      </c>
      <c r="AD24" s="26" t="s">
        <v>44</v>
      </c>
      <c r="AE24" s="24" t="s">
        <v>41</v>
      </c>
      <c r="AF24" s="25" t="s">
        <v>42</v>
      </c>
      <c r="AG24" s="25" t="s">
        <v>43</v>
      </c>
      <c r="AH24" s="26" t="s">
        <v>44</v>
      </c>
      <c r="AI24" s="24" t="s">
        <v>41</v>
      </c>
      <c r="AJ24" s="25" t="s">
        <v>42</v>
      </c>
      <c r="AK24" s="25" t="s">
        <v>43</v>
      </c>
      <c r="AL24" s="26" t="s">
        <v>44</v>
      </c>
      <c r="AM24" s="24" t="s">
        <v>41</v>
      </c>
      <c r="AN24" s="25" t="s">
        <v>42</v>
      </c>
      <c r="AO24" s="25" t="s">
        <v>43</v>
      </c>
      <c r="AP24" s="26" t="s">
        <v>44</v>
      </c>
      <c r="AQ24" s="24" t="s">
        <v>41</v>
      </c>
      <c r="AR24" s="25" t="s">
        <v>42</v>
      </c>
      <c r="AS24" s="25" t="s">
        <v>43</v>
      </c>
      <c r="AT24" s="26" t="s">
        <v>44</v>
      </c>
      <c r="AU24" s="24" t="s">
        <v>41</v>
      </c>
      <c r="AV24" s="25" t="s">
        <v>42</v>
      </c>
      <c r="AW24" s="25" t="s">
        <v>43</v>
      </c>
      <c r="AX24" s="26" t="s">
        <v>44</v>
      </c>
      <c r="AY24" s="24" t="s">
        <v>41</v>
      </c>
      <c r="AZ24" s="25" t="s">
        <v>42</v>
      </c>
      <c r="BA24" s="25" t="s">
        <v>43</v>
      </c>
      <c r="BB24" s="26" t="s">
        <v>44</v>
      </c>
      <c r="BC24" s="24" t="s">
        <v>41</v>
      </c>
      <c r="BD24" s="25" t="s">
        <v>42</v>
      </c>
      <c r="BE24" s="25" t="s">
        <v>43</v>
      </c>
      <c r="BF24" s="26" t="s">
        <v>44</v>
      </c>
      <c r="BG24" s="4"/>
      <c r="BH24" s="63" t="s">
        <v>46</v>
      </c>
      <c r="BI24" s="64" t="s">
        <v>47</v>
      </c>
      <c r="BJ24" s="65" t="s">
        <v>48</v>
      </c>
    </row>
    <row r="25" spans="1:76" x14ac:dyDescent="0.25">
      <c r="A25" s="27">
        <v>44027</v>
      </c>
      <c r="B25" s="229">
        <v>0</v>
      </c>
      <c r="C25" s="230">
        <v>0</v>
      </c>
      <c r="D25" s="230">
        <v>0</v>
      </c>
      <c r="E25" s="230">
        <v>0</v>
      </c>
      <c r="F25" s="230">
        <v>0</v>
      </c>
      <c r="G25" s="230">
        <v>0</v>
      </c>
      <c r="H25" s="230">
        <v>0</v>
      </c>
      <c r="I25" s="230">
        <v>0</v>
      </c>
      <c r="J25" s="230">
        <v>0</v>
      </c>
      <c r="K25" s="230">
        <v>0</v>
      </c>
      <c r="L25" s="230">
        <v>0</v>
      </c>
      <c r="M25" s="288">
        <f>+YEAR(N25)</f>
        <v>2020</v>
      </c>
      <c r="N25" s="32">
        <f>A25</f>
        <v>44027</v>
      </c>
      <c r="O25" s="344"/>
      <c r="P25" s="391">
        <f>+IF($N25&gt;B$8,"FIN",IF($N25&lt;B$17,0,B$19/B$16))</f>
        <v>0</v>
      </c>
      <c r="Q25" s="345">
        <f>+SUM(O25:P25)</f>
        <v>0</v>
      </c>
      <c r="R25" s="346">
        <f t="shared" ref="R25:R45" si="5">Q25/(1+$B$5)^(YEARFRAC($N$25,$N25))</f>
        <v>0</v>
      </c>
      <c r="S25" s="347"/>
      <c r="T25" s="391">
        <f t="shared" ref="T25:T46" si="6">+IF($N25&gt;C$8,"FIN",IF($N25&lt;C$17,0,C$19/C$16))</f>
        <v>0</v>
      </c>
      <c r="U25" s="345">
        <f t="shared" ref="U25:U26" si="7">+SUM(S25:T25)</f>
        <v>0</v>
      </c>
      <c r="V25" s="346">
        <f t="shared" ref="V25:V46" si="8">U25/(1+$B$5)^(YEARFRAC($N$25,$N25))</f>
        <v>0</v>
      </c>
      <c r="W25" s="345"/>
      <c r="X25" s="391">
        <f t="shared" ref="X25:X40" si="9">+IF($N25&gt;D$8,"FIN",IF($N25&lt;D$17,0,D$19/D$16))</f>
        <v>0</v>
      </c>
      <c r="Y25" s="345"/>
      <c r="Z25" s="346"/>
      <c r="AA25" s="345"/>
      <c r="AB25" s="391">
        <f t="shared" ref="AB25:AB56" si="10">+IF($N25&gt;E$8,"FIN",IF($N25&lt;E$17,0,E$19/E$16))</f>
        <v>0</v>
      </c>
      <c r="AC25" s="345">
        <f t="shared" ref="AC25:AC56" si="11">+SUM(AA25:AB25)</f>
        <v>0</v>
      </c>
      <c r="AD25" s="346">
        <f t="shared" ref="AD25:AD56" si="12">AC25/(1+$B$5)^(YEARFRAC($N$25,$N25))</f>
        <v>0</v>
      </c>
      <c r="AE25" s="345"/>
      <c r="AF25" s="391">
        <f>+IF($N25&gt;F$8,"FIN",IF($N25&lt;F$17,0,F$19/F$16))</f>
        <v>0</v>
      </c>
      <c r="AG25" s="345"/>
      <c r="AH25" s="346"/>
      <c r="AI25" s="345"/>
      <c r="AJ25" s="391">
        <f>+IF($N25&gt;G$8,"FIN",IF($N25&lt;G$17,0,G$19/G$16))</f>
        <v>0</v>
      </c>
      <c r="AK25" s="345">
        <f t="shared" ref="AK25:AK62" si="13">+SUM(AI25:AJ25)</f>
        <v>0</v>
      </c>
      <c r="AL25" s="346">
        <f t="shared" ref="AL25:AL62" si="14">AK25/(1+$B$5)^(YEARFRAC($N$25,$N25))</f>
        <v>0</v>
      </c>
      <c r="AM25" s="345"/>
      <c r="AN25" s="391">
        <f>+IF($N25&gt;H$8,"FIN",IF($N25&lt;H$17,0,H$19/H$16))</f>
        <v>0</v>
      </c>
      <c r="AO25" s="345"/>
      <c r="AP25" s="346"/>
      <c r="AQ25" s="345"/>
      <c r="AR25" s="391">
        <f>+IF($N25&gt;I$8,"FIN",IF($N25&lt;I$17,0,I$19/I$16))</f>
        <v>0</v>
      </c>
      <c r="AS25" s="345">
        <f t="shared" ref="AS25:AS68" si="15">+SUM(AQ25:AR25)</f>
        <v>0</v>
      </c>
      <c r="AT25" s="346">
        <f t="shared" ref="AT25:AT68" si="16">AS25/(1+$B$5)^(YEARFRAC($N$25,$N25))</f>
        <v>0</v>
      </c>
      <c r="AU25" s="345"/>
      <c r="AV25" s="391">
        <f>+IF($N25&gt;J$8,"FIN",IF($N25&lt;J$17,0,J$19/J$16))</f>
        <v>0</v>
      </c>
      <c r="AW25" s="345"/>
      <c r="AX25" s="346"/>
      <c r="AY25" s="345"/>
      <c r="AZ25" s="391">
        <f t="shared" ref="AZ25:AZ78" si="17">+IF($N25&gt;K$8,"FIN",IF($N25&lt;K$17,0,K$19/K$16))</f>
        <v>0</v>
      </c>
      <c r="BA25" s="345">
        <f t="shared" ref="BA25:BA78" si="18">+SUM(AY25:AZ25)</f>
        <v>0</v>
      </c>
      <c r="BB25" s="346">
        <f t="shared" ref="BB25:BB78" si="19">BA25/(1+$B$5)^(YEARFRAC($N$25,$N25))</f>
        <v>0</v>
      </c>
      <c r="BC25" s="345"/>
      <c r="BD25" s="391">
        <f>+IF($N25&gt;L$8,"FIN",IF($N25&lt;L$17,0,L$19/L$16))</f>
        <v>0</v>
      </c>
      <c r="BE25" s="345"/>
      <c r="BF25" s="346"/>
      <c r="BG25" s="4"/>
      <c r="BH25" s="344"/>
      <c r="BI25" s="392"/>
      <c r="BJ25" s="393"/>
    </row>
    <row r="26" spans="1:76" x14ac:dyDescent="0.25">
      <c r="A26" s="27">
        <v>44150</v>
      </c>
      <c r="B26" s="229">
        <v>0</v>
      </c>
      <c r="C26" s="230">
        <v>0</v>
      </c>
      <c r="D26" s="230">
        <v>0</v>
      </c>
      <c r="E26" s="230">
        <v>0</v>
      </c>
      <c r="F26" s="230">
        <v>0</v>
      </c>
      <c r="G26" s="230">
        <v>0</v>
      </c>
      <c r="H26" s="230">
        <v>0</v>
      </c>
      <c r="I26" s="230">
        <v>0</v>
      </c>
      <c r="J26" s="230">
        <v>0</v>
      </c>
      <c r="K26" s="230">
        <v>0</v>
      </c>
      <c r="L26" s="230">
        <v>0</v>
      </c>
      <c r="M26" s="289">
        <f t="shared" ref="M26:M78" si="20">+YEAR(N26)</f>
        <v>2020</v>
      </c>
      <c r="N26" s="32">
        <v>44150</v>
      </c>
      <c r="O26" s="348">
        <f>+IF($N26&gt;B$8,"FIN",(B$19-SUM(P$25:P25))*VLOOKUP($N26,$A:$M,2,0)/VLOOKUP(B$15,$J$1:$L$4,2,0))</f>
        <v>0</v>
      </c>
      <c r="P26" s="391">
        <f t="shared" ref="P26:P45" si="21">+IF($N26&gt;B$8,"FIN",IF($N26&lt;B$17,0,B$19/B$16))</f>
        <v>0</v>
      </c>
      <c r="Q26" s="349">
        <f t="shared" ref="Q26:Q45" si="22">+SUM(O26:P26)</f>
        <v>0</v>
      </c>
      <c r="R26" s="346">
        <f t="shared" si="5"/>
        <v>0</v>
      </c>
      <c r="S26" s="348">
        <f>+IF($N26&gt;C$8,"FIN",(C$19-SUM(T$25:T25))*VLOOKUP($N26,$A:$M,3,0)/VLOOKUP(C$15,$J$1:$L$4,2,0))</f>
        <v>0</v>
      </c>
      <c r="T26" s="391">
        <f t="shared" si="6"/>
        <v>0</v>
      </c>
      <c r="U26" s="349">
        <f t="shared" si="7"/>
        <v>0</v>
      </c>
      <c r="V26" s="346">
        <f t="shared" si="8"/>
        <v>0</v>
      </c>
      <c r="W26" s="348">
        <f>+IF($N26&gt;D$8,"FIN",(D$19-SUM(X$25:X25))*VLOOKUP($N26,$A:$M,4,0)/VLOOKUP(D$15,$J$1:$L$4,2,0))</f>
        <v>0</v>
      </c>
      <c r="X26" s="349">
        <f t="shared" si="9"/>
        <v>0</v>
      </c>
      <c r="Y26" s="349">
        <f t="shared" ref="Y26:Y46" si="23">+SUM(W26:X26)</f>
        <v>0</v>
      </c>
      <c r="Z26" s="346">
        <f>Y26/(1+$B$5)^(YEARFRAC($N$25,$N26))</f>
        <v>0</v>
      </c>
      <c r="AA26" s="348">
        <f>+IF($N26&gt;E$8,"FIN",(E$19-SUM(AB$25:AB25))*VLOOKUP($N26,$A:$M,5,0)/VLOOKUP(E$15,$J$1:$L$4,2,0))</f>
        <v>0</v>
      </c>
      <c r="AB26" s="391">
        <f t="shared" si="10"/>
        <v>0</v>
      </c>
      <c r="AC26" s="345">
        <f t="shared" si="11"/>
        <v>0</v>
      </c>
      <c r="AD26" s="346">
        <f t="shared" si="12"/>
        <v>0</v>
      </c>
      <c r="AE26" s="348">
        <f>+IF($N26&gt;F$8,"FIN",(F$19-SUM(AF$25:AF25))*VLOOKUP($N26,$A:$M,6,0)/VLOOKUP(F$15,$J$1:$L$4,2,0))</f>
        <v>0</v>
      </c>
      <c r="AF26" s="349">
        <f t="shared" ref="AF26:AF56" si="24">+IF($N26&gt;F$8,"FIN",IF($N26&lt;F$17,0,F$19/F$16))</f>
        <v>0</v>
      </c>
      <c r="AG26" s="345">
        <f t="shared" ref="AG26:AG56" si="25">+SUM(AE26:AF26)</f>
        <v>0</v>
      </c>
      <c r="AH26" s="346">
        <f>AG26/(1+$B$5)^(YEARFRAC($N$25,$N26))</f>
        <v>0</v>
      </c>
      <c r="AI26" s="348">
        <f>+IF($N26&gt;G$8,"FIN",(G$19-SUM(AJ$25:AJ25))*VLOOKUP($N26,$A:$M,7,0)/VLOOKUP(G$15,$J$1:$L$4,2,0))</f>
        <v>0</v>
      </c>
      <c r="AJ26" s="345">
        <f t="shared" ref="AJ26:AJ62" si="26">+IF($N26&gt;G$8,"FIN",IF($N26&lt;G$17,0,G$19/G$16))</f>
        <v>0</v>
      </c>
      <c r="AK26" s="345">
        <f t="shared" si="13"/>
        <v>0</v>
      </c>
      <c r="AL26" s="346">
        <f t="shared" si="14"/>
        <v>0</v>
      </c>
      <c r="AM26" s="348">
        <f>+IF($N26&gt;H$8,"FIN",(H$19-SUM(AN$25:AN25))*VLOOKUP($N26,$A:$M,8,0)/VLOOKUP(H$15,$J$1:$L$4,2,0))</f>
        <v>0</v>
      </c>
      <c r="AN26" s="345">
        <f t="shared" ref="AN26:AN62" si="27">+IF($N26&gt;H$8,"FIN",IF($N26&lt;H$17,0,H$19/H$16))</f>
        <v>0</v>
      </c>
      <c r="AO26" s="345">
        <f t="shared" ref="AO26:AO62" si="28">+SUM(AM26:AN26)</f>
        <v>0</v>
      </c>
      <c r="AP26" s="346">
        <f>AO26/(1+$B$5)^(YEARFRAC($N$25,$N26))</f>
        <v>0</v>
      </c>
      <c r="AQ26" s="348">
        <f>+IF($N26&gt;I$8,"FIN",(I$19-SUM(AR$25:AR25))*VLOOKUP($N26,$A:$M,9,0)/VLOOKUP(I$15,$J$1:$L$4,2,0))</f>
        <v>0</v>
      </c>
      <c r="AR26" s="349">
        <f t="shared" ref="AR26:AR68" si="29">+IF($N26&gt;I$8,"FIN",IF($N26&lt;I$17,0,I$19/I$16))</f>
        <v>0</v>
      </c>
      <c r="AS26" s="345">
        <f t="shared" si="15"/>
        <v>0</v>
      </c>
      <c r="AT26" s="346">
        <f t="shared" si="16"/>
        <v>0</v>
      </c>
      <c r="AU26" s="348">
        <f>+IF($N26&gt;J$8,"FIN",(J$19-SUM(AV$25:AV25))*VLOOKUP($N26,$A:$M,10,0)/VLOOKUP(J$15,$J$1:$L$4,2,0))</f>
        <v>0</v>
      </c>
      <c r="AV26" s="345">
        <f t="shared" ref="AV26:AV68" si="30">+IF($N26&gt;J$8,"FIN",IF($N26&lt;J$17,0,J$19/J$16))</f>
        <v>0</v>
      </c>
      <c r="AW26" s="345">
        <f t="shared" ref="AW26:AW68" si="31">+SUM(AU26:AV26)</f>
        <v>0</v>
      </c>
      <c r="AX26" s="346">
        <f>AW26/(1+$B$5)^(YEARFRAC($N$25,$N26))</f>
        <v>0</v>
      </c>
      <c r="AY26" s="348">
        <f>+IF($N26&gt;K$8,"FIN",(K$19-SUM(AZ$25:AZ25))*VLOOKUP($N26,$A:$M,11,0)/VLOOKUP(K$15,$J$1:$L$4,2,0))</f>
        <v>0</v>
      </c>
      <c r="AZ26" s="391">
        <f t="shared" si="17"/>
        <v>0</v>
      </c>
      <c r="BA26" s="345">
        <f t="shared" si="18"/>
        <v>0</v>
      </c>
      <c r="BB26" s="346">
        <f t="shared" si="19"/>
        <v>0</v>
      </c>
      <c r="BC26" s="348">
        <f>+IF($N26&gt;L$8,"FIN",(L$19-SUM(BD$25:BD25))*VLOOKUP($N26,$A:$M,12,0)/VLOOKUP(L$15,$J$1:$L$4,2,0))</f>
        <v>0</v>
      </c>
      <c r="BD26" s="345">
        <f t="shared" ref="BD26:BD78" si="32">+IF($N26&gt;L$8,"FIN",IF($N26&lt;L$17,0,L$19/L$16))</f>
        <v>0</v>
      </c>
      <c r="BE26" s="345">
        <f t="shared" ref="BE26:BE78" si="33">+SUM(BC26:BD26)</f>
        <v>0</v>
      </c>
      <c r="BF26" s="346">
        <f>BE26/(1+$B$5)^(YEARFRAC($N$25,$N26))</f>
        <v>0</v>
      </c>
      <c r="BG26" s="242"/>
      <c r="BH26" s="348">
        <f>+SUM(O26,S26,AA26,AI26,AQ26,AY26)+SUM(W26,AE26,AM26,AU26,BC26)/$P$2</f>
        <v>0</v>
      </c>
      <c r="BI26" s="345">
        <f>+SUM(P26,T26,AB26,AJ26,AR26,AZ26)+SUM(X26,AF26,AN26,AV26,BD26)/$P$2</f>
        <v>0</v>
      </c>
      <c r="BJ26" s="346">
        <f t="shared" ref="BJ26:BJ79" si="34">+BH26+BI26</f>
        <v>0</v>
      </c>
    </row>
    <row r="27" spans="1:76" x14ac:dyDescent="0.25">
      <c r="A27" s="27">
        <f t="shared" ref="A27:A78" si="35">DATE(YEAR(A26),MONTH(A26)+VLOOKUP($C$15,$J$1:$L$4,3,0),DAY(A26))</f>
        <v>44331</v>
      </c>
      <c r="B27" s="229">
        <v>0.01</v>
      </c>
      <c r="C27" s="233">
        <v>1.25E-3</v>
      </c>
      <c r="D27" s="230">
        <v>1.25E-3</v>
      </c>
      <c r="E27" s="233">
        <v>1.25E-3</v>
      </c>
      <c r="F27" s="230">
        <v>1.25E-3</v>
      </c>
      <c r="G27" s="230">
        <v>1.25E-3</v>
      </c>
      <c r="H27" s="230">
        <v>1.25E-3</v>
      </c>
      <c r="I27" s="230">
        <v>1.25E-3</v>
      </c>
      <c r="J27" s="230">
        <v>1.25E-3</v>
      </c>
      <c r="K27" s="230">
        <v>1.25E-3</v>
      </c>
      <c r="L27" s="230">
        <v>1.25E-3</v>
      </c>
      <c r="M27" s="289">
        <f t="shared" si="20"/>
        <v>2021</v>
      </c>
      <c r="N27" s="32">
        <f t="shared" ref="N27:N78" si="36">+DATE(YEAR(N26),MONTH(N26)+VLOOKUP(C$15,$J$1:$L$4,3,0),DAY(N26))</f>
        <v>44331</v>
      </c>
      <c r="O27" s="348">
        <f>+IF($N27&gt;B$8,"FIN",(B$19-SUM(P$25:P26))*VLOOKUP($N27,$A:$M,2,0)/VLOOKUP(B$15,$J$1:$L$4,2,0))</f>
        <v>11.185863898502399</v>
      </c>
      <c r="P27" s="391">
        <f t="shared" si="21"/>
        <v>0</v>
      </c>
      <c r="Q27" s="349">
        <f t="shared" si="22"/>
        <v>11.185863898502399</v>
      </c>
      <c r="R27" s="346">
        <f t="shared" si="5"/>
        <v>10.331791338342114</v>
      </c>
      <c r="S27" s="348">
        <f>+IF($N27&gt;C$8,"FIN",(C$19-SUM(T$25:T26))*VLOOKUP($N27,$A:$M,3,0)/VLOOKUP(C$15,$J$1:$L$4,2,0))</f>
        <v>5.7593750000000004</v>
      </c>
      <c r="T27" s="391">
        <f t="shared" si="6"/>
        <v>0</v>
      </c>
      <c r="U27" s="349">
        <f>+SUM(S27:T27)</f>
        <v>5.7593750000000004</v>
      </c>
      <c r="V27" s="346">
        <f t="shared" si="8"/>
        <v>5.3196303190521386</v>
      </c>
      <c r="W27" s="348">
        <f>+IF($N27&gt;D$8,"FIN",(D$19-SUM(X$25:X26))*VLOOKUP($N27,$A:$M,4,0)/VLOOKUP(D$15,$J$1:$L$4,2,0))</f>
        <v>1.591428618490407</v>
      </c>
      <c r="X27" s="349">
        <f t="shared" si="9"/>
        <v>0</v>
      </c>
      <c r="Y27" s="349">
        <f t="shared" si="23"/>
        <v>1.591428618490407</v>
      </c>
      <c r="Z27" s="346">
        <f t="shared" ref="Z27:Z46" si="37">Y27/(1+$B$5)^(YEARFRAC($N$25,$N27))</f>
        <v>1.4699185119095088</v>
      </c>
      <c r="AA27" s="348">
        <f>+IF($N27&gt;E$8,"FIN",(E$19-SUM(AB$25:AB26))*VLOOKUP($N27,$A:$M,5,0)/VLOOKUP(E$15,$J$1:$L$4,2,0))</f>
        <v>10.457812500000001</v>
      </c>
      <c r="AB27" s="391">
        <f t="shared" si="10"/>
        <v>0</v>
      </c>
      <c r="AC27" s="345">
        <f t="shared" si="11"/>
        <v>10.457812500000001</v>
      </c>
      <c r="AD27" s="346">
        <f t="shared" si="12"/>
        <v>9.659328737226252</v>
      </c>
      <c r="AE27" s="348">
        <f>+IF($N27&gt;F$8,"FIN",(F$19-SUM(AF$25:AF26))*VLOOKUP($N27,$A:$M,6,0)/VLOOKUP(F$15,$J$1:$L$4,2,0))</f>
        <v>1.3640625</v>
      </c>
      <c r="AF27" s="349">
        <f t="shared" si="24"/>
        <v>0</v>
      </c>
      <c r="AG27" s="345">
        <f t="shared" si="25"/>
        <v>1.3640625</v>
      </c>
      <c r="AH27" s="346">
        <f t="shared" ref="AH27:AH56" si="38">AG27/(1+$B$5)^(YEARFRAC($N$25,$N27))</f>
        <v>1.2599124439860327</v>
      </c>
      <c r="AI27" s="348">
        <f>+IF($N27&gt;G$8,"FIN",(G$19-SUM(AJ$25:AJ26))*VLOOKUP($N27,$A:$M,7,0)/VLOOKUP(G$15,$J$1:$L$4,2,0))</f>
        <v>3.4783073352812499</v>
      </c>
      <c r="AJ27" s="345">
        <f t="shared" si="26"/>
        <v>0</v>
      </c>
      <c r="AK27" s="345">
        <f t="shared" si="13"/>
        <v>3.4783073352812499</v>
      </c>
      <c r="AL27" s="346">
        <f t="shared" si="14"/>
        <v>3.2127286658263423</v>
      </c>
      <c r="AM27" s="348">
        <f>+IF($N27&gt;H$8,"FIN",(H$19-SUM(AN$25:AN26))*VLOOKUP($N27,$A:$M,8,0)/VLOOKUP(H$15,$J$1:$L$4,2,0))</f>
        <v>3.6101775117312496</v>
      </c>
      <c r="AN27" s="349">
        <f t="shared" si="27"/>
        <v>0</v>
      </c>
      <c r="AO27" s="345">
        <f t="shared" si="28"/>
        <v>3.6101775117312496</v>
      </c>
      <c r="AP27" s="346">
        <f t="shared" ref="AP27:AP62" si="39">AO27/(1+$B$5)^(YEARFRAC($N$25,$N27))</f>
        <v>3.3345301788068609</v>
      </c>
      <c r="AQ27" s="348">
        <f>+IF($N27&gt;I$8,"FIN",(I$19-SUM(AR$25:AR26))*VLOOKUP($N27,$A:$M,9,0)/VLOOKUP(I$15,$J$1:$L$4,2,0))</f>
        <v>3.37101773375</v>
      </c>
      <c r="AR27" s="349">
        <f t="shared" si="29"/>
        <v>0</v>
      </c>
      <c r="AS27" s="345">
        <f t="shared" si="15"/>
        <v>3.37101773375</v>
      </c>
      <c r="AT27" s="346">
        <f t="shared" si="16"/>
        <v>3.1136309308768624</v>
      </c>
      <c r="AU27" s="348">
        <f>+IF($N27&gt;J$8,"FIN",(J$19-SUM(AV$25:AV26))*VLOOKUP($N27,$A:$M,10,0)/VLOOKUP(J$15,$J$1:$L$4,2,0))</f>
        <v>4.0457644362499998</v>
      </c>
      <c r="AV27" s="349">
        <f t="shared" si="30"/>
        <v>0</v>
      </c>
      <c r="AW27" s="345">
        <f t="shared" si="31"/>
        <v>4.0457644362499998</v>
      </c>
      <c r="AX27" s="346">
        <f t="shared" ref="AX27:AX68" si="40">AW27/(1+$B$5)^(YEARFRAC($N$25,$N27))</f>
        <v>3.736858801314098</v>
      </c>
      <c r="AY27" s="348">
        <f>+IF($N27&gt;K$8,"FIN",(K$19-SUM(AZ$25:AZ26))*VLOOKUP($N27,$A:$M,11,0)/VLOOKUP(K$15,$J$1:$L$4,2,0))</f>
        <v>5.1531250000000002</v>
      </c>
      <c r="AZ27" s="391">
        <f t="shared" si="17"/>
        <v>0</v>
      </c>
      <c r="BA27" s="345">
        <f t="shared" si="18"/>
        <v>5.1531250000000002</v>
      </c>
      <c r="BB27" s="346">
        <f t="shared" si="19"/>
        <v>4.7596692328361243</v>
      </c>
      <c r="BC27" s="348">
        <f>+IF($N27&gt;L$8,"FIN",(L$19-SUM(BD$25:BD26))*VLOOKUP($N27,$A:$M,12,0)/VLOOKUP(L$15,$J$1:$L$4,2,0))</f>
        <v>0.45468750000000002</v>
      </c>
      <c r="BD27" s="349">
        <f t="shared" si="32"/>
        <v>0</v>
      </c>
      <c r="BE27" s="345">
        <f t="shared" si="33"/>
        <v>0.45468750000000002</v>
      </c>
      <c r="BF27" s="346">
        <f t="shared" ref="BF27:BF78" si="41">BE27/(1+$B$5)^(YEARFRAC($N$25,$N27))</f>
        <v>0.41997081466201097</v>
      </c>
      <c r="BG27" s="242"/>
      <c r="BH27" s="348">
        <f t="shared" ref="BH27:BI79" si="42">+SUM(O27,S27,AA27,AI27,AQ27,AY27)+SUM(W27,AE27,AM27,AU27,BC27)/$P$2</f>
        <v>51.84773282178557</v>
      </c>
      <c r="BI27" s="349">
        <f t="shared" si="42"/>
        <v>0</v>
      </c>
      <c r="BJ27" s="346">
        <f t="shared" si="34"/>
        <v>51.84773282178557</v>
      </c>
    </row>
    <row r="28" spans="1:76" x14ac:dyDescent="0.25">
      <c r="A28" s="27">
        <f t="shared" si="35"/>
        <v>44515</v>
      </c>
      <c r="B28" s="229">
        <v>0.01</v>
      </c>
      <c r="C28" s="233">
        <v>1.25E-3</v>
      </c>
      <c r="D28" s="230">
        <v>1.25E-3</v>
      </c>
      <c r="E28" s="233">
        <v>1.25E-3</v>
      </c>
      <c r="F28" s="230">
        <v>1.25E-3</v>
      </c>
      <c r="G28" s="230">
        <v>1.25E-3</v>
      </c>
      <c r="H28" s="230">
        <v>1.25E-3</v>
      </c>
      <c r="I28" s="230">
        <v>1.25E-3</v>
      </c>
      <c r="J28" s="230">
        <v>1.25E-3</v>
      </c>
      <c r="K28" s="230">
        <v>1.25E-3</v>
      </c>
      <c r="L28" s="230">
        <v>1.25E-3</v>
      </c>
      <c r="M28" s="289">
        <f t="shared" si="20"/>
        <v>2021</v>
      </c>
      <c r="N28" s="32">
        <f t="shared" si="36"/>
        <v>44515</v>
      </c>
      <c r="O28" s="348">
        <f>+IF($N28&gt;B$8,"FIN",(B$19-SUM(P$25:P27))*VLOOKUP($N28,$A:$M,2,0)/VLOOKUP(B$15,$J$1:$L$4,2,0))</f>
        <v>11.185863898502399</v>
      </c>
      <c r="P28" s="349">
        <f t="shared" si="21"/>
        <v>0</v>
      </c>
      <c r="Q28" s="349">
        <f t="shared" si="22"/>
        <v>11.185863898502399</v>
      </c>
      <c r="R28" s="346">
        <f t="shared" si="5"/>
        <v>9.850976521000856</v>
      </c>
      <c r="S28" s="348">
        <f>+IF($N28&gt;C$8,"FIN",(C$19-SUM(T$25:T27))*VLOOKUP($N28,$A:$M,3,0)/VLOOKUP(C$15,$J$1:$L$4,2,0))</f>
        <v>5.7593750000000004</v>
      </c>
      <c r="T28" s="349">
        <f t="shared" si="6"/>
        <v>0</v>
      </c>
      <c r="U28" s="349">
        <f t="shared" ref="U28:U46" si="43">+SUM(S28:T28)</f>
        <v>5.7593750000000004</v>
      </c>
      <c r="V28" s="346">
        <f t="shared" si="8"/>
        <v>5.0720684978328086</v>
      </c>
      <c r="W28" s="348">
        <f>+IF($N28&gt;D$8,"FIN",(D$19-SUM(X$25:X27))*VLOOKUP($N28,$A:$M,4,0)/VLOOKUP(D$15,$J$1:$L$4,2,0))</f>
        <v>1.591428618490407</v>
      </c>
      <c r="X28" s="349">
        <f t="shared" si="9"/>
        <v>0</v>
      </c>
      <c r="Y28" s="349">
        <f t="shared" si="23"/>
        <v>1.591428618490407</v>
      </c>
      <c r="Z28" s="346">
        <f t="shared" si="37"/>
        <v>1.4015123103452682</v>
      </c>
      <c r="AA28" s="348">
        <f>+IF($N28&gt;E$8,"FIN",(E$19-SUM(AB$25:AB27))*VLOOKUP($N28,$A:$M,5,0)/VLOOKUP(E$15,$J$1:$L$4,2,0))</f>
        <v>10.457812500000001</v>
      </c>
      <c r="AB28" s="349">
        <f t="shared" si="10"/>
        <v>0</v>
      </c>
      <c r="AC28" s="345">
        <f t="shared" si="11"/>
        <v>10.457812500000001</v>
      </c>
      <c r="AD28" s="346">
        <f t="shared" si="12"/>
        <v>9.2098085881701</v>
      </c>
      <c r="AE28" s="348">
        <f>+IF($N28&gt;F$8,"FIN",(F$19-SUM(AF$25:AF27))*VLOOKUP($N28,$A:$M,6,0)/VLOOKUP(F$15,$J$1:$L$4,2,0))</f>
        <v>1.3640625</v>
      </c>
      <c r="AF28" s="349">
        <f t="shared" si="24"/>
        <v>0</v>
      </c>
      <c r="AG28" s="345">
        <f t="shared" si="25"/>
        <v>1.3640625</v>
      </c>
      <c r="AH28" s="346">
        <f t="shared" si="38"/>
        <v>1.201279381065665</v>
      </c>
      <c r="AI28" s="348">
        <f>+IF($N28&gt;G$8,"FIN",(G$19-SUM(AJ$25:AJ27))*VLOOKUP($N28,$A:$M,7,0)/VLOOKUP(G$15,$J$1:$L$4,2,0))</f>
        <v>3.4783073352812499</v>
      </c>
      <c r="AJ28" s="345">
        <f t="shared" si="26"/>
        <v>0</v>
      </c>
      <c r="AK28" s="345">
        <f t="shared" si="13"/>
        <v>3.4783073352812499</v>
      </c>
      <c r="AL28" s="346">
        <f t="shared" si="14"/>
        <v>3.0632165922623216</v>
      </c>
      <c r="AM28" s="348">
        <f>+IF($N28&gt;H$8,"FIN",(H$19-SUM(AN$25:AN27))*VLOOKUP($N28,$A:$M,8,0)/VLOOKUP(H$15,$J$1:$L$4,2,0))</f>
        <v>3.6101775117312496</v>
      </c>
      <c r="AN28" s="349">
        <f t="shared" si="27"/>
        <v>0</v>
      </c>
      <c r="AO28" s="345">
        <f t="shared" si="28"/>
        <v>3.6101775117312496</v>
      </c>
      <c r="AP28" s="346">
        <f t="shared" si="39"/>
        <v>3.1793497782027571</v>
      </c>
      <c r="AQ28" s="348">
        <f>+IF($N28&gt;I$8,"FIN",(I$19-SUM(AR$25:AR27))*VLOOKUP($N28,$A:$M,9,0)/VLOOKUP(I$15,$J$1:$L$4,2,0))</f>
        <v>3.37101773375</v>
      </c>
      <c r="AR28" s="349">
        <f t="shared" si="29"/>
        <v>0</v>
      </c>
      <c r="AS28" s="345">
        <f t="shared" si="15"/>
        <v>3.37101773375</v>
      </c>
      <c r="AT28" s="346">
        <f t="shared" si="16"/>
        <v>2.9687306093090169</v>
      </c>
      <c r="AU28" s="348">
        <f>+IF($N28&gt;J$8,"FIN",(J$19-SUM(AV$25:AV27))*VLOOKUP($N28,$A:$M,10,0)/VLOOKUP(J$15,$J$1:$L$4,2,0))</f>
        <v>4.0457644362499998</v>
      </c>
      <c r="AV28" s="349">
        <f t="shared" si="30"/>
        <v>0</v>
      </c>
      <c r="AW28" s="345">
        <f t="shared" si="31"/>
        <v>4.0457644362499998</v>
      </c>
      <c r="AX28" s="346">
        <f t="shared" si="40"/>
        <v>3.56295506834612</v>
      </c>
      <c r="AY28" s="348">
        <f>+IF($N28&gt;K$8,"FIN",(K$19-SUM(AZ$25:AZ27))*VLOOKUP($N28,$A:$M,11,0)/VLOOKUP(K$15,$J$1:$L$4,2,0))</f>
        <v>5.1531250000000002</v>
      </c>
      <c r="AZ28" s="349">
        <f t="shared" si="17"/>
        <v>0</v>
      </c>
      <c r="BA28" s="345">
        <f t="shared" si="18"/>
        <v>5.1531250000000002</v>
      </c>
      <c r="BB28" s="346">
        <f t="shared" si="19"/>
        <v>4.5381665506925124</v>
      </c>
      <c r="BC28" s="348">
        <f>+IF($N28&gt;L$8,"FIN",(L$19-SUM(BD$25:BD27))*VLOOKUP($N28,$A:$M,12,0)/VLOOKUP(L$15,$J$1:$L$4,2,0))</f>
        <v>0.45468750000000002</v>
      </c>
      <c r="BD28" s="345">
        <f t="shared" si="32"/>
        <v>0</v>
      </c>
      <c r="BE28" s="345">
        <f t="shared" si="33"/>
        <v>0.45468750000000002</v>
      </c>
      <c r="BF28" s="346">
        <f t="shared" si="41"/>
        <v>0.40042646035522172</v>
      </c>
      <c r="BG28" s="242"/>
      <c r="BH28" s="348">
        <f t="shared" si="42"/>
        <v>51.84773282178557</v>
      </c>
      <c r="BI28" s="345">
        <f t="shared" si="42"/>
        <v>0</v>
      </c>
      <c r="BJ28" s="346">
        <f t="shared" si="34"/>
        <v>51.84773282178557</v>
      </c>
    </row>
    <row r="29" spans="1:76" x14ac:dyDescent="0.25">
      <c r="A29" s="27">
        <f t="shared" si="35"/>
        <v>44696</v>
      </c>
      <c r="B29" s="233">
        <v>0.01</v>
      </c>
      <c r="C29" s="233">
        <v>5.0000000000000001E-3</v>
      </c>
      <c r="D29" s="230">
        <v>1.25E-3</v>
      </c>
      <c r="E29" s="234">
        <v>1.125E-2</v>
      </c>
      <c r="F29" s="233">
        <v>7.4999999999999997E-3</v>
      </c>
      <c r="G29" s="233">
        <v>1.6250000000000001E-2</v>
      </c>
      <c r="H29" s="233">
        <v>8.7500000000000008E-3</v>
      </c>
      <c r="I29" s="233">
        <v>1.6250000000000001E-2</v>
      </c>
      <c r="J29" s="233">
        <v>8.7500000000000008E-3</v>
      </c>
      <c r="K29" s="233">
        <v>1.125E-2</v>
      </c>
      <c r="L29" s="233">
        <v>7.4999999999999997E-3</v>
      </c>
      <c r="M29" s="289">
        <f t="shared" si="20"/>
        <v>2022</v>
      </c>
      <c r="N29" s="32">
        <f t="shared" si="36"/>
        <v>44696</v>
      </c>
      <c r="O29" s="348">
        <f>+IF($N29&gt;B$8,"FIN",(B$19-SUM(P$25:P28))*VLOOKUP($N29,$A:$M,2,0)/VLOOKUP(B$15,$J$1:$L$4,2,0))</f>
        <v>11.185863898502399</v>
      </c>
      <c r="P29" s="345">
        <f t="shared" si="21"/>
        <v>0</v>
      </c>
      <c r="Q29" s="345">
        <f t="shared" si="22"/>
        <v>11.185863898502399</v>
      </c>
      <c r="R29" s="346">
        <f t="shared" si="5"/>
        <v>9.3925375803110125</v>
      </c>
      <c r="S29" s="348">
        <f>+IF($N29&gt;C$8,"FIN",(C$19-SUM(T$25:T28))*VLOOKUP($N29,$A:$M,3,0)/VLOOKUP(C$15,$J$1:$L$4,2,0))</f>
        <v>23.037500000000001</v>
      </c>
      <c r="T29" s="345">
        <f t="shared" si="6"/>
        <v>0</v>
      </c>
      <c r="U29" s="345">
        <f t="shared" si="43"/>
        <v>23.037500000000001</v>
      </c>
      <c r="V29" s="346">
        <f t="shared" si="8"/>
        <v>19.344110251098684</v>
      </c>
      <c r="W29" s="348">
        <f>+IF($N29&gt;D$8,"FIN",(D$19-SUM(X$25:X28))*VLOOKUP($N29,$A:$M,4,0)/VLOOKUP(D$15,$J$1:$L$4,2,0))</f>
        <v>1.591428618490407</v>
      </c>
      <c r="X29" s="349">
        <f t="shared" si="9"/>
        <v>0</v>
      </c>
      <c r="Y29" s="349">
        <f t="shared" si="23"/>
        <v>1.591428618490407</v>
      </c>
      <c r="Z29" s="346">
        <f t="shared" si="37"/>
        <v>1.3362895562813715</v>
      </c>
      <c r="AA29" s="348">
        <f>+IF($N29&gt;E$8,"FIN",(E$19-SUM(AB$25:AB28))*VLOOKUP($N29,$A:$M,5,0)/VLOOKUP(E$15,$J$1:$L$4,2,0))</f>
        <v>94.120312499999997</v>
      </c>
      <c r="AB29" s="345">
        <f t="shared" si="10"/>
        <v>0</v>
      </c>
      <c r="AC29" s="345">
        <f t="shared" si="11"/>
        <v>94.120312499999997</v>
      </c>
      <c r="AD29" s="346">
        <f t="shared" si="12"/>
        <v>79.030871486396592</v>
      </c>
      <c r="AE29" s="348">
        <f>+IF($N29&gt;F$8,"FIN",(F$19-SUM(AF$25:AF28))*VLOOKUP($N29,$A:$M,6,0)/VLOOKUP(F$15,$J$1:$L$4,2,0))</f>
        <v>8.1843749999999993</v>
      </c>
      <c r="AF29" s="345">
        <f t="shared" si="24"/>
        <v>0</v>
      </c>
      <c r="AG29" s="345">
        <f t="shared" si="25"/>
        <v>8.1843749999999993</v>
      </c>
      <c r="AH29" s="346">
        <f t="shared" si="38"/>
        <v>6.8722496944692688</v>
      </c>
      <c r="AI29" s="348">
        <f>+IF($N29&gt;G$8,"FIN",(G$19-SUM(AJ$25:AJ28))*VLOOKUP($N29,$A:$M,7,0)/VLOOKUP(G$15,$J$1:$L$4,2,0))</f>
        <v>45.217995358656253</v>
      </c>
      <c r="AJ29" s="345">
        <f t="shared" si="26"/>
        <v>0</v>
      </c>
      <c r="AK29" s="345">
        <f t="shared" si="13"/>
        <v>45.217995358656253</v>
      </c>
      <c r="AL29" s="346">
        <f t="shared" si="14"/>
        <v>37.968611505220409</v>
      </c>
      <c r="AM29" s="348">
        <f>+IF($N29&gt;H$8,"FIN",(H$19-SUM(AN$25:AN28))*VLOOKUP($N29,$A:$M,8,0)/VLOOKUP(H$15,$J$1:$L$4,2,0))</f>
        <v>25.271242582118749</v>
      </c>
      <c r="AN29" s="345">
        <f t="shared" si="27"/>
        <v>0</v>
      </c>
      <c r="AO29" s="345">
        <f t="shared" si="28"/>
        <v>25.271242582118749</v>
      </c>
      <c r="AP29" s="346">
        <f t="shared" si="39"/>
        <v>21.219737501498205</v>
      </c>
      <c r="AQ29" s="348">
        <f>+IF($N29&gt;I$8,"FIN",(I$19-SUM(AR$25:AR28))*VLOOKUP($N29,$A:$M,9,0)/VLOOKUP(I$15,$J$1:$L$4,2,0))</f>
        <v>43.823230538750003</v>
      </c>
      <c r="AR29" s="345">
        <f t="shared" si="29"/>
        <v>0</v>
      </c>
      <c r="AS29" s="345">
        <f t="shared" si="15"/>
        <v>43.823230538750003</v>
      </c>
      <c r="AT29" s="346">
        <f t="shared" si="16"/>
        <v>36.797456455817468</v>
      </c>
      <c r="AU29" s="348">
        <f>+IF($N29&gt;J$8,"FIN",(J$19-SUM(AV$25:AV28))*VLOOKUP($N29,$A:$M,10,0)/VLOOKUP(J$15,$J$1:$L$4,2,0))</f>
        <v>28.320351053749999</v>
      </c>
      <c r="AV29" s="345">
        <f t="shared" si="30"/>
        <v>0</v>
      </c>
      <c r="AW29" s="345">
        <f t="shared" si="31"/>
        <v>28.320351053749999</v>
      </c>
      <c r="AX29" s="346">
        <f t="shared" si="40"/>
        <v>23.780010553816982</v>
      </c>
      <c r="AY29" s="348">
        <f>+IF($N29&gt;K$8,"FIN",(K$19-SUM(AZ$25:AZ28))*VLOOKUP($N29,$A:$M,11,0)/VLOOKUP(K$15,$J$1:$L$4,2,0))</f>
        <v>46.378124999999997</v>
      </c>
      <c r="AZ29" s="345">
        <f t="shared" si="17"/>
        <v>0</v>
      </c>
      <c r="BA29" s="345">
        <f t="shared" si="18"/>
        <v>46.378124999999997</v>
      </c>
      <c r="BB29" s="346">
        <f t="shared" si="19"/>
        <v>38.942748268659187</v>
      </c>
      <c r="BC29" s="348">
        <f>+IF($N29&gt;L$8,"FIN",(L$19-SUM(BD$25:BD28))*VLOOKUP($N29,$A:$M,12,0)/VLOOKUP(L$15,$J$1:$L$4,2,0))</f>
        <v>2.7281249999999999</v>
      </c>
      <c r="BD29" s="345">
        <f t="shared" si="32"/>
        <v>0</v>
      </c>
      <c r="BE29" s="345">
        <f t="shared" si="33"/>
        <v>2.7281249999999999</v>
      </c>
      <c r="BF29" s="346">
        <f t="shared" si="41"/>
        <v>2.2907498981564229</v>
      </c>
      <c r="BG29" s="242"/>
      <c r="BH29" s="348">
        <f t="shared" si="42"/>
        <v>338.07775886141258</v>
      </c>
      <c r="BI29" s="345">
        <f t="shared" si="42"/>
        <v>0</v>
      </c>
      <c r="BJ29" s="346">
        <f t="shared" si="34"/>
        <v>338.07775886141258</v>
      </c>
    </row>
    <row r="30" spans="1:76" x14ac:dyDescent="0.25">
      <c r="A30" s="27">
        <f t="shared" si="35"/>
        <v>44880</v>
      </c>
      <c r="B30" s="233">
        <v>0.01</v>
      </c>
      <c r="C30" s="233">
        <v>5.0000000000000001E-3</v>
      </c>
      <c r="D30" s="230">
        <v>1.25E-3</v>
      </c>
      <c r="E30" s="234">
        <v>1.125E-2</v>
      </c>
      <c r="F30" s="233">
        <v>7.4999999999999997E-3</v>
      </c>
      <c r="G30" s="233">
        <v>1.6250000000000001E-2</v>
      </c>
      <c r="H30" s="233">
        <v>8.7500000000000008E-3</v>
      </c>
      <c r="I30" s="233">
        <v>1.6250000000000001E-2</v>
      </c>
      <c r="J30" s="233">
        <v>8.7500000000000008E-3</v>
      </c>
      <c r="K30" s="233">
        <v>1.125E-2</v>
      </c>
      <c r="L30" s="233">
        <v>7.4999999999999997E-3</v>
      </c>
      <c r="M30" s="289">
        <f t="shared" si="20"/>
        <v>2022</v>
      </c>
      <c r="N30" s="32">
        <f t="shared" si="36"/>
        <v>44880</v>
      </c>
      <c r="O30" s="348">
        <f>+IF($N30&gt;B$8,"FIN",(B$19-SUM(P$25:P29))*VLOOKUP($N30,$A:$M,2,0)/VLOOKUP(B$15,$J$1:$L$4,2,0))</f>
        <v>11.185863898502399</v>
      </c>
      <c r="P30" s="345">
        <f t="shared" si="21"/>
        <v>0</v>
      </c>
      <c r="Q30" s="345">
        <f t="shared" si="22"/>
        <v>11.185863898502399</v>
      </c>
      <c r="R30" s="346">
        <f t="shared" si="5"/>
        <v>8.9554332009098676</v>
      </c>
      <c r="S30" s="348">
        <f>+IF($N30&gt;C$8,"FIN",(C$19-SUM(T$25:T29))*VLOOKUP($N30,$A:$M,3,0)/VLOOKUP(C$15,$J$1:$L$4,2,0))</f>
        <v>23.037500000000001</v>
      </c>
      <c r="T30" s="345">
        <f t="shared" si="6"/>
        <v>0</v>
      </c>
      <c r="U30" s="345">
        <f t="shared" si="43"/>
        <v>23.037500000000001</v>
      </c>
      <c r="V30" s="346">
        <f t="shared" si="8"/>
        <v>18.443885446664758</v>
      </c>
      <c r="W30" s="348">
        <f>+IF($N30&gt;D$8,"FIN",(D$19-SUM(X$25:X29))*VLOOKUP($N30,$A:$M,4,0)/VLOOKUP(D$15,$J$1:$L$4,2,0))</f>
        <v>1.591428618490407</v>
      </c>
      <c r="X30" s="349">
        <f t="shared" si="9"/>
        <v>0</v>
      </c>
      <c r="Y30" s="349">
        <f t="shared" si="23"/>
        <v>1.591428618490407</v>
      </c>
      <c r="Z30" s="346">
        <f t="shared" si="37"/>
        <v>1.2741021003138802</v>
      </c>
      <c r="AA30" s="348">
        <f>+IF($N30&gt;E$8,"FIN",(E$19-SUM(AB$25:AB29))*VLOOKUP($N30,$A:$M,5,0)/VLOOKUP(E$15,$J$1:$L$4,2,0))</f>
        <v>94.120312499999997</v>
      </c>
      <c r="AB30" s="345">
        <f t="shared" si="10"/>
        <v>0</v>
      </c>
      <c r="AC30" s="345">
        <f t="shared" si="11"/>
        <v>94.120312499999997</v>
      </c>
      <c r="AD30" s="346">
        <f t="shared" si="12"/>
        <v>75.352979357755345</v>
      </c>
      <c r="AE30" s="348">
        <f>+IF($N30&gt;F$8,"FIN",(F$19-SUM(AF$25:AF29))*VLOOKUP($N30,$A:$M,6,0)/VLOOKUP(F$15,$J$1:$L$4,2,0))</f>
        <v>8.1843749999999993</v>
      </c>
      <c r="AF30" s="345">
        <f t="shared" si="24"/>
        <v>0</v>
      </c>
      <c r="AG30" s="345">
        <f t="shared" si="25"/>
        <v>8.1843749999999993</v>
      </c>
      <c r="AH30" s="346">
        <f t="shared" si="38"/>
        <v>6.5524329876308993</v>
      </c>
      <c r="AI30" s="348">
        <f>+IF($N30&gt;G$8,"FIN",(G$19-SUM(AJ$25:AJ29))*VLOOKUP($N30,$A:$M,7,0)/VLOOKUP(G$15,$J$1:$L$4,2,0))</f>
        <v>45.217995358656253</v>
      </c>
      <c r="AJ30" s="345">
        <f t="shared" si="26"/>
        <v>0</v>
      </c>
      <c r="AK30" s="345">
        <f t="shared" si="13"/>
        <v>45.217995358656253</v>
      </c>
      <c r="AL30" s="346">
        <f t="shared" si="14"/>
        <v>36.201650635827434</v>
      </c>
      <c r="AM30" s="348">
        <f>+IF($N30&gt;H$8,"FIN",(H$19-SUM(AN$25:AN29))*VLOOKUP($N30,$A:$M,8,0)/VLOOKUP(H$15,$J$1:$L$4,2,0))</f>
        <v>25.271242582118749</v>
      </c>
      <c r="AN30" s="345">
        <f t="shared" si="27"/>
        <v>0</v>
      </c>
      <c r="AO30" s="345">
        <f t="shared" si="28"/>
        <v>25.271242582118749</v>
      </c>
      <c r="AP30" s="346">
        <f t="shared" si="39"/>
        <v>20.232225861290271</v>
      </c>
      <c r="AQ30" s="348">
        <f>+IF($N30&gt;I$8,"FIN",(I$19-SUM(AR$25:AR29))*VLOOKUP($N30,$A:$M,9,0)/VLOOKUP(I$15,$J$1:$L$4,2,0))</f>
        <v>43.823230538750003</v>
      </c>
      <c r="AR30" s="345">
        <f t="shared" si="29"/>
        <v>0</v>
      </c>
      <c r="AS30" s="345">
        <f t="shared" si="15"/>
        <v>43.823230538750003</v>
      </c>
      <c r="AT30" s="346">
        <f t="shared" si="16"/>
        <v>35.084998110015654</v>
      </c>
      <c r="AU30" s="348">
        <f>+IF($N30&gt;J$8,"FIN",(J$19-SUM(AV$25:AV29))*VLOOKUP($N30,$A:$M,10,0)/VLOOKUP(J$15,$J$1:$L$4,2,0))</f>
        <v>28.320351053749999</v>
      </c>
      <c r="AV30" s="345">
        <f t="shared" si="30"/>
        <v>0</v>
      </c>
      <c r="AW30" s="345">
        <f t="shared" si="31"/>
        <v>28.320351053749999</v>
      </c>
      <c r="AX30" s="346">
        <f t="shared" si="40"/>
        <v>22.673350434929851</v>
      </c>
      <c r="AY30" s="348">
        <f>+IF($N30&gt;K$8,"FIN",(K$19-SUM(AZ$25:AZ29))*VLOOKUP($N30,$A:$M,11,0)/VLOOKUP(K$15,$J$1:$L$4,2,0))</f>
        <v>46.378124999999997</v>
      </c>
      <c r="AZ30" s="345">
        <f t="shared" si="17"/>
        <v>0</v>
      </c>
      <c r="BA30" s="345">
        <f t="shared" si="18"/>
        <v>46.378124999999997</v>
      </c>
      <c r="BB30" s="346">
        <f t="shared" si="19"/>
        <v>37.130453596575094</v>
      </c>
      <c r="BC30" s="348">
        <f>+IF($N30&gt;L$8,"FIN",(L$19-SUM(BD$25:BD29))*VLOOKUP($N30,$A:$M,12,0)/VLOOKUP(L$15,$J$1:$L$4,2,0))</f>
        <v>2.7281249999999999</v>
      </c>
      <c r="BD30" s="345">
        <f t="shared" si="32"/>
        <v>0</v>
      </c>
      <c r="BE30" s="345">
        <f t="shared" si="33"/>
        <v>2.7281249999999999</v>
      </c>
      <c r="BF30" s="346">
        <f t="shared" si="41"/>
        <v>2.1841443292102998</v>
      </c>
      <c r="BG30" s="242"/>
      <c r="BH30" s="348">
        <f t="shared" si="42"/>
        <v>338.07775886141258</v>
      </c>
      <c r="BI30" s="345">
        <f t="shared" si="42"/>
        <v>0</v>
      </c>
      <c r="BJ30" s="346">
        <f t="shared" si="34"/>
        <v>338.07775886141258</v>
      </c>
    </row>
    <row r="31" spans="1:76" x14ac:dyDescent="0.25">
      <c r="A31" s="27">
        <f t="shared" si="35"/>
        <v>45061</v>
      </c>
      <c r="B31" s="233">
        <v>0.01</v>
      </c>
      <c r="C31" s="233">
        <v>5.0000000000000001E-3</v>
      </c>
      <c r="D31" s="230">
        <v>1.25E-3</v>
      </c>
      <c r="E31" s="234">
        <v>1.4999999999999999E-2</v>
      </c>
      <c r="F31" s="234">
        <v>8.7500000000000008E-3</v>
      </c>
      <c r="G31" s="234">
        <v>3.125E-2</v>
      </c>
      <c r="H31" s="234">
        <v>2.2499999999999999E-2</v>
      </c>
      <c r="I31" s="234">
        <v>0.03</v>
      </c>
      <c r="J31" s="234">
        <v>0.02</v>
      </c>
      <c r="K31" s="233">
        <v>1.4999999999999999E-2</v>
      </c>
      <c r="L31" s="233">
        <v>8.7500000000000008E-3</v>
      </c>
      <c r="M31" s="289">
        <f t="shared" si="20"/>
        <v>2023</v>
      </c>
      <c r="N31" s="32">
        <f t="shared" si="36"/>
        <v>45061</v>
      </c>
      <c r="O31" s="348">
        <f>+IF($N31&gt;B$8,"FIN",(B$19-SUM(P$25:P30))*VLOOKUP($N31,$A:$M,2,0)/VLOOKUP(B$15,$J$1:$L$4,2,0))</f>
        <v>11.185863898502399</v>
      </c>
      <c r="P31" s="345">
        <f t="shared" si="21"/>
        <v>0</v>
      </c>
      <c r="Q31" s="345">
        <f t="shared" si="22"/>
        <v>11.185863898502399</v>
      </c>
      <c r="R31" s="346">
        <f t="shared" si="5"/>
        <v>8.5386705275554657</v>
      </c>
      <c r="S31" s="348">
        <f>+IF($N31&gt;C$8,"FIN",(C$19-SUM(T$25:T30))*VLOOKUP($N31,$A:$M,3,0)/VLOOKUP(C$15,$J$1:$L$4,2,0))</f>
        <v>23.037500000000001</v>
      </c>
      <c r="T31" s="345">
        <f t="shared" si="6"/>
        <v>0</v>
      </c>
      <c r="U31" s="345">
        <f t="shared" si="43"/>
        <v>23.037500000000001</v>
      </c>
      <c r="V31" s="346">
        <f t="shared" si="8"/>
        <v>17.585554773726077</v>
      </c>
      <c r="W31" s="348">
        <f>+IF($N31&gt;D$8,"FIN",(D$19-SUM(X$25:X30))*VLOOKUP($N31,$A:$M,4,0)/VLOOKUP(D$15,$J$1:$L$4,2,0))</f>
        <v>1.591428618490407</v>
      </c>
      <c r="X31" s="349">
        <f t="shared" si="9"/>
        <v>0</v>
      </c>
      <c r="Y31" s="349">
        <f t="shared" si="23"/>
        <v>1.591428618490407</v>
      </c>
      <c r="Z31" s="346">
        <f t="shared" si="37"/>
        <v>1.2148086875285196</v>
      </c>
      <c r="AA31" s="348">
        <f>+IF($N31&gt;E$8,"FIN",(E$19-SUM(AB$25:AB30))*VLOOKUP($N31,$A:$M,5,0)/VLOOKUP(E$15,$J$1:$L$4,2,0))</f>
        <v>125.49374999999999</v>
      </c>
      <c r="AB31" s="345">
        <f t="shared" si="10"/>
        <v>0</v>
      </c>
      <c r="AC31" s="345">
        <f t="shared" si="11"/>
        <v>125.49374999999999</v>
      </c>
      <c r="AD31" s="346">
        <f t="shared" si="12"/>
        <v>95.79499574108678</v>
      </c>
      <c r="AE31" s="348">
        <f>+IF($N31&gt;F$8,"FIN",(F$19-SUM(AF$25:AF30))*VLOOKUP($N31,$A:$M,6,0)/VLOOKUP(F$15,$J$1:$L$4,2,0))</f>
        <v>9.5484375000000004</v>
      </c>
      <c r="AF31" s="345">
        <f t="shared" si="24"/>
        <v>0</v>
      </c>
      <c r="AG31" s="345">
        <f t="shared" si="25"/>
        <v>9.5484375000000004</v>
      </c>
      <c r="AH31" s="346">
        <f t="shared" si="38"/>
        <v>7.2887496759522561</v>
      </c>
      <c r="AI31" s="348">
        <f>+IF($N31&gt;G$8,"FIN",(G$19-SUM(AJ$25:AJ30))*VLOOKUP($N31,$A:$M,7,0)/VLOOKUP(G$15,$J$1:$L$4,2,0))</f>
        <v>86.957683382031249</v>
      </c>
      <c r="AJ31" s="345">
        <f t="shared" si="26"/>
        <v>0</v>
      </c>
      <c r="AK31" s="345">
        <f t="shared" si="13"/>
        <v>86.957683382031249</v>
      </c>
      <c r="AL31" s="346">
        <f t="shared" si="14"/>
        <v>66.378691442693011</v>
      </c>
      <c r="AM31" s="348">
        <f>+IF($N31&gt;H$8,"FIN",(H$19-SUM(AN$25:AN30))*VLOOKUP($N31,$A:$M,8,0)/VLOOKUP(H$15,$J$1:$L$4,2,0))</f>
        <v>64.983195211162496</v>
      </c>
      <c r="AN31" s="345">
        <f t="shared" si="27"/>
        <v>0</v>
      </c>
      <c r="AO31" s="345">
        <f t="shared" si="28"/>
        <v>64.983195211162496</v>
      </c>
      <c r="AP31" s="346">
        <f t="shared" si="39"/>
        <v>49.604581172333461</v>
      </c>
      <c r="AQ31" s="348">
        <f>+IF($N31&gt;I$8,"FIN",(I$19-SUM(AR$25:AR30))*VLOOKUP($N31,$A:$M,9,0)/VLOOKUP(I$15,$J$1:$L$4,2,0))</f>
        <v>80.90442560999999</v>
      </c>
      <c r="AR31" s="345">
        <f t="shared" si="29"/>
        <v>0</v>
      </c>
      <c r="AS31" s="345">
        <f t="shared" si="15"/>
        <v>80.90442560999999</v>
      </c>
      <c r="AT31" s="346">
        <f t="shared" si="16"/>
        <v>61.757968876896435</v>
      </c>
      <c r="AU31" s="348">
        <f>+IF($N31&gt;J$8,"FIN",(J$19-SUM(AV$25:AV30))*VLOOKUP($N31,$A:$M,10,0)/VLOOKUP(J$15,$J$1:$L$4,2,0))</f>
        <v>64.732230979999997</v>
      </c>
      <c r="AV31" s="345">
        <f t="shared" si="30"/>
        <v>0</v>
      </c>
      <c r="AW31" s="345">
        <f t="shared" si="31"/>
        <v>64.732230979999997</v>
      </c>
      <c r="AX31" s="346">
        <f t="shared" si="40"/>
        <v>49.413008942996335</v>
      </c>
      <c r="AY31" s="348">
        <f>+IF($N31&gt;K$8,"FIN",(K$19-SUM(AZ$25:AZ30))*VLOOKUP($N31,$A:$M,11,0)/VLOOKUP(K$15,$J$1:$L$4,2,0))</f>
        <v>61.837499999999999</v>
      </c>
      <c r="AZ31" s="345">
        <f t="shared" si="17"/>
        <v>0</v>
      </c>
      <c r="BA31" s="345">
        <f t="shared" si="18"/>
        <v>61.837499999999999</v>
      </c>
      <c r="BB31" s="346">
        <f t="shared" si="19"/>
        <v>47.203331234738414</v>
      </c>
      <c r="BC31" s="348">
        <f>+IF($N31&gt;L$8,"FIN",(L$19-SUM(BD$25:BD30))*VLOOKUP($N31,$A:$M,12,0)/VLOOKUP(L$15,$J$1:$L$4,2,0))</f>
        <v>3.1828125000000003</v>
      </c>
      <c r="BD31" s="345">
        <f t="shared" si="32"/>
        <v>0</v>
      </c>
      <c r="BE31" s="345">
        <f t="shared" si="33"/>
        <v>3.1828125000000003</v>
      </c>
      <c r="BF31" s="346">
        <f t="shared" si="41"/>
        <v>2.4295832253174185</v>
      </c>
      <c r="BG31" s="242"/>
      <c r="BH31" s="348">
        <f t="shared" si="42"/>
        <v>551.36646969697949</v>
      </c>
      <c r="BI31" s="345">
        <f t="shared" si="42"/>
        <v>0</v>
      </c>
      <c r="BJ31" s="346">
        <f t="shared" si="34"/>
        <v>551.36646969697949</v>
      </c>
    </row>
    <row r="32" spans="1:76" x14ac:dyDescent="0.25">
      <c r="A32" s="27">
        <f t="shared" si="35"/>
        <v>45245</v>
      </c>
      <c r="B32" s="233">
        <v>0.01</v>
      </c>
      <c r="C32" s="233">
        <v>5.0000000000000001E-3</v>
      </c>
      <c r="D32" s="230">
        <v>1.25E-3</v>
      </c>
      <c r="E32" s="234">
        <v>1.4999999999999999E-2</v>
      </c>
      <c r="F32" s="234">
        <v>8.7500000000000008E-3</v>
      </c>
      <c r="G32" s="234">
        <v>3.125E-2</v>
      </c>
      <c r="H32" s="234">
        <v>2.2499999999999999E-2</v>
      </c>
      <c r="I32" s="234">
        <v>0.03</v>
      </c>
      <c r="J32" s="234">
        <v>0.02</v>
      </c>
      <c r="K32" s="233">
        <v>1.4999999999999999E-2</v>
      </c>
      <c r="L32" s="233">
        <v>8.7500000000000008E-3</v>
      </c>
      <c r="M32" s="289">
        <f t="shared" si="20"/>
        <v>2023</v>
      </c>
      <c r="N32" s="32">
        <f t="shared" si="36"/>
        <v>45245</v>
      </c>
      <c r="O32" s="348">
        <f>+IF($N32&gt;B$8,"FIN",(B$19-SUM(P$25:P31))*VLOOKUP($N32,$A:$M,2,0)/VLOOKUP(B$15,$J$1:$L$4,2,0))</f>
        <v>11.185863898502399</v>
      </c>
      <c r="P32" s="345">
        <f t="shared" si="21"/>
        <v>0</v>
      </c>
      <c r="Q32" s="345">
        <f t="shared" si="22"/>
        <v>11.185863898502399</v>
      </c>
      <c r="R32" s="346">
        <f t="shared" si="5"/>
        <v>8.1413029099180605</v>
      </c>
      <c r="S32" s="348">
        <f>+IF($N32&gt;C$8,"FIN",(C$19-SUM(T$25:T31))*VLOOKUP($N32,$A:$M,3,0)/VLOOKUP(C$15,$J$1:$L$4,2,0))</f>
        <v>23.037500000000001</v>
      </c>
      <c r="T32" s="345">
        <f t="shared" si="6"/>
        <v>0</v>
      </c>
      <c r="U32" s="345">
        <f t="shared" si="43"/>
        <v>23.037500000000001</v>
      </c>
      <c r="V32" s="346">
        <f t="shared" si="8"/>
        <v>16.767168587877052</v>
      </c>
      <c r="W32" s="348">
        <f>+IF($N32&gt;D$8,"FIN",(D$19-SUM(X$25:X31))*VLOOKUP($N32,$A:$M,4,0)/VLOOKUP(D$15,$J$1:$L$4,2,0))</f>
        <v>1.591428618490407</v>
      </c>
      <c r="X32" s="349">
        <f t="shared" si="9"/>
        <v>0</v>
      </c>
      <c r="Y32" s="349">
        <f t="shared" si="23"/>
        <v>1.591428618490407</v>
      </c>
      <c r="Z32" s="346">
        <f t="shared" si="37"/>
        <v>1.1582746366489818</v>
      </c>
      <c r="AA32" s="348">
        <f>+IF($N32&gt;E$8,"FIN",(E$19-SUM(AB$25:AB31))*VLOOKUP($N32,$A:$M,5,0)/VLOOKUP(E$15,$J$1:$L$4,2,0))</f>
        <v>125.49374999999999</v>
      </c>
      <c r="AB32" s="345">
        <f t="shared" si="10"/>
        <v>0</v>
      </c>
      <c r="AC32" s="345">
        <f t="shared" si="11"/>
        <v>125.49374999999999</v>
      </c>
      <c r="AD32" s="346">
        <f t="shared" si="12"/>
        <v>91.336944676067077</v>
      </c>
      <c r="AE32" s="348">
        <f>+IF($N32&gt;F$8,"FIN",(F$19-SUM(AF$25:AF31))*VLOOKUP($N32,$A:$M,6,0)/VLOOKUP(F$15,$J$1:$L$4,2,0))</f>
        <v>9.5484375000000004</v>
      </c>
      <c r="AF32" s="345">
        <f t="shared" si="24"/>
        <v>0</v>
      </c>
      <c r="AG32" s="345">
        <f t="shared" si="25"/>
        <v>9.5484375000000004</v>
      </c>
      <c r="AH32" s="346">
        <f t="shared" si="38"/>
        <v>6.9495501383964084</v>
      </c>
      <c r="AI32" s="348">
        <f>+IF($N32&gt;G$8,"FIN",(G$19-SUM(AJ$25:AJ31))*VLOOKUP($N32,$A:$M,7,0)/VLOOKUP(G$15,$J$1:$L$4,2,0))</f>
        <v>86.957683382031249</v>
      </c>
      <c r="AJ32" s="345">
        <f t="shared" si="26"/>
        <v>0</v>
      </c>
      <c r="AK32" s="345">
        <f t="shared" si="13"/>
        <v>86.957683382031249</v>
      </c>
      <c r="AL32" s="346">
        <f t="shared" si="14"/>
        <v>63.289599013684317</v>
      </c>
      <c r="AM32" s="348">
        <f>+IF($N32&gt;H$8,"FIN",(H$19-SUM(AN$25:AN31))*VLOOKUP($N32,$A:$M,8,0)/VLOOKUP(H$15,$J$1:$L$4,2,0))</f>
        <v>64.983195211162496</v>
      </c>
      <c r="AN32" s="345">
        <f t="shared" si="27"/>
        <v>0</v>
      </c>
      <c r="AO32" s="345">
        <f t="shared" si="28"/>
        <v>64.983195211162496</v>
      </c>
      <c r="AP32" s="346">
        <f t="shared" si="39"/>
        <v>47.296112403016217</v>
      </c>
      <c r="AQ32" s="348">
        <f>+IF($N32&gt;I$8,"FIN",(I$19-SUM(AR$25:AR31))*VLOOKUP($N32,$A:$M,9,0)/VLOOKUP(I$15,$J$1:$L$4,2,0))</f>
        <v>80.90442560999999</v>
      </c>
      <c r="AR32" s="345">
        <f t="shared" si="29"/>
        <v>0</v>
      </c>
      <c r="AS32" s="345">
        <f t="shared" si="15"/>
        <v>80.90442560999999</v>
      </c>
      <c r="AT32" s="346">
        <f t="shared" si="16"/>
        <v>58.883912911914372</v>
      </c>
      <c r="AU32" s="348">
        <f>+IF($N32&gt;J$8,"FIN",(J$19-SUM(AV$25:AV31))*VLOOKUP($N32,$A:$M,10,0)/VLOOKUP(J$15,$J$1:$L$4,2,0))</f>
        <v>64.732230979999997</v>
      </c>
      <c r="AV32" s="345">
        <f t="shared" si="30"/>
        <v>0</v>
      </c>
      <c r="AW32" s="345">
        <f t="shared" si="31"/>
        <v>64.732230979999997</v>
      </c>
      <c r="AX32" s="346">
        <f t="shared" si="40"/>
        <v>47.113455449204885</v>
      </c>
      <c r="AY32" s="348">
        <f>+IF($N32&gt;K$8,"FIN",(K$19-SUM(AZ$25:AZ31))*VLOOKUP($N32,$A:$M,11,0)/VLOOKUP(K$15,$J$1:$L$4,2,0))</f>
        <v>61.837499999999999</v>
      </c>
      <c r="AZ32" s="345">
        <f t="shared" si="17"/>
        <v>0</v>
      </c>
      <c r="BA32" s="345">
        <f t="shared" si="18"/>
        <v>61.837499999999999</v>
      </c>
      <c r="BB32" s="346">
        <f t="shared" si="19"/>
        <v>45.006610420091029</v>
      </c>
      <c r="BC32" s="348">
        <f>+IF($N32&gt;L$8,"FIN",(L$19-SUM(BD$25:BD31))*VLOOKUP($N32,$A:$M,12,0)/VLOOKUP(L$15,$J$1:$L$4,2,0))</f>
        <v>3.1828125000000003</v>
      </c>
      <c r="BD32" s="345">
        <f t="shared" si="32"/>
        <v>0</v>
      </c>
      <c r="BE32" s="345">
        <f t="shared" si="33"/>
        <v>3.1828125000000003</v>
      </c>
      <c r="BF32" s="346">
        <f t="shared" si="41"/>
        <v>2.3165167127988031</v>
      </c>
      <c r="BG32" s="242"/>
      <c r="BH32" s="348">
        <f t="shared" si="42"/>
        <v>551.36646969697949</v>
      </c>
      <c r="BI32" s="345">
        <f t="shared" si="42"/>
        <v>0</v>
      </c>
      <c r="BJ32" s="346">
        <f t="shared" si="34"/>
        <v>551.36646969697949</v>
      </c>
    </row>
    <row r="33" spans="1:62" x14ac:dyDescent="0.25">
      <c r="A33" s="27">
        <f t="shared" si="35"/>
        <v>45427</v>
      </c>
      <c r="B33" s="233">
        <v>0.01</v>
      </c>
      <c r="C33" s="233">
        <v>7.4999999999999997E-3</v>
      </c>
      <c r="D33" s="230">
        <v>1.25E-3</v>
      </c>
      <c r="E33" s="234">
        <v>3.6249999999999998E-2</v>
      </c>
      <c r="F33" s="234">
        <v>2.5000000000000001E-2</v>
      </c>
      <c r="G33" s="234">
        <v>3.7499999999999999E-2</v>
      </c>
      <c r="H33" s="234">
        <v>3.2500000000000001E-2</v>
      </c>
      <c r="I33" s="234">
        <v>3.5000000000000003E-2</v>
      </c>
      <c r="J33" s="234">
        <v>0.03</v>
      </c>
      <c r="K33" s="233">
        <v>3.6249999999999998E-2</v>
      </c>
      <c r="L33" s="233">
        <v>2.5000000000000001E-2</v>
      </c>
      <c r="M33" s="289">
        <f t="shared" si="20"/>
        <v>2024</v>
      </c>
      <c r="N33" s="32">
        <f t="shared" si="36"/>
        <v>45427</v>
      </c>
      <c r="O33" s="348">
        <f>+IF($N33&gt;B$8,"FIN",(B$19-SUM(P$25:P32))*VLOOKUP($N33,$A:$M,2,0)/VLOOKUP(B$15,$J$1:$L$4,2,0))</f>
        <v>11.185863898502399</v>
      </c>
      <c r="P33" s="345">
        <f t="shared" si="21"/>
        <v>0</v>
      </c>
      <c r="Q33" s="345">
        <f t="shared" si="22"/>
        <v>11.185863898502399</v>
      </c>
      <c r="R33" s="346">
        <f t="shared" si="5"/>
        <v>7.7624277523231502</v>
      </c>
      <c r="S33" s="348">
        <f>+IF($N33&gt;C$8,"FIN",(C$19-SUM(T$25:T32))*VLOOKUP($N33,$A:$M,3,0)/VLOOKUP(C$15,$J$1:$L$4,2,0))</f>
        <v>34.556249999999999</v>
      </c>
      <c r="T33" s="345">
        <f t="shared" si="6"/>
        <v>0</v>
      </c>
      <c r="U33" s="345">
        <f t="shared" si="43"/>
        <v>34.556249999999999</v>
      </c>
      <c r="V33" s="346">
        <f t="shared" si="8"/>
        <v>23.980301964171922</v>
      </c>
      <c r="W33" s="348">
        <f>+IF($N33&gt;D$8,"FIN",(D$19-SUM(X$25:X32))*VLOOKUP($N33,$A:$M,4,0)/VLOOKUP(D$15,$J$1:$L$4,2,0))</f>
        <v>1.591428618490407</v>
      </c>
      <c r="X33" s="349">
        <f t="shared" si="9"/>
        <v>0</v>
      </c>
      <c r="Y33" s="349">
        <f t="shared" si="23"/>
        <v>1.591428618490407</v>
      </c>
      <c r="Z33" s="346">
        <f t="shared" si="37"/>
        <v>1.1043715341168359</v>
      </c>
      <c r="AA33" s="348">
        <f>+IF($N33&gt;E$8,"FIN",(E$19-SUM(AB$25:AB32))*VLOOKUP($N33,$A:$M,5,0)/VLOOKUP(E$15,$J$1:$L$4,2,0))</f>
        <v>303.27656249999995</v>
      </c>
      <c r="AB33" s="345">
        <f t="shared" si="10"/>
        <v>0</v>
      </c>
      <c r="AC33" s="345">
        <f t="shared" si="11"/>
        <v>303.27656249999995</v>
      </c>
      <c r="AD33" s="346">
        <f t="shared" si="12"/>
        <v>210.45870276450881</v>
      </c>
      <c r="AE33" s="348">
        <f>+IF($N33&gt;F$8,"FIN",(F$19-SUM(AF$25:AF32))*VLOOKUP($N33,$A:$M,6,0)/VLOOKUP(F$15,$J$1:$L$4,2,0))</f>
        <v>27.28125</v>
      </c>
      <c r="AF33" s="345">
        <f t="shared" si="24"/>
        <v>0</v>
      </c>
      <c r="AG33" s="345">
        <f t="shared" si="25"/>
        <v>27.28125</v>
      </c>
      <c r="AH33" s="346">
        <f t="shared" si="38"/>
        <v>18.931817340135726</v>
      </c>
      <c r="AI33" s="348">
        <f>+IF($N33&gt;G$8,"FIN",(G$19-SUM(AJ$25:AJ32))*VLOOKUP($N33,$A:$M,7,0)/VLOOKUP(G$15,$J$1:$L$4,2,0))</f>
        <v>104.3492200584375</v>
      </c>
      <c r="AJ33" s="345">
        <f t="shared" si="26"/>
        <v>0</v>
      </c>
      <c r="AK33" s="345">
        <f t="shared" si="13"/>
        <v>104.3492200584375</v>
      </c>
      <c r="AL33" s="346">
        <f t="shared" si="14"/>
        <v>72.413117937483278</v>
      </c>
      <c r="AM33" s="348">
        <f>+IF($N33&gt;H$8,"FIN",(H$19-SUM(AN$25:AN32))*VLOOKUP($N33,$A:$M,8,0)/VLOOKUP(H$15,$J$1:$L$4,2,0))</f>
        <v>93.864615305012492</v>
      </c>
      <c r="AN33" s="345">
        <f t="shared" si="27"/>
        <v>0</v>
      </c>
      <c r="AO33" s="345">
        <f t="shared" si="28"/>
        <v>93.864615305012492</v>
      </c>
      <c r="AP33" s="346">
        <f t="shared" si="39"/>
        <v>65.137328812155047</v>
      </c>
      <c r="AQ33" s="348">
        <f>+IF($N33&gt;I$8,"FIN",(I$19-SUM(AR$25:AR32))*VLOOKUP($N33,$A:$M,9,0)/VLOOKUP(I$15,$J$1:$L$4,2,0))</f>
        <v>94.38849654500001</v>
      </c>
      <c r="AR33" s="345">
        <f t="shared" si="29"/>
        <v>0</v>
      </c>
      <c r="AS33" s="345">
        <f t="shared" si="15"/>
        <v>94.38849654500001</v>
      </c>
      <c r="AT33" s="346">
        <f t="shared" si="16"/>
        <v>65.500876081556839</v>
      </c>
      <c r="AU33" s="348">
        <f>+IF($N33&gt;J$8,"FIN",(J$19-SUM(AV$25:AV32))*VLOOKUP($N33,$A:$M,10,0)/VLOOKUP(J$15,$J$1:$L$4,2,0))</f>
        <v>97.098346469999996</v>
      </c>
      <c r="AV33" s="345">
        <f t="shared" si="30"/>
        <v>0</v>
      </c>
      <c r="AW33" s="345">
        <f t="shared" si="31"/>
        <v>97.098346469999996</v>
      </c>
      <c r="AX33" s="346">
        <f t="shared" si="40"/>
        <v>67.381375831358625</v>
      </c>
      <c r="AY33" s="348">
        <f>+IF($N33&gt;K$8,"FIN",(K$19-SUM(AZ$25:AZ32))*VLOOKUP($N33,$A:$M,11,0)/VLOOKUP(K$15,$J$1:$L$4,2,0))</f>
        <v>149.44062499999998</v>
      </c>
      <c r="AZ33" s="345">
        <f t="shared" si="17"/>
        <v>0</v>
      </c>
      <c r="BA33" s="345">
        <f t="shared" si="18"/>
        <v>149.44062499999998</v>
      </c>
      <c r="BB33" s="346">
        <f t="shared" si="19"/>
        <v>103.70428831874347</v>
      </c>
      <c r="BC33" s="348">
        <f>+IF($N33&gt;L$8,"FIN",(L$19-SUM(BD$25:BD32))*VLOOKUP($N33,$A:$M,12,0)/VLOOKUP(L$15,$J$1:$L$4,2,0))</f>
        <v>9.09375</v>
      </c>
      <c r="BD33" s="345">
        <f t="shared" si="32"/>
        <v>0</v>
      </c>
      <c r="BE33" s="345">
        <f t="shared" si="33"/>
        <v>9.09375</v>
      </c>
      <c r="BF33" s="346">
        <f t="shared" si="41"/>
        <v>6.3106057800452424</v>
      </c>
      <c r="BG33" s="242"/>
      <c r="BH33" s="348">
        <f t="shared" si="42"/>
        <v>954.59457859728832</v>
      </c>
      <c r="BI33" s="345">
        <f t="shared" si="42"/>
        <v>0</v>
      </c>
      <c r="BJ33" s="346">
        <f t="shared" si="34"/>
        <v>954.59457859728832</v>
      </c>
    </row>
    <row r="34" spans="1:62" x14ac:dyDescent="0.25">
      <c r="A34" s="27">
        <f t="shared" si="35"/>
        <v>45611</v>
      </c>
      <c r="B34" s="233">
        <v>0.01</v>
      </c>
      <c r="C34" s="233">
        <v>7.4999999999999997E-3</v>
      </c>
      <c r="D34" s="230">
        <v>1.25E-3</v>
      </c>
      <c r="E34" s="234">
        <v>3.6249999999999998E-2</v>
      </c>
      <c r="F34" s="234">
        <v>2.5000000000000001E-2</v>
      </c>
      <c r="G34" s="234">
        <v>3.7499999999999999E-2</v>
      </c>
      <c r="H34" s="234">
        <v>3.2500000000000001E-2</v>
      </c>
      <c r="I34" s="234">
        <v>3.5000000000000003E-2</v>
      </c>
      <c r="J34" s="234">
        <v>0.03</v>
      </c>
      <c r="K34" s="233">
        <v>3.6249999999999998E-2</v>
      </c>
      <c r="L34" s="233">
        <v>2.5000000000000001E-2</v>
      </c>
      <c r="M34" s="289">
        <f t="shared" si="20"/>
        <v>2024</v>
      </c>
      <c r="N34" s="32">
        <f t="shared" si="36"/>
        <v>45611</v>
      </c>
      <c r="O34" s="348">
        <f>+IF($N34&gt;B$8,"FIN",(B$19-SUM(P$25:P33))*VLOOKUP($N34,$A:$M,2,0)/VLOOKUP(B$15,$J$1:$L$4,2,0))</f>
        <v>11.185863898502399</v>
      </c>
      <c r="P34" s="345">
        <f t="shared" si="21"/>
        <v>0</v>
      </c>
      <c r="Q34" s="345">
        <f t="shared" si="22"/>
        <v>11.185863898502399</v>
      </c>
      <c r="R34" s="346">
        <f t="shared" si="5"/>
        <v>7.401184463561874</v>
      </c>
      <c r="S34" s="348">
        <f>+IF($N34&gt;C$8,"FIN",(C$19-SUM(T$25:T33))*VLOOKUP($N34,$A:$M,3,0)/VLOOKUP(C$15,$J$1:$L$4,2,0))</f>
        <v>34.556249999999999</v>
      </c>
      <c r="T34" s="345">
        <f t="shared" si="6"/>
        <v>0</v>
      </c>
      <c r="U34" s="345">
        <f t="shared" si="43"/>
        <v>34.556249999999999</v>
      </c>
      <c r="V34" s="346">
        <f t="shared" si="8"/>
        <v>22.864320801650521</v>
      </c>
      <c r="W34" s="348">
        <f>+IF($N34&gt;D$8,"FIN",(D$19-SUM(X$25:X33))*VLOOKUP($N34,$A:$M,4,0)/VLOOKUP(D$15,$J$1:$L$4,2,0))</f>
        <v>1.591428618490407</v>
      </c>
      <c r="X34" s="349">
        <f t="shared" si="9"/>
        <v>0</v>
      </c>
      <c r="Y34" s="349">
        <f t="shared" si="23"/>
        <v>1.591428618490407</v>
      </c>
      <c r="Z34" s="346">
        <f t="shared" si="37"/>
        <v>1.0529769424081654</v>
      </c>
      <c r="AA34" s="348">
        <f>+IF($N34&gt;E$8,"FIN",(E$19-SUM(AB$25:AB33))*VLOOKUP($N34,$A:$M,5,0)/VLOOKUP(E$15,$J$1:$L$4,2,0))</f>
        <v>303.27656249999995</v>
      </c>
      <c r="AB34" s="345">
        <f t="shared" si="10"/>
        <v>0</v>
      </c>
      <c r="AC34" s="345">
        <f t="shared" si="11"/>
        <v>303.27656249999995</v>
      </c>
      <c r="AD34" s="346">
        <f t="shared" si="12"/>
        <v>200.66449966711704</v>
      </c>
      <c r="AE34" s="348">
        <f>+IF($N34&gt;F$8,"FIN",(F$19-SUM(AF$25:AF33))*VLOOKUP($N34,$A:$M,6,0)/VLOOKUP(F$15,$J$1:$L$4,2,0))</f>
        <v>27.28125</v>
      </c>
      <c r="AF34" s="345">
        <f t="shared" si="24"/>
        <v>0</v>
      </c>
      <c r="AG34" s="345">
        <f t="shared" si="25"/>
        <v>27.28125</v>
      </c>
      <c r="AH34" s="346">
        <f t="shared" si="38"/>
        <v>18.05077958025041</v>
      </c>
      <c r="AI34" s="348">
        <f>+IF($N34&gt;G$8,"FIN",(G$19-SUM(AJ$25:AJ33))*VLOOKUP($N34,$A:$M,7,0)/VLOOKUP(G$15,$J$1:$L$4,2,0))</f>
        <v>104.3492200584375</v>
      </c>
      <c r="AJ34" s="345">
        <f t="shared" si="26"/>
        <v>0</v>
      </c>
      <c r="AK34" s="345">
        <f t="shared" si="13"/>
        <v>104.3492200584375</v>
      </c>
      <c r="AL34" s="346">
        <f t="shared" si="14"/>
        <v>69.043198924019251</v>
      </c>
      <c r="AM34" s="348">
        <f>+IF($N34&gt;H$8,"FIN",(H$19-SUM(AN$25:AN33))*VLOOKUP($N34,$A:$M,8,0)/VLOOKUP(H$15,$J$1:$L$4,2,0))</f>
        <v>93.864615305012492</v>
      </c>
      <c r="AN34" s="345">
        <f t="shared" si="27"/>
        <v>0</v>
      </c>
      <c r="AO34" s="345">
        <f t="shared" si="28"/>
        <v>93.864615305012492</v>
      </c>
      <c r="AP34" s="346">
        <f t="shared" si="39"/>
        <v>62.106006185778867</v>
      </c>
      <c r="AQ34" s="348">
        <f>+IF($N34&gt;I$8,"FIN",(I$19-SUM(AR$25:AR33))*VLOOKUP($N34,$A:$M,9,0)/VLOOKUP(I$15,$J$1:$L$4,2,0))</f>
        <v>94.38849654500001</v>
      </c>
      <c r="AR34" s="345">
        <f t="shared" si="29"/>
        <v>0</v>
      </c>
      <c r="AS34" s="345">
        <f t="shared" si="15"/>
        <v>94.38849654500001</v>
      </c>
      <c r="AT34" s="346">
        <f t="shared" si="16"/>
        <v>62.452634906575859</v>
      </c>
      <c r="AU34" s="348">
        <f>+IF($N34&gt;J$8,"FIN",(J$19-SUM(AV$25:AV33))*VLOOKUP($N34,$A:$M,10,0)/VLOOKUP(J$15,$J$1:$L$4,2,0))</f>
        <v>97.098346469999996</v>
      </c>
      <c r="AV34" s="345">
        <f t="shared" si="30"/>
        <v>0</v>
      </c>
      <c r="AW34" s="345">
        <f t="shared" si="31"/>
        <v>97.098346469999996</v>
      </c>
      <c r="AX34" s="346">
        <f t="shared" si="40"/>
        <v>64.245621067097574</v>
      </c>
      <c r="AY34" s="348">
        <f>+IF($N34&gt;K$8,"FIN",(K$19-SUM(AZ$25:AZ33))*VLOOKUP($N34,$A:$M,11,0)/VLOOKUP(K$15,$J$1:$L$4,2,0))</f>
        <v>149.44062499999998</v>
      </c>
      <c r="AZ34" s="345">
        <f t="shared" si="17"/>
        <v>0</v>
      </c>
      <c r="BA34" s="345">
        <f t="shared" si="18"/>
        <v>149.44062499999998</v>
      </c>
      <c r="BB34" s="346">
        <f t="shared" si="19"/>
        <v>98.878159256260574</v>
      </c>
      <c r="BC34" s="348">
        <f>+IF($N34&gt;L$8,"FIN",(L$19-SUM(BD$25:BD33))*VLOOKUP($N34,$A:$M,12,0)/VLOOKUP(L$15,$J$1:$L$4,2,0))</f>
        <v>9.09375</v>
      </c>
      <c r="BD34" s="345">
        <f t="shared" si="32"/>
        <v>0</v>
      </c>
      <c r="BE34" s="345">
        <f t="shared" si="33"/>
        <v>9.09375</v>
      </c>
      <c r="BF34" s="346">
        <f t="shared" si="41"/>
        <v>6.0169265267501375</v>
      </c>
      <c r="BG34" s="242"/>
      <c r="BH34" s="348">
        <f t="shared" si="42"/>
        <v>954.59457859728832</v>
      </c>
      <c r="BI34" s="345">
        <f t="shared" si="42"/>
        <v>0</v>
      </c>
      <c r="BJ34" s="346">
        <f t="shared" si="34"/>
        <v>954.59457859728832</v>
      </c>
    </row>
    <row r="35" spans="1:62" x14ac:dyDescent="0.25">
      <c r="A35" s="27">
        <f t="shared" si="35"/>
        <v>45792</v>
      </c>
      <c r="B35" s="233">
        <v>0.01</v>
      </c>
      <c r="C35" s="233">
        <v>7.4999999999999997E-3</v>
      </c>
      <c r="D35" s="230">
        <v>1.25E-3</v>
      </c>
      <c r="E35" s="234">
        <v>4.3749999999999997E-2</v>
      </c>
      <c r="F35" s="234">
        <v>3.7499999999999999E-2</v>
      </c>
      <c r="G35" s="234">
        <v>4.4999999999999998E-2</v>
      </c>
      <c r="H35" s="234">
        <v>0.04</v>
      </c>
      <c r="I35" s="234">
        <v>3.5000000000000003E-2</v>
      </c>
      <c r="J35" s="234">
        <v>0.03</v>
      </c>
      <c r="K35" s="233">
        <v>4.3749999999999997E-2</v>
      </c>
      <c r="L35" s="233">
        <v>3.7499999999999999E-2</v>
      </c>
      <c r="M35" s="289">
        <f t="shared" si="20"/>
        <v>2025</v>
      </c>
      <c r="N35" s="32">
        <f t="shared" si="36"/>
        <v>45792</v>
      </c>
      <c r="O35" s="348">
        <f>+IF($N35&gt;B$8,"FIN",(B$19-SUM(P$25:P34))*VLOOKUP($N35,$A:$M,2,0)/VLOOKUP(B$15,$J$1:$L$4,2,0))</f>
        <v>11.185863898502399</v>
      </c>
      <c r="P35" s="345">
        <f t="shared" si="21"/>
        <v>0</v>
      </c>
      <c r="Q35" s="345">
        <f t="shared" si="22"/>
        <v>11.185863898502399</v>
      </c>
      <c r="R35" s="346">
        <f t="shared" si="5"/>
        <v>7.0567525021119542</v>
      </c>
      <c r="S35" s="348">
        <f>+IF($N35&gt;C$8,"FIN",(C$19-SUM(T$25:T34))*VLOOKUP($N35,$A:$M,3,0)/VLOOKUP(C$15,$J$1:$L$4,2,0))</f>
        <v>34.556249999999999</v>
      </c>
      <c r="T35" s="345">
        <f t="shared" si="6"/>
        <v>767.91666666666663</v>
      </c>
      <c r="U35" s="345">
        <f t="shared" si="43"/>
        <v>802.47291666666661</v>
      </c>
      <c r="V35" s="346">
        <f t="shared" si="8"/>
        <v>506.25081924362934</v>
      </c>
      <c r="W35" s="348">
        <f>+IF($N35&gt;D$8,"FIN",(D$19-SUM(X$25:X34))*VLOOKUP($N35,$A:$M,4,0)/VLOOKUP(D$15,$J$1:$L$4,2,0))</f>
        <v>1.591428618490407</v>
      </c>
      <c r="X35" s="349">
        <f t="shared" si="9"/>
        <v>212.19048246538759</v>
      </c>
      <c r="Y35" s="349">
        <f t="shared" si="23"/>
        <v>213.78191108387799</v>
      </c>
      <c r="Z35" s="346">
        <f t="shared" si="37"/>
        <v>134.86719037851054</v>
      </c>
      <c r="AA35" s="348">
        <f>+IF($N35&gt;E$8,"FIN",(E$19-SUM(AB$25:AB34))*VLOOKUP($N35,$A:$M,5,0)/VLOOKUP(E$15,$J$1:$L$4,2,0))</f>
        <v>366.0234375</v>
      </c>
      <c r="AB35" s="345">
        <f t="shared" si="10"/>
        <v>0</v>
      </c>
      <c r="AC35" s="345">
        <f t="shared" si="11"/>
        <v>366.0234375</v>
      </c>
      <c r="AD35" s="346">
        <f t="shared" si="12"/>
        <v>230.9108024062009</v>
      </c>
      <c r="AE35" s="348">
        <f>+IF($N35&gt;F$8,"FIN",(F$19-SUM(AF$25:AF34))*VLOOKUP($N35,$A:$M,6,0)/VLOOKUP(F$15,$J$1:$L$4,2,0))</f>
        <v>40.921875</v>
      </c>
      <c r="AF35" s="345">
        <f t="shared" si="24"/>
        <v>0</v>
      </c>
      <c r="AG35" s="345">
        <f t="shared" si="25"/>
        <v>40.921875</v>
      </c>
      <c r="AH35" s="346">
        <f t="shared" si="38"/>
        <v>25.816114554730536</v>
      </c>
      <c r="AI35" s="348">
        <f>+IF($N35&gt;G$8,"FIN",(G$19-SUM(AJ$25:AJ34))*VLOOKUP($N35,$A:$M,7,0)/VLOOKUP(G$15,$J$1:$L$4,2,0))</f>
        <v>125.219064070125</v>
      </c>
      <c r="AJ35" s="345">
        <f t="shared" si="26"/>
        <v>0</v>
      </c>
      <c r="AK35" s="345">
        <f t="shared" si="13"/>
        <v>125.219064070125</v>
      </c>
      <c r="AL35" s="346">
        <f t="shared" si="14"/>
        <v>78.996128659072667</v>
      </c>
      <c r="AM35" s="348">
        <f>+IF($N35&gt;H$8,"FIN",(H$19-SUM(AN$25:AN34))*VLOOKUP($N35,$A:$M,8,0)/VLOOKUP(H$15,$J$1:$L$4,2,0))</f>
        <v>115.52568037539999</v>
      </c>
      <c r="AN35" s="345">
        <f t="shared" si="27"/>
        <v>0</v>
      </c>
      <c r="AO35" s="345">
        <f t="shared" si="28"/>
        <v>115.52568037539999</v>
      </c>
      <c r="AP35" s="346">
        <f t="shared" si="39"/>
        <v>72.880927342271377</v>
      </c>
      <c r="AQ35" s="348">
        <f>+IF($N35&gt;I$8,"FIN",(I$19-SUM(AR$25:AR34))*VLOOKUP($N35,$A:$M,9,0)/VLOOKUP(I$15,$J$1:$L$4,2,0))</f>
        <v>94.38849654500001</v>
      </c>
      <c r="AR35" s="345">
        <f t="shared" si="29"/>
        <v>0</v>
      </c>
      <c r="AS35" s="345">
        <f t="shared" si="15"/>
        <v>94.38849654500001</v>
      </c>
      <c r="AT35" s="346">
        <f t="shared" si="16"/>
        <v>59.546250983233477</v>
      </c>
      <c r="AU35" s="348">
        <f>+IF($N35&gt;J$8,"FIN",(J$19-SUM(AV$25:AV34))*VLOOKUP($N35,$A:$M,10,0)/VLOOKUP(J$15,$J$1:$L$4,2,0))</f>
        <v>97.098346469999996</v>
      </c>
      <c r="AV35" s="345">
        <f t="shared" si="30"/>
        <v>0</v>
      </c>
      <c r="AW35" s="345">
        <f t="shared" si="31"/>
        <v>97.098346469999996</v>
      </c>
      <c r="AX35" s="346">
        <f t="shared" si="40"/>
        <v>61.255796210326018</v>
      </c>
      <c r="AY35" s="348">
        <f>+IF($N35&gt;K$8,"FIN",(K$19-SUM(AZ$25:AZ34))*VLOOKUP($N35,$A:$M,11,0)/VLOOKUP(K$15,$J$1:$L$4,2,0))</f>
        <v>180.359375</v>
      </c>
      <c r="AZ35" s="345">
        <f t="shared" si="17"/>
        <v>187.38636363636363</v>
      </c>
      <c r="BA35" s="345">
        <f t="shared" si="18"/>
        <v>367.74573863636363</v>
      </c>
      <c r="BB35" s="346">
        <f t="shared" si="19"/>
        <v>231.99733921405991</v>
      </c>
      <c r="BC35" s="348">
        <f>+IF($N35&gt;L$8,"FIN",(L$19-SUM(BD$25:BD34))*VLOOKUP($N35,$A:$M,12,0)/VLOOKUP(L$15,$J$1:$L$4,2,0))</f>
        <v>13.640625</v>
      </c>
      <c r="BD35" s="345">
        <f t="shared" si="32"/>
        <v>16.53409090909091</v>
      </c>
      <c r="BE35" s="345">
        <f t="shared" si="33"/>
        <v>30.17471590909091</v>
      </c>
      <c r="BF35" s="346">
        <f t="shared" si="41"/>
        <v>19.036124873690191</v>
      </c>
      <c r="BG35" s="242"/>
      <c r="BH35" s="348">
        <f t="shared" si="42"/>
        <v>1113.9339210859125</v>
      </c>
      <c r="BI35" s="345">
        <f t="shared" si="42"/>
        <v>1212.4703041668467</v>
      </c>
      <c r="BJ35" s="346">
        <f t="shared" si="34"/>
        <v>2326.4042252527593</v>
      </c>
    </row>
    <row r="36" spans="1:62" x14ac:dyDescent="0.25">
      <c r="A36" s="27">
        <f t="shared" si="35"/>
        <v>45976</v>
      </c>
      <c r="B36" s="233">
        <v>0.01</v>
      </c>
      <c r="C36" s="233">
        <v>7.4999999999999997E-3</v>
      </c>
      <c r="D36" s="230">
        <v>1.25E-3</v>
      </c>
      <c r="E36" s="234">
        <v>4.3749999999999997E-2</v>
      </c>
      <c r="F36" s="234">
        <v>3.7499999999999999E-2</v>
      </c>
      <c r="G36" s="234">
        <v>4.4999999999999998E-2</v>
      </c>
      <c r="H36" s="234">
        <v>0.04</v>
      </c>
      <c r="I36" s="234">
        <v>3.5000000000000003E-2</v>
      </c>
      <c r="J36" s="234">
        <v>0.03</v>
      </c>
      <c r="K36" s="233">
        <v>4.3749999999999997E-2</v>
      </c>
      <c r="L36" s="233">
        <v>3.7499999999999999E-2</v>
      </c>
      <c r="M36" s="289">
        <f t="shared" si="20"/>
        <v>2025</v>
      </c>
      <c r="N36" s="32">
        <f t="shared" si="36"/>
        <v>45976</v>
      </c>
      <c r="O36" s="348">
        <f>+IF($N36&gt;B$8,"FIN",(B$19-SUM(P$25:P35))*VLOOKUP($N36,$A:$M,2,0)/VLOOKUP(B$15,$J$1:$L$4,2,0))</f>
        <v>11.185863898502399</v>
      </c>
      <c r="P36" s="345">
        <f t="shared" si="21"/>
        <v>0</v>
      </c>
      <c r="Q36" s="345">
        <f t="shared" si="22"/>
        <v>11.185863898502399</v>
      </c>
      <c r="R36" s="346">
        <f t="shared" si="5"/>
        <v>6.7283495123289763</v>
      </c>
      <c r="S36" s="348">
        <f>+IF($N36&gt;C$8,"FIN",(C$19-SUM(T$25:T35))*VLOOKUP($N36,$A:$M,3,0)/VLOOKUP(C$15,$J$1:$L$4,2,0))</f>
        <v>31.676562500000003</v>
      </c>
      <c r="T36" s="345">
        <f t="shared" si="6"/>
        <v>767.91666666666663</v>
      </c>
      <c r="U36" s="345">
        <f t="shared" si="43"/>
        <v>799.59322916666667</v>
      </c>
      <c r="V36" s="346">
        <f t="shared" si="8"/>
        <v>480.95907140845668</v>
      </c>
      <c r="W36" s="348">
        <f>+IF($N36&gt;D$8,"FIN",(D$19-SUM(X$25:X35))*VLOOKUP($N36,$A:$M,4,0)/VLOOKUP(D$15,$J$1:$L$4,2,0))</f>
        <v>1.4588095669495398</v>
      </c>
      <c r="X36" s="349">
        <f t="shared" si="9"/>
        <v>212.19048246538759</v>
      </c>
      <c r="Y36" s="349">
        <f t="shared" si="23"/>
        <v>213.64929203233712</v>
      </c>
      <c r="Z36" s="346">
        <f t="shared" si="37"/>
        <v>128.51104956208744</v>
      </c>
      <c r="AA36" s="348">
        <f>+IF($N36&gt;E$8,"FIN",(E$19-SUM(AB$25:AB35))*VLOOKUP($N36,$A:$M,5,0)/VLOOKUP(E$15,$J$1:$L$4,2,0))</f>
        <v>366.0234375</v>
      </c>
      <c r="AB36" s="345">
        <f t="shared" si="10"/>
        <v>0</v>
      </c>
      <c r="AC36" s="345">
        <f t="shared" si="11"/>
        <v>366.0234375</v>
      </c>
      <c r="AD36" s="346">
        <f t="shared" si="12"/>
        <v>220.16481154699366</v>
      </c>
      <c r="AE36" s="348">
        <f>+IF($N36&gt;F$8,"FIN",(F$19-SUM(AF$25:AF35))*VLOOKUP($N36,$A:$M,6,0)/VLOOKUP(F$15,$J$1:$L$4,2,0))</f>
        <v>40.921875</v>
      </c>
      <c r="AF36" s="345">
        <f t="shared" si="24"/>
        <v>0</v>
      </c>
      <c r="AG36" s="345">
        <f t="shared" si="25"/>
        <v>40.921875</v>
      </c>
      <c r="AH36" s="346">
        <f t="shared" si="38"/>
        <v>24.614699427614198</v>
      </c>
      <c r="AI36" s="348">
        <f>+IF($N36&gt;G$8,"FIN",(G$19-SUM(AJ$25:AJ35))*VLOOKUP($N36,$A:$M,7,0)/VLOOKUP(G$15,$J$1:$L$4,2,0))</f>
        <v>125.219064070125</v>
      </c>
      <c r="AJ36" s="345">
        <f t="shared" si="26"/>
        <v>0</v>
      </c>
      <c r="AK36" s="345">
        <f t="shared" si="13"/>
        <v>125.219064070125</v>
      </c>
      <c r="AL36" s="346">
        <f t="shared" si="14"/>
        <v>75.319853371657373</v>
      </c>
      <c r="AM36" s="348">
        <f>+IF($N36&gt;H$8,"FIN",(H$19-SUM(AN$25:AN35))*VLOOKUP($N36,$A:$M,8,0)/VLOOKUP(H$15,$J$1:$L$4,2,0))</f>
        <v>115.52568037539999</v>
      </c>
      <c r="AN36" s="345">
        <f t="shared" si="27"/>
        <v>0</v>
      </c>
      <c r="AO36" s="345">
        <f t="shared" si="28"/>
        <v>115.52568037539999</v>
      </c>
      <c r="AP36" s="346">
        <f t="shared" si="39"/>
        <v>69.489237690381941</v>
      </c>
      <c r="AQ36" s="348">
        <f>+IF($N36&gt;I$8,"FIN",(I$19-SUM(AR$25:AR35))*VLOOKUP($N36,$A:$M,9,0)/VLOOKUP(I$15,$J$1:$L$4,2,0))</f>
        <v>94.38849654500001</v>
      </c>
      <c r="AR36" s="345">
        <f t="shared" si="29"/>
        <v>0</v>
      </c>
      <c r="AS36" s="345">
        <f t="shared" si="15"/>
        <v>94.38849654500001</v>
      </c>
      <c r="AT36" s="346">
        <f t="shared" si="16"/>
        <v>56.775122642341692</v>
      </c>
      <c r="AU36" s="348">
        <f>+IF($N36&gt;J$8,"FIN",(J$19-SUM(AV$25:AV35))*VLOOKUP($N36,$A:$M,10,0)/VLOOKUP(J$15,$J$1:$L$4,2,0))</f>
        <v>97.098346469999996</v>
      </c>
      <c r="AV36" s="345">
        <f t="shared" si="30"/>
        <v>0</v>
      </c>
      <c r="AW36" s="345">
        <f t="shared" si="31"/>
        <v>97.098346469999996</v>
      </c>
      <c r="AX36" s="346">
        <f t="shared" si="40"/>
        <v>58.405110060997792</v>
      </c>
      <c r="AY36" s="348">
        <f>+IF($N36&gt;K$8,"FIN",(K$19-SUM(AZ$25:AZ35))*VLOOKUP($N36,$A:$M,11,0)/VLOOKUP(K$15,$J$1:$L$4,2,0))</f>
        <v>176.26029829545453</v>
      </c>
      <c r="AZ36" s="345">
        <f t="shared" si="17"/>
        <v>187.38636363636363</v>
      </c>
      <c r="BA36" s="345">
        <f t="shared" si="18"/>
        <v>363.64666193181813</v>
      </c>
      <c r="BB36" s="346">
        <f t="shared" si="19"/>
        <v>218.73516991357158</v>
      </c>
      <c r="BC36" s="348">
        <f>+IF($N36&gt;L$8,"FIN",(L$19-SUM(BD$25:BD35))*VLOOKUP($N36,$A:$M,12,0)/VLOOKUP(L$15,$J$1:$L$4,2,0))</f>
        <v>13.330610795454545</v>
      </c>
      <c r="BD36" s="345">
        <f t="shared" si="32"/>
        <v>16.53409090909091</v>
      </c>
      <c r="BE36" s="345">
        <f t="shared" si="33"/>
        <v>29.864701704545453</v>
      </c>
      <c r="BF36" s="346">
        <f t="shared" si="41"/>
        <v>17.963757915607331</v>
      </c>
      <c r="BG36" s="242"/>
      <c r="BH36" s="348">
        <f t="shared" si="42"/>
        <v>1106.4574806321132</v>
      </c>
      <c r="BI36" s="345">
        <f t="shared" si="42"/>
        <v>1212.4703041668467</v>
      </c>
      <c r="BJ36" s="346">
        <f t="shared" si="34"/>
        <v>2318.9277847989597</v>
      </c>
    </row>
    <row r="37" spans="1:62" x14ac:dyDescent="0.25">
      <c r="A37" s="27">
        <f t="shared" si="35"/>
        <v>46157</v>
      </c>
      <c r="B37" s="233">
        <v>0.01</v>
      </c>
      <c r="C37" s="233">
        <v>7.4999999999999997E-3</v>
      </c>
      <c r="D37" s="230">
        <v>1.25E-3</v>
      </c>
      <c r="E37" s="234">
        <v>4.3749999999999997E-2</v>
      </c>
      <c r="F37" s="234">
        <v>0.04</v>
      </c>
      <c r="G37" s="234">
        <v>4.4999999999999998E-2</v>
      </c>
      <c r="H37" s="234">
        <v>0.04</v>
      </c>
      <c r="I37" s="234">
        <v>3.5000000000000003E-2</v>
      </c>
      <c r="J37" s="234">
        <v>0.03</v>
      </c>
      <c r="K37" s="233">
        <v>4.3749999999999997E-2</v>
      </c>
      <c r="L37" s="233">
        <v>0.04</v>
      </c>
      <c r="M37" s="289">
        <f t="shared" si="20"/>
        <v>2026</v>
      </c>
      <c r="N37" s="32">
        <f t="shared" si="36"/>
        <v>46157</v>
      </c>
      <c r="O37" s="348">
        <f>+IF($N37&gt;B$8,"FIN",(B$19-SUM(P$25:P36))*VLOOKUP($N37,$A:$M,2,0)/VLOOKUP(B$15,$J$1:$L$4,2,0))</f>
        <v>11.185863898502399</v>
      </c>
      <c r="P37" s="345">
        <f t="shared" si="21"/>
        <v>0</v>
      </c>
      <c r="Q37" s="345">
        <f t="shared" si="22"/>
        <v>11.185863898502399</v>
      </c>
      <c r="R37" s="346">
        <f t="shared" si="5"/>
        <v>6.4152295473745031</v>
      </c>
      <c r="S37" s="348">
        <f>+IF($N37&gt;C$8,"FIN",(C$19-SUM(T$25:T36))*VLOOKUP($N37,$A:$M,3,0)/VLOOKUP(C$15,$J$1:$L$4,2,0))</f>
        <v>28.796875</v>
      </c>
      <c r="T37" s="345">
        <f t="shared" si="6"/>
        <v>767.91666666666663</v>
      </c>
      <c r="U37" s="345">
        <f t="shared" si="43"/>
        <v>796.71354166666663</v>
      </c>
      <c r="V37" s="346">
        <f t="shared" si="8"/>
        <v>456.92494559831704</v>
      </c>
      <c r="W37" s="348">
        <f>+IF($N37&gt;D$8,"FIN",(D$19-SUM(X$25:X36))*VLOOKUP($N37,$A:$M,4,0)/VLOOKUP(D$15,$J$1:$L$4,2,0))</f>
        <v>1.3261905154086724</v>
      </c>
      <c r="X37" s="349">
        <f t="shared" si="9"/>
        <v>212.19048246538759</v>
      </c>
      <c r="Y37" s="349">
        <f t="shared" si="23"/>
        <v>213.51667298079627</v>
      </c>
      <c r="Z37" s="346">
        <f t="shared" si="37"/>
        <v>122.4544194165362</v>
      </c>
      <c r="AA37" s="348">
        <f>+IF($N37&gt;E$8,"FIN",(E$19-SUM(AB$25:AB36))*VLOOKUP($N37,$A:$M,5,0)/VLOOKUP(E$15,$J$1:$L$4,2,0))</f>
        <v>366.0234375</v>
      </c>
      <c r="AB37" s="345">
        <f t="shared" si="10"/>
        <v>0</v>
      </c>
      <c r="AC37" s="345">
        <f t="shared" si="11"/>
        <v>366.0234375</v>
      </c>
      <c r="AD37" s="346">
        <f t="shared" si="12"/>
        <v>209.91891127836442</v>
      </c>
      <c r="AE37" s="348">
        <f>+IF($N37&gt;F$8,"FIN",(F$19-SUM(AF$25:AF36))*VLOOKUP($N37,$A:$M,6,0)/VLOOKUP(F$15,$J$1:$L$4,2,0))</f>
        <v>43.65</v>
      </c>
      <c r="AF37" s="345">
        <f t="shared" si="24"/>
        <v>0</v>
      </c>
      <c r="AG37" s="345">
        <f t="shared" si="25"/>
        <v>43.65</v>
      </c>
      <c r="AH37" s="346">
        <f t="shared" si="38"/>
        <v>25.033808053072029</v>
      </c>
      <c r="AI37" s="348">
        <f>+IF($N37&gt;G$8,"FIN",(G$19-SUM(AJ$25:AJ36))*VLOOKUP($N37,$A:$M,7,0)/VLOOKUP(G$15,$J$1:$L$4,2,0))</f>
        <v>125.219064070125</v>
      </c>
      <c r="AJ37" s="345">
        <f t="shared" si="26"/>
        <v>0</v>
      </c>
      <c r="AK37" s="345">
        <f t="shared" si="13"/>
        <v>125.219064070125</v>
      </c>
      <c r="AL37" s="346">
        <f t="shared" si="14"/>
        <v>71.814662417338781</v>
      </c>
      <c r="AM37" s="348">
        <f>+IF($N37&gt;H$8,"FIN",(H$19-SUM(AN$25:AN36))*VLOOKUP($N37,$A:$M,8,0)/VLOOKUP(H$15,$J$1:$L$4,2,0))</f>
        <v>115.52568037539999</v>
      </c>
      <c r="AN37" s="345">
        <f t="shared" si="27"/>
        <v>0</v>
      </c>
      <c r="AO37" s="345">
        <f t="shared" si="28"/>
        <v>115.52568037539999</v>
      </c>
      <c r="AP37" s="346">
        <f t="shared" si="39"/>
        <v>66.255388492973964</v>
      </c>
      <c r="AQ37" s="348">
        <f>+IF($N37&gt;I$8,"FIN",(I$19-SUM(AR$25:AR36))*VLOOKUP($N37,$A:$M,9,0)/VLOOKUP(I$15,$J$1:$L$4,2,0))</f>
        <v>94.38849654500001</v>
      </c>
      <c r="AR37" s="345">
        <f t="shared" si="29"/>
        <v>0</v>
      </c>
      <c r="AS37" s="345">
        <f t="shared" si="15"/>
        <v>94.38849654500001</v>
      </c>
      <c r="AT37" s="346">
        <f t="shared" si="16"/>
        <v>54.13295543930316</v>
      </c>
      <c r="AU37" s="348">
        <f>+IF($N37&gt;J$8,"FIN",(J$19-SUM(AV$25:AV36))*VLOOKUP($N37,$A:$M,10,0)/VLOOKUP(J$15,$J$1:$L$4,2,0))</f>
        <v>97.098346469999996</v>
      </c>
      <c r="AV37" s="345">
        <f t="shared" si="30"/>
        <v>0</v>
      </c>
      <c r="AW37" s="345">
        <f t="shared" si="31"/>
        <v>97.098346469999996</v>
      </c>
      <c r="AX37" s="346">
        <f t="shared" si="40"/>
        <v>55.687087463932741</v>
      </c>
      <c r="AY37" s="348">
        <f>+IF($N37&gt;K$8,"FIN",(K$19-SUM(AZ$25:AZ36))*VLOOKUP($N37,$A:$M,11,0)/VLOOKUP(K$15,$J$1:$L$4,2,0))</f>
        <v>172.16122159090909</v>
      </c>
      <c r="AZ37" s="345">
        <f t="shared" si="17"/>
        <v>187.38636363636363</v>
      </c>
      <c r="BA37" s="345">
        <f t="shared" si="18"/>
        <v>359.54758522727275</v>
      </c>
      <c r="BB37" s="346">
        <f t="shared" si="19"/>
        <v>206.20493091695539</v>
      </c>
      <c r="BC37" s="348">
        <f>+IF($N37&gt;L$8,"FIN",(L$19-SUM(BD$25:BD36))*VLOOKUP($N37,$A:$M,12,0)/VLOOKUP(L$15,$J$1:$L$4,2,0))</f>
        <v>13.888636363636364</v>
      </c>
      <c r="BD37" s="345">
        <f t="shared" si="32"/>
        <v>16.53409090909091</v>
      </c>
      <c r="BE37" s="345">
        <f t="shared" si="33"/>
        <v>30.422727272727272</v>
      </c>
      <c r="BF37" s="346">
        <f t="shared" si="41"/>
        <v>17.447805612747175</v>
      </c>
      <c r="BG37" s="242"/>
      <c r="BH37" s="348">
        <f t="shared" si="42"/>
        <v>1103.0244006153807</v>
      </c>
      <c r="BI37" s="345">
        <f t="shared" si="42"/>
        <v>1212.4703041668467</v>
      </c>
      <c r="BJ37" s="346">
        <f t="shared" si="34"/>
        <v>2315.4947047822275</v>
      </c>
    </row>
    <row r="38" spans="1:62" x14ac:dyDescent="0.25">
      <c r="A38" s="27">
        <f t="shared" si="35"/>
        <v>46341</v>
      </c>
      <c r="B38" s="233">
        <v>0.01</v>
      </c>
      <c r="C38" s="233">
        <v>7.4999999999999997E-3</v>
      </c>
      <c r="D38" s="230">
        <v>1.25E-3</v>
      </c>
      <c r="E38" s="234">
        <v>4.3749999999999997E-2</v>
      </c>
      <c r="F38" s="234">
        <v>0.04</v>
      </c>
      <c r="G38" s="234">
        <v>4.4999999999999998E-2</v>
      </c>
      <c r="H38" s="234">
        <v>0.04</v>
      </c>
      <c r="I38" s="234">
        <v>3.5000000000000003E-2</v>
      </c>
      <c r="J38" s="234">
        <v>0.03</v>
      </c>
      <c r="K38" s="233">
        <v>4.3749999999999997E-2</v>
      </c>
      <c r="L38" s="233">
        <v>0.04</v>
      </c>
      <c r="M38" s="289">
        <f t="shared" si="20"/>
        <v>2026</v>
      </c>
      <c r="N38" s="32">
        <f t="shared" si="36"/>
        <v>46341</v>
      </c>
      <c r="O38" s="348">
        <f>+IF($N38&gt;B$8,"FIN",(B$19-SUM(P$25:P37))*VLOOKUP($N38,$A:$M,2,0)/VLOOKUP(B$15,$J$1:$L$4,2,0))</f>
        <v>11.185863898502399</v>
      </c>
      <c r="P38" s="345">
        <f t="shared" si="21"/>
        <v>279.64659746255995</v>
      </c>
      <c r="Q38" s="345">
        <f t="shared" si="22"/>
        <v>290.83246136106237</v>
      </c>
      <c r="R38" s="346">
        <f t="shared" si="5"/>
        <v>159.03371574595758</v>
      </c>
      <c r="S38" s="348">
        <f>+IF($N38&gt;C$8,"FIN",(C$19-SUM(T$25:T37))*VLOOKUP($N38,$A:$M,3,0)/VLOOKUP(C$15,$J$1:$L$4,2,0))</f>
        <v>25.917187500000001</v>
      </c>
      <c r="T38" s="345">
        <f t="shared" si="6"/>
        <v>767.91666666666663</v>
      </c>
      <c r="U38" s="345">
        <f t="shared" si="43"/>
        <v>793.83385416666658</v>
      </c>
      <c r="V38" s="346">
        <f t="shared" si="8"/>
        <v>434.08616397991216</v>
      </c>
      <c r="W38" s="348">
        <f>+IF($N38&gt;D$8,"FIN",(D$19-SUM(X$25:X37))*VLOOKUP($N38,$A:$M,4,0)/VLOOKUP(D$15,$J$1:$L$4,2,0))</f>
        <v>1.1935714638678052</v>
      </c>
      <c r="X38" s="349">
        <f t="shared" si="9"/>
        <v>212.19048246538759</v>
      </c>
      <c r="Y38" s="349">
        <f t="shared" si="23"/>
        <v>213.3840539292554</v>
      </c>
      <c r="Z38" s="346">
        <f t="shared" si="37"/>
        <v>116.68318872828772</v>
      </c>
      <c r="AA38" s="348">
        <f>+IF($N38&gt;E$8,"FIN",(E$19-SUM(AB$25:AB37))*VLOOKUP($N38,$A:$M,5,0)/VLOOKUP(E$15,$J$1:$L$4,2,0))</f>
        <v>366.0234375</v>
      </c>
      <c r="AB38" s="345">
        <f t="shared" si="10"/>
        <v>0</v>
      </c>
      <c r="AC38" s="345">
        <f t="shared" si="11"/>
        <v>366.0234375</v>
      </c>
      <c r="AD38" s="346">
        <f t="shared" si="12"/>
        <v>200.14982867908509</v>
      </c>
      <c r="AE38" s="348">
        <f>+IF($N38&gt;F$8,"FIN",(F$19-SUM(AF$25:AF37))*VLOOKUP($N38,$A:$M,6,0)/VLOOKUP(F$15,$J$1:$L$4,2,0))</f>
        <v>43.65</v>
      </c>
      <c r="AF38" s="345">
        <f t="shared" si="24"/>
        <v>0</v>
      </c>
      <c r="AG38" s="345">
        <f t="shared" si="25"/>
        <v>43.65</v>
      </c>
      <c r="AH38" s="346">
        <f t="shared" si="38"/>
        <v>23.868799444959215</v>
      </c>
      <c r="AI38" s="348">
        <f>+IF($N38&gt;G$8,"FIN",(G$19-SUM(AJ$25:AJ37))*VLOOKUP($N38,$A:$M,7,0)/VLOOKUP(G$15,$J$1:$L$4,2,0))</f>
        <v>125.219064070125</v>
      </c>
      <c r="AJ38" s="345">
        <f t="shared" si="26"/>
        <v>0</v>
      </c>
      <c r="AK38" s="345">
        <f t="shared" si="13"/>
        <v>125.219064070125</v>
      </c>
      <c r="AL38" s="346">
        <f t="shared" si="14"/>
        <v>68.472593974233959</v>
      </c>
      <c r="AM38" s="348">
        <f>+IF($N38&gt;H$8,"FIN",(H$19-SUM(AN$25:AN37))*VLOOKUP($N38,$A:$M,8,0)/VLOOKUP(H$15,$J$1:$L$4,2,0))</f>
        <v>115.52568037539999</v>
      </c>
      <c r="AN38" s="345">
        <f t="shared" si="27"/>
        <v>0</v>
      </c>
      <c r="AO38" s="345">
        <f t="shared" si="28"/>
        <v>115.52568037539999</v>
      </c>
      <c r="AP38" s="346">
        <f t="shared" si="39"/>
        <v>63.172034263983576</v>
      </c>
      <c r="AQ38" s="348">
        <f>+IF($N38&gt;I$8,"FIN",(I$19-SUM(AR$25:AR37))*VLOOKUP($N38,$A:$M,9,0)/VLOOKUP(I$15,$J$1:$L$4,2,0))</f>
        <v>94.38849654500001</v>
      </c>
      <c r="AR38" s="345">
        <f t="shared" si="29"/>
        <v>0</v>
      </c>
      <c r="AS38" s="345">
        <f t="shared" si="15"/>
        <v>94.38849654500001</v>
      </c>
      <c r="AT38" s="346">
        <f t="shared" si="16"/>
        <v>51.613747856674252</v>
      </c>
      <c r="AU38" s="348">
        <f>+IF($N38&gt;J$8,"FIN",(J$19-SUM(AV$25:AV37))*VLOOKUP($N38,$A:$M,10,0)/VLOOKUP(J$15,$J$1:$L$4,2,0))</f>
        <v>97.098346469999996</v>
      </c>
      <c r="AV38" s="345">
        <f t="shared" si="30"/>
        <v>0</v>
      </c>
      <c r="AW38" s="345">
        <f t="shared" si="31"/>
        <v>97.098346469999996</v>
      </c>
      <c r="AX38" s="346">
        <f t="shared" si="40"/>
        <v>53.095554600907072</v>
      </c>
      <c r="AY38" s="348">
        <f>+IF($N38&gt;K$8,"FIN",(K$19-SUM(AZ$25:AZ37))*VLOOKUP($N38,$A:$M,11,0)/VLOOKUP(K$15,$J$1:$L$4,2,0))</f>
        <v>168.06214488636363</v>
      </c>
      <c r="AZ38" s="345">
        <f t="shared" si="17"/>
        <v>187.38636363636363</v>
      </c>
      <c r="BA38" s="345">
        <f t="shared" si="18"/>
        <v>355.44850852272725</v>
      </c>
      <c r="BB38" s="346">
        <f t="shared" si="19"/>
        <v>194.36722022769425</v>
      </c>
      <c r="BC38" s="348">
        <f>+IF($N38&gt;L$8,"FIN",(L$19-SUM(BD$25:BD37))*VLOOKUP($N38,$A:$M,12,0)/VLOOKUP(L$15,$J$1:$L$4,2,0))</f>
        <v>13.557954545454546</v>
      </c>
      <c r="BD38" s="345">
        <f t="shared" si="32"/>
        <v>16.53409090909091</v>
      </c>
      <c r="BE38" s="345">
        <f t="shared" si="33"/>
        <v>30.092045454545456</v>
      </c>
      <c r="BF38" s="346">
        <f t="shared" si="41"/>
        <v>16.455005677964309</v>
      </c>
      <c r="BG38" s="242"/>
      <c r="BH38" s="348">
        <f t="shared" si="42"/>
        <v>1095.5247224579205</v>
      </c>
      <c r="BI38" s="345">
        <f t="shared" si="42"/>
        <v>1492.116901629407</v>
      </c>
      <c r="BJ38" s="346">
        <f t="shared" si="34"/>
        <v>2587.6416240873277</v>
      </c>
    </row>
    <row r="39" spans="1:62" x14ac:dyDescent="0.25">
      <c r="A39" s="27">
        <f t="shared" si="35"/>
        <v>46522</v>
      </c>
      <c r="B39" s="233">
        <v>0.01</v>
      </c>
      <c r="C39" s="233">
        <v>7.4999999999999997E-3</v>
      </c>
      <c r="D39" s="230">
        <v>1.25E-3</v>
      </c>
      <c r="E39" s="234">
        <v>4.3749999999999997E-2</v>
      </c>
      <c r="F39" s="234">
        <v>0.04</v>
      </c>
      <c r="G39" s="234">
        <v>0.05</v>
      </c>
      <c r="H39" s="234">
        <v>4.2500000000000003E-2</v>
      </c>
      <c r="I39" s="234">
        <v>3.5000000000000003E-2</v>
      </c>
      <c r="J39" s="234">
        <v>0.03</v>
      </c>
      <c r="K39" s="233">
        <v>4.3749999999999997E-2</v>
      </c>
      <c r="L39" s="233">
        <v>4.1250000000000002E-2</v>
      </c>
      <c r="M39" s="289">
        <f t="shared" si="20"/>
        <v>2027</v>
      </c>
      <c r="N39" s="32">
        <f t="shared" si="36"/>
        <v>46522</v>
      </c>
      <c r="O39" s="348">
        <f>+IF($N39&gt;B$8,"FIN",(B$19-SUM(P$25:P38))*VLOOKUP($N39,$A:$M,2,0)/VLOOKUP(B$15,$J$1:$L$4,2,0))</f>
        <v>9.7876309111895985</v>
      </c>
      <c r="P39" s="345">
        <f t="shared" si="21"/>
        <v>279.64659746255995</v>
      </c>
      <c r="Q39" s="345">
        <f t="shared" si="22"/>
        <v>289.43422837374953</v>
      </c>
      <c r="R39" s="346">
        <f t="shared" si="5"/>
        <v>150.90369503483203</v>
      </c>
      <c r="S39" s="348">
        <f>+IF($N39&gt;C$8,"FIN",(C$19-SUM(T$25:T38))*VLOOKUP($N39,$A:$M,3,0)/VLOOKUP(C$15,$J$1:$L$4,2,0))</f>
        <v>23.037500000000001</v>
      </c>
      <c r="T39" s="345">
        <f t="shared" si="6"/>
        <v>767.91666666666663</v>
      </c>
      <c r="U39" s="345">
        <f t="shared" si="43"/>
        <v>790.95416666666665</v>
      </c>
      <c r="V39" s="346">
        <f t="shared" si="8"/>
        <v>412.3835215476596</v>
      </c>
      <c r="W39" s="348">
        <f>+IF($N39&gt;D$8,"FIN",(D$19-SUM(X$25:X38))*VLOOKUP($N39,$A:$M,4,0)/VLOOKUP(D$15,$J$1:$L$4,2,0))</f>
        <v>1.0609524123269378</v>
      </c>
      <c r="X39" s="349">
        <f t="shared" si="9"/>
        <v>212.19048246538759</v>
      </c>
      <c r="Y39" s="349">
        <f t="shared" si="23"/>
        <v>213.25143487771453</v>
      </c>
      <c r="Z39" s="346">
        <f t="shared" si="37"/>
        <v>111.18391102303229</v>
      </c>
      <c r="AA39" s="348">
        <f>+IF($N39&gt;E$8,"FIN",(E$19-SUM(AB$25:AB38))*VLOOKUP($N39,$A:$M,5,0)/VLOOKUP(E$15,$J$1:$L$4,2,0))</f>
        <v>366.0234375</v>
      </c>
      <c r="AB39" s="345">
        <f t="shared" si="10"/>
        <v>0</v>
      </c>
      <c r="AC39" s="345">
        <f t="shared" si="11"/>
        <v>366.0234375</v>
      </c>
      <c r="AD39" s="346">
        <f t="shared" si="12"/>
        <v>190.83537388942219</v>
      </c>
      <c r="AE39" s="348">
        <f>+IF($N39&gt;F$8,"FIN",(F$19-SUM(AF$25:AF38))*VLOOKUP($N39,$A:$M,6,0)/VLOOKUP(F$15,$J$1:$L$4,2,0))</f>
        <v>43.65</v>
      </c>
      <c r="AF39" s="345">
        <f t="shared" si="24"/>
        <v>0</v>
      </c>
      <c r="AG39" s="345">
        <f t="shared" si="25"/>
        <v>43.65</v>
      </c>
      <c r="AH39" s="346">
        <f t="shared" si="38"/>
        <v>22.758007320974571</v>
      </c>
      <c r="AI39" s="348">
        <f>+IF($N39&gt;G$8,"FIN",(G$19-SUM(AJ$25:AJ38))*VLOOKUP($N39,$A:$M,7,0)/VLOOKUP(G$15,$J$1:$L$4,2,0))</f>
        <v>139.13229341125</v>
      </c>
      <c r="AJ39" s="345">
        <f t="shared" si="26"/>
        <v>0</v>
      </c>
      <c r="AK39" s="345">
        <f t="shared" si="13"/>
        <v>139.13229341125</v>
      </c>
      <c r="AL39" s="346">
        <f t="shared" si="14"/>
        <v>72.540063047816943</v>
      </c>
      <c r="AM39" s="348">
        <f>+IF($N39&gt;H$8,"FIN",(H$19-SUM(AN$25:AN38))*VLOOKUP($N39,$A:$M,8,0)/VLOOKUP(H$15,$J$1:$L$4,2,0))</f>
        <v>122.7460353988625</v>
      </c>
      <c r="AN39" s="345">
        <f t="shared" si="27"/>
        <v>0</v>
      </c>
      <c r="AO39" s="345">
        <f t="shared" si="28"/>
        <v>122.7460353988625</v>
      </c>
      <c r="AP39" s="346">
        <f t="shared" si="39"/>
        <v>63.996682067077131</v>
      </c>
      <c r="AQ39" s="348">
        <f>+IF($N39&gt;I$8,"FIN",(I$19-SUM(AR$25:AR38))*VLOOKUP($N39,$A:$M,9,0)/VLOOKUP(I$15,$J$1:$L$4,2,0))</f>
        <v>94.38849654500001</v>
      </c>
      <c r="AR39" s="345">
        <f t="shared" si="29"/>
        <v>179.78761246666667</v>
      </c>
      <c r="AS39" s="345">
        <f t="shared" si="15"/>
        <v>274.17610901166665</v>
      </c>
      <c r="AT39" s="346">
        <f t="shared" si="16"/>
        <v>142.94849704751047</v>
      </c>
      <c r="AU39" s="348">
        <f>+IF($N39&gt;J$8,"FIN",(J$19-SUM(AV$25:AV38))*VLOOKUP($N39,$A:$M,10,0)/VLOOKUP(J$15,$J$1:$L$4,2,0))</f>
        <v>97.098346469999996</v>
      </c>
      <c r="AV39" s="345">
        <f t="shared" si="30"/>
        <v>215.77410326666666</v>
      </c>
      <c r="AW39" s="345">
        <f t="shared" si="31"/>
        <v>312.87244973666668</v>
      </c>
      <c r="AX39" s="346">
        <f t="shared" si="40"/>
        <v>163.12379156101511</v>
      </c>
      <c r="AY39" s="348">
        <f>+IF($N39&gt;K$8,"FIN",(K$19-SUM(AZ$25:AZ38))*VLOOKUP($N39,$A:$M,11,0)/VLOOKUP(K$15,$J$1:$L$4,2,0))</f>
        <v>163.96306818181819</v>
      </c>
      <c r="AZ39" s="345">
        <f t="shared" si="17"/>
        <v>187.38636363636363</v>
      </c>
      <c r="BA39" s="345">
        <f t="shared" si="18"/>
        <v>351.34943181818181</v>
      </c>
      <c r="BB39" s="346">
        <f t="shared" si="19"/>
        <v>183.18471801920819</v>
      </c>
      <c r="BC39" s="348">
        <f>+IF($N39&gt;L$8,"FIN",(L$19-SUM(BD$25:BD38))*VLOOKUP($N39,$A:$M,12,0)/VLOOKUP(L$15,$J$1:$L$4,2,0))</f>
        <v>13.640625</v>
      </c>
      <c r="BD39" s="345">
        <f t="shared" si="32"/>
        <v>16.53409090909091</v>
      </c>
      <c r="BE39" s="345">
        <f t="shared" si="33"/>
        <v>30.17471590909091</v>
      </c>
      <c r="BF39" s="346">
        <f t="shared" si="41"/>
        <v>15.732334606355529</v>
      </c>
      <c r="BG39" s="242"/>
      <c r="BH39" s="348">
        <f t="shared" si="42"/>
        <v>1109.1230261458279</v>
      </c>
      <c r="BI39" s="345">
        <f t="shared" si="42"/>
        <v>1914.5108816097529</v>
      </c>
      <c r="BJ39" s="346">
        <f t="shared" si="34"/>
        <v>3023.6339077555808</v>
      </c>
    </row>
    <row r="40" spans="1:62" x14ac:dyDescent="0.25">
      <c r="A40" s="27">
        <f t="shared" si="35"/>
        <v>46706</v>
      </c>
      <c r="B40" s="233">
        <v>0.01</v>
      </c>
      <c r="C40" s="233">
        <v>7.4999999999999997E-3</v>
      </c>
      <c r="D40" s="230">
        <v>1.25E-3</v>
      </c>
      <c r="E40" s="234">
        <v>4.3749999999999997E-2</v>
      </c>
      <c r="F40" s="234">
        <v>0.04</v>
      </c>
      <c r="G40" s="234">
        <v>0.05</v>
      </c>
      <c r="H40" s="234">
        <v>4.2500000000000003E-2</v>
      </c>
      <c r="I40" s="234">
        <v>3.5000000000000003E-2</v>
      </c>
      <c r="J40" s="234">
        <v>0.03</v>
      </c>
      <c r="K40" s="233">
        <v>4.3749999999999997E-2</v>
      </c>
      <c r="L40" s="233">
        <v>4.1250000000000002E-2</v>
      </c>
      <c r="M40" s="289">
        <f t="shared" si="20"/>
        <v>2027</v>
      </c>
      <c r="N40" s="32">
        <f t="shared" si="36"/>
        <v>46706</v>
      </c>
      <c r="O40" s="348">
        <f>+IF($N40&gt;B$8,"FIN",(B$19-SUM(P$25:P39))*VLOOKUP($N40,$A:$M,2,0)/VLOOKUP(B$15,$J$1:$L$4,2,0))</f>
        <v>8.3893979238767979</v>
      </c>
      <c r="P40" s="345">
        <f t="shared" si="21"/>
        <v>279.64659746255995</v>
      </c>
      <c r="Q40" s="345">
        <f t="shared" si="22"/>
        <v>288.03599538643675</v>
      </c>
      <c r="R40" s="346">
        <f t="shared" si="5"/>
        <v>143.18595036567859</v>
      </c>
      <c r="S40" s="348">
        <f>+IF($N40&gt;C$8,"FIN",(C$19-SUM(T$25:T39))*VLOOKUP($N40,$A:$M,3,0)/VLOOKUP(C$15,$J$1:$L$4,2,0))</f>
        <v>20.157812500000002</v>
      </c>
      <c r="T40" s="345">
        <f t="shared" si="6"/>
        <v>767.91666666666663</v>
      </c>
      <c r="U40" s="345">
        <f t="shared" si="43"/>
        <v>788.07447916666661</v>
      </c>
      <c r="V40" s="346">
        <f t="shared" si="8"/>
        <v>391.76073499781018</v>
      </c>
      <c r="W40" s="348">
        <f>+IF($N40&gt;D$8,"FIN",(D$19-SUM(X$25:X39))*VLOOKUP($N40,$A:$M,4,0)/VLOOKUP(D$15,$J$1:$L$4,2,0))</f>
        <v>0.92833336078607065</v>
      </c>
      <c r="X40" s="349">
        <f t="shared" si="9"/>
        <v>212.19048246538759</v>
      </c>
      <c r="Y40" s="349">
        <f t="shared" si="23"/>
        <v>213.11881582617366</v>
      </c>
      <c r="Z40" s="346">
        <f t="shared" si="37"/>
        <v>105.94377325631865</v>
      </c>
      <c r="AA40" s="348">
        <f>+IF($N40&gt;E$8,"FIN",(E$19-SUM(AB$25:AB39))*VLOOKUP($N40,$A:$M,5,0)/VLOOKUP(E$15,$J$1:$L$4,2,0))</f>
        <v>366.0234375</v>
      </c>
      <c r="AB40" s="345">
        <f t="shared" si="10"/>
        <v>0</v>
      </c>
      <c r="AC40" s="345">
        <f t="shared" si="11"/>
        <v>366.0234375</v>
      </c>
      <c r="AD40" s="346">
        <f t="shared" si="12"/>
        <v>181.95438970825919</v>
      </c>
      <c r="AE40" s="348">
        <f>+IF($N40&gt;F$8,"FIN",(F$19-SUM(AF$25:AF39))*VLOOKUP($N40,$A:$M,6,0)/VLOOKUP(F$15,$J$1:$L$4,2,0))</f>
        <v>43.65</v>
      </c>
      <c r="AF40" s="345">
        <f t="shared" si="24"/>
        <v>0</v>
      </c>
      <c r="AG40" s="345">
        <f t="shared" si="25"/>
        <v>43.65</v>
      </c>
      <c r="AH40" s="346">
        <f t="shared" si="38"/>
        <v>21.69890858632656</v>
      </c>
      <c r="AI40" s="348">
        <f>+IF($N40&gt;G$8,"FIN",(G$19-SUM(AJ$25:AJ39))*VLOOKUP($N40,$A:$M,7,0)/VLOOKUP(G$15,$J$1:$L$4,2,0))</f>
        <v>139.13229341125</v>
      </c>
      <c r="AJ40" s="345">
        <f t="shared" si="26"/>
        <v>0</v>
      </c>
      <c r="AK40" s="345">
        <f t="shared" si="13"/>
        <v>139.13229341125</v>
      </c>
      <c r="AL40" s="346">
        <f t="shared" si="14"/>
        <v>69.164236337610063</v>
      </c>
      <c r="AM40" s="348">
        <f>+IF($N40&gt;H$8,"FIN",(H$19-SUM(AN$25:AN39))*VLOOKUP($N40,$A:$M,8,0)/VLOOKUP(H$15,$J$1:$L$4,2,0))</f>
        <v>122.7460353988625</v>
      </c>
      <c r="AN40" s="345">
        <f t="shared" si="27"/>
        <v>0</v>
      </c>
      <c r="AO40" s="345">
        <f t="shared" si="28"/>
        <v>122.7460353988625</v>
      </c>
      <c r="AP40" s="346">
        <f t="shared" si="39"/>
        <v>61.018442186802332</v>
      </c>
      <c r="AQ40" s="348">
        <f>+IF($N40&gt;I$8,"FIN",(I$19-SUM(AR$25:AR39))*VLOOKUP($N40,$A:$M,9,0)/VLOOKUP(I$15,$J$1:$L$4,2,0))</f>
        <v>91.242213326833351</v>
      </c>
      <c r="AR40" s="345">
        <f t="shared" si="29"/>
        <v>179.78761246666667</v>
      </c>
      <c r="AS40" s="345">
        <f t="shared" si="15"/>
        <v>271.02982579350004</v>
      </c>
      <c r="AT40" s="346">
        <f t="shared" si="16"/>
        <v>134.73199115833151</v>
      </c>
      <c r="AU40" s="348">
        <f>+IF($N40&gt;J$8,"FIN",(J$19-SUM(AV$25:AV39))*VLOOKUP($N40,$A:$M,10,0)/VLOOKUP(J$15,$J$1:$L$4,2,0))</f>
        <v>93.861734920999993</v>
      </c>
      <c r="AV40" s="345">
        <f t="shared" si="30"/>
        <v>215.77410326666666</v>
      </c>
      <c r="AW40" s="345">
        <f t="shared" si="31"/>
        <v>309.63583818766665</v>
      </c>
      <c r="AX40" s="346">
        <f t="shared" si="40"/>
        <v>153.92347646929628</v>
      </c>
      <c r="AY40" s="348">
        <f>+IF($N40&gt;K$8,"FIN",(K$19-SUM(AZ$25:AZ39))*VLOOKUP($N40,$A:$M,11,0)/VLOOKUP(K$15,$J$1:$L$4,2,0))</f>
        <v>159.86399147727272</v>
      </c>
      <c r="AZ40" s="345">
        <f t="shared" si="17"/>
        <v>187.38636363636363</v>
      </c>
      <c r="BA40" s="345">
        <f t="shared" si="18"/>
        <v>347.25035511363637</v>
      </c>
      <c r="BB40" s="346">
        <f t="shared" si="19"/>
        <v>172.62207817136843</v>
      </c>
      <c r="BC40" s="348">
        <f>+IF($N40&gt;L$8,"FIN",(L$19-SUM(BD$25:BD39))*VLOOKUP($N40,$A:$M,12,0)/VLOOKUP(L$15,$J$1:$L$4,2,0))</f>
        <v>13.299609375000001</v>
      </c>
      <c r="BD40" s="345">
        <f t="shared" si="32"/>
        <v>16.53409090909091</v>
      </c>
      <c r="BE40" s="345">
        <f t="shared" si="33"/>
        <v>29.833700284090909</v>
      </c>
      <c r="BF40" s="346">
        <f t="shared" si="41"/>
        <v>14.830669765323103</v>
      </c>
      <c r="BG40" s="242"/>
      <c r="BH40" s="348">
        <f t="shared" si="42"/>
        <v>1093.428117418352</v>
      </c>
      <c r="BI40" s="345">
        <f t="shared" si="42"/>
        <v>1914.5108816097529</v>
      </c>
      <c r="BJ40" s="346">
        <f t="shared" si="34"/>
        <v>3007.9389990281052</v>
      </c>
    </row>
    <row r="41" spans="1:62" x14ac:dyDescent="0.25">
      <c r="A41" s="27">
        <f t="shared" si="35"/>
        <v>46888</v>
      </c>
      <c r="B41" s="233">
        <v>0.01</v>
      </c>
      <c r="C41" s="233">
        <v>1.7500000000000002E-2</v>
      </c>
      <c r="D41" s="230">
        <v>1.25E-3</v>
      </c>
      <c r="E41" s="234">
        <v>4.3749999999999997E-2</v>
      </c>
      <c r="F41" s="234">
        <v>0.04</v>
      </c>
      <c r="G41" s="234">
        <v>0.05</v>
      </c>
      <c r="H41" s="234">
        <v>4.2500000000000003E-2</v>
      </c>
      <c r="I41" s="234">
        <v>3.5000000000000003E-2</v>
      </c>
      <c r="J41" s="234">
        <v>0.03</v>
      </c>
      <c r="K41" s="233">
        <v>4.3749999999999997E-2</v>
      </c>
      <c r="L41" s="233">
        <v>4.1250000000000002E-2</v>
      </c>
      <c r="M41" s="289">
        <f t="shared" si="20"/>
        <v>2028</v>
      </c>
      <c r="N41" s="32">
        <f t="shared" si="36"/>
        <v>46888</v>
      </c>
      <c r="O41" s="348">
        <f>+IF($N41&gt;B$8,"FIN",(B$19-SUM(P$25:P40))*VLOOKUP($N41,$A:$M,2,0)/VLOOKUP(B$15,$J$1:$L$4,2,0))</f>
        <v>6.9911649365639983</v>
      </c>
      <c r="P41" s="345">
        <f t="shared" si="21"/>
        <v>279.64659746255995</v>
      </c>
      <c r="Q41" s="345">
        <f t="shared" si="22"/>
        <v>286.63776239912397</v>
      </c>
      <c r="R41" s="346">
        <f t="shared" si="5"/>
        <v>135.85971665410875</v>
      </c>
      <c r="S41" s="348">
        <f>+IF($N41&gt;C$8,"FIN",(C$19-SUM(T$25:T40))*VLOOKUP($N41,$A:$M,3,0)/VLOOKUP(C$15,$J$1:$L$4,2,0))</f>
        <v>40.315625000000004</v>
      </c>
      <c r="T41" s="345">
        <f t="shared" si="6"/>
        <v>767.91666666666663</v>
      </c>
      <c r="U41" s="345">
        <f t="shared" si="43"/>
        <v>808.23229166666658</v>
      </c>
      <c r="V41" s="346">
        <f t="shared" si="8"/>
        <v>383.08354495049565</v>
      </c>
      <c r="W41" s="348">
        <f>+IF($N41&gt;D$8,"FIN",(D$19-SUM(X$25:X40))*VLOOKUP($N41,$A:$M,4,0)/VLOOKUP(D$15,$J$1:$L$4,2,0))</f>
        <v>0.79571430924520348</v>
      </c>
      <c r="X41" s="349">
        <f>+IF($N41&gt;D$8,"FIN",IF($N41&lt;D$17,0,D$19/D$16))</f>
        <v>212.19048246538759</v>
      </c>
      <c r="Y41" s="349">
        <f t="shared" si="23"/>
        <v>212.98619677463279</v>
      </c>
      <c r="Z41" s="346">
        <f t="shared" si="37"/>
        <v>100.95056597862383</v>
      </c>
      <c r="AA41" s="348">
        <f>+IF($N41&gt;E$8,"FIN",(E$19-SUM(AB$25:AB40))*VLOOKUP($N41,$A:$M,5,0)/VLOOKUP(E$15,$J$1:$L$4,2,0))</f>
        <v>366.0234375</v>
      </c>
      <c r="AB41" s="345">
        <f t="shared" si="10"/>
        <v>0</v>
      </c>
      <c r="AC41" s="345">
        <f t="shared" si="11"/>
        <v>366.0234375</v>
      </c>
      <c r="AD41" s="346">
        <f t="shared" si="12"/>
        <v>173.48670353583833</v>
      </c>
      <c r="AE41" s="348">
        <f>+IF($N41&gt;F$8,"FIN",(F$19-SUM(AF$25:AF40))*VLOOKUP($N41,$A:$M,6,0)/VLOOKUP(F$15,$J$1:$L$4,2,0))</f>
        <v>43.65</v>
      </c>
      <c r="AF41" s="345">
        <f t="shared" si="24"/>
        <v>0</v>
      </c>
      <c r="AG41" s="345">
        <f t="shared" si="25"/>
        <v>43.65</v>
      </c>
      <c r="AH41" s="346">
        <f t="shared" si="38"/>
        <v>20.689097564522335</v>
      </c>
      <c r="AI41" s="348">
        <f>+IF($N41&gt;G$8,"FIN",(G$19-SUM(AJ$25:AJ40))*VLOOKUP($N41,$A:$M,7,0)/VLOOKUP(G$15,$J$1:$L$4,2,0))</f>
        <v>139.13229341125</v>
      </c>
      <c r="AJ41" s="345">
        <f t="shared" si="26"/>
        <v>252.96780620227273</v>
      </c>
      <c r="AK41" s="345">
        <f t="shared" si="13"/>
        <v>392.10009961352273</v>
      </c>
      <c r="AL41" s="346">
        <f t="shared" si="14"/>
        <v>185.84644251920039</v>
      </c>
      <c r="AM41" s="348">
        <f>+IF($N41&gt;H$8,"FIN",(H$19-SUM(AN$25:AN40))*VLOOKUP($N41,$A:$M,8,0)/VLOOKUP(H$15,$J$1:$L$4,2,0))</f>
        <v>122.7460353988625</v>
      </c>
      <c r="AN41" s="345">
        <f t="shared" si="27"/>
        <v>262.55836448954545</v>
      </c>
      <c r="AO41" s="345">
        <f t="shared" si="28"/>
        <v>385.30439988840794</v>
      </c>
      <c r="AP41" s="346">
        <f t="shared" si="39"/>
        <v>182.62543691479954</v>
      </c>
      <c r="AQ41" s="348">
        <f>+IF($N41&gt;I$8,"FIN",(I$19-SUM(AR$25:AR40))*VLOOKUP($N41,$A:$M,9,0)/VLOOKUP(I$15,$J$1:$L$4,2,0))</f>
        <v>88.095930108666664</v>
      </c>
      <c r="AR41" s="345">
        <f t="shared" si="29"/>
        <v>179.78761246666667</v>
      </c>
      <c r="AS41" s="345">
        <f t="shared" si="15"/>
        <v>267.88354257533331</v>
      </c>
      <c r="AT41" s="346">
        <f t="shared" si="16"/>
        <v>126.9706471539735</v>
      </c>
      <c r="AU41" s="348">
        <f>+IF($N41&gt;J$8,"FIN",(J$19-SUM(AV$25:AV40))*VLOOKUP($N41,$A:$M,10,0)/VLOOKUP(J$15,$J$1:$L$4,2,0))</f>
        <v>90.62512337199999</v>
      </c>
      <c r="AV41" s="345">
        <f t="shared" si="30"/>
        <v>215.77410326666666</v>
      </c>
      <c r="AW41" s="345">
        <f t="shared" si="31"/>
        <v>306.39922663866662</v>
      </c>
      <c r="AX41" s="346">
        <f t="shared" si="40"/>
        <v>145.22619687563721</v>
      </c>
      <c r="AY41" s="348">
        <f>+IF($N41&gt;K$8,"FIN",(K$19-SUM(AZ$25:AZ40))*VLOOKUP($N41,$A:$M,11,0)/VLOOKUP(K$15,$J$1:$L$4,2,0))</f>
        <v>155.76491477272725</v>
      </c>
      <c r="AZ41" s="345">
        <f t="shared" si="17"/>
        <v>187.38636363636363</v>
      </c>
      <c r="BA41" s="345">
        <f t="shared" si="18"/>
        <v>343.15127840909088</v>
      </c>
      <c r="BB41" s="346">
        <f t="shared" si="19"/>
        <v>162.64582539281207</v>
      </c>
      <c r="BC41" s="348">
        <f>+IF($N41&gt;L$8,"FIN",(L$19-SUM(BD$25:BD40))*VLOOKUP($N41,$A:$M,12,0)/VLOOKUP(L$15,$J$1:$L$4,2,0))</f>
        <v>12.95859375</v>
      </c>
      <c r="BD41" s="345">
        <f t="shared" si="32"/>
        <v>16.53409090909091</v>
      </c>
      <c r="BE41" s="345">
        <f t="shared" si="33"/>
        <v>29.492684659090912</v>
      </c>
      <c r="BF41" s="346">
        <f t="shared" si="41"/>
        <v>13.978855219968453</v>
      </c>
      <c r="BG41" s="242"/>
      <c r="BH41" s="348">
        <f t="shared" si="42"/>
        <v>1100.7707086908761</v>
      </c>
      <c r="BI41" s="345">
        <f t="shared" si="42"/>
        <v>2462.6871030240172</v>
      </c>
      <c r="BJ41" s="346">
        <f t="shared" si="34"/>
        <v>3563.4578117148931</v>
      </c>
    </row>
    <row r="42" spans="1:62" x14ac:dyDescent="0.25">
      <c r="A42" s="27">
        <f t="shared" si="35"/>
        <v>47072</v>
      </c>
      <c r="B42" s="233">
        <v>0.01</v>
      </c>
      <c r="C42" s="233">
        <v>1.7500000000000002E-2</v>
      </c>
      <c r="D42" s="230">
        <v>1.25E-3</v>
      </c>
      <c r="E42" s="234">
        <v>4.3749999999999997E-2</v>
      </c>
      <c r="F42" s="234">
        <v>0.04</v>
      </c>
      <c r="G42" s="234">
        <v>0.05</v>
      </c>
      <c r="H42" s="234">
        <v>4.2500000000000003E-2</v>
      </c>
      <c r="I42" s="234">
        <v>3.5000000000000003E-2</v>
      </c>
      <c r="J42" s="234">
        <v>0.03</v>
      </c>
      <c r="K42" s="233">
        <v>4.3749999999999997E-2</v>
      </c>
      <c r="L42" s="233">
        <v>4.1250000000000002E-2</v>
      </c>
      <c r="M42" s="289">
        <f t="shared" si="20"/>
        <v>2028</v>
      </c>
      <c r="N42" s="32">
        <f t="shared" si="36"/>
        <v>47072</v>
      </c>
      <c r="O42" s="348">
        <f>+IF($N42&gt;B$8,"FIN",(B$19-SUM(P$25:P41))*VLOOKUP($N42,$A:$M,2,0)/VLOOKUP(B$15,$J$1:$L$4,2,0))</f>
        <v>5.5929319492511995</v>
      </c>
      <c r="P42" s="345">
        <f t="shared" si="21"/>
        <v>279.64659746255995</v>
      </c>
      <c r="Q42" s="345">
        <f t="shared" si="22"/>
        <v>285.23952941181113</v>
      </c>
      <c r="R42" s="346">
        <f t="shared" si="5"/>
        <v>128.9052686434176</v>
      </c>
      <c r="S42" s="348">
        <f>+IF($N42&gt;C$8,"FIN",(C$19-SUM(T$25:T41))*VLOOKUP($N42,$A:$M,3,0)/VLOOKUP(C$15,$J$1:$L$4,2,0))</f>
        <v>33.596354166666664</v>
      </c>
      <c r="T42" s="345">
        <f t="shared" si="6"/>
        <v>767.91666666666663</v>
      </c>
      <c r="U42" s="345">
        <f t="shared" si="43"/>
        <v>801.51302083333326</v>
      </c>
      <c r="V42" s="346">
        <f t="shared" si="8"/>
        <v>362.21926001901392</v>
      </c>
      <c r="W42" s="348">
        <f>+IF($N42&gt;D$8,"FIN",(D$19-SUM(X$25:X41))*VLOOKUP($N42,$A:$M,4,0)/VLOOKUP(D$15,$J$1:$L$4,2,0))</f>
        <v>0.66309525770433619</v>
      </c>
      <c r="X42" s="349">
        <f t="shared" ref="X42:X46" si="44">+IF($N42&gt;D$8,"FIN",IF($N42&lt;D$17,0,D$19/D$16))</f>
        <v>212.19048246538759</v>
      </c>
      <c r="Y42" s="349">
        <f t="shared" si="23"/>
        <v>212.85357772309192</v>
      </c>
      <c r="Z42" s="346">
        <f t="shared" si="37"/>
        <v>96.192654905465517</v>
      </c>
      <c r="AA42" s="348">
        <f>+IF($N42&gt;E$8,"FIN",(E$19-SUM(AB$25:AB41))*VLOOKUP($N42,$A:$M,5,0)/VLOOKUP(E$15,$J$1:$L$4,2,0))</f>
        <v>366.0234375</v>
      </c>
      <c r="AB42" s="345">
        <f t="shared" si="10"/>
        <v>0</v>
      </c>
      <c r="AC42" s="345">
        <f t="shared" si="11"/>
        <v>366.0234375</v>
      </c>
      <c r="AD42" s="346">
        <f t="shared" si="12"/>
        <v>165.41308155296286</v>
      </c>
      <c r="AE42" s="348">
        <f>+IF($N42&gt;F$8,"FIN",(F$19-SUM(AF$25:AF41))*VLOOKUP($N42,$A:$M,6,0)/VLOOKUP(F$15,$J$1:$L$4,2,0))</f>
        <v>43.65</v>
      </c>
      <c r="AF42" s="345">
        <f t="shared" si="24"/>
        <v>0</v>
      </c>
      <c r="AG42" s="345">
        <f t="shared" si="25"/>
        <v>43.65</v>
      </c>
      <c r="AH42" s="346">
        <f t="shared" si="38"/>
        <v>19.726280533024141</v>
      </c>
      <c r="AI42" s="348">
        <f>+IF($N42&gt;G$8,"FIN",(G$19-SUM(AJ$25:AJ41))*VLOOKUP($N42,$A:$M,7,0)/VLOOKUP(G$15,$J$1:$L$4,2,0))</f>
        <v>132.80809825619318</v>
      </c>
      <c r="AJ42" s="345">
        <f t="shared" si="26"/>
        <v>252.96780620227273</v>
      </c>
      <c r="AK42" s="345">
        <f t="shared" si="13"/>
        <v>385.7759044584659</v>
      </c>
      <c r="AL42" s="346">
        <f t="shared" si="14"/>
        <v>174.3396039914964</v>
      </c>
      <c r="AM42" s="348">
        <f>+IF($N42&gt;H$8,"FIN",(H$19-SUM(AN$25:AN41))*VLOOKUP($N42,$A:$M,8,0)/VLOOKUP(H$15,$J$1:$L$4,2,0))</f>
        <v>117.16667015345966</v>
      </c>
      <c r="AN42" s="345">
        <f t="shared" si="27"/>
        <v>262.55836448954545</v>
      </c>
      <c r="AO42" s="345">
        <f t="shared" si="28"/>
        <v>379.72503464300513</v>
      </c>
      <c r="AP42" s="346">
        <f t="shared" si="39"/>
        <v>171.60509871203277</v>
      </c>
      <c r="AQ42" s="348">
        <f>+IF($N42&gt;I$8,"FIN",(I$19-SUM(AR$25:AR41))*VLOOKUP($N42,$A:$M,9,0)/VLOOKUP(I$15,$J$1:$L$4,2,0))</f>
        <v>84.949646890500006</v>
      </c>
      <c r="AR42" s="345">
        <f t="shared" si="29"/>
        <v>179.78761246666667</v>
      </c>
      <c r="AS42" s="345">
        <f t="shared" si="15"/>
        <v>264.73725935716669</v>
      </c>
      <c r="AT42" s="346">
        <f t="shared" si="16"/>
        <v>119.63989566147632</v>
      </c>
      <c r="AU42" s="348">
        <f>+IF($N42&gt;J$8,"FIN",(J$19-SUM(AV$25:AV41))*VLOOKUP($N42,$A:$M,10,0)/VLOOKUP(J$15,$J$1:$L$4,2,0))</f>
        <v>87.388511822999988</v>
      </c>
      <c r="AV42" s="345">
        <f t="shared" si="30"/>
        <v>215.77410326666666</v>
      </c>
      <c r="AW42" s="345">
        <f t="shared" si="31"/>
        <v>303.16261508966664</v>
      </c>
      <c r="AX42" s="346">
        <f t="shared" si="40"/>
        <v>137.00505824476477</v>
      </c>
      <c r="AY42" s="348">
        <f>+IF($N42&gt;K$8,"FIN",(K$19-SUM(AZ$25:AZ41))*VLOOKUP($N42,$A:$M,11,0)/VLOOKUP(K$15,$J$1:$L$4,2,0))</f>
        <v>151.66583806818178</v>
      </c>
      <c r="AZ42" s="345">
        <f t="shared" si="17"/>
        <v>187.38636363636363</v>
      </c>
      <c r="BA42" s="345">
        <f t="shared" si="18"/>
        <v>339.05220170454538</v>
      </c>
      <c r="BB42" s="346">
        <f t="shared" si="19"/>
        <v>153.22425764406299</v>
      </c>
      <c r="BC42" s="348">
        <f>+IF($N42&gt;L$8,"FIN",(L$19-SUM(BD$25:BD41))*VLOOKUP($N42,$A:$M,12,0)/VLOOKUP(L$15,$J$1:$L$4,2,0))</f>
        <v>12.617578125</v>
      </c>
      <c r="BD42" s="345">
        <f t="shared" si="32"/>
        <v>16.53409090909091</v>
      </c>
      <c r="BE42" s="345">
        <f t="shared" si="33"/>
        <v>29.151669034090908</v>
      </c>
      <c r="BF42" s="346">
        <f t="shared" si="41"/>
        <v>13.174203926056133</v>
      </c>
      <c r="BG42" s="242"/>
      <c r="BH42" s="348">
        <f t="shared" si="42"/>
        <v>1068.6388426517553</v>
      </c>
      <c r="BI42" s="345">
        <f t="shared" si="42"/>
        <v>2462.6871030240172</v>
      </c>
      <c r="BJ42" s="346">
        <f t="shared" si="34"/>
        <v>3531.3259456757723</v>
      </c>
    </row>
    <row r="43" spans="1:62" x14ac:dyDescent="0.25">
      <c r="A43" s="27">
        <f t="shared" si="35"/>
        <v>47253</v>
      </c>
      <c r="B43" s="233">
        <v>0.01</v>
      </c>
      <c r="C43" s="233">
        <v>1.7500000000000002E-2</v>
      </c>
      <c r="D43" s="230">
        <v>1.25E-3</v>
      </c>
      <c r="E43" s="234">
        <v>0.05</v>
      </c>
      <c r="F43" s="234">
        <v>0.04</v>
      </c>
      <c r="G43" s="234">
        <v>0.05</v>
      </c>
      <c r="H43" s="234">
        <v>4.2500000000000003E-2</v>
      </c>
      <c r="I43" s="234">
        <v>3.5000000000000003E-2</v>
      </c>
      <c r="J43" s="234">
        <v>0.03</v>
      </c>
      <c r="K43" s="233">
        <v>0.05</v>
      </c>
      <c r="L43" s="230">
        <v>4.1250000000000002E-2</v>
      </c>
      <c r="M43" s="289">
        <f t="shared" si="20"/>
        <v>2029</v>
      </c>
      <c r="N43" s="32">
        <f t="shared" si="36"/>
        <v>47253</v>
      </c>
      <c r="O43" s="348">
        <f>+IF($N43&gt;B$8,"FIN",(B$19-SUM(P$25:P42))*VLOOKUP($N43,$A:$M,2,0)/VLOOKUP(B$15,$J$1:$L$4,2,0))</f>
        <v>4.1946989619383999</v>
      </c>
      <c r="P43" s="345">
        <f t="shared" si="21"/>
        <v>279.64659746255995</v>
      </c>
      <c r="Q43" s="345">
        <f t="shared" si="22"/>
        <v>283.84129642449835</v>
      </c>
      <c r="R43" s="346">
        <f t="shared" si="5"/>
        <v>122.30386909438614</v>
      </c>
      <c r="S43" s="348">
        <f>+IF($N43&gt;C$8,"FIN",(C$19-SUM(T$25:T42))*VLOOKUP($N43,$A:$M,3,0)/VLOOKUP(C$15,$J$1:$L$4,2,0))</f>
        <v>26.877083333333331</v>
      </c>
      <c r="T43" s="345">
        <f t="shared" si="6"/>
        <v>767.91666666666663</v>
      </c>
      <c r="U43" s="345">
        <f t="shared" si="43"/>
        <v>794.79374999999993</v>
      </c>
      <c r="V43" s="346">
        <f t="shared" si="8"/>
        <v>342.46725892788862</v>
      </c>
      <c r="W43" s="348">
        <f>+IF($N43&gt;D$8,"FIN",(D$19-SUM(X$25:X42))*VLOOKUP($N43,$A:$M,4,0)/VLOOKUP(D$15,$J$1:$L$4,2,0))</f>
        <v>0.53047620616346902</v>
      </c>
      <c r="X43" s="349">
        <f t="shared" si="44"/>
        <v>212.19048246538759</v>
      </c>
      <c r="Y43" s="349">
        <f t="shared" si="23"/>
        <v>212.72095867155105</v>
      </c>
      <c r="Z43" s="346">
        <f t="shared" si="37"/>
        <v>91.658953826396811</v>
      </c>
      <c r="AA43" s="348">
        <f>+IF($N43&gt;E$8,"FIN",(E$19-SUM(AB$25:AB42))*VLOOKUP($N43,$A:$M,5,0)/VLOOKUP(E$15,$J$1:$L$4,2,0))</f>
        <v>418.3125</v>
      </c>
      <c r="AB43" s="345">
        <f t="shared" si="10"/>
        <v>0</v>
      </c>
      <c r="AC43" s="345">
        <f t="shared" si="11"/>
        <v>418.3125</v>
      </c>
      <c r="AD43" s="346">
        <f t="shared" si="12"/>
        <v>180.24592575152033</v>
      </c>
      <c r="AE43" s="348">
        <f>+IF($N43&gt;F$8,"FIN",(F$19-SUM(AF$25:AF42))*VLOOKUP($N43,$A:$M,6,0)/VLOOKUP(F$15,$J$1:$L$4,2,0))</f>
        <v>43.65</v>
      </c>
      <c r="AF43" s="345">
        <f t="shared" si="24"/>
        <v>0</v>
      </c>
      <c r="AG43" s="345">
        <f t="shared" si="25"/>
        <v>43.65</v>
      </c>
      <c r="AH43" s="346">
        <f t="shared" si="38"/>
        <v>18.808270513202121</v>
      </c>
      <c r="AI43" s="348">
        <f>+IF($N43&gt;G$8,"FIN",(G$19-SUM(AJ$25:AJ42))*VLOOKUP($N43,$A:$M,7,0)/VLOOKUP(G$15,$J$1:$L$4,2,0))</f>
        <v>126.48390310113638</v>
      </c>
      <c r="AJ43" s="345">
        <f t="shared" si="26"/>
        <v>252.96780620227273</v>
      </c>
      <c r="AK43" s="345">
        <f t="shared" si="13"/>
        <v>379.45170930340907</v>
      </c>
      <c r="AL43" s="346">
        <f t="shared" si="14"/>
        <v>163.50126907847542</v>
      </c>
      <c r="AM43" s="348">
        <f>+IF($N43&gt;H$8,"FIN",(H$19-SUM(AN$25:AN42))*VLOOKUP($N43,$A:$M,8,0)/VLOOKUP(H$15,$J$1:$L$4,2,0))</f>
        <v>111.58730490805681</v>
      </c>
      <c r="AN43" s="345">
        <f t="shared" si="27"/>
        <v>262.55836448954545</v>
      </c>
      <c r="AO43" s="345">
        <f t="shared" si="28"/>
        <v>374.14566939760226</v>
      </c>
      <c r="AP43" s="346">
        <f t="shared" si="39"/>
        <v>161.21495902344083</v>
      </c>
      <c r="AQ43" s="348">
        <f>+IF($N43&gt;I$8,"FIN",(I$19-SUM(AR$25:AR42))*VLOOKUP($N43,$A:$M,9,0)/VLOOKUP(I$15,$J$1:$L$4,2,0))</f>
        <v>81.803363672333347</v>
      </c>
      <c r="AR43" s="345">
        <f t="shared" si="29"/>
        <v>179.78761246666667</v>
      </c>
      <c r="AS43" s="345">
        <f t="shared" si="15"/>
        <v>261.59097613900002</v>
      </c>
      <c r="AT43" s="346">
        <f t="shared" si="16"/>
        <v>112.71646833986057</v>
      </c>
      <c r="AU43" s="348">
        <f>+IF($N43&gt;J$8,"FIN",(J$19-SUM(AV$25:AV42))*VLOOKUP($N43,$A:$M,10,0)/VLOOKUP(J$15,$J$1:$L$4,2,0))</f>
        <v>84.151900273999999</v>
      </c>
      <c r="AV43" s="345">
        <f t="shared" si="30"/>
        <v>215.77410326666666</v>
      </c>
      <c r="AW43" s="345">
        <f t="shared" si="31"/>
        <v>299.92600354066667</v>
      </c>
      <c r="AX43" s="346">
        <f t="shared" si="40"/>
        <v>129.23457980610485</v>
      </c>
      <c r="AY43" s="348">
        <f>+IF($N43&gt;K$8,"FIN",(K$19-SUM(AZ$25:AZ42))*VLOOKUP($N43,$A:$M,11,0)/VLOOKUP(K$15,$J$1:$L$4,2,0))</f>
        <v>168.64772727272728</v>
      </c>
      <c r="AZ43" s="345">
        <f t="shared" si="17"/>
        <v>187.38636363636363</v>
      </c>
      <c r="BA43" s="345">
        <f t="shared" si="18"/>
        <v>356.03409090909088</v>
      </c>
      <c r="BB43" s="346">
        <f t="shared" si="19"/>
        <v>153.41089332738093</v>
      </c>
      <c r="BC43" s="348">
        <f>+IF($N43&gt;L$8,"FIN",(L$19-SUM(BD$25:BD42))*VLOOKUP($N43,$A:$M,12,0)/VLOOKUP(L$15,$J$1:$L$4,2,0))</f>
        <v>12.276562500000001</v>
      </c>
      <c r="BD43" s="345">
        <f t="shared" si="32"/>
        <v>16.53409090909091</v>
      </c>
      <c r="BE43" s="345">
        <f t="shared" si="33"/>
        <v>28.810653409090911</v>
      </c>
      <c r="BF43" s="346">
        <f t="shared" si="41"/>
        <v>12.414170973202538</v>
      </c>
      <c r="BG43" s="242"/>
      <c r="BH43" s="348">
        <f t="shared" si="42"/>
        <v>1109.8770050217254</v>
      </c>
      <c r="BI43" s="345">
        <f t="shared" si="42"/>
        <v>2462.6871030240172</v>
      </c>
      <c r="BJ43" s="346">
        <f t="shared" si="34"/>
        <v>3572.5641080457426</v>
      </c>
    </row>
    <row r="44" spans="1:62" x14ac:dyDescent="0.25">
      <c r="A44" s="27">
        <f t="shared" si="35"/>
        <v>47437</v>
      </c>
      <c r="B44" s="233">
        <v>0.01</v>
      </c>
      <c r="C44" s="233">
        <v>1.7500000000000002E-2</v>
      </c>
      <c r="D44" s="230">
        <v>1.25E-3</v>
      </c>
      <c r="E44" s="234">
        <v>0.05</v>
      </c>
      <c r="F44" s="234">
        <v>0.04</v>
      </c>
      <c r="G44" s="234">
        <v>0.05</v>
      </c>
      <c r="H44" s="234">
        <v>4.2500000000000003E-2</v>
      </c>
      <c r="I44" s="234">
        <v>4.8750000000000002E-2</v>
      </c>
      <c r="J44" s="234">
        <v>4.4999999999999998E-2</v>
      </c>
      <c r="K44" s="233">
        <v>0.05</v>
      </c>
      <c r="L44" s="230">
        <v>4.1250000000000002E-2</v>
      </c>
      <c r="M44" s="289">
        <f t="shared" si="20"/>
        <v>2029</v>
      </c>
      <c r="N44" s="32">
        <f t="shared" si="36"/>
        <v>47437</v>
      </c>
      <c r="O44" s="348">
        <f>+IF($N44&gt;B$8,"FIN",(B$19-SUM(P$25:P43))*VLOOKUP($N44,$A:$M,2,0)/VLOOKUP(B$15,$J$1:$L$4,2,0))</f>
        <v>2.7964659746256006</v>
      </c>
      <c r="P44" s="345">
        <f t="shared" si="21"/>
        <v>279.64659746255995</v>
      </c>
      <c r="Q44" s="345">
        <f t="shared" si="22"/>
        <v>282.44306343718557</v>
      </c>
      <c r="R44" s="346">
        <f t="shared" si="5"/>
        <v>116.03771954532242</v>
      </c>
      <c r="S44" s="348">
        <f>+IF($N44&gt;C$8,"FIN",(C$19-SUM(T$25:T43))*VLOOKUP($N44,$A:$M,3,0)/VLOOKUP(C$15,$J$1:$L$4,2,0))</f>
        <v>20.157812499999995</v>
      </c>
      <c r="T44" s="345">
        <f t="shared" si="6"/>
        <v>767.91666666666663</v>
      </c>
      <c r="U44" s="345">
        <f t="shared" si="43"/>
        <v>788.07447916666661</v>
      </c>
      <c r="V44" s="346">
        <f t="shared" si="8"/>
        <v>323.76920247752895</v>
      </c>
      <c r="W44" s="348">
        <f>+IF($N44&gt;D$8,"FIN",(D$19-SUM(X$25:X43))*VLOOKUP($N44,$A:$M,4,0)/VLOOKUP(D$15,$J$1:$L$4,2,0))</f>
        <v>0.39785715462260185</v>
      </c>
      <c r="X44" s="349">
        <f t="shared" si="44"/>
        <v>212.19048246538759</v>
      </c>
      <c r="Y44" s="349">
        <f t="shared" si="23"/>
        <v>212.5883396200102</v>
      </c>
      <c r="Z44" s="346">
        <f t="shared" si="37"/>
        <v>87.338898789839249</v>
      </c>
      <c r="AA44" s="348">
        <f>+IF($N44&gt;E$8,"FIN",(E$19-SUM(AB$25:AB43))*VLOOKUP($N44,$A:$M,5,0)/VLOOKUP(E$15,$J$1:$L$4,2,0))</f>
        <v>418.3125</v>
      </c>
      <c r="AB44" s="345">
        <f t="shared" si="10"/>
        <v>0</v>
      </c>
      <c r="AC44" s="345">
        <f t="shared" si="11"/>
        <v>418.3125</v>
      </c>
      <c r="AD44" s="346">
        <f t="shared" si="12"/>
        <v>171.85774706801334</v>
      </c>
      <c r="AE44" s="348">
        <f>+IF($N44&gt;F$8,"FIN",(F$19-SUM(AF$25:AF43))*VLOOKUP($N44,$A:$M,6,0)/VLOOKUP(F$15,$J$1:$L$4,2,0))</f>
        <v>43.65</v>
      </c>
      <c r="AF44" s="345">
        <f t="shared" si="24"/>
        <v>0</v>
      </c>
      <c r="AG44" s="345">
        <f t="shared" si="25"/>
        <v>43.65</v>
      </c>
      <c r="AH44" s="346">
        <f t="shared" si="38"/>
        <v>17.932982302749217</v>
      </c>
      <c r="AI44" s="348">
        <f>+IF($N44&gt;G$8,"FIN",(G$19-SUM(AJ$25:AJ43))*VLOOKUP($N44,$A:$M,7,0)/VLOOKUP(G$15,$J$1:$L$4,2,0))</f>
        <v>120.15970794607955</v>
      </c>
      <c r="AJ44" s="345">
        <f t="shared" si="26"/>
        <v>252.96780620227273</v>
      </c>
      <c r="AK44" s="345">
        <f t="shared" si="13"/>
        <v>373.12751414835225</v>
      </c>
      <c r="AL44" s="346">
        <f t="shared" si="14"/>
        <v>153.29413763782838</v>
      </c>
      <c r="AM44" s="348">
        <f>+IF($N44&gt;H$8,"FIN",(H$19-SUM(AN$25:AN43))*VLOOKUP($N44,$A:$M,8,0)/VLOOKUP(H$15,$J$1:$L$4,2,0))</f>
        <v>106.00793966265398</v>
      </c>
      <c r="AN44" s="345">
        <f t="shared" si="27"/>
        <v>262.55836448954545</v>
      </c>
      <c r="AO44" s="345">
        <f t="shared" si="28"/>
        <v>368.56630415219945</v>
      </c>
      <c r="AP44" s="346">
        <f t="shared" si="39"/>
        <v>151.42022931846685</v>
      </c>
      <c r="AQ44" s="348">
        <f>+IF($N44&gt;I$8,"FIN",(I$19-SUM(AR$25:AR43))*VLOOKUP($N44,$A:$M,9,0)/VLOOKUP(I$15,$J$1:$L$4,2,0))</f>
        <v>109.558076346875</v>
      </c>
      <c r="AR44" s="345">
        <f t="shared" si="29"/>
        <v>179.78761246666667</v>
      </c>
      <c r="AS44" s="345">
        <f t="shared" si="15"/>
        <v>289.34568881354164</v>
      </c>
      <c r="AT44" s="346">
        <f t="shared" si="16"/>
        <v>118.87356510584249</v>
      </c>
      <c r="AU44" s="348">
        <f>+IF($N44&gt;J$8,"FIN",(J$19-SUM(AV$25:AV43))*VLOOKUP($N44,$A:$M,10,0)/VLOOKUP(J$15,$J$1:$L$4,2,0))</f>
        <v>121.37293308749999</v>
      </c>
      <c r="AV44" s="345">
        <f t="shared" si="30"/>
        <v>215.77410326666666</v>
      </c>
      <c r="AW44" s="345">
        <f t="shared" si="31"/>
        <v>337.14703635416663</v>
      </c>
      <c r="AX44" s="346">
        <f t="shared" si="40"/>
        <v>138.5120695615949</v>
      </c>
      <c r="AY44" s="348">
        <f>+IF($N44&gt;K$8,"FIN",(K$19-SUM(AZ$25:AZ43))*VLOOKUP($N44,$A:$M,11,0)/VLOOKUP(K$15,$J$1:$L$4,2,0))</f>
        <v>163.96306818181822</v>
      </c>
      <c r="AZ44" s="345">
        <f t="shared" si="17"/>
        <v>187.38636363636363</v>
      </c>
      <c r="BA44" s="345">
        <f t="shared" si="18"/>
        <v>351.34943181818187</v>
      </c>
      <c r="BB44" s="346">
        <f t="shared" si="19"/>
        <v>144.34692194447763</v>
      </c>
      <c r="BC44" s="348">
        <f>+IF($N44&gt;L$8,"FIN",(L$19-SUM(BD$25:BD43))*VLOOKUP($N44,$A:$M,12,0)/VLOOKUP(L$15,$J$1:$L$4,2,0))</f>
        <v>11.935546875</v>
      </c>
      <c r="BD44" s="345">
        <f t="shared" si="32"/>
        <v>16.53409090909091</v>
      </c>
      <c r="BE44" s="345">
        <f t="shared" si="33"/>
        <v>28.46963778409091</v>
      </c>
      <c r="BF44" s="346">
        <f t="shared" si="41"/>
        <v>11.696346175206935</v>
      </c>
      <c r="BG44" s="242"/>
      <c r="BH44" s="348">
        <f t="shared" si="42"/>
        <v>1153.5492463977644</v>
      </c>
      <c r="BI44" s="345">
        <f t="shared" si="42"/>
        <v>2462.6871030240172</v>
      </c>
      <c r="BJ44" s="346">
        <f t="shared" si="34"/>
        <v>3616.2363494217816</v>
      </c>
    </row>
    <row r="45" spans="1:62" x14ac:dyDescent="0.25">
      <c r="A45" s="27">
        <f t="shared" si="35"/>
        <v>47618</v>
      </c>
      <c r="B45" s="233">
        <v>0.01</v>
      </c>
      <c r="C45" s="233">
        <v>1.7500000000000002E-2</v>
      </c>
      <c r="D45" s="230">
        <v>1.25E-3</v>
      </c>
      <c r="E45" s="234">
        <v>0.05</v>
      </c>
      <c r="F45" s="234">
        <v>0.04</v>
      </c>
      <c r="G45" s="234">
        <v>0.05</v>
      </c>
      <c r="H45" s="234">
        <v>4.2500000000000003E-2</v>
      </c>
      <c r="I45" s="234">
        <v>4.8750000000000002E-2</v>
      </c>
      <c r="J45" s="234">
        <v>4.4999999999999998E-2</v>
      </c>
      <c r="K45" s="233">
        <v>0.05</v>
      </c>
      <c r="L45" s="230">
        <v>4.1250000000000002E-2</v>
      </c>
      <c r="M45" s="289">
        <f t="shared" si="20"/>
        <v>2030</v>
      </c>
      <c r="N45" s="32">
        <f t="shared" si="36"/>
        <v>47618</v>
      </c>
      <c r="O45" s="348">
        <f>+IF($N45&gt;B$8,"FIN",(B$19-SUM(P$25:P44))*VLOOKUP($N45,$A:$M,2,0)/VLOOKUP(B$15,$J$1:$L$4,2,0))</f>
        <v>1.3982329873128014</v>
      </c>
      <c r="P45" s="345">
        <f t="shared" si="21"/>
        <v>279.64659746255995</v>
      </c>
      <c r="Q45" s="345">
        <f t="shared" si="22"/>
        <v>281.04483044987273</v>
      </c>
      <c r="R45" s="346">
        <f t="shared" si="5"/>
        <v>110.08991351532293</v>
      </c>
      <c r="S45" s="348">
        <f>+IF($N45&gt;C$8,"FIN",(C$19-SUM(T$25:T44))*VLOOKUP($N45,$A:$M,3,0)/VLOOKUP(C$15,$J$1:$L$4,2,0))</f>
        <v>13.438541666666657</v>
      </c>
      <c r="T45" s="345">
        <f t="shared" si="6"/>
        <v>767.91666666666663</v>
      </c>
      <c r="U45" s="345">
        <f t="shared" si="43"/>
        <v>781.35520833333328</v>
      </c>
      <c r="V45" s="346">
        <f t="shared" si="8"/>
        <v>306.06977247178446</v>
      </c>
      <c r="W45" s="348">
        <f>+IF($N45&gt;D$8,"FIN",(D$19-SUM(X$25:X44))*VLOOKUP($N45,$A:$M,4,0)/VLOOKUP(D$15,$J$1:$L$4,2,0))</f>
        <v>0.26523810308173468</v>
      </c>
      <c r="X45" s="349">
        <f t="shared" si="44"/>
        <v>212.19048246538759</v>
      </c>
      <c r="Y45" s="349">
        <f t="shared" si="23"/>
        <v>212.45572056846933</v>
      </c>
      <c r="Z45" s="346">
        <f t="shared" si="37"/>
        <v>83.222423503676993</v>
      </c>
      <c r="AA45" s="348">
        <f>+IF($N45&gt;E$8,"FIN",(E$19-SUM(AB$25:AB44))*VLOOKUP($N45,$A:$M,5,0)/VLOOKUP(E$15,$J$1:$L$4,2,0))</f>
        <v>418.3125</v>
      </c>
      <c r="AB45" s="345">
        <f t="shared" si="10"/>
        <v>0</v>
      </c>
      <c r="AC45" s="345">
        <f t="shared" si="11"/>
        <v>418.3125</v>
      </c>
      <c r="AD45" s="346">
        <f t="shared" si="12"/>
        <v>163.8599325013821</v>
      </c>
      <c r="AE45" s="348">
        <f>+IF($N45&gt;F$8,"FIN",(F$19-SUM(AF$25:AF44))*VLOOKUP($N45,$A:$M,6,0)/VLOOKUP(F$15,$J$1:$L$4,2,0))</f>
        <v>43.65</v>
      </c>
      <c r="AF45" s="345">
        <f t="shared" si="24"/>
        <v>0</v>
      </c>
      <c r="AG45" s="345">
        <f t="shared" si="25"/>
        <v>43.65</v>
      </c>
      <c r="AH45" s="346">
        <f t="shared" si="38"/>
        <v>17.098427739274651</v>
      </c>
      <c r="AI45" s="348">
        <f>+IF($N45&gt;G$8,"FIN",(G$19-SUM(AJ$25:AJ44))*VLOOKUP($N45,$A:$M,7,0)/VLOOKUP(G$15,$J$1:$L$4,2,0))</f>
        <v>113.83551279102274</v>
      </c>
      <c r="AJ45" s="345">
        <f t="shared" si="26"/>
        <v>252.96780620227273</v>
      </c>
      <c r="AK45" s="345">
        <f t="shared" si="13"/>
        <v>366.80331899329548</v>
      </c>
      <c r="AL45" s="346">
        <f t="shared" si="14"/>
        <v>143.68293343259961</v>
      </c>
      <c r="AM45" s="348">
        <f>+IF($N45&gt;H$8,"FIN",(H$19-SUM(AN$25:AN44))*VLOOKUP($N45,$A:$M,8,0)/VLOOKUP(H$15,$J$1:$L$4,2,0))</f>
        <v>100.42857441725113</v>
      </c>
      <c r="AN45" s="345">
        <f t="shared" si="27"/>
        <v>262.55836448954545</v>
      </c>
      <c r="AO45" s="345">
        <f t="shared" si="28"/>
        <v>362.98693890679658</v>
      </c>
      <c r="AP45" s="346">
        <f t="shared" si="39"/>
        <v>142.18799416262004</v>
      </c>
      <c r="AQ45" s="348">
        <f>+IF($N45&gt;I$8,"FIN",(I$19-SUM(AR$25:AR44))*VLOOKUP($N45,$A:$M,9,0)/VLOOKUP(I$15,$J$1:$L$4,2,0))</f>
        <v>105.175753293</v>
      </c>
      <c r="AR45" s="345">
        <f t="shared" si="29"/>
        <v>179.78761246666667</v>
      </c>
      <c r="AS45" s="345">
        <f t="shared" si="15"/>
        <v>284.96336575966666</v>
      </c>
      <c r="AT45" s="346">
        <f t="shared" si="16"/>
        <v>111.62486867771257</v>
      </c>
      <c r="AU45" s="348">
        <f>+IF($N45&gt;J$8,"FIN",(J$19-SUM(AV$25:AV44))*VLOOKUP($N45,$A:$M,10,0)/VLOOKUP(J$15,$J$1:$L$4,2,0))</f>
        <v>116.51801576399997</v>
      </c>
      <c r="AV45" s="345">
        <f t="shared" si="30"/>
        <v>215.77410326666666</v>
      </c>
      <c r="AW45" s="345">
        <f t="shared" si="31"/>
        <v>332.29211903066664</v>
      </c>
      <c r="AX45" s="346">
        <f t="shared" si="40"/>
        <v>130.16432498456598</v>
      </c>
      <c r="AY45" s="348">
        <f>+IF($N45&gt;K$8,"FIN",(K$19-SUM(AZ$25:AZ44))*VLOOKUP($N45,$A:$M,11,0)/VLOOKUP(K$15,$J$1:$L$4,2,0))</f>
        <v>159.27840909090912</v>
      </c>
      <c r="AZ45" s="345">
        <f t="shared" si="17"/>
        <v>187.38636363636363</v>
      </c>
      <c r="BA45" s="345">
        <f t="shared" si="18"/>
        <v>346.66477272727275</v>
      </c>
      <c r="BB45" s="346">
        <f t="shared" si="19"/>
        <v>135.79433141418886</v>
      </c>
      <c r="BC45" s="348">
        <f>+IF($N45&gt;L$8,"FIN",(L$19-SUM(BD$25:BD44))*VLOOKUP($N45,$A:$M,12,0)/VLOOKUP(L$15,$J$1:$L$4,2,0))</f>
        <v>11.594531249999999</v>
      </c>
      <c r="BD45" s="345">
        <f t="shared" si="32"/>
        <v>16.53409090909091</v>
      </c>
      <c r="BE45" s="345">
        <f t="shared" si="33"/>
        <v>28.128622159090909</v>
      </c>
      <c r="BF45" s="346">
        <f t="shared" si="41"/>
        <v>11.018447042212502</v>
      </c>
      <c r="BG45" s="242"/>
      <c r="BH45" s="348">
        <f t="shared" si="42"/>
        <v>1117.7762103802188</v>
      </c>
      <c r="BI45" s="345">
        <f t="shared" si="42"/>
        <v>2462.6871030240172</v>
      </c>
      <c r="BJ45" s="346">
        <f t="shared" si="34"/>
        <v>3580.463313404236</v>
      </c>
    </row>
    <row r="46" spans="1:62" x14ac:dyDescent="0.25">
      <c r="A46" s="27">
        <f t="shared" si="35"/>
        <v>47802</v>
      </c>
      <c r="B46" s="233"/>
      <c r="C46" s="233">
        <v>1.7500000000000002E-2</v>
      </c>
      <c r="D46" s="230">
        <v>1.25E-3</v>
      </c>
      <c r="E46" s="234">
        <v>0.05</v>
      </c>
      <c r="F46" s="234">
        <v>0.04</v>
      </c>
      <c r="G46" s="234">
        <v>0.05</v>
      </c>
      <c r="H46" s="234">
        <v>4.2500000000000003E-2</v>
      </c>
      <c r="I46" s="234">
        <v>4.8750000000000002E-2</v>
      </c>
      <c r="J46" s="234">
        <v>4.4999999999999998E-2</v>
      </c>
      <c r="K46" s="233">
        <v>0.05</v>
      </c>
      <c r="L46" s="230">
        <v>4.1250000000000002E-2</v>
      </c>
      <c r="M46" s="289">
        <f t="shared" si="20"/>
        <v>2030</v>
      </c>
      <c r="N46" s="32">
        <f t="shared" si="36"/>
        <v>47802</v>
      </c>
      <c r="O46" s="348"/>
      <c r="P46" s="345"/>
      <c r="Q46" s="345"/>
      <c r="R46" s="346"/>
      <c r="S46" s="348">
        <f>+IF($N46&gt;C$8,"FIN",(C$19-SUM(T$25:T45))*VLOOKUP($N46,$A:$M,3,0)/VLOOKUP(C$15,$J$1:$L$4,2,0))</f>
        <v>6.7192708333333284</v>
      </c>
      <c r="T46" s="345">
        <f t="shared" si="6"/>
        <v>767.91666666666663</v>
      </c>
      <c r="U46" s="345">
        <f t="shared" si="43"/>
        <v>774.63593749999995</v>
      </c>
      <c r="V46" s="346">
        <f t="shared" si="8"/>
        <v>289.31651688557844</v>
      </c>
      <c r="W46" s="348">
        <f>+IF($N46&gt;D$8,"FIN",(D$19-SUM(X$25:X45))*VLOOKUP($N46,$A:$M,4,0)/VLOOKUP(D$15,$J$1:$L$4,2,0))</f>
        <v>0.13261905154086748</v>
      </c>
      <c r="X46" s="349">
        <f t="shared" si="44"/>
        <v>212.19048246538759</v>
      </c>
      <c r="Y46" s="349">
        <f t="shared" si="23"/>
        <v>212.32310151692846</v>
      </c>
      <c r="Z46" s="346">
        <f t="shared" si="37"/>
        <v>79.299935894364339</v>
      </c>
      <c r="AA46" s="348">
        <f>+IF($N46&gt;E$8,"FIN",(E$19-SUM(AB$25:AB45))*VLOOKUP($N46,$A:$M,5,0)/VLOOKUP(E$15,$J$1:$L$4,2,0))</f>
        <v>418.3125</v>
      </c>
      <c r="AB46" s="345">
        <f t="shared" si="10"/>
        <v>0</v>
      </c>
      <c r="AC46" s="345">
        <f t="shared" si="11"/>
        <v>418.3125</v>
      </c>
      <c r="AD46" s="346">
        <f t="shared" si="12"/>
        <v>156.23431551637574</v>
      </c>
      <c r="AE46" s="348">
        <f>+IF($N46&gt;F$8,"FIN",(F$19-SUM(AF$25:AF45))*VLOOKUP($N46,$A:$M,6,0)/VLOOKUP(F$15,$J$1:$L$4,2,0))</f>
        <v>43.65</v>
      </c>
      <c r="AF46" s="345">
        <f t="shared" si="24"/>
        <v>0</v>
      </c>
      <c r="AG46" s="345">
        <f t="shared" si="25"/>
        <v>43.65</v>
      </c>
      <c r="AH46" s="346">
        <f t="shared" si="38"/>
        <v>16.30271118431747</v>
      </c>
      <c r="AI46" s="348">
        <f>+IF($N46&gt;G$8,"FIN",(G$19-SUM(AJ$25:AJ45))*VLOOKUP($N46,$A:$M,7,0)/VLOOKUP(G$15,$J$1:$L$4,2,0))</f>
        <v>107.51131763596591</v>
      </c>
      <c r="AJ46" s="345">
        <f t="shared" si="26"/>
        <v>252.96780620227273</v>
      </c>
      <c r="AK46" s="345">
        <f t="shared" si="13"/>
        <v>360.47912383823865</v>
      </c>
      <c r="AL46" s="346">
        <f t="shared" si="14"/>
        <v>134.63429653861664</v>
      </c>
      <c r="AM46" s="348">
        <f>+IF($N46&gt;H$8,"FIN",(H$19-SUM(AN$25:AN45))*VLOOKUP($N46,$A:$M,8,0)/VLOOKUP(H$15,$J$1:$L$4,2,0))</f>
        <v>94.849209171848287</v>
      </c>
      <c r="AN46" s="345">
        <f t="shared" si="27"/>
        <v>262.55836448954545</v>
      </c>
      <c r="AO46" s="345">
        <f t="shared" si="28"/>
        <v>357.40757366139371</v>
      </c>
      <c r="AP46" s="346">
        <f t="shared" si="39"/>
        <v>133.48711222197878</v>
      </c>
      <c r="AQ46" s="348">
        <f>+IF($N46&gt;I$8,"FIN",(I$19-SUM(AR$25:AR45))*VLOOKUP($N46,$A:$M,9,0)/VLOOKUP(I$15,$J$1:$L$4,2,0))</f>
        <v>100.79343023912502</v>
      </c>
      <c r="AR46" s="345">
        <f t="shared" si="29"/>
        <v>179.78761246666667</v>
      </c>
      <c r="AS46" s="345">
        <f t="shared" si="15"/>
        <v>280.58104270579167</v>
      </c>
      <c r="AT46" s="346">
        <f t="shared" si="16"/>
        <v>104.79339525835435</v>
      </c>
      <c r="AU46" s="348">
        <f>+IF($N46&gt;J$8,"FIN",(J$19-SUM(AV$25:AV45))*VLOOKUP($N46,$A:$M,10,0)/VLOOKUP(J$15,$J$1:$L$4,2,0))</f>
        <v>111.66309844049998</v>
      </c>
      <c r="AV46" s="345">
        <f t="shared" si="30"/>
        <v>215.77410326666666</v>
      </c>
      <c r="AW46" s="345">
        <f t="shared" si="31"/>
        <v>327.43720170716665</v>
      </c>
      <c r="AX46" s="346">
        <f t="shared" si="40"/>
        <v>122.29356541656452</v>
      </c>
      <c r="AY46" s="348">
        <f>+IF($N46&gt;K$8,"FIN",(K$19-SUM(AZ$25:AZ45))*VLOOKUP($N46,$A:$M,11,0)/VLOOKUP(K$15,$J$1:$L$4,2,0))</f>
        <v>154.59375</v>
      </c>
      <c r="AZ46" s="345">
        <f t="shared" si="17"/>
        <v>187.38636363636363</v>
      </c>
      <c r="BA46" s="345">
        <f t="shared" si="18"/>
        <v>341.98011363636363</v>
      </c>
      <c r="BB46" s="346">
        <f t="shared" si="19"/>
        <v>127.72515517511351</v>
      </c>
      <c r="BC46" s="348">
        <f>+IF($N46&gt;L$8,"FIN",(L$19-SUM(BD$25:BD45))*VLOOKUP($N46,$A:$M,12,0)/VLOOKUP(L$15,$J$1:$L$4,2,0))</f>
        <v>11.253515625</v>
      </c>
      <c r="BD46" s="345">
        <f t="shared" si="32"/>
        <v>16.53409090909091</v>
      </c>
      <c r="BE46" s="345">
        <f t="shared" si="33"/>
        <v>27.787606534090912</v>
      </c>
      <c r="BF46" s="346">
        <f t="shared" si="41"/>
        <v>10.37831211520589</v>
      </c>
      <c r="BG46" s="242"/>
      <c r="BH46" s="348">
        <f t="shared" si="42"/>
        <v>1082.0031743626732</v>
      </c>
      <c r="BI46" s="345">
        <f t="shared" si="42"/>
        <v>2183.0405055614574</v>
      </c>
      <c r="BJ46" s="346">
        <f t="shared" si="34"/>
        <v>3265.0436799241306</v>
      </c>
    </row>
    <row r="47" spans="1:62" x14ac:dyDescent="0.25">
      <c r="A47" s="27">
        <f t="shared" si="35"/>
        <v>47983</v>
      </c>
      <c r="B47" s="233"/>
      <c r="C47" s="233"/>
      <c r="D47" s="233"/>
      <c r="E47" s="234">
        <v>0.05</v>
      </c>
      <c r="F47" s="234">
        <v>0.04</v>
      </c>
      <c r="G47" s="234">
        <v>0.05</v>
      </c>
      <c r="H47" s="234">
        <v>4.2500000000000003E-2</v>
      </c>
      <c r="I47" s="234">
        <v>4.8750000000000002E-2</v>
      </c>
      <c r="J47" s="234">
        <v>4.4999999999999998E-2</v>
      </c>
      <c r="K47" s="233">
        <v>0.05</v>
      </c>
      <c r="L47" s="230">
        <v>4.1250000000000002E-2</v>
      </c>
      <c r="M47" s="289">
        <f t="shared" si="20"/>
        <v>2031</v>
      </c>
      <c r="N47" s="32">
        <f t="shared" si="36"/>
        <v>47983</v>
      </c>
      <c r="O47" s="348"/>
      <c r="P47" s="345"/>
      <c r="Q47" s="345"/>
      <c r="R47" s="346"/>
      <c r="S47" s="348"/>
      <c r="T47" s="345"/>
      <c r="U47" s="345"/>
      <c r="V47" s="346"/>
      <c r="W47" s="348"/>
      <c r="X47" s="345"/>
      <c r="Y47" s="345"/>
      <c r="Z47" s="346"/>
      <c r="AA47" s="348">
        <f>+IF($N47&gt;E$8,"FIN",(E$19-SUM(AB$25:AB46))*VLOOKUP($N47,$A:$M,5,0)/VLOOKUP(E$15,$J$1:$L$4,2,0))</f>
        <v>418.3125</v>
      </c>
      <c r="AB47" s="345">
        <f t="shared" si="10"/>
        <v>1673.25</v>
      </c>
      <c r="AC47" s="345">
        <f t="shared" si="11"/>
        <v>2091.5625</v>
      </c>
      <c r="AD47" s="346">
        <f t="shared" si="12"/>
        <v>744.81787500628229</v>
      </c>
      <c r="AE47" s="348">
        <f>+IF($N47&gt;F$8,"FIN",(F$19-SUM(AF$25:AF46))*VLOOKUP($N47,$A:$M,6,0)/VLOOKUP(F$15,$J$1:$L$4,2,0))</f>
        <v>43.65</v>
      </c>
      <c r="AF47" s="345">
        <f t="shared" si="24"/>
        <v>218.25</v>
      </c>
      <c r="AG47" s="345">
        <f t="shared" si="25"/>
        <v>261.89999999999998</v>
      </c>
      <c r="AH47" s="346">
        <f t="shared" si="38"/>
        <v>93.264151305134476</v>
      </c>
      <c r="AI47" s="348">
        <f>+IF($N47&gt;G$8,"FIN",(G$19-SUM(AJ$25:AJ46))*VLOOKUP($N47,$A:$M,7,0)/VLOOKUP(G$15,$J$1:$L$4,2,0))</f>
        <v>101.1871224809091</v>
      </c>
      <c r="AJ47" s="345">
        <f t="shared" si="26"/>
        <v>252.96780620227273</v>
      </c>
      <c r="AK47" s="345">
        <f t="shared" si="13"/>
        <v>354.15492868318182</v>
      </c>
      <c r="AL47" s="346">
        <f t="shared" si="14"/>
        <v>126.11668138284605</v>
      </c>
      <c r="AM47" s="348">
        <f>+IF($N47&gt;H$8,"FIN",(H$19-SUM(AN$25:AN46))*VLOOKUP($N47,$A:$M,8,0)/VLOOKUP(H$15,$J$1:$L$4,2,0))</f>
        <v>89.269843926445446</v>
      </c>
      <c r="AN47" s="345">
        <f t="shared" si="27"/>
        <v>262.55836448954545</v>
      </c>
      <c r="AO47" s="345">
        <f t="shared" si="28"/>
        <v>351.8282084159909</v>
      </c>
      <c r="AP47" s="346">
        <f t="shared" si="39"/>
        <v>125.28812242506056</v>
      </c>
      <c r="AQ47" s="348">
        <f>+IF($N47&gt;I$8,"FIN",(I$19-SUM(AR$25:AR46))*VLOOKUP($N47,$A:$M,9,0)/VLOOKUP(I$15,$J$1:$L$4,2,0))</f>
        <v>96.411107185250003</v>
      </c>
      <c r="AR47" s="345">
        <f t="shared" si="29"/>
        <v>179.78761246666667</v>
      </c>
      <c r="AS47" s="345">
        <f t="shared" si="15"/>
        <v>276.19871965191669</v>
      </c>
      <c r="AT47" s="346">
        <f t="shared" si="16"/>
        <v>98.35601061435959</v>
      </c>
      <c r="AU47" s="348">
        <f>+IF($N47&gt;J$8,"FIN",(J$19-SUM(AV$25:AV46))*VLOOKUP($N47,$A:$M,10,0)/VLOOKUP(J$15,$J$1:$L$4,2,0))</f>
        <v>106.80818111699999</v>
      </c>
      <c r="AV47" s="345">
        <f t="shared" si="30"/>
        <v>215.77410326666666</v>
      </c>
      <c r="AW47" s="345">
        <f t="shared" si="31"/>
        <v>322.58228438366666</v>
      </c>
      <c r="AX47" s="346">
        <f t="shared" si="40"/>
        <v>114.87347452888204</v>
      </c>
      <c r="AY47" s="348">
        <f>+IF($N47&gt;K$8,"FIN",(K$19-SUM(AZ$25:AZ46))*VLOOKUP($N47,$A:$M,11,0)/VLOOKUP(K$15,$J$1:$L$4,2,0))</f>
        <v>149.90909090909093</v>
      </c>
      <c r="AZ47" s="345">
        <f t="shared" si="17"/>
        <v>187.38636363636363</v>
      </c>
      <c r="BA47" s="345">
        <f t="shared" si="18"/>
        <v>337.29545454545456</v>
      </c>
      <c r="BB47" s="346">
        <f t="shared" si="19"/>
        <v>120.11292213540047</v>
      </c>
      <c r="BC47" s="348">
        <f>+IF($N47&gt;L$8,"FIN",(L$19-SUM(BD$25:BD46))*VLOOKUP($N47,$A:$M,12,0)/VLOOKUP(L$15,$J$1:$L$4,2,0))</f>
        <v>10.912500000000001</v>
      </c>
      <c r="BD47" s="345">
        <f t="shared" si="32"/>
        <v>16.53409090909091</v>
      </c>
      <c r="BE47" s="345">
        <f t="shared" si="33"/>
        <v>27.446590909090911</v>
      </c>
      <c r="BF47" s="346">
        <f t="shared" si="41"/>
        <v>9.7738946443512145</v>
      </c>
      <c r="BG47" s="242"/>
      <c r="BH47" s="348">
        <f t="shared" si="42"/>
        <v>1047.6283713324408</v>
      </c>
      <c r="BI47" s="345">
        <f t="shared" si="42"/>
        <v>3095.1868786233858</v>
      </c>
      <c r="BJ47" s="346">
        <f t="shared" si="34"/>
        <v>4142.8152499558264</v>
      </c>
    </row>
    <row r="48" spans="1:62" x14ac:dyDescent="0.25">
      <c r="A48" s="27">
        <f t="shared" si="35"/>
        <v>48167</v>
      </c>
      <c r="B48" s="233"/>
      <c r="C48" s="233"/>
      <c r="D48" s="233"/>
      <c r="E48" s="234">
        <v>0.05</v>
      </c>
      <c r="F48" s="234">
        <v>0.04</v>
      </c>
      <c r="G48" s="234">
        <v>0.05</v>
      </c>
      <c r="H48" s="234">
        <v>4.2500000000000003E-2</v>
      </c>
      <c r="I48" s="234">
        <v>4.8750000000000002E-2</v>
      </c>
      <c r="J48" s="234">
        <v>4.4999999999999998E-2</v>
      </c>
      <c r="K48" s="233">
        <v>0.05</v>
      </c>
      <c r="L48" s="230">
        <v>4.1250000000000002E-2</v>
      </c>
      <c r="M48" s="289">
        <f t="shared" si="20"/>
        <v>2031</v>
      </c>
      <c r="N48" s="32">
        <f t="shared" si="36"/>
        <v>48167</v>
      </c>
      <c r="O48" s="348"/>
      <c r="P48" s="345"/>
      <c r="Q48" s="345"/>
      <c r="R48" s="346"/>
      <c r="S48" s="348"/>
      <c r="T48" s="345"/>
      <c r="U48" s="345"/>
      <c r="V48" s="346"/>
      <c r="W48" s="345"/>
      <c r="X48" s="345"/>
      <c r="Y48" s="345"/>
      <c r="Z48" s="346"/>
      <c r="AA48" s="348">
        <f>+IF($N48&gt;E$8,"FIN",(E$19-SUM(AB$25:AB47))*VLOOKUP($N48,$A:$M,5,0)/VLOOKUP(E$15,$J$1:$L$4,2,0))</f>
        <v>376.48125000000005</v>
      </c>
      <c r="AB48" s="345">
        <f t="shared" si="10"/>
        <v>1673.25</v>
      </c>
      <c r="AC48" s="345">
        <f t="shared" si="11"/>
        <v>2049.7312499999998</v>
      </c>
      <c r="AD48" s="346">
        <f t="shared" si="12"/>
        <v>695.95286002749197</v>
      </c>
      <c r="AE48" s="348">
        <f>+IF($N48&gt;F$8,"FIN",(F$19-SUM(AF$25:AF47))*VLOOKUP($N48,$A:$M,6,0)/VLOOKUP(F$15,$J$1:$L$4,2,0))</f>
        <v>39.285000000000004</v>
      </c>
      <c r="AF48" s="345">
        <f t="shared" si="24"/>
        <v>218.25</v>
      </c>
      <c r="AG48" s="345">
        <f t="shared" si="25"/>
        <v>257.53500000000003</v>
      </c>
      <c r="AH48" s="346">
        <f t="shared" si="38"/>
        <v>87.441814534066438</v>
      </c>
      <c r="AI48" s="348">
        <f>+IF($N48&gt;G$8,"FIN",(G$19-SUM(AJ$25:AJ47))*VLOOKUP($N48,$A:$M,7,0)/VLOOKUP(G$15,$J$1:$L$4,2,0))</f>
        <v>94.862927325852283</v>
      </c>
      <c r="AJ48" s="345">
        <f t="shared" si="26"/>
        <v>252.96780620227273</v>
      </c>
      <c r="AK48" s="345">
        <f t="shared" si="13"/>
        <v>347.83073352812499</v>
      </c>
      <c r="AL48" s="346">
        <f t="shared" si="14"/>
        <v>118.10026012159352</v>
      </c>
      <c r="AM48" s="348">
        <f>+IF($N48&gt;H$8,"FIN",(H$19-SUM(AN$25:AN47))*VLOOKUP($N48,$A:$M,8,0)/VLOOKUP(H$15,$J$1:$L$4,2,0))</f>
        <v>83.690478681042606</v>
      </c>
      <c r="AN48" s="345">
        <f t="shared" si="27"/>
        <v>262.55836448954545</v>
      </c>
      <c r="AO48" s="345">
        <f t="shared" si="28"/>
        <v>346.24884317058809</v>
      </c>
      <c r="AP48" s="346">
        <f t="shared" si="39"/>
        <v>117.56315501643512</v>
      </c>
      <c r="AQ48" s="348">
        <f>+IF($N48&gt;I$8,"FIN",(I$19-SUM(AR$25:AR47))*VLOOKUP($N48,$A:$M,9,0)/VLOOKUP(I$15,$J$1:$L$4,2,0))</f>
        <v>92.028784131375005</v>
      </c>
      <c r="AR48" s="345">
        <f t="shared" si="29"/>
        <v>179.78761246666667</v>
      </c>
      <c r="AS48" s="345">
        <f t="shared" si="15"/>
        <v>271.81639659804171</v>
      </c>
      <c r="AT48" s="346">
        <f t="shared" si="16"/>
        <v>92.290830134328189</v>
      </c>
      <c r="AU48" s="348">
        <f>+IF($N48&gt;J$8,"FIN",(J$19-SUM(AV$25:AV47))*VLOOKUP($N48,$A:$M,10,0)/VLOOKUP(J$15,$J$1:$L$4,2,0))</f>
        <v>101.95326379349997</v>
      </c>
      <c r="AV48" s="345">
        <f t="shared" si="30"/>
        <v>215.77410326666666</v>
      </c>
      <c r="AW48" s="345">
        <f t="shared" si="31"/>
        <v>317.72736706016661</v>
      </c>
      <c r="AX48" s="346">
        <f t="shared" si="40"/>
        <v>107.8791523593777</v>
      </c>
      <c r="AY48" s="348">
        <f>+IF($N48&gt;K$8,"FIN",(K$19-SUM(AZ$25:AZ47))*VLOOKUP($N48,$A:$M,11,0)/VLOOKUP(K$15,$J$1:$L$4,2,0))</f>
        <v>145.22443181818184</v>
      </c>
      <c r="AZ48" s="345">
        <f t="shared" si="17"/>
        <v>187.38636363636363</v>
      </c>
      <c r="BA48" s="345">
        <f t="shared" si="18"/>
        <v>332.6107954545455</v>
      </c>
      <c r="BB48" s="346">
        <f t="shared" si="19"/>
        <v>112.93257805022492</v>
      </c>
      <c r="BC48" s="348">
        <f>+IF($N48&gt;L$8,"FIN",(L$19-SUM(BD$25:BD47))*VLOOKUP($N48,$A:$M,12,0)/VLOOKUP(L$15,$J$1:$L$4,2,0))</f>
        <v>10.571484375000002</v>
      </c>
      <c r="BD48" s="345">
        <f t="shared" si="32"/>
        <v>16.53409090909091</v>
      </c>
      <c r="BE48" s="345">
        <f t="shared" si="33"/>
        <v>27.105575284090911</v>
      </c>
      <c r="BF48" s="346">
        <f t="shared" si="41"/>
        <v>9.203256593591755</v>
      </c>
      <c r="BG48" s="242"/>
      <c r="BH48" s="348">
        <f t="shared" si="42"/>
        <v>973.38289681660842</v>
      </c>
      <c r="BI48" s="345">
        <f t="shared" si="42"/>
        <v>3095.1868786233858</v>
      </c>
      <c r="BJ48" s="346">
        <f t="shared" si="34"/>
        <v>4068.5697754399944</v>
      </c>
    </row>
    <row r="49" spans="1:62" x14ac:dyDescent="0.25">
      <c r="A49" s="27">
        <f t="shared" si="35"/>
        <v>48349</v>
      </c>
      <c r="B49" s="233"/>
      <c r="C49" s="233"/>
      <c r="D49" s="233"/>
      <c r="E49" s="234">
        <v>0.05</v>
      </c>
      <c r="F49" s="234">
        <v>0.04</v>
      </c>
      <c r="G49" s="234">
        <v>0.05</v>
      </c>
      <c r="H49" s="234">
        <v>4.2500000000000003E-2</v>
      </c>
      <c r="I49" s="234">
        <v>4.8750000000000002E-2</v>
      </c>
      <c r="J49" s="234">
        <v>4.4999999999999998E-2</v>
      </c>
      <c r="K49" s="233">
        <v>0.05</v>
      </c>
      <c r="L49" s="230">
        <v>4.1250000000000002E-2</v>
      </c>
      <c r="M49" s="289">
        <f t="shared" si="20"/>
        <v>2032</v>
      </c>
      <c r="N49" s="32">
        <f t="shared" si="36"/>
        <v>48349</v>
      </c>
      <c r="O49" s="348"/>
      <c r="P49" s="345"/>
      <c r="Q49" s="345"/>
      <c r="R49" s="346"/>
      <c r="S49" s="348"/>
      <c r="T49" s="345"/>
      <c r="U49" s="345"/>
      <c r="V49" s="346"/>
      <c r="W49" s="345"/>
      <c r="X49" s="345"/>
      <c r="Y49" s="345"/>
      <c r="Z49" s="346"/>
      <c r="AA49" s="348">
        <f>+IF($N49&gt;E$8,"FIN",(E$19-SUM(AB$25:AB48))*VLOOKUP($N49,$A:$M,5,0)/VLOOKUP(E$15,$J$1:$L$4,2,0))</f>
        <v>334.65000000000003</v>
      </c>
      <c r="AB49" s="345">
        <f t="shared" si="10"/>
        <v>1673.25</v>
      </c>
      <c r="AC49" s="345">
        <f t="shared" si="11"/>
        <v>2007.9</v>
      </c>
      <c r="AD49" s="346">
        <f t="shared" si="12"/>
        <v>650.02287273275533</v>
      </c>
      <c r="AE49" s="348">
        <f>+IF($N49&gt;F$8,"FIN",(F$19-SUM(AF$25:AF48))*VLOOKUP($N49,$A:$M,6,0)/VLOOKUP(F$15,$J$1:$L$4,2,0))</f>
        <v>34.92</v>
      </c>
      <c r="AF49" s="345">
        <f t="shared" si="24"/>
        <v>218.25</v>
      </c>
      <c r="AG49" s="345">
        <f t="shared" si="25"/>
        <v>253.17000000000002</v>
      </c>
      <c r="AH49" s="346">
        <f t="shared" si="38"/>
        <v>81.959405692390902</v>
      </c>
      <c r="AI49" s="348">
        <f>+IF($N49&gt;G$8,"FIN",(G$19-SUM(AJ$25:AJ48))*VLOOKUP($N49,$A:$M,7,0)/VLOOKUP(G$15,$J$1:$L$4,2,0))</f>
        <v>88.53873217079547</v>
      </c>
      <c r="AJ49" s="345">
        <f t="shared" si="26"/>
        <v>252.96780620227273</v>
      </c>
      <c r="AK49" s="345">
        <f t="shared" si="13"/>
        <v>341.50653837306822</v>
      </c>
      <c r="AL49" s="346">
        <f t="shared" si="14"/>
        <v>110.55683108236504</v>
      </c>
      <c r="AM49" s="348">
        <f>+IF($N49&gt;H$8,"FIN",(H$19-SUM(AN$25:AN48))*VLOOKUP($N49,$A:$M,8,0)/VLOOKUP(H$15,$J$1:$L$4,2,0))</f>
        <v>78.111113435639766</v>
      </c>
      <c r="AN49" s="345">
        <f t="shared" si="27"/>
        <v>262.55836448954545</v>
      </c>
      <c r="AO49" s="345">
        <f t="shared" si="28"/>
        <v>340.66947792518522</v>
      </c>
      <c r="AP49" s="346">
        <f t="shared" si="39"/>
        <v>110.2858472500109</v>
      </c>
      <c r="AQ49" s="348">
        <f>+IF($N49&gt;I$8,"FIN",(I$19-SUM(AR$25:AR48))*VLOOKUP($N49,$A:$M,9,0)/VLOOKUP(I$15,$J$1:$L$4,2,0))</f>
        <v>87.646461077500007</v>
      </c>
      <c r="AR49" s="345">
        <f t="shared" si="29"/>
        <v>179.78761246666667</v>
      </c>
      <c r="AS49" s="345">
        <f t="shared" si="15"/>
        <v>267.43407354416667</v>
      </c>
      <c r="AT49" s="346">
        <f t="shared" si="16"/>
        <v>86.577152623040078</v>
      </c>
      <c r="AU49" s="348">
        <f>+IF($N49&gt;J$8,"FIN",(J$19-SUM(AV$25:AV48))*VLOOKUP($N49,$A:$M,10,0)/VLOOKUP(J$15,$J$1:$L$4,2,0))</f>
        <v>97.098346469999967</v>
      </c>
      <c r="AV49" s="345">
        <f t="shared" si="30"/>
        <v>215.77410326666666</v>
      </c>
      <c r="AW49" s="345">
        <f t="shared" si="31"/>
        <v>312.87244973666662</v>
      </c>
      <c r="AX49" s="346">
        <f t="shared" si="40"/>
        <v>101.28704047849128</v>
      </c>
      <c r="AY49" s="348">
        <f>+IF($N49&gt;K$8,"FIN",(K$19-SUM(AZ$25:AZ48))*VLOOKUP($N49,$A:$M,11,0)/VLOOKUP(K$15,$J$1:$L$4,2,0))</f>
        <v>140.53977272727275</v>
      </c>
      <c r="AZ49" s="345">
        <f t="shared" si="17"/>
        <v>187.38636363636363</v>
      </c>
      <c r="BA49" s="345">
        <f t="shared" si="18"/>
        <v>327.92613636363637</v>
      </c>
      <c r="BB49" s="346">
        <f t="shared" si="19"/>
        <v>106.16041097825797</v>
      </c>
      <c r="BC49" s="348">
        <f>+IF($N49&gt;L$8,"FIN",(L$19-SUM(BD$25:BD48))*VLOOKUP($N49,$A:$M,12,0)/VLOOKUP(L$15,$J$1:$L$4,2,0))</f>
        <v>10.23046875</v>
      </c>
      <c r="BD49" s="345">
        <f t="shared" si="32"/>
        <v>16.53409090909091</v>
      </c>
      <c r="BE49" s="345">
        <f t="shared" si="33"/>
        <v>26.76455965909091</v>
      </c>
      <c r="BF49" s="346">
        <f t="shared" si="41"/>
        <v>8.6645629548431149</v>
      </c>
      <c r="BG49" s="242"/>
      <c r="BH49" s="348">
        <f t="shared" si="42"/>
        <v>899.13742230077605</v>
      </c>
      <c r="BI49" s="345">
        <f t="shared" si="42"/>
        <v>3095.1868786233858</v>
      </c>
      <c r="BJ49" s="346">
        <f t="shared" si="34"/>
        <v>3994.3243009241619</v>
      </c>
    </row>
    <row r="50" spans="1:62" x14ac:dyDescent="0.25">
      <c r="A50" s="27">
        <f t="shared" si="35"/>
        <v>48533</v>
      </c>
      <c r="B50" s="233"/>
      <c r="C50" s="233"/>
      <c r="D50" s="233"/>
      <c r="E50" s="234">
        <v>0.05</v>
      </c>
      <c r="F50" s="234">
        <v>0.04</v>
      </c>
      <c r="G50" s="234">
        <v>0.05</v>
      </c>
      <c r="H50" s="234">
        <v>4.2500000000000003E-2</v>
      </c>
      <c r="I50" s="234">
        <v>4.8750000000000002E-2</v>
      </c>
      <c r="J50" s="234">
        <v>4.4999999999999998E-2</v>
      </c>
      <c r="K50" s="233">
        <v>0.05</v>
      </c>
      <c r="L50" s="230">
        <v>4.1250000000000002E-2</v>
      </c>
      <c r="M50" s="289">
        <f t="shared" si="20"/>
        <v>2032</v>
      </c>
      <c r="N50" s="32">
        <f t="shared" si="36"/>
        <v>48533</v>
      </c>
      <c r="O50" s="348"/>
      <c r="P50" s="345"/>
      <c r="Q50" s="345"/>
      <c r="R50" s="346"/>
      <c r="S50" s="348"/>
      <c r="T50" s="345"/>
      <c r="U50" s="345"/>
      <c r="V50" s="346"/>
      <c r="W50" s="345"/>
      <c r="X50" s="345"/>
      <c r="Y50" s="345"/>
      <c r="Z50" s="346"/>
      <c r="AA50" s="348">
        <f>+IF($N50&gt;E$8,"FIN",(E$19-SUM(AB$25:AB49))*VLOOKUP($N50,$A:$M,5,0)/VLOOKUP(E$15,$J$1:$L$4,2,0))</f>
        <v>292.81875000000002</v>
      </c>
      <c r="AB50" s="345">
        <f t="shared" si="10"/>
        <v>1673.25</v>
      </c>
      <c r="AC50" s="345">
        <f t="shared" si="11"/>
        <v>1966.0687499999999</v>
      </c>
      <c r="AD50" s="346">
        <f t="shared" si="12"/>
        <v>606.86056440245125</v>
      </c>
      <c r="AE50" s="348">
        <f>+IF($N50&gt;F$8,"FIN",(F$19-SUM(AF$25:AF49))*VLOOKUP($N50,$A:$M,6,0)/VLOOKUP(F$15,$J$1:$L$4,2,0))</f>
        <v>30.555</v>
      </c>
      <c r="AF50" s="345">
        <f t="shared" si="24"/>
        <v>218.25</v>
      </c>
      <c r="AG50" s="345">
        <f t="shared" si="25"/>
        <v>248.80500000000001</v>
      </c>
      <c r="AH50" s="346">
        <f t="shared" si="38"/>
        <v>76.797895661660803</v>
      </c>
      <c r="AI50" s="348">
        <f>+IF($N50&gt;G$8,"FIN",(G$19-SUM(AJ$25:AJ49))*VLOOKUP($N50,$A:$M,7,0)/VLOOKUP(G$15,$J$1:$L$4,2,0))</f>
        <v>82.214537015738642</v>
      </c>
      <c r="AJ50" s="345">
        <f t="shared" si="26"/>
        <v>252.96780620227273</v>
      </c>
      <c r="AK50" s="345">
        <f t="shared" si="13"/>
        <v>335.1823432180114</v>
      </c>
      <c r="AL50" s="346">
        <f t="shared" si="14"/>
        <v>103.4597320073464</v>
      </c>
      <c r="AM50" s="348">
        <f>+IF($N50&gt;H$8,"FIN",(H$19-SUM(AN$25:AN49))*VLOOKUP($N50,$A:$M,8,0)/VLOOKUP(H$15,$J$1:$L$4,2,0))</f>
        <v>72.531748190236925</v>
      </c>
      <c r="AN50" s="345">
        <f t="shared" si="27"/>
        <v>262.55836448954545</v>
      </c>
      <c r="AO50" s="345">
        <f t="shared" si="28"/>
        <v>335.09011267978235</v>
      </c>
      <c r="AP50" s="346">
        <f t="shared" si="39"/>
        <v>103.43126348279209</v>
      </c>
      <c r="AQ50" s="348">
        <f>+IF($N50&gt;I$8,"FIN",(I$19-SUM(AR$25:AR49))*VLOOKUP($N50,$A:$M,9,0)/VLOOKUP(I$15,$J$1:$L$4,2,0))</f>
        <v>83.264138023625023</v>
      </c>
      <c r="AR50" s="345">
        <f t="shared" si="29"/>
        <v>179.78761246666667</v>
      </c>
      <c r="AS50" s="345">
        <f t="shared" si="15"/>
        <v>263.05175049029168</v>
      </c>
      <c r="AT50" s="346">
        <f t="shared" si="16"/>
        <v>81.195397551378193</v>
      </c>
      <c r="AU50" s="348">
        <f>+IF($N50&gt;J$8,"FIN",(J$19-SUM(AV$25:AV49))*VLOOKUP($N50,$A:$M,10,0)/VLOOKUP(J$15,$J$1:$L$4,2,0))</f>
        <v>92.243429146499963</v>
      </c>
      <c r="AV50" s="345">
        <f t="shared" si="30"/>
        <v>215.77410326666666</v>
      </c>
      <c r="AW50" s="345">
        <f t="shared" si="31"/>
        <v>308.01753241316663</v>
      </c>
      <c r="AX50" s="346">
        <f t="shared" si="40"/>
        <v>95.07485105294748</v>
      </c>
      <c r="AY50" s="348">
        <f>+IF($N50&gt;K$8,"FIN",(K$19-SUM(AZ$25:AZ49))*VLOOKUP($N50,$A:$M,11,0)/VLOOKUP(K$15,$J$1:$L$4,2,0))</f>
        <v>135.85511363636365</v>
      </c>
      <c r="AZ50" s="345">
        <f t="shared" si="17"/>
        <v>187.38636363636363</v>
      </c>
      <c r="BA50" s="345">
        <f t="shared" si="18"/>
        <v>323.24147727272725</v>
      </c>
      <c r="BB50" s="346">
        <f t="shared" si="19"/>
        <v>99.773980607753103</v>
      </c>
      <c r="BC50" s="348">
        <f>+IF($N50&gt;L$8,"FIN",(L$19-SUM(BD$25:BD49))*VLOOKUP($N50,$A:$M,12,0)/VLOOKUP(L$15,$J$1:$L$4,2,0))</f>
        <v>9.8894531250000011</v>
      </c>
      <c r="BD50" s="345">
        <f t="shared" si="32"/>
        <v>16.53409090909091</v>
      </c>
      <c r="BE50" s="345">
        <f t="shared" si="33"/>
        <v>26.423544034090909</v>
      </c>
      <c r="BF50" s="346">
        <f t="shared" si="41"/>
        <v>8.1560763559470804</v>
      </c>
      <c r="BG50" s="242"/>
      <c r="BH50" s="348">
        <f t="shared" si="42"/>
        <v>824.89194778494357</v>
      </c>
      <c r="BI50" s="345">
        <f t="shared" si="42"/>
        <v>3095.1868786233858</v>
      </c>
      <c r="BJ50" s="346">
        <f t="shared" si="34"/>
        <v>3920.0788264083294</v>
      </c>
    </row>
    <row r="51" spans="1:62" x14ac:dyDescent="0.25">
      <c r="A51" s="27">
        <f t="shared" si="35"/>
        <v>48714</v>
      </c>
      <c r="B51" s="233"/>
      <c r="C51" s="233"/>
      <c r="D51" s="233"/>
      <c r="E51" s="234">
        <v>0.05</v>
      </c>
      <c r="F51" s="234">
        <v>0.04</v>
      </c>
      <c r="G51" s="234">
        <v>0.05</v>
      </c>
      <c r="H51" s="234">
        <v>4.2500000000000003E-2</v>
      </c>
      <c r="I51" s="234">
        <v>4.8750000000000002E-2</v>
      </c>
      <c r="J51" s="234">
        <v>4.4999999999999998E-2</v>
      </c>
      <c r="K51" s="233">
        <v>0.05</v>
      </c>
      <c r="L51" s="230">
        <v>4.1250000000000002E-2</v>
      </c>
      <c r="M51" s="289">
        <f t="shared" si="20"/>
        <v>2033</v>
      </c>
      <c r="N51" s="32">
        <f t="shared" si="36"/>
        <v>48714</v>
      </c>
      <c r="O51" s="348"/>
      <c r="P51" s="345"/>
      <c r="Q51" s="345"/>
      <c r="R51" s="346"/>
      <c r="S51" s="347"/>
      <c r="T51" s="345"/>
      <c r="U51" s="345"/>
      <c r="V51" s="346"/>
      <c r="W51" s="345"/>
      <c r="X51" s="345"/>
      <c r="Y51" s="345"/>
      <c r="Z51" s="346"/>
      <c r="AA51" s="348">
        <f>+IF($N51&gt;E$8,"FIN",(E$19-SUM(AB$25:AB50))*VLOOKUP($N51,$A:$M,5,0)/VLOOKUP(E$15,$J$1:$L$4,2,0))</f>
        <v>250.98750000000001</v>
      </c>
      <c r="AB51" s="345">
        <f t="shared" si="10"/>
        <v>1673.25</v>
      </c>
      <c r="AC51" s="345">
        <f t="shared" si="11"/>
        <v>1924.2375</v>
      </c>
      <c r="AD51" s="346">
        <f t="shared" si="12"/>
        <v>566.30780578990039</v>
      </c>
      <c r="AE51" s="348">
        <f>+IF($N51&gt;F$8,"FIN",(F$19-SUM(AF$25:AF50))*VLOOKUP($N51,$A:$M,6,0)/VLOOKUP(F$15,$J$1:$L$4,2,0))</f>
        <v>26.19</v>
      </c>
      <c r="AF51" s="345">
        <f t="shared" si="24"/>
        <v>218.25</v>
      </c>
      <c r="AG51" s="345">
        <f t="shared" si="25"/>
        <v>244.44</v>
      </c>
      <c r="AH51" s="346">
        <f t="shared" si="38"/>
        <v>71.939290262913616</v>
      </c>
      <c r="AI51" s="348">
        <f>+IF($N51&gt;G$8,"FIN",(G$19-SUM(AJ$25:AJ50))*VLOOKUP($N51,$A:$M,7,0)/VLOOKUP(G$15,$J$1:$L$4,2,0))</f>
        <v>75.890341860681829</v>
      </c>
      <c r="AJ51" s="345">
        <f t="shared" si="26"/>
        <v>252.96780620227273</v>
      </c>
      <c r="AK51" s="345">
        <f t="shared" si="13"/>
        <v>328.85814806295457</v>
      </c>
      <c r="AL51" s="346">
        <f t="shared" si="14"/>
        <v>96.783757849881823</v>
      </c>
      <c r="AM51" s="348">
        <f>+IF($N51&gt;H$8,"FIN",(H$19-SUM(AN$25:AN50))*VLOOKUP($N51,$A:$M,8,0)/VLOOKUP(H$15,$J$1:$L$4,2,0))</f>
        <v>66.952382944834085</v>
      </c>
      <c r="AN51" s="345">
        <f t="shared" si="27"/>
        <v>262.55836448954545</v>
      </c>
      <c r="AO51" s="345">
        <f t="shared" si="28"/>
        <v>329.51074743437954</v>
      </c>
      <c r="AP51" s="346">
        <f t="shared" si="39"/>
        <v>96.975819442118507</v>
      </c>
      <c r="AQ51" s="348">
        <f>+IF($N51&gt;I$8,"FIN",(I$19-SUM(AR$25:AR50))*VLOOKUP($N51,$A:$M,9,0)/VLOOKUP(I$15,$J$1:$L$4,2,0))</f>
        <v>78.88181496975001</v>
      </c>
      <c r="AR51" s="345">
        <f t="shared" si="29"/>
        <v>179.78761246666667</v>
      </c>
      <c r="AS51" s="345">
        <f t="shared" si="15"/>
        <v>258.6694274364167</v>
      </c>
      <c r="AT51" s="346">
        <f t="shared" si="16"/>
        <v>76.127045583742643</v>
      </c>
      <c r="AU51" s="348">
        <f>+IF($N51&gt;J$8,"FIN",(J$19-SUM(AV$25:AV50))*VLOOKUP($N51,$A:$M,10,0)/VLOOKUP(J$15,$J$1:$L$4,2,0))</f>
        <v>87.388511822999973</v>
      </c>
      <c r="AV51" s="345">
        <f t="shared" si="30"/>
        <v>215.77410326666666</v>
      </c>
      <c r="AW51" s="345">
        <f t="shared" si="31"/>
        <v>303.16261508966664</v>
      </c>
      <c r="AX51" s="346">
        <f t="shared" si="40"/>
        <v>89.221499606445278</v>
      </c>
      <c r="AY51" s="348">
        <f>+IF($N51&gt;K$8,"FIN",(K$19-SUM(AZ$25:AZ50))*VLOOKUP($N51,$A:$M,11,0)/VLOOKUP(K$15,$J$1:$L$4,2,0))</f>
        <v>131.17045454545459</v>
      </c>
      <c r="AZ51" s="345">
        <f t="shared" si="17"/>
        <v>187.38636363636363</v>
      </c>
      <c r="BA51" s="345">
        <f t="shared" si="18"/>
        <v>318.55681818181824</v>
      </c>
      <c r="BB51" s="346">
        <f t="shared" si="19"/>
        <v>93.752051253526517</v>
      </c>
      <c r="BC51" s="348">
        <f>+IF($N51&gt;L$8,"FIN",(L$19-SUM(BD$25:BD50))*VLOOKUP($N51,$A:$M,12,0)/VLOOKUP(L$15,$J$1:$L$4,2,0))</f>
        <v>9.5484375000000004</v>
      </c>
      <c r="BD51" s="345">
        <f t="shared" si="32"/>
        <v>16.53409090909091</v>
      </c>
      <c r="BE51" s="345">
        <f t="shared" si="33"/>
        <v>26.082528409090912</v>
      </c>
      <c r="BF51" s="346">
        <f t="shared" si="41"/>
        <v>7.6761519473583775</v>
      </c>
      <c r="BG51" s="242"/>
      <c r="BH51" s="348">
        <f t="shared" si="42"/>
        <v>750.6464732691112</v>
      </c>
      <c r="BI51" s="345">
        <f t="shared" si="42"/>
        <v>3095.1868786233858</v>
      </c>
      <c r="BJ51" s="346">
        <f t="shared" si="34"/>
        <v>3845.8333518924969</v>
      </c>
    </row>
    <row r="52" spans="1:62" x14ac:dyDescent="0.25">
      <c r="A52" s="27">
        <f t="shared" si="35"/>
        <v>48898</v>
      </c>
      <c r="B52" s="233"/>
      <c r="C52" s="233"/>
      <c r="D52" s="233"/>
      <c r="E52" s="234">
        <v>0.05</v>
      </c>
      <c r="F52" s="234">
        <v>0.04</v>
      </c>
      <c r="G52" s="234">
        <v>0.05</v>
      </c>
      <c r="H52" s="234">
        <v>4.2500000000000003E-2</v>
      </c>
      <c r="I52" s="234">
        <v>4.8750000000000002E-2</v>
      </c>
      <c r="J52" s="234">
        <v>4.4999999999999998E-2</v>
      </c>
      <c r="K52" s="233">
        <v>0.05</v>
      </c>
      <c r="L52" s="230">
        <v>4.1250000000000002E-2</v>
      </c>
      <c r="M52" s="289">
        <f t="shared" si="20"/>
        <v>2033</v>
      </c>
      <c r="N52" s="32">
        <f t="shared" si="36"/>
        <v>48898</v>
      </c>
      <c r="O52" s="348"/>
      <c r="P52" s="345"/>
      <c r="Q52" s="345"/>
      <c r="R52" s="346"/>
      <c r="S52" s="347"/>
      <c r="T52" s="345"/>
      <c r="U52" s="345"/>
      <c r="V52" s="346"/>
      <c r="W52" s="345"/>
      <c r="X52" s="345"/>
      <c r="Y52" s="345"/>
      <c r="Z52" s="346"/>
      <c r="AA52" s="348">
        <f>+IF($N52&gt;E$8,"FIN",(E$19-SUM(AB$25:AB51))*VLOOKUP($N52,$A:$M,5,0)/VLOOKUP(E$15,$J$1:$L$4,2,0))</f>
        <v>209.15625</v>
      </c>
      <c r="AB52" s="345">
        <f t="shared" si="10"/>
        <v>1673.25</v>
      </c>
      <c r="AC52" s="345">
        <f t="shared" si="11"/>
        <v>1882.40625</v>
      </c>
      <c r="AD52" s="346">
        <f t="shared" si="12"/>
        <v>528.21519145281047</v>
      </c>
      <c r="AE52" s="348">
        <f>+IF($N52&gt;F$8,"FIN",(F$19-SUM(AF$25:AF51))*VLOOKUP($N52,$A:$M,6,0)/VLOOKUP(F$15,$J$1:$L$4,2,0))</f>
        <v>21.824999999999999</v>
      </c>
      <c r="AF52" s="345">
        <f t="shared" si="24"/>
        <v>218.25</v>
      </c>
      <c r="AG52" s="345">
        <f t="shared" si="25"/>
        <v>240.07499999999999</v>
      </c>
      <c r="AH52" s="346">
        <f t="shared" si="38"/>
        <v>67.366575141807715</v>
      </c>
      <c r="AI52" s="348">
        <f>+IF($N52&gt;G$8,"FIN",(G$19-SUM(AJ$25:AJ51))*VLOOKUP($N52,$A:$M,7,0)/VLOOKUP(G$15,$J$1:$L$4,2,0))</f>
        <v>69.566146705625016</v>
      </c>
      <c r="AJ52" s="345">
        <f t="shared" si="26"/>
        <v>252.96780620227273</v>
      </c>
      <c r="AK52" s="345">
        <f t="shared" si="13"/>
        <v>322.53395290789774</v>
      </c>
      <c r="AL52" s="346">
        <f t="shared" si="14"/>
        <v>90.505082888073161</v>
      </c>
      <c r="AM52" s="348">
        <f>+IF($N52&gt;H$8,"FIN",(H$19-SUM(AN$25:AN51))*VLOOKUP($N52,$A:$M,8,0)/VLOOKUP(H$15,$J$1:$L$4,2,0))</f>
        <v>61.373017699431237</v>
      </c>
      <c r="AN52" s="345">
        <f t="shared" si="27"/>
        <v>262.55836448954545</v>
      </c>
      <c r="AO52" s="345">
        <f t="shared" si="28"/>
        <v>323.93138218897667</v>
      </c>
      <c r="AP52" s="346">
        <f t="shared" si="39"/>
        <v>90.897210450997946</v>
      </c>
      <c r="AQ52" s="348">
        <f>+IF($N52&gt;I$8,"FIN",(I$19-SUM(AR$25:AR51))*VLOOKUP($N52,$A:$M,9,0)/VLOOKUP(I$15,$J$1:$L$4,2,0))</f>
        <v>74.499491915875012</v>
      </c>
      <c r="AR52" s="345">
        <f t="shared" si="29"/>
        <v>179.78761246666667</v>
      </c>
      <c r="AS52" s="345">
        <f t="shared" si="15"/>
        <v>254.28710438254168</v>
      </c>
      <c r="AT52" s="346">
        <f t="shared" si="16"/>
        <v>71.354582213804846</v>
      </c>
      <c r="AU52" s="348">
        <f>+IF($N52&gt;J$8,"FIN",(J$19-SUM(AV$25:AV51))*VLOOKUP($N52,$A:$M,10,0)/VLOOKUP(J$15,$J$1:$L$4,2,0))</f>
        <v>82.533594499499969</v>
      </c>
      <c r="AV52" s="345">
        <f t="shared" si="30"/>
        <v>215.77410326666666</v>
      </c>
      <c r="AW52" s="345">
        <f t="shared" si="31"/>
        <v>298.3076977661666</v>
      </c>
      <c r="AX52" s="346">
        <f t="shared" si="40"/>
        <v>83.707041286865049</v>
      </c>
      <c r="AY52" s="348">
        <f>+IF($N52&gt;K$8,"FIN",(K$19-SUM(AZ$25:AZ51))*VLOOKUP($N52,$A:$M,11,0)/VLOOKUP(K$15,$J$1:$L$4,2,0))</f>
        <v>126.4857954545455</v>
      </c>
      <c r="AZ52" s="345">
        <f t="shared" si="17"/>
        <v>187.38636363636363</v>
      </c>
      <c r="BA52" s="345">
        <f t="shared" si="18"/>
        <v>313.87215909090912</v>
      </c>
      <c r="BB52" s="346">
        <f t="shared" si="19"/>
        <v>88.074528336224745</v>
      </c>
      <c r="BC52" s="348">
        <f>+IF($N52&gt;L$8,"FIN",(L$19-SUM(BD$25:BD51))*VLOOKUP($N52,$A:$M,12,0)/VLOOKUP(L$15,$J$1:$L$4,2,0))</f>
        <v>9.2074218749999996</v>
      </c>
      <c r="BD52" s="345">
        <f t="shared" si="32"/>
        <v>16.53409090909091</v>
      </c>
      <c r="BE52" s="345">
        <f t="shared" si="33"/>
        <v>25.741512784090908</v>
      </c>
      <c r="BF52" s="346">
        <f t="shared" si="41"/>
        <v>7.2232325532990282</v>
      </c>
      <c r="BG52" s="242"/>
      <c r="BH52" s="348">
        <f t="shared" si="42"/>
        <v>676.40099875327871</v>
      </c>
      <c r="BI52" s="345">
        <f t="shared" si="42"/>
        <v>3095.1868786233858</v>
      </c>
      <c r="BJ52" s="346">
        <f t="shared" si="34"/>
        <v>3771.5878773766644</v>
      </c>
    </row>
    <row r="53" spans="1:62" x14ac:dyDescent="0.25">
      <c r="A53" s="27">
        <f t="shared" si="35"/>
        <v>49079</v>
      </c>
      <c r="B53" s="233"/>
      <c r="C53" s="233"/>
      <c r="D53" s="233"/>
      <c r="E53" s="234">
        <v>0.05</v>
      </c>
      <c r="F53" s="234">
        <v>0.04</v>
      </c>
      <c r="G53" s="234">
        <v>0.05</v>
      </c>
      <c r="H53" s="234">
        <v>4.2500000000000003E-2</v>
      </c>
      <c r="I53" s="234">
        <v>4.8750000000000002E-2</v>
      </c>
      <c r="J53" s="234">
        <v>4.4999999999999998E-2</v>
      </c>
      <c r="K53" s="233">
        <v>0.05</v>
      </c>
      <c r="L53" s="230">
        <v>4.1250000000000002E-2</v>
      </c>
      <c r="M53" s="289">
        <f t="shared" si="20"/>
        <v>2034</v>
      </c>
      <c r="N53" s="32">
        <f t="shared" si="36"/>
        <v>49079</v>
      </c>
      <c r="O53" s="348"/>
      <c r="P53" s="345"/>
      <c r="Q53" s="345"/>
      <c r="R53" s="346"/>
      <c r="S53" s="347"/>
      <c r="T53" s="345"/>
      <c r="U53" s="345"/>
      <c r="V53" s="346"/>
      <c r="W53" s="345"/>
      <c r="X53" s="345"/>
      <c r="Y53" s="345"/>
      <c r="Z53" s="346"/>
      <c r="AA53" s="348">
        <f>+IF($N53&gt;E$8,"FIN",(E$19-SUM(AB$25:AB52))*VLOOKUP($N53,$A:$M,5,0)/VLOOKUP(E$15,$J$1:$L$4,2,0))</f>
        <v>167.32500000000002</v>
      </c>
      <c r="AB53" s="345">
        <f t="shared" si="10"/>
        <v>1673.25</v>
      </c>
      <c r="AC53" s="345">
        <f t="shared" si="11"/>
        <v>1840.575</v>
      </c>
      <c r="AD53" s="346">
        <f t="shared" si="12"/>
        <v>492.44157025208739</v>
      </c>
      <c r="AE53" s="348">
        <f>+IF($N53&gt;F$8,"FIN",(F$19-SUM(AF$25:AF52))*VLOOKUP($N53,$A:$M,6,0)/VLOOKUP(F$15,$J$1:$L$4,2,0))</f>
        <v>17.46</v>
      </c>
      <c r="AF53" s="345">
        <f t="shared" si="24"/>
        <v>218.25</v>
      </c>
      <c r="AG53" s="345">
        <f t="shared" si="25"/>
        <v>235.71</v>
      </c>
      <c r="AH53" s="346">
        <f t="shared" si="38"/>
        <v>63.063663542164548</v>
      </c>
      <c r="AI53" s="348">
        <f>+IF($N53&gt;G$8,"FIN",(G$19-SUM(AJ$25:AJ52))*VLOOKUP($N53,$A:$M,7,0)/VLOOKUP(G$15,$J$1:$L$4,2,0))</f>
        <v>63.241951550568196</v>
      </c>
      <c r="AJ53" s="345">
        <f t="shared" si="26"/>
        <v>252.96780620227273</v>
      </c>
      <c r="AK53" s="345">
        <f t="shared" si="13"/>
        <v>316.20975775284091</v>
      </c>
      <c r="AL53" s="346">
        <f t="shared" si="14"/>
        <v>84.601186931714892</v>
      </c>
      <c r="AM53" s="348">
        <f>+IF($N53&gt;H$8,"FIN",(H$19-SUM(AN$25:AN52))*VLOOKUP($N53,$A:$M,8,0)/VLOOKUP(H$15,$J$1:$L$4,2,0))</f>
        <v>55.793652454028397</v>
      </c>
      <c r="AN53" s="345">
        <f t="shared" si="27"/>
        <v>262.55836448954545</v>
      </c>
      <c r="AO53" s="345">
        <f t="shared" si="28"/>
        <v>318.35201694357386</v>
      </c>
      <c r="AP53" s="346">
        <f t="shared" si="39"/>
        <v>85.174343407148655</v>
      </c>
      <c r="AQ53" s="348">
        <f>+IF($N53&gt;I$8,"FIN",(I$19-SUM(AR$25:AR52))*VLOOKUP($N53,$A:$M,9,0)/VLOOKUP(I$15,$J$1:$L$4,2,0))</f>
        <v>70.117168862</v>
      </c>
      <c r="AR53" s="345">
        <f t="shared" si="29"/>
        <v>179.78761246666667</v>
      </c>
      <c r="AS53" s="345">
        <f t="shared" si="15"/>
        <v>249.90478132866667</v>
      </c>
      <c r="AT53" s="346">
        <f t="shared" si="16"/>
        <v>66.861444348094011</v>
      </c>
      <c r="AU53" s="348">
        <f>+IF($N53&gt;J$8,"FIN",(J$19-SUM(AV$25:AV52))*VLOOKUP($N53,$A:$M,10,0)/VLOOKUP(J$15,$J$1:$L$4,2,0))</f>
        <v>77.678677175999965</v>
      </c>
      <c r="AV53" s="345">
        <f t="shared" si="30"/>
        <v>215.77410326666666</v>
      </c>
      <c r="AW53" s="345">
        <f t="shared" si="31"/>
        <v>293.45278044266661</v>
      </c>
      <c r="AX53" s="346">
        <f t="shared" si="40"/>
        <v>78.512610459246588</v>
      </c>
      <c r="AY53" s="348">
        <f>+IF($N53&gt;K$8,"FIN",(K$19-SUM(AZ$25:AZ52))*VLOOKUP($N53,$A:$M,11,0)/VLOOKUP(K$15,$J$1:$L$4,2,0))</f>
        <v>121.8011363636364</v>
      </c>
      <c r="AZ53" s="345">
        <f t="shared" si="17"/>
        <v>187.38636363636363</v>
      </c>
      <c r="BA53" s="345">
        <f t="shared" si="18"/>
        <v>309.1875</v>
      </c>
      <c r="BB53" s="346">
        <f t="shared" si="19"/>
        <v>82.722398164876338</v>
      </c>
      <c r="BC53" s="348">
        <f>+IF($N53&gt;L$8,"FIN",(L$19-SUM(BD$25:BD52))*VLOOKUP($N53,$A:$M,12,0)/VLOOKUP(L$15,$J$1:$L$4,2,0))</f>
        <v>8.8664062499999989</v>
      </c>
      <c r="BD53" s="345">
        <f t="shared" si="32"/>
        <v>16.53409090909091</v>
      </c>
      <c r="BE53" s="345">
        <f t="shared" si="33"/>
        <v>25.400497159090911</v>
      </c>
      <c r="BF53" s="346">
        <f t="shared" si="41"/>
        <v>6.7958440738391062</v>
      </c>
      <c r="BG53" s="242"/>
      <c r="BH53" s="348">
        <f t="shared" si="42"/>
        <v>602.15552423744623</v>
      </c>
      <c r="BI53" s="345">
        <f t="shared" si="42"/>
        <v>3095.1868786233858</v>
      </c>
      <c r="BJ53" s="346">
        <f t="shared" si="34"/>
        <v>3697.342402860832</v>
      </c>
    </row>
    <row r="54" spans="1:62" x14ac:dyDescent="0.25">
      <c r="A54" s="27">
        <f t="shared" si="35"/>
        <v>49263</v>
      </c>
      <c r="B54" s="233"/>
      <c r="C54" s="233"/>
      <c r="D54" s="233"/>
      <c r="E54" s="234">
        <v>0.05</v>
      </c>
      <c r="F54" s="234">
        <v>0.04</v>
      </c>
      <c r="G54" s="234">
        <v>0.05</v>
      </c>
      <c r="H54" s="234">
        <v>4.2500000000000003E-2</v>
      </c>
      <c r="I54" s="234">
        <v>4.8750000000000002E-2</v>
      </c>
      <c r="J54" s="234">
        <v>4.4999999999999998E-2</v>
      </c>
      <c r="K54" s="233">
        <v>0.05</v>
      </c>
      <c r="L54" s="230">
        <v>4.1250000000000002E-2</v>
      </c>
      <c r="M54" s="289">
        <f t="shared" si="20"/>
        <v>2034</v>
      </c>
      <c r="N54" s="32">
        <f t="shared" si="36"/>
        <v>49263</v>
      </c>
      <c r="O54" s="348"/>
      <c r="P54" s="345"/>
      <c r="Q54" s="345"/>
      <c r="R54" s="346"/>
      <c r="S54" s="347"/>
      <c r="T54" s="345"/>
      <c r="U54" s="345"/>
      <c r="V54" s="346"/>
      <c r="W54" s="345"/>
      <c r="X54" s="345"/>
      <c r="Y54" s="345"/>
      <c r="Z54" s="346"/>
      <c r="AA54" s="348">
        <f>+IF($N54&gt;E$8,"FIN",(E$19-SUM(AB$25:AB53))*VLOOKUP($N54,$A:$M,5,0)/VLOOKUP(E$15,$J$1:$L$4,2,0))</f>
        <v>125.49375000000001</v>
      </c>
      <c r="AB54" s="345">
        <f t="shared" si="10"/>
        <v>1673.25</v>
      </c>
      <c r="AC54" s="345">
        <f t="shared" si="11"/>
        <v>1798.7437500000001</v>
      </c>
      <c r="AD54" s="346">
        <f t="shared" si="12"/>
        <v>458.85360065597672</v>
      </c>
      <c r="AE54" s="348">
        <f>+IF($N54&gt;F$8,"FIN",(F$19-SUM(AF$25:AF53))*VLOOKUP($N54,$A:$M,6,0)/VLOOKUP(F$15,$J$1:$L$4,2,0))</f>
        <v>13.095000000000001</v>
      </c>
      <c r="AF54" s="345">
        <f t="shared" si="24"/>
        <v>218.25</v>
      </c>
      <c r="AG54" s="345">
        <f t="shared" si="25"/>
        <v>231.345</v>
      </c>
      <c r="AH54" s="346">
        <f t="shared" si="38"/>
        <v>59.015346818443113</v>
      </c>
      <c r="AI54" s="348">
        <f>+IF($N54&gt;G$8,"FIN",(G$19-SUM(AJ$25:AJ53))*VLOOKUP($N54,$A:$M,7,0)/VLOOKUP(G$15,$J$1:$L$4,2,0))</f>
        <v>56.917756395511383</v>
      </c>
      <c r="AJ54" s="345">
        <f t="shared" si="26"/>
        <v>252.96780620227273</v>
      </c>
      <c r="AK54" s="345">
        <f t="shared" si="13"/>
        <v>309.88556259778409</v>
      </c>
      <c r="AL54" s="346">
        <f t="shared" si="14"/>
        <v>79.050785410259962</v>
      </c>
      <c r="AM54" s="348">
        <f>+IF($N54&gt;H$8,"FIN",(H$19-SUM(AN$25:AN53))*VLOOKUP($N54,$A:$M,8,0)/VLOOKUP(H$15,$J$1:$L$4,2,0))</f>
        <v>50.214287208625557</v>
      </c>
      <c r="AN54" s="345">
        <f t="shared" si="27"/>
        <v>262.55836448954545</v>
      </c>
      <c r="AO54" s="345">
        <f t="shared" si="28"/>
        <v>312.77265169817099</v>
      </c>
      <c r="AP54" s="346">
        <f t="shared" si="39"/>
        <v>79.787272321820964</v>
      </c>
      <c r="AQ54" s="348">
        <f>+IF($N54&gt;I$8,"FIN",(I$19-SUM(AR$25:AR53))*VLOOKUP($N54,$A:$M,9,0)/VLOOKUP(I$15,$J$1:$L$4,2,0))</f>
        <v>65.734845808125002</v>
      </c>
      <c r="AR54" s="345">
        <f t="shared" si="29"/>
        <v>179.78761246666667</v>
      </c>
      <c r="AS54" s="345">
        <f t="shared" si="15"/>
        <v>245.52245827479169</v>
      </c>
      <c r="AT54" s="346">
        <f t="shared" si="16"/>
        <v>62.631969685117724</v>
      </c>
      <c r="AU54" s="348">
        <f>+IF($N54&gt;J$8,"FIN",(J$19-SUM(AV$25:AV53))*VLOOKUP($N54,$A:$M,10,0)/VLOOKUP(J$15,$J$1:$L$4,2,0))</f>
        <v>72.823759852499961</v>
      </c>
      <c r="AV54" s="345">
        <f t="shared" si="30"/>
        <v>215.77410326666666</v>
      </c>
      <c r="AW54" s="345">
        <f t="shared" si="31"/>
        <v>288.59786311916662</v>
      </c>
      <c r="AX54" s="346">
        <f t="shared" si="40"/>
        <v>73.620363453021199</v>
      </c>
      <c r="AY54" s="348">
        <f>+IF($N54&gt;K$8,"FIN",(K$19-SUM(AZ$25:AZ53))*VLOOKUP($N54,$A:$M,11,0)/VLOOKUP(K$15,$J$1:$L$4,2,0))</f>
        <v>117.11647727272731</v>
      </c>
      <c r="AZ54" s="345">
        <f t="shared" si="17"/>
        <v>187.38636363636363</v>
      </c>
      <c r="BA54" s="345">
        <f t="shared" si="18"/>
        <v>304.50284090909093</v>
      </c>
      <c r="BB54" s="346">
        <f t="shared" si="19"/>
        <v>77.677670852844059</v>
      </c>
      <c r="BC54" s="348">
        <f>+IF($N54&gt;L$8,"FIN",(L$19-SUM(BD$25:BD53))*VLOOKUP($N54,$A:$M,12,0)/VLOOKUP(L$15,$J$1:$L$4,2,0))</f>
        <v>8.5253906249999982</v>
      </c>
      <c r="BD54" s="345">
        <f t="shared" si="32"/>
        <v>16.53409090909091</v>
      </c>
      <c r="BE54" s="345">
        <f t="shared" si="33"/>
        <v>25.059481534090907</v>
      </c>
      <c r="BF54" s="346">
        <f t="shared" si="41"/>
        <v>6.392591125050231</v>
      </c>
      <c r="BG54" s="242"/>
      <c r="BH54" s="348">
        <f t="shared" si="42"/>
        <v>527.91004972161386</v>
      </c>
      <c r="BI54" s="345">
        <f t="shared" si="42"/>
        <v>3095.1868786233858</v>
      </c>
      <c r="BJ54" s="346">
        <f t="shared" si="34"/>
        <v>3623.0969283449995</v>
      </c>
    </row>
    <row r="55" spans="1:62" x14ac:dyDescent="0.25">
      <c r="A55" s="27">
        <f t="shared" si="35"/>
        <v>49444</v>
      </c>
      <c r="B55" s="230"/>
      <c r="C55" s="233"/>
      <c r="D55" s="233"/>
      <c r="E55" s="234">
        <v>0.05</v>
      </c>
      <c r="F55" s="234">
        <v>0.04</v>
      </c>
      <c r="G55" s="234">
        <v>0.05</v>
      </c>
      <c r="H55" s="234">
        <v>4.2500000000000003E-2</v>
      </c>
      <c r="I55" s="234">
        <v>4.8750000000000002E-2</v>
      </c>
      <c r="J55" s="234">
        <v>4.4999999999999998E-2</v>
      </c>
      <c r="K55" s="233">
        <v>0.05</v>
      </c>
      <c r="L55" s="230">
        <v>4.1250000000000002E-2</v>
      </c>
      <c r="M55" s="289">
        <f t="shared" si="20"/>
        <v>2035</v>
      </c>
      <c r="N55" s="32">
        <f t="shared" si="36"/>
        <v>49444</v>
      </c>
      <c r="O55" s="348"/>
      <c r="P55" s="345"/>
      <c r="Q55" s="345"/>
      <c r="R55" s="346"/>
      <c r="S55" s="347"/>
      <c r="T55" s="345"/>
      <c r="U55" s="345"/>
      <c r="V55" s="346"/>
      <c r="W55" s="345"/>
      <c r="X55" s="345"/>
      <c r="Y55" s="345"/>
      <c r="Z55" s="346"/>
      <c r="AA55" s="348">
        <f>+IF($N55&gt;E$8,"FIN",(E$19-SUM(AB$25:AB54))*VLOOKUP($N55,$A:$M,5,0)/VLOOKUP(E$15,$J$1:$L$4,2,0))</f>
        <v>83.662500000000009</v>
      </c>
      <c r="AB55" s="345">
        <f t="shared" si="10"/>
        <v>1673.25</v>
      </c>
      <c r="AC55" s="345">
        <f t="shared" si="11"/>
        <v>1756.9124999999999</v>
      </c>
      <c r="AD55" s="346">
        <f t="shared" si="12"/>
        <v>427.32532955759638</v>
      </c>
      <c r="AE55" s="348">
        <f>+IF($N55&gt;F$8,"FIN",(F$19-SUM(AF$25:AF54))*VLOOKUP($N55,$A:$M,6,0)/VLOOKUP(F$15,$J$1:$L$4,2,0))</f>
        <v>8.73</v>
      </c>
      <c r="AF55" s="345">
        <f t="shared" si="24"/>
        <v>218.25</v>
      </c>
      <c r="AG55" s="345">
        <f t="shared" si="25"/>
        <v>226.98</v>
      </c>
      <c r="AH55" s="346">
        <f t="shared" si="38"/>
        <v>55.207247545329224</v>
      </c>
      <c r="AI55" s="348">
        <f>+IF($N55&gt;G$8,"FIN",(G$19-SUM(AJ$25:AJ54))*VLOOKUP($N55,$A:$M,7,0)/VLOOKUP(G$15,$J$1:$L$4,2,0))</f>
        <v>50.593561240454562</v>
      </c>
      <c r="AJ55" s="345">
        <f t="shared" si="26"/>
        <v>252.96780620227273</v>
      </c>
      <c r="AK55" s="345">
        <f t="shared" si="13"/>
        <v>303.56136744272726</v>
      </c>
      <c r="AL55" s="346">
        <f t="shared" si="14"/>
        <v>73.833763140405708</v>
      </c>
      <c r="AM55" s="348">
        <f>+IF($N55&gt;H$8,"FIN",(H$19-SUM(AN$25:AN54))*VLOOKUP($N55,$A:$M,8,0)/VLOOKUP(H$15,$J$1:$L$4,2,0))</f>
        <v>44.634921963222709</v>
      </c>
      <c r="AN55" s="345">
        <f t="shared" si="27"/>
        <v>262.55836448954545</v>
      </c>
      <c r="AO55" s="345">
        <f t="shared" si="28"/>
        <v>307.19328645276818</v>
      </c>
      <c r="AP55" s="346">
        <f t="shared" si="39"/>
        <v>74.717137234387181</v>
      </c>
      <c r="AQ55" s="348">
        <f>+IF($N55&gt;I$8,"FIN",(I$19-SUM(AR$25:AR54))*VLOOKUP($N55,$A:$M,9,0)/VLOOKUP(I$15,$J$1:$L$4,2,0))</f>
        <v>61.352522754249996</v>
      </c>
      <c r="AR55" s="345">
        <f t="shared" si="29"/>
        <v>179.78761246666667</v>
      </c>
      <c r="AS55" s="345">
        <f t="shared" si="15"/>
        <v>241.14013522091668</v>
      </c>
      <c r="AT55" s="346">
        <f t="shared" si="16"/>
        <v>58.651348745507576</v>
      </c>
      <c r="AU55" s="348">
        <f>+IF($N55&gt;J$8,"FIN",(J$19-SUM(AV$25:AV54))*VLOOKUP($N55,$A:$M,10,0)/VLOOKUP(J$15,$J$1:$L$4,2,0))</f>
        <v>67.968842528999957</v>
      </c>
      <c r="AV55" s="345">
        <f t="shared" si="30"/>
        <v>215.77410326666666</v>
      </c>
      <c r="AW55" s="345">
        <f t="shared" si="31"/>
        <v>283.74294579566663</v>
      </c>
      <c r="AX55" s="346">
        <f t="shared" si="40"/>
        <v>69.013424300741477</v>
      </c>
      <c r="AY55" s="348">
        <f>+IF($N55&gt;K$8,"FIN",(K$19-SUM(AZ$25:AZ54))*VLOOKUP($N55,$A:$M,11,0)/VLOOKUP(K$15,$J$1:$L$4,2,0))</f>
        <v>112.43181818181823</v>
      </c>
      <c r="AZ55" s="345">
        <f t="shared" si="17"/>
        <v>187.38636363636363</v>
      </c>
      <c r="BA55" s="345">
        <f t="shared" si="18"/>
        <v>299.81818181818187</v>
      </c>
      <c r="BB55" s="346">
        <f t="shared" si="19"/>
        <v>72.923326205951597</v>
      </c>
      <c r="BC55" s="348">
        <f>+IF($N55&gt;L$8,"FIN",(L$19-SUM(BD$25:BD54))*VLOOKUP($N55,$A:$M,12,0)/VLOOKUP(L$15,$J$1:$L$4,2,0))</f>
        <v>8.1843749999999975</v>
      </c>
      <c r="BD55" s="345">
        <f t="shared" si="32"/>
        <v>16.53409090909091</v>
      </c>
      <c r="BE55" s="345">
        <f t="shared" si="33"/>
        <v>24.718465909090909</v>
      </c>
      <c r="BF55" s="346">
        <f t="shared" si="41"/>
        <v>6.012152905031118</v>
      </c>
      <c r="BG55" s="242"/>
      <c r="BH55" s="348">
        <f t="shared" si="42"/>
        <v>453.66457520578149</v>
      </c>
      <c r="BI55" s="345">
        <f t="shared" si="42"/>
        <v>3095.1868786233858</v>
      </c>
      <c r="BJ55" s="346">
        <f t="shared" si="34"/>
        <v>3548.8514538291674</v>
      </c>
    </row>
    <row r="56" spans="1:62" x14ac:dyDescent="0.25">
      <c r="A56" s="27">
        <f t="shared" si="35"/>
        <v>49628</v>
      </c>
      <c r="B56" s="230"/>
      <c r="C56" s="233"/>
      <c r="D56" s="233"/>
      <c r="E56" s="234">
        <v>0.05</v>
      </c>
      <c r="F56" s="234">
        <v>0.04</v>
      </c>
      <c r="G56" s="234">
        <v>0.05</v>
      </c>
      <c r="H56" s="234">
        <v>4.2500000000000003E-2</v>
      </c>
      <c r="I56" s="234">
        <v>4.8750000000000002E-2</v>
      </c>
      <c r="J56" s="234">
        <v>4.4999999999999998E-2</v>
      </c>
      <c r="K56" s="233">
        <v>0.05</v>
      </c>
      <c r="L56" s="230">
        <v>4.1250000000000002E-2</v>
      </c>
      <c r="M56" s="289">
        <f t="shared" si="20"/>
        <v>2035</v>
      </c>
      <c r="N56" s="32">
        <f t="shared" si="36"/>
        <v>49628</v>
      </c>
      <c r="O56" s="347"/>
      <c r="P56" s="345"/>
      <c r="Q56" s="345"/>
      <c r="R56" s="346"/>
      <c r="S56" s="347"/>
      <c r="T56" s="345"/>
      <c r="U56" s="345"/>
      <c r="V56" s="346"/>
      <c r="W56" s="345"/>
      <c r="X56" s="345"/>
      <c r="Y56" s="345"/>
      <c r="Z56" s="346"/>
      <c r="AA56" s="348">
        <f>+IF($N56&gt;E$8,"FIN",(E$19-SUM(AB$25:AB55))*VLOOKUP($N56,$A:$M,5,0)/VLOOKUP(E$15,$J$1:$L$4,2,0))</f>
        <v>41.831250000000004</v>
      </c>
      <c r="AB56" s="345">
        <f t="shared" si="10"/>
        <v>1673.25</v>
      </c>
      <c r="AC56" s="345">
        <f t="shared" si="11"/>
        <v>1715.08125</v>
      </c>
      <c r="AD56" s="346">
        <f t="shared" si="12"/>
        <v>397.737793380445</v>
      </c>
      <c r="AE56" s="348">
        <f>+IF($N56&gt;F$8,"FIN",(F$19-SUM(AF$25:AF55))*VLOOKUP($N56,$A:$M,6,0)/VLOOKUP(F$15,$J$1:$L$4,2,0))</f>
        <v>4.3650000000000002</v>
      </c>
      <c r="AF56" s="345">
        <f t="shared" si="24"/>
        <v>218.25</v>
      </c>
      <c r="AG56" s="345">
        <f t="shared" si="25"/>
        <v>222.61500000000001</v>
      </c>
      <c r="AH56" s="346">
        <f t="shared" si="38"/>
        <v>51.625775089890212</v>
      </c>
      <c r="AI56" s="348">
        <f>+IF($N56&gt;G$8,"FIN",(G$19-SUM(AJ$25:AJ55))*VLOOKUP($N56,$A:$M,7,0)/VLOOKUP(G$15,$J$1:$L$4,2,0))</f>
        <v>44.269366085397749</v>
      </c>
      <c r="AJ56" s="345">
        <f t="shared" si="26"/>
        <v>252.96780620227273</v>
      </c>
      <c r="AK56" s="345">
        <f t="shared" si="13"/>
        <v>297.23717228767049</v>
      </c>
      <c r="AL56" s="346">
        <f t="shared" si="14"/>
        <v>68.931111582230415</v>
      </c>
      <c r="AM56" s="348">
        <f>+IF($N56&gt;H$8,"FIN",(H$19-SUM(AN$25:AN55))*VLOOKUP($N56,$A:$M,8,0)/VLOOKUP(H$15,$J$1:$L$4,2,0))</f>
        <v>39.055556717819869</v>
      </c>
      <c r="AN56" s="345">
        <f t="shared" si="27"/>
        <v>262.55836448954545</v>
      </c>
      <c r="AO56" s="345">
        <f t="shared" si="28"/>
        <v>301.61392120736531</v>
      </c>
      <c r="AP56" s="346">
        <f t="shared" si="39"/>
        <v>69.946106328105969</v>
      </c>
      <c r="AQ56" s="348">
        <f>+IF($N56&gt;I$8,"FIN",(I$19-SUM(AR$25:AR55))*VLOOKUP($N56,$A:$M,9,0)/VLOOKUP(I$15,$J$1:$L$4,2,0))</f>
        <v>56.970199700374991</v>
      </c>
      <c r="AR56" s="345">
        <f t="shared" si="29"/>
        <v>179.78761246666667</v>
      </c>
      <c r="AS56" s="345">
        <f t="shared" si="15"/>
        <v>236.75781216704166</v>
      </c>
      <c r="AT56" s="346">
        <f t="shared" si="16"/>
        <v>54.905579416077828</v>
      </c>
      <c r="AU56" s="348">
        <f>+IF($N56&gt;J$8,"FIN",(J$19-SUM(AV$25:AV55))*VLOOKUP($N56,$A:$M,10,0)/VLOOKUP(J$15,$J$1:$L$4,2,0))</f>
        <v>63.113925205499953</v>
      </c>
      <c r="AV56" s="345">
        <f t="shared" si="30"/>
        <v>215.77410326666666</v>
      </c>
      <c r="AW56" s="345">
        <f t="shared" si="31"/>
        <v>278.88802847216664</v>
      </c>
      <c r="AX56" s="346">
        <f t="shared" si="40"/>
        <v>64.675833313869106</v>
      </c>
      <c r="AY56" s="348">
        <f>+IF($N56&gt;K$8,"FIN",(K$19-SUM(AZ$25:AZ55))*VLOOKUP($N56,$A:$M,11,0)/VLOOKUP(K$15,$J$1:$L$4,2,0))</f>
        <v>107.74715909090915</v>
      </c>
      <c r="AZ56" s="345">
        <f t="shared" si="17"/>
        <v>187.38636363636363</v>
      </c>
      <c r="BA56" s="345">
        <f t="shared" si="18"/>
        <v>295.13352272727275</v>
      </c>
      <c r="BB56" s="346">
        <f t="shared" si="19"/>
        <v>68.443262429778699</v>
      </c>
      <c r="BC56" s="348">
        <f>+IF($N56&gt;L$8,"FIN",(L$19-SUM(BD$25:BD55))*VLOOKUP($N56,$A:$M,12,0)/VLOOKUP(L$15,$J$1:$L$4,2,0))</f>
        <v>7.8433593749999977</v>
      </c>
      <c r="BD56" s="345">
        <f t="shared" si="32"/>
        <v>16.53409090909091</v>
      </c>
      <c r="BE56" s="345">
        <f t="shared" si="33"/>
        <v>24.377450284090909</v>
      </c>
      <c r="BF56" s="346">
        <f t="shared" si="41"/>
        <v>5.6532792742243672</v>
      </c>
      <c r="BG56" s="242"/>
      <c r="BH56" s="348">
        <f t="shared" si="42"/>
        <v>379.41910068994906</v>
      </c>
      <c r="BI56" s="345">
        <f t="shared" si="42"/>
        <v>3095.1868786233858</v>
      </c>
      <c r="BJ56" s="346">
        <f t="shared" si="34"/>
        <v>3474.605979313335</v>
      </c>
    </row>
    <row r="57" spans="1:62" x14ac:dyDescent="0.25">
      <c r="A57" s="27">
        <f t="shared" si="35"/>
        <v>49810</v>
      </c>
      <c r="B57" s="230"/>
      <c r="C57" s="233"/>
      <c r="D57" s="233"/>
      <c r="E57" s="233"/>
      <c r="F57" s="233"/>
      <c r="G57" s="234">
        <v>0.05</v>
      </c>
      <c r="H57" s="234">
        <v>4.2500000000000003E-2</v>
      </c>
      <c r="I57" s="234">
        <v>4.8750000000000002E-2</v>
      </c>
      <c r="J57" s="234">
        <v>4.4999999999999998E-2</v>
      </c>
      <c r="K57" s="233">
        <v>0.05</v>
      </c>
      <c r="L57" s="230">
        <v>4.1250000000000002E-2</v>
      </c>
      <c r="M57" s="289">
        <f t="shared" si="20"/>
        <v>2036</v>
      </c>
      <c r="N57" s="32">
        <f t="shared" si="36"/>
        <v>49810</v>
      </c>
      <c r="O57" s="347"/>
      <c r="P57" s="345"/>
      <c r="Q57" s="345"/>
      <c r="R57" s="346"/>
      <c r="S57" s="347"/>
      <c r="T57" s="345"/>
      <c r="U57" s="345"/>
      <c r="V57" s="346"/>
      <c r="W57" s="345"/>
      <c r="X57" s="345"/>
      <c r="Y57" s="345"/>
      <c r="Z57" s="346"/>
      <c r="AA57" s="348"/>
      <c r="AB57" s="345"/>
      <c r="AC57" s="345"/>
      <c r="AD57" s="346"/>
      <c r="AE57" s="348"/>
      <c r="AF57" s="345"/>
      <c r="AG57" s="345"/>
      <c r="AH57" s="346"/>
      <c r="AI57" s="348">
        <f>+IF($N57&gt;G$8,"FIN",(G$19-SUM(AJ$25:AJ56))*VLOOKUP($N57,$A:$M,7,0)/VLOOKUP(G$15,$J$1:$L$4,2,0))</f>
        <v>37.945170930340929</v>
      </c>
      <c r="AJ57" s="345">
        <f t="shared" si="26"/>
        <v>252.96780620227273</v>
      </c>
      <c r="AK57" s="345">
        <f t="shared" si="13"/>
        <v>290.91297713261366</v>
      </c>
      <c r="AL57" s="346">
        <f t="shared" si="14"/>
        <v>64.324869402626192</v>
      </c>
      <c r="AM57" s="348">
        <f>+IF($N57&gt;H$8,"FIN",(H$19-SUM(AN$25:AN56))*VLOOKUP($N57,$A:$M,8,0)/VLOOKUP(H$15,$J$1:$L$4,2,0))</f>
        <v>33.476191472417035</v>
      </c>
      <c r="AN57" s="345">
        <f t="shared" si="27"/>
        <v>262.55836448954545</v>
      </c>
      <c r="AO57" s="345">
        <f t="shared" si="28"/>
        <v>296.0345559619625</v>
      </c>
      <c r="AP57" s="346">
        <f t="shared" si="39"/>
        <v>65.457321081407571</v>
      </c>
      <c r="AQ57" s="348">
        <f>+IF($N57&gt;I$8,"FIN",(I$19-SUM(AR$25:AR56))*VLOOKUP($N57,$A:$M,9,0)/VLOOKUP(I$15,$J$1:$L$4,2,0))</f>
        <v>52.587876646499993</v>
      </c>
      <c r="AR57" s="345">
        <f t="shared" si="29"/>
        <v>179.78761246666667</v>
      </c>
      <c r="AS57" s="345">
        <f t="shared" si="15"/>
        <v>232.37548911316668</v>
      </c>
      <c r="AT57" s="346">
        <f t="shared" si="16"/>
        <v>51.381423877704677</v>
      </c>
      <c r="AU57" s="348">
        <f>+IF($N57&gt;J$8,"FIN",(J$19-SUM(AV$25:AV56))*VLOOKUP($N57,$A:$M,10,0)/VLOOKUP(J$15,$J$1:$L$4,2,0))</f>
        <v>58.259007881999956</v>
      </c>
      <c r="AV57" s="345">
        <f t="shared" si="30"/>
        <v>215.77410326666666</v>
      </c>
      <c r="AW57" s="345">
        <f t="shared" si="31"/>
        <v>274.03311114866659</v>
      </c>
      <c r="AX57" s="346">
        <f t="shared" si="40"/>
        <v>60.592498349078227</v>
      </c>
      <c r="AY57" s="348">
        <f>+IF($N57&gt;K$8,"FIN",(K$19-SUM(AZ$25:AZ56))*VLOOKUP($N57,$A:$M,11,0)/VLOOKUP(K$15,$J$1:$L$4,2,0))</f>
        <v>103.06250000000006</v>
      </c>
      <c r="AZ57" s="345">
        <f t="shared" si="17"/>
        <v>187.38636363636363</v>
      </c>
      <c r="BA57" s="345">
        <f t="shared" si="18"/>
        <v>290.44886363636368</v>
      </c>
      <c r="BB57" s="346">
        <f t="shared" si="19"/>
        <v>64.222247510923268</v>
      </c>
      <c r="BC57" s="348">
        <f>+IF($N57&gt;L$8,"FIN",(L$19-SUM(BD$25:BD56))*VLOOKUP($N57,$A:$M,12,0)/VLOOKUP(L$15,$J$1:$L$4,2,0))</f>
        <v>7.502343749999997</v>
      </c>
      <c r="BD57" s="345">
        <f t="shared" si="32"/>
        <v>16.53409090909091</v>
      </c>
      <c r="BE57" s="345">
        <f t="shared" si="33"/>
        <v>24.036434659090908</v>
      </c>
      <c r="BF57" s="346">
        <f t="shared" si="41"/>
        <v>5.3147870390325247</v>
      </c>
      <c r="BG57" s="242"/>
      <c r="BH57" s="348">
        <f t="shared" si="42"/>
        <v>305.17362617411663</v>
      </c>
      <c r="BI57" s="345">
        <f t="shared" si="42"/>
        <v>1176.5467279600175</v>
      </c>
      <c r="BJ57" s="346">
        <f t="shared" si="34"/>
        <v>1481.7203541341341</v>
      </c>
    </row>
    <row r="58" spans="1:62" x14ac:dyDescent="0.25">
      <c r="A58" s="27">
        <f t="shared" si="35"/>
        <v>49994</v>
      </c>
      <c r="B58" s="230"/>
      <c r="C58" s="233"/>
      <c r="D58" s="233"/>
      <c r="E58" s="233"/>
      <c r="F58" s="233"/>
      <c r="G58" s="234">
        <v>0.05</v>
      </c>
      <c r="H58" s="234">
        <v>4.2500000000000003E-2</v>
      </c>
      <c r="I58" s="234">
        <v>4.8750000000000002E-2</v>
      </c>
      <c r="J58" s="234">
        <v>4.4999999999999998E-2</v>
      </c>
      <c r="K58" s="233">
        <v>0.05</v>
      </c>
      <c r="L58" s="230">
        <v>4.1250000000000002E-2</v>
      </c>
      <c r="M58" s="289">
        <f t="shared" si="20"/>
        <v>2036</v>
      </c>
      <c r="N58" s="32">
        <f t="shared" si="36"/>
        <v>49994</v>
      </c>
      <c r="O58" s="347"/>
      <c r="P58" s="345"/>
      <c r="Q58" s="345"/>
      <c r="R58" s="346"/>
      <c r="S58" s="347"/>
      <c r="T58" s="345"/>
      <c r="U58" s="345"/>
      <c r="V58" s="346"/>
      <c r="W58" s="345"/>
      <c r="X58" s="345"/>
      <c r="Y58" s="345"/>
      <c r="Z58" s="346"/>
      <c r="AA58" s="345"/>
      <c r="AB58" s="345"/>
      <c r="AC58" s="345"/>
      <c r="AD58" s="346"/>
      <c r="AE58" s="348"/>
      <c r="AF58" s="345"/>
      <c r="AG58" s="345"/>
      <c r="AH58" s="346"/>
      <c r="AI58" s="348">
        <f>+IF($N58&gt;G$8,"FIN",(G$19-SUM(AJ$25:AJ57))*VLOOKUP($N58,$A:$M,7,0)/VLOOKUP(G$15,$J$1:$L$4,2,0))</f>
        <v>31.620975775284116</v>
      </c>
      <c r="AJ58" s="345">
        <f t="shared" si="26"/>
        <v>252.96780620227273</v>
      </c>
      <c r="AK58" s="345">
        <f t="shared" si="13"/>
        <v>284.58878197755683</v>
      </c>
      <c r="AL58" s="346">
        <f t="shared" si="14"/>
        <v>59.998066174088365</v>
      </c>
      <c r="AM58" s="348">
        <f>+IF($N58&gt;H$8,"FIN",(H$19-SUM(AN$25:AN57))*VLOOKUP($N58,$A:$M,8,0)/VLOOKUP(H$15,$J$1:$L$4,2,0))</f>
        <v>27.896826227014202</v>
      </c>
      <c r="AN58" s="345">
        <f t="shared" si="27"/>
        <v>262.55836448954545</v>
      </c>
      <c r="AO58" s="345">
        <f t="shared" si="28"/>
        <v>290.45519071655963</v>
      </c>
      <c r="AP58" s="346">
        <f t="shared" si="39"/>
        <v>61.234844297530692</v>
      </c>
      <c r="AQ58" s="348">
        <f>+IF($N58&gt;I$8,"FIN",(I$19-SUM(AR$25:AR57))*VLOOKUP($N58,$A:$M,9,0)/VLOOKUP(I$15,$J$1:$L$4,2,0))</f>
        <v>48.205553592624987</v>
      </c>
      <c r="AR58" s="345">
        <f t="shared" si="29"/>
        <v>179.78761246666667</v>
      </c>
      <c r="AS58" s="345">
        <f t="shared" si="15"/>
        <v>227.99316605929167</v>
      </c>
      <c r="AT58" s="346">
        <f t="shared" si="16"/>
        <v>48.066367793597927</v>
      </c>
      <c r="AU58" s="348">
        <f>+IF($N58&gt;J$8,"FIN",(J$19-SUM(AV$25:AV57))*VLOOKUP($N58,$A:$M,10,0)/VLOOKUP(J$15,$J$1:$L$4,2,0))</f>
        <v>53.404090558499952</v>
      </c>
      <c r="AV58" s="345">
        <f t="shared" si="30"/>
        <v>215.77410326666666</v>
      </c>
      <c r="AW58" s="345">
        <f t="shared" si="31"/>
        <v>269.1781938251666</v>
      </c>
      <c r="AX58" s="346">
        <f t="shared" si="40"/>
        <v>56.749148626025466</v>
      </c>
      <c r="AY58" s="348">
        <f>+IF($N58&gt;K$8,"FIN",(K$19-SUM(AZ$25:AZ57))*VLOOKUP($N58,$A:$M,11,0)/VLOOKUP(K$15,$J$1:$L$4,2,0))</f>
        <v>98.377840909090949</v>
      </c>
      <c r="AZ58" s="345">
        <f t="shared" si="17"/>
        <v>187.38636363636363</v>
      </c>
      <c r="BA58" s="345">
        <f t="shared" si="18"/>
        <v>285.76420454545456</v>
      </c>
      <c r="BB58" s="346">
        <f t="shared" si="19"/>
        <v>60.245873134437232</v>
      </c>
      <c r="BC58" s="348">
        <f>+IF($N58&gt;L$8,"FIN",(L$19-SUM(BD$25:BD57))*VLOOKUP($N58,$A:$M,12,0)/VLOOKUP(L$15,$J$1:$L$4,2,0))</f>
        <v>7.1613281249999963</v>
      </c>
      <c r="BD58" s="345">
        <f t="shared" si="32"/>
        <v>16.53409090909091</v>
      </c>
      <c r="BE58" s="345">
        <f t="shared" si="33"/>
        <v>23.695419034090907</v>
      </c>
      <c r="BF58" s="346">
        <f t="shared" si="41"/>
        <v>4.9955564283003095</v>
      </c>
      <c r="BG58" s="242"/>
      <c r="BH58" s="348">
        <f t="shared" si="42"/>
        <v>277.66720467155164</v>
      </c>
      <c r="BI58" s="345">
        <f t="shared" si="42"/>
        <v>1176.5467279600175</v>
      </c>
      <c r="BJ58" s="346">
        <f t="shared" si="34"/>
        <v>1454.2139326315692</v>
      </c>
    </row>
    <row r="59" spans="1:62" x14ac:dyDescent="0.25">
      <c r="A59" s="27">
        <f t="shared" si="35"/>
        <v>50175</v>
      </c>
      <c r="B59" s="230"/>
      <c r="C59" s="233"/>
      <c r="D59" s="233"/>
      <c r="E59" s="233"/>
      <c r="F59" s="233"/>
      <c r="G59" s="234">
        <v>0.05</v>
      </c>
      <c r="H59" s="234">
        <v>4.2500000000000003E-2</v>
      </c>
      <c r="I59" s="234">
        <v>4.8750000000000002E-2</v>
      </c>
      <c r="J59" s="234">
        <v>4.4999999999999998E-2</v>
      </c>
      <c r="K59" s="233">
        <v>0.05</v>
      </c>
      <c r="L59" s="230">
        <v>4.1250000000000002E-2</v>
      </c>
      <c r="M59" s="289">
        <f t="shared" si="20"/>
        <v>2037</v>
      </c>
      <c r="N59" s="32">
        <f t="shared" si="36"/>
        <v>50175</v>
      </c>
      <c r="O59" s="347"/>
      <c r="P59" s="345"/>
      <c r="Q59" s="345"/>
      <c r="R59" s="346"/>
      <c r="S59" s="347"/>
      <c r="T59" s="345"/>
      <c r="U59" s="345"/>
      <c r="V59" s="346"/>
      <c r="W59" s="345"/>
      <c r="X59" s="345"/>
      <c r="Y59" s="345"/>
      <c r="Z59" s="346"/>
      <c r="AA59" s="345"/>
      <c r="AB59" s="345"/>
      <c r="AC59" s="345"/>
      <c r="AD59" s="346"/>
      <c r="AE59" s="345"/>
      <c r="AF59" s="345"/>
      <c r="AG59" s="345"/>
      <c r="AH59" s="346"/>
      <c r="AI59" s="348">
        <f>+IF($N59&gt;G$8,"FIN",(G$19-SUM(AJ$25:AJ58))*VLOOKUP($N59,$A:$M,7,0)/VLOOKUP(G$15,$J$1:$L$4,2,0))</f>
        <v>25.296780620227288</v>
      </c>
      <c r="AJ59" s="345">
        <f t="shared" si="26"/>
        <v>252.96780620227273</v>
      </c>
      <c r="AK59" s="345">
        <f t="shared" si="13"/>
        <v>278.26458682250001</v>
      </c>
      <c r="AL59" s="346">
        <f t="shared" si="14"/>
        <v>55.9346690457619</v>
      </c>
      <c r="AM59" s="348">
        <f>+IF($N59&gt;H$8,"FIN",(H$19-SUM(AN$25:AN58))*VLOOKUP($N59,$A:$M,8,0)/VLOOKUP(H$15,$J$1:$L$4,2,0))</f>
        <v>22.317460981611369</v>
      </c>
      <c r="AN59" s="345">
        <f t="shared" si="27"/>
        <v>262.55836448954545</v>
      </c>
      <c r="AO59" s="345">
        <f t="shared" si="28"/>
        <v>284.87582547115682</v>
      </c>
      <c r="AP59" s="346">
        <f t="shared" si="39"/>
        <v>57.263610863396259</v>
      </c>
      <c r="AQ59" s="348">
        <f>+IF($N59&gt;I$8,"FIN",(I$19-SUM(AR$25:AR58))*VLOOKUP($N59,$A:$M,9,0)/VLOOKUP(I$15,$J$1:$L$4,2,0))</f>
        <v>43.823230538749982</v>
      </c>
      <c r="AR59" s="345">
        <f t="shared" si="29"/>
        <v>179.78761246666667</v>
      </c>
      <c r="AS59" s="345">
        <f t="shared" si="15"/>
        <v>223.61084300541665</v>
      </c>
      <c r="AT59" s="346">
        <f t="shared" si="16"/>
        <v>44.94858164086174</v>
      </c>
      <c r="AU59" s="348">
        <f>+IF($N59&gt;J$8,"FIN",(J$19-SUM(AV$25:AV58))*VLOOKUP($N59,$A:$M,10,0)/VLOOKUP(J$15,$J$1:$L$4,2,0))</f>
        <v>48.549173234999962</v>
      </c>
      <c r="AV59" s="345">
        <f t="shared" si="30"/>
        <v>215.77410326666666</v>
      </c>
      <c r="AW59" s="345">
        <f t="shared" si="31"/>
        <v>264.32327650166661</v>
      </c>
      <c r="AX59" s="346">
        <f t="shared" si="40"/>
        <v>53.132290964653421</v>
      </c>
      <c r="AY59" s="348">
        <f>+IF($N59&gt;K$8,"FIN",(K$19-SUM(AZ$25:AZ58))*VLOOKUP($N59,$A:$M,11,0)/VLOOKUP(K$15,$J$1:$L$4,2,0))</f>
        <v>93.693181818181856</v>
      </c>
      <c r="AZ59" s="345">
        <f t="shared" si="17"/>
        <v>187.38636363636363</v>
      </c>
      <c r="BA59" s="345">
        <f t="shared" si="18"/>
        <v>281.0795454545455</v>
      </c>
      <c r="BB59" s="346">
        <f t="shared" si="19"/>
        <v>56.500511006677364</v>
      </c>
      <c r="BC59" s="348">
        <f>+IF($N59&gt;L$8,"FIN",(L$19-SUM(BD$25:BD58))*VLOOKUP($N59,$A:$M,12,0)/VLOOKUP(L$15,$J$1:$L$4,2,0))</f>
        <v>6.8203124999999956</v>
      </c>
      <c r="BD59" s="345">
        <f t="shared" si="32"/>
        <v>16.53409090909091</v>
      </c>
      <c r="BE59" s="345">
        <f t="shared" si="33"/>
        <v>23.354403409090907</v>
      </c>
      <c r="BF59" s="346">
        <f t="shared" si="41"/>
        <v>4.694527752760691</v>
      </c>
      <c r="BG59" s="242"/>
      <c r="BH59" s="348">
        <f t="shared" si="42"/>
        <v>250.1607831689866</v>
      </c>
      <c r="BI59" s="345">
        <f t="shared" si="42"/>
        <v>1176.5467279600175</v>
      </c>
      <c r="BJ59" s="346">
        <f t="shared" si="34"/>
        <v>1426.7075111290042</v>
      </c>
    </row>
    <row r="60" spans="1:62" x14ac:dyDescent="0.25">
      <c r="A60" s="27">
        <f t="shared" si="35"/>
        <v>50359</v>
      </c>
      <c r="B60" s="230"/>
      <c r="C60" s="233"/>
      <c r="D60" s="233"/>
      <c r="E60" s="233"/>
      <c r="F60" s="233"/>
      <c r="G60" s="234">
        <v>0.05</v>
      </c>
      <c r="H60" s="234">
        <v>4.2500000000000003E-2</v>
      </c>
      <c r="I60" s="234">
        <v>4.8750000000000002E-2</v>
      </c>
      <c r="J60" s="234">
        <v>4.4999999999999998E-2</v>
      </c>
      <c r="K60" s="233">
        <v>0.05</v>
      </c>
      <c r="L60" s="230">
        <v>4.1250000000000002E-2</v>
      </c>
      <c r="M60" s="289">
        <f t="shared" si="20"/>
        <v>2037</v>
      </c>
      <c r="N60" s="32">
        <f t="shared" si="36"/>
        <v>50359</v>
      </c>
      <c r="O60" s="347"/>
      <c r="P60" s="345"/>
      <c r="Q60" s="345"/>
      <c r="R60" s="346"/>
      <c r="S60" s="347"/>
      <c r="T60" s="345"/>
      <c r="U60" s="345"/>
      <c r="V60" s="346"/>
      <c r="W60" s="345"/>
      <c r="X60" s="345"/>
      <c r="Y60" s="345"/>
      <c r="Z60" s="346"/>
      <c r="AA60" s="345"/>
      <c r="AB60" s="345"/>
      <c r="AC60" s="345"/>
      <c r="AD60" s="346"/>
      <c r="AE60" s="345"/>
      <c r="AF60" s="345"/>
      <c r="AG60" s="345"/>
      <c r="AH60" s="346"/>
      <c r="AI60" s="348">
        <f>+IF($N60&gt;G$8,"FIN",(G$19-SUM(AJ$25:AJ59))*VLOOKUP($N60,$A:$M,7,0)/VLOOKUP(G$15,$J$1:$L$4,2,0))</f>
        <v>18.972585465170461</v>
      </c>
      <c r="AJ60" s="345">
        <f t="shared" si="26"/>
        <v>252.96780620227273</v>
      </c>
      <c r="AK60" s="345">
        <f t="shared" si="13"/>
        <v>271.94039166744318</v>
      </c>
      <c r="AL60" s="346">
        <f t="shared" si="14"/>
        <v>52.119532232036349</v>
      </c>
      <c r="AM60" s="348">
        <f>+IF($N60&gt;H$8,"FIN",(H$19-SUM(AN$25:AN59))*VLOOKUP($N60,$A:$M,8,0)/VLOOKUP(H$15,$J$1:$L$4,2,0))</f>
        <v>16.738095736208535</v>
      </c>
      <c r="AN60" s="345">
        <f t="shared" si="27"/>
        <v>262.55836448954545</v>
      </c>
      <c r="AO60" s="345">
        <f t="shared" si="28"/>
        <v>279.296460225754</v>
      </c>
      <c r="AP60" s="346">
        <f t="shared" si="39"/>
        <v>53.529381096249224</v>
      </c>
      <c r="AQ60" s="348">
        <f>+IF($N60&gt;I$8,"FIN",(I$19-SUM(AR$25:AR59))*VLOOKUP($N60,$A:$M,9,0)/VLOOKUP(I$15,$J$1:$L$4,2,0))</f>
        <v>39.440907484874977</v>
      </c>
      <c r="AR60" s="345">
        <f t="shared" si="29"/>
        <v>179.78761246666667</v>
      </c>
      <c r="AS60" s="345">
        <f t="shared" si="15"/>
        <v>219.22851995154164</v>
      </c>
      <c r="AT60" s="346">
        <f t="shared" si="16"/>
        <v>42.016884074245944</v>
      </c>
      <c r="AU60" s="348">
        <f>+IF($N60&gt;J$8,"FIN",(J$19-SUM(AV$25:AV59))*VLOOKUP($N60,$A:$M,10,0)/VLOOKUP(J$15,$J$1:$L$4,2,0))</f>
        <v>43.694255911499965</v>
      </c>
      <c r="AV60" s="345">
        <f t="shared" si="30"/>
        <v>215.77410326666666</v>
      </c>
      <c r="AW60" s="345">
        <f t="shared" si="31"/>
        <v>259.46835917816662</v>
      </c>
      <c r="AX60" s="346">
        <f t="shared" si="40"/>
        <v>49.729168316848693</v>
      </c>
      <c r="AY60" s="348">
        <f>+IF($N60&gt;K$8,"FIN",(K$19-SUM(AZ$25:AZ59))*VLOOKUP($N60,$A:$M,11,0)/VLOOKUP(K$15,$J$1:$L$4,2,0))</f>
        <v>89.008522727272748</v>
      </c>
      <c r="AZ60" s="345">
        <f t="shared" si="17"/>
        <v>187.38636363636363</v>
      </c>
      <c r="BA60" s="345">
        <f t="shared" si="18"/>
        <v>276.39488636363637</v>
      </c>
      <c r="BB60" s="346">
        <f t="shared" si="19"/>
        <v>52.973271459490256</v>
      </c>
      <c r="BC60" s="348">
        <f>+IF($N60&gt;L$8,"FIN",(L$19-SUM(BD$25:BD59))*VLOOKUP($N60,$A:$M,12,0)/VLOOKUP(L$15,$J$1:$L$4,2,0))</f>
        <v>6.4792968749999948</v>
      </c>
      <c r="BD60" s="345">
        <f t="shared" si="32"/>
        <v>16.53409090909091</v>
      </c>
      <c r="BE60" s="345">
        <f t="shared" si="33"/>
        <v>23.013387784090906</v>
      </c>
      <c r="BF60" s="346">
        <f t="shared" si="41"/>
        <v>4.4106982380465398</v>
      </c>
      <c r="BG60" s="242"/>
      <c r="BH60" s="348">
        <f t="shared" si="42"/>
        <v>222.65436166642152</v>
      </c>
      <c r="BI60" s="345">
        <f t="shared" si="42"/>
        <v>1176.5467279600175</v>
      </c>
      <c r="BJ60" s="346">
        <f t="shared" si="34"/>
        <v>1399.2010896264389</v>
      </c>
    </row>
    <row r="61" spans="1:62" x14ac:dyDescent="0.25">
      <c r="A61" s="27">
        <f t="shared" si="35"/>
        <v>50540</v>
      </c>
      <c r="B61" s="230"/>
      <c r="C61" s="233"/>
      <c r="D61" s="233"/>
      <c r="E61" s="233"/>
      <c r="F61" s="233"/>
      <c r="G61" s="234">
        <v>0.05</v>
      </c>
      <c r="H61" s="234">
        <v>4.2500000000000003E-2</v>
      </c>
      <c r="I61" s="234">
        <v>4.8750000000000002E-2</v>
      </c>
      <c r="J61" s="234">
        <v>4.4999999999999998E-2</v>
      </c>
      <c r="K61" s="233">
        <v>0.05</v>
      </c>
      <c r="L61" s="230">
        <v>4.1250000000000002E-2</v>
      </c>
      <c r="M61" s="289">
        <f t="shared" si="20"/>
        <v>2038</v>
      </c>
      <c r="N61" s="32">
        <f t="shared" si="36"/>
        <v>50540</v>
      </c>
      <c r="O61" s="347"/>
      <c r="P61" s="345"/>
      <c r="Q61" s="345"/>
      <c r="R61" s="346"/>
      <c r="S61" s="347"/>
      <c r="T61" s="345"/>
      <c r="U61" s="345"/>
      <c r="V61" s="346"/>
      <c r="W61" s="345"/>
      <c r="X61" s="345"/>
      <c r="Y61" s="345"/>
      <c r="Z61" s="346"/>
      <c r="AA61" s="345"/>
      <c r="AB61" s="345"/>
      <c r="AC61" s="345"/>
      <c r="AD61" s="346"/>
      <c r="AE61" s="345"/>
      <c r="AF61" s="345"/>
      <c r="AG61" s="345"/>
      <c r="AH61" s="346"/>
      <c r="AI61" s="348">
        <f>+IF($N61&gt;G$8,"FIN",(G$19-SUM(AJ$25:AJ60))*VLOOKUP($N61,$A:$M,7,0)/VLOOKUP(G$15,$J$1:$L$4,2,0))</f>
        <v>12.648390310113633</v>
      </c>
      <c r="AJ61" s="345">
        <f t="shared" si="26"/>
        <v>252.96780620227273</v>
      </c>
      <c r="AK61" s="345">
        <f t="shared" si="13"/>
        <v>265.61619651238635</v>
      </c>
      <c r="AL61" s="346">
        <f t="shared" si="14"/>
        <v>48.538349171942137</v>
      </c>
      <c r="AM61" s="348">
        <f>+IF($N61&gt;H$8,"FIN",(H$19-SUM(AN$25:AN60))*VLOOKUP($N61,$A:$M,8,0)/VLOOKUP(H$15,$J$1:$L$4,2,0))</f>
        <v>11.158730490805704</v>
      </c>
      <c r="AN61" s="345">
        <f t="shared" si="27"/>
        <v>262.55836448954545</v>
      </c>
      <c r="AO61" s="345">
        <f t="shared" si="28"/>
        <v>273.71709498035113</v>
      </c>
      <c r="AP61" s="346">
        <f t="shared" si="39"/>
        <v>50.018696543854709</v>
      </c>
      <c r="AQ61" s="348">
        <f>+IF($N61&gt;I$8,"FIN",(I$19-SUM(AR$25:AR60))*VLOOKUP($N61,$A:$M,9,0)/VLOOKUP(I$15,$J$1:$L$4,2,0))</f>
        <v>35.058584430999971</v>
      </c>
      <c r="AR61" s="345">
        <f t="shared" si="29"/>
        <v>179.78761246666667</v>
      </c>
      <c r="AS61" s="345">
        <f t="shared" si="15"/>
        <v>214.84619689766663</v>
      </c>
      <c r="AT61" s="346">
        <f t="shared" si="16"/>
        <v>39.260707216686903</v>
      </c>
      <c r="AU61" s="348">
        <f>+IF($N61&gt;J$8,"FIN",(J$19-SUM(AV$25:AV60))*VLOOKUP($N61,$A:$M,10,0)/VLOOKUP(J$15,$J$1:$L$4,2,0))</f>
        <v>38.839338587999976</v>
      </c>
      <c r="AV61" s="345">
        <f t="shared" si="30"/>
        <v>215.77410326666666</v>
      </c>
      <c r="AW61" s="345">
        <f t="shared" si="31"/>
        <v>254.61344185466663</v>
      </c>
      <c r="AX61" s="346">
        <f t="shared" si="40"/>
        <v>46.52772047368537</v>
      </c>
      <c r="AY61" s="348">
        <f>+IF($N61&gt;K$8,"FIN",(K$19-SUM(AZ$25:AZ60))*VLOOKUP($N61,$A:$M,11,0)/VLOOKUP(K$15,$J$1:$L$4,2,0))</f>
        <v>84.323863636363654</v>
      </c>
      <c r="AZ61" s="345">
        <f t="shared" si="17"/>
        <v>187.38636363636363</v>
      </c>
      <c r="BA61" s="345">
        <f t="shared" si="18"/>
        <v>271.71022727272725</v>
      </c>
      <c r="BB61" s="346">
        <f t="shared" si="19"/>
        <v>49.651964217989182</v>
      </c>
      <c r="BC61" s="348">
        <f>+IF($N61&gt;L$8,"FIN",(L$19-SUM(BD$25:BD60))*VLOOKUP($N61,$A:$M,12,0)/VLOOKUP(L$15,$J$1:$L$4,2,0))</f>
        <v>6.138281249999995</v>
      </c>
      <c r="BD61" s="345">
        <f t="shared" si="32"/>
        <v>16.53409090909091</v>
      </c>
      <c r="BE61" s="345">
        <f t="shared" si="33"/>
        <v>22.672372159090905</v>
      </c>
      <c r="BF61" s="346">
        <f t="shared" si="41"/>
        <v>4.1431190223479302</v>
      </c>
      <c r="BG61" s="242"/>
      <c r="BH61" s="348">
        <f t="shared" si="42"/>
        <v>195.1479401638565</v>
      </c>
      <c r="BI61" s="345">
        <f t="shared" si="42"/>
        <v>1176.5467279600175</v>
      </c>
      <c r="BJ61" s="346">
        <f t="shared" si="34"/>
        <v>1371.694668123874</v>
      </c>
    </row>
    <row r="62" spans="1:62" x14ac:dyDescent="0.25">
      <c r="A62" s="27">
        <f t="shared" si="35"/>
        <v>50724</v>
      </c>
      <c r="B62" s="230"/>
      <c r="C62" s="237"/>
      <c r="D62" s="237"/>
      <c r="E62" s="237"/>
      <c r="F62" s="237"/>
      <c r="G62" s="234">
        <v>0.05</v>
      </c>
      <c r="H62" s="234">
        <v>4.2500000000000003E-2</v>
      </c>
      <c r="I62" s="234">
        <v>4.8750000000000002E-2</v>
      </c>
      <c r="J62" s="234">
        <v>4.4999999999999998E-2</v>
      </c>
      <c r="K62" s="233">
        <v>0.05</v>
      </c>
      <c r="L62" s="230">
        <v>4.1250000000000002E-2</v>
      </c>
      <c r="M62" s="289">
        <f t="shared" si="20"/>
        <v>2038</v>
      </c>
      <c r="N62" s="32">
        <f t="shared" si="36"/>
        <v>50724</v>
      </c>
      <c r="O62" s="347"/>
      <c r="P62" s="345"/>
      <c r="Q62" s="345"/>
      <c r="R62" s="346"/>
      <c r="S62" s="347"/>
      <c r="T62" s="345"/>
      <c r="U62" s="345"/>
      <c r="V62" s="346"/>
      <c r="W62" s="345"/>
      <c r="X62" s="345"/>
      <c r="Y62" s="345"/>
      <c r="Z62" s="346"/>
      <c r="AA62" s="345"/>
      <c r="AB62" s="345"/>
      <c r="AC62" s="345"/>
      <c r="AD62" s="346"/>
      <c r="AE62" s="345"/>
      <c r="AF62" s="345"/>
      <c r="AG62" s="345"/>
      <c r="AH62" s="346"/>
      <c r="AI62" s="348">
        <f>+IF($N62&gt;G$8,"FIN",(G$19-SUM(AJ$25:AJ61))*VLOOKUP($N62,$A:$M,7,0)/VLOOKUP(G$15,$J$1:$L$4,2,0))</f>
        <v>6.3241951550568052</v>
      </c>
      <c r="AJ62" s="345">
        <f t="shared" si="26"/>
        <v>252.96780620227273</v>
      </c>
      <c r="AK62" s="345">
        <f t="shared" si="13"/>
        <v>259.29200135732953</v>
      </c>
      <c r="AL62" s="346">
        <f t="shared" si="14"/>
        <v>45.177607220158343</v>
      </c>
      <c r="AM62" s="348">
        <f>+IF($N62&gt;H$8,"FIN",(H$19-SUM(AN$25:AN61))*VLOOKUP($N62,$A:$M,8,0)/VLOOKUP(H$15,$J$1:$L$4,2,0))</f>
        <v>5.5793652454028715</v>
      </c>
      <c r="AN62" s="345">
        <f t="shared" si="27"/>
        <v>262.55836448954545</v>
      </c>
      <c r="AO62" s="345">
        <f t="shared" si="28"/>
        <v>268.13772973494832</v>
      </c>
      <c r="AP62" s="346">
        <f t="shared" si="39"/>
        <v>46.718838110923635</v>
      </c>
      <c r="AQ62" s="348">
        <f>+IF($N62&gt;I$8,"FIN",(I$19-SUM(AR$25:AR61))*VLOOKUP($N62,$A:$M,9,0)/VLOOKUP(I$15,$J$1:$L$4,2,0))</f>
        <v>30.67626137712497</v>
      </c>
      <c r="AR62" s="345">
        <f t="shared" si="29"/>
        <v>179.78761246666667</v>
      </c>
      <c r="AS62" s="345">
        <f t="shared" si="15"/>
        <v>210.46387384379165</v>
      </c>
      <c r="AT62" s="346">
        <f t="shared" si="16"/>
        <v>36.67006377664724</v>
      </c>
      <c r="AU62" s="348">
        <f>+IF($N62&gt;J$8,"FIN",(J$19-SUM(AV$25:AV61))*VLOOKUP($N62,$A:$M,10,0)/VLOOKUP(J$15,$J$1:$L$4,2,0))</f>
        <v>33.984421264499986</v>
      </c>
      <c r="AV62" s="345">
        <f t="shared" si="30"/>
        <v>215.77410326666666</v>
      </c>
      <c r="AW62" s="345">
        <f t="shared" si="31"/>
        <v>249.75852453116664</v>
      </c>
      <c r="AX62" s="346">
        <f t="shared" si="40"/>
        <v>43.516546835571617</v>
      </c>
      <c r="AY62" s="348">
        <f>+IF($N62&gt;K$8,"FIN",(K$19-SUM(AZ$25:AZ61))*VLOOKUP($N62,$A:$M,11,0)/VLOOKUP(K$15,$J$1:$L$4,2,0))</f>
        <v>79.639204545454561</v>
      </c>
      <c r="AZ62" s="345">
        <f t="shared" si="17"/>
        <v>187.38636363636363</v>
      </c>
      <c r="BA62" s="345">
        <f t="shared" si="18"/>
        <v>267.02556818181819</v>
      </c>
      <c r="BB62" s="346">
        <f t="shared" si="19"/>
        <v>46.525061220199447</v>
      </c>
      <c r="BC62" s="348">
        <f>+IF($N62&gt;L$8,"FIN",(L$19-SUM(BD$25:BD61))*VLOOKUP($N62,$A:$M,12,0)/VLOOKUP(L$15,$J$1:$L$4,2,0))</f>
        <v>5.7972656249999943</v>
      </c>
      <c r="BD62" s="345">
        <f t="shared" si="32"/>
        <v>16.53409090909091</v>
      </c>
      <c r="BE62" s="345">
        <f t="shared" si="33"/>
        <v>22.331356534090904</v>
      </c>
      <c r="BF62" s="346">
        <f t="shared" si="41"/>
        <v>3.8908923102496509</v>
      </c>
      <c r="BG62" s="242"/>
      <c r="BH62" s="348">
        <f t="shared" si="42"/>
        <v>167.64151866129143</v>
      </c>
      <c r="BI62" s="345">
        <f t="shared" si="42"/>
        <v>1176.5467279600175</v>
      </c>
      <c r="BJ62" s="346">
        <f t="shared" si="34"/>
        <v>1344.188246621309</v>
      </c>
    </row>
    <row r="63" spans="1:62" x14ac:dyDescent="0.25">
      <c r="A63" s="27">
        <f t="shared" si="35"/>
        <v>50905</v>
      </c>
      <c r="B63" s="230"/>
      <c r="C63" s="237"/>
      <c r="D63" s="237"/>
      <c r="E63" s="237"/>
      <c r="F63" s="237"/>
      <c r="G63" s="233"/>
      <c r="H63" s="233"/>
      <c r="I63" s="234">
        <v>4.8750000000000002E-2</v>
      </c>
      <c r="J63" s="234">
        <v>4.4999999999999998E-2</v>
      </c>
      <c r="K63" s="233">
        <v>0.05</v>
      </c>
      <c r="L63" s="230">
        <v>4.1250000000000002E-2</v>
      </c>
      <c r="M63" s="289">
        <f t="shared" si="20"/>
        <v>2039</v>
      </c>
      <c r="N63" s="32">
        <f t="shared" si="36"/>
        <v>50905</v>
      </c>
      <c r="O63" s="347"/>
      <c r="P63" s="345"/>
      <c r="Q63" s="345"/>
      <c r="R63" s="346"/>
      <c r="S63" s="347"/>
      <c r="T63" s="345"/>
      <c r="U63" s="345"/>
      <c r="V63" s="346"/>
      <c r="W63" s="345"/>
      <c r="X63" s="345"/>
      <c r="Y63" s="345"/>
      <c r="Z63" s="346"/>
      <c r="AA63" s="345"/>
      <c r="AB63" s="345"/>
      <c r="AC63" s="345"/>
      <c r="AD63" s="346"/>
      <c r="AE63" s="345"/>
      <c r="AF63" s="345"/>
      <c r="AG63" s="345"/>
      <c r="AH63" s="346"/>
      <c r="AI63" s="348"/>
      <c r="AJ63" s="345"/>
      <c r="AK63" s="345"/>
      <c r="AL63" s="346"/>
      <c r="AM63" s="348"/>
      <c r="AN63" s="345"/>
      <c r="AO63" s="345"/>
      <c r="AP63" s="346"/>
      <c r="AQ63" s="348">
        <f>+IF($N63&gt;I$8,"FIN",(I$19-SUM(AR$25:AR62))*VLOOKUP($N63,$A:$M,9,0)/VLOOKUP(I$15,$J$1:$L$4,2,0))</f>
        <v>26.293938323249979</v>
      </c>
      <c r="AR63" s="345">
        <f t="shared" si="29"/>
        <v>179.78761246666667</v>
      </c>
      <c r="AS63" s="345">
        <f t="shared" si="15"/>
        <v>206.08155078991666</v>
      </c>
      <c r="AT63" s="346">
        <f t="shared" si="16"/>
        <v>34.235515897396255</v>
      </c>
      <c r="AU63" s="348">
        <f>+IF($N63&gt;J$8,"FIN",(J$19-SUM(AV$25:AV62))*VLOOKUP($N63,$A:$M,10,0)/VLOOKUP(J$15,$J$1:$L$4,2,0))</f>
        <v>29.129503940999992</v>
      </c>
      <c r="AV63" s="345">
        <f t="shared" si="30"/>
        <v>215.77410326666666</v>
      </c>
      <c r="AW63" s="345">
        <f t="shared" si="31"/>
        <v>244.90360720766665</v>
      </c>
      <c r="AX63" s="346">
        <f t="shared" si="40"/>
        <v>40.684871138392069</v>
      </c>
      <c r="AY63" s="348">
        <f>+IF($N63&gt;K$8,"FIN",(K$19-SUM(AZ$25:AZ62))*VLOOKUP($N63,$A:$M,11,0)/VLOOKUP(K$15,$J$1:$L$4,2,0))</f>
        <v>74.954545454545453</v>
      </c>
      <c r="AZ63" s="345">
        <f t="shared" si="17"/>
        <v>187.38636363636363</v>
      </c>
      <c r="BA63" s="345">
        <f t="shared" si="18"/>
        <v>262.34090909090907</v>
      </c>
      <c r="BB63" s="346">
        <f t="shared" si="19"/>
        <v>43.581661382561045</v>
      </c>
      <c r="BC63" s="348">
        <f>+IF($N63&gt;L$8,"FIN",(L$19-SUM(BD$25:BD62))*VLOOKUP($N63,$A:$M,12,0)/VLOOKUP(L$15,$J$1:$L$4,2,0))</f>
        <v>5.4562499999999936</v>
      </c>
      <c r="BD63" s="345">
        <f t="shared" si="32"/>
        <v>16.53409090909091</v>
      </c>
      <c r="BE63" s="345">
        <f t="shared" si="33"/>
        <v>21.990340909090904</v>
      </c>
      <c r="BF63" s="346">
        <f t="shared" si="41"/>
        <v>3.6531686747146752</v>
      </c>
      <c r="BG63" s="242"/>
      <c r="BH63" s="348">
        <f t="shared" si="42"/>
        <v>140.13509715872638</v>
      </c>
      <c r="BI63" s="345">
        <f t="shared" si="42"/>
        <v>628.37050654575296</v>
      </c>
      <c r="BJ63" s="346">
        <f t="shared" si="34"/>
        <v>768.50560370447931</v>
      </c>
    </row>
    <row r="64" spans="1:62" x14ac:dyDescent="0.25">
      <c r="A64" s="27">
        <f t="shared" si="35"/>
        <v>51089</v>
      </c>
      <c r="B64" s="230"/>
      <c r="C64" s="237"/>
      <c r="D64" s="237"/>
      <c r="E64" s="237"/>
      <c r="F64" s="237"/>
      <c r="G64" s="233"/>
      <c r="H64" s="233"/>
      <c r="I64" s="234">
        <v>4.8750000000000002E-2</v>
      </c>
      <c r="J64" s="234">
        <v>4.4999999999999998E-2</v>
      </c>
      <c r="K64" s="233">
        <v>0.05</v>
      </c>
      <c r="L64" s="230">
        <v>4.1250000000000002E-2</v>
      </c>
      <c r="M64" s="289">
        <f t="shared" si="20"/>
        <v>2039</v>
      </c>
      <c r="N64" s="32">
        <f t="shared" si="36"/>
        <v>51089</v>
      </c>
      <c r="O64" s="347"/>
      <c r="P64" s="345"/>
      <c r="Q64" s="345"/>
      <c r="R64" s="346"/>
      <c r="S64" s="347"/>
      <c r="T64" s="345"/>
      <c r="U64" s="345"/>
      <c r="V64" s="346"/>
      <c r="W64" s="345"/>
      <c r="X64" s="345"/>
      <c r="Y64" s="345"/>
      <c r="Z64" s="346"/>
      <c r="AA64" s="345"/>
      <c r="AB64" s="345"/>
      <c r="AC64" s="345"/>
      <c r="AD64" s="346"/>
      <c r="AE64" s="345"/>
      <c r="AF64" s="345"/>
      <c r="AG64" s="345"/>
      <c r="AH64" s="346"/>
      <c r="AI64" s="348"/>
      <c r="AJ64" s="345"/>
      <c r="AK64" s="345"/>
      <c r="AL64" s="346"/>
      <c r="AM64" s="348"/>
      <c r="AN64" s="345"/>
      <c r="AO64" s="345"/>
      <c r="AP64" s="346"/>
      <c r="AQ64" s="348">
        <f>+IF($N64&gt;I$8,"FIN",(I$19-SUM(AR$25:AR63))*VLOOKUP($N64,$A:$M,9,0)/VLOOKUP(I$15,$J$1:$L$4,2,0))</f>
        <v>21.911615269374984</v>
      </c>
      <c r="AR64" s="345">
        <f t="shared" si="29"/>
        <v>179.78761246666667</v>
      </c>
      <c r="AS64" s="345">
        <f t="shared" si="15"/>
        <v>201.69922773604165</v>
      </c>
      <c r="AT64" s="346">
        <f t="shared" si="16"/>
        <v>31.948145648246275</v>
      </c>
      <c r="AU64" s="348">
        <f>+IF($N64&gt;J$8,"FIN",(J$19-SUM(AV$25:AV63))*VLOOKUP($N64,$A:$M,10,0)/VLOOKUP(J$15,$J$1:$L$4,2,0))</f>
        <v>24.274586617499999</v>
      </c>
      <c r="AV64" s="345">
        <f t="shared" si="30"/>
        <v>215.77410326666666</v>
      </c>
      <c r="AW64" s="345">
        <f t="shared" si="31"/>
        <v>240.04868988416666</v>
      </c>
      <c r="AX64" s="346">
        <f t="shared" si="40"/>
        <v>38.022508034222206</v>
      </c>
      <c r="AY64" s="348">
        <f>+IF($N64&gt;K$8,"FIN",(K$19-SUM(AZ$25:AZ63))*VLOOKUP($N64,$A:$M,11,0)/VLOOKUP(K$15,$J$1:$L$4,2,0))</f>
        <v>70.26988636363636</v>
      </c>
      <c r="AZ64" s="345">
        <f t="shared" si="17"/>
        <v>187.38636363636363</v>
      </c>
      <c r="BA64" s="345">
        <f t="shared" si="18"/>
        <v>257.65625</v>
      </c>
      <c r="BB64" s="346">
        <f t="shared" si="19"/>
        <v>40.811457210701271</v>
      </c>
      <c r="BC64" s="348">
        <f>+IF($N64&gt;L$8,"FIN",(L$19-SUM(BD$25:BD63))*VLOOKUP($N64,$A:$M,12,0)/VLOOKUP(L$15,$J$1:$L$4,2,0))</f>
        <v>5.1152343749999929</v>
      </c>
      <c r="BD64" s="345">
        <f t="shared" si="32"/>
        <v>16.53409090909091</v>
      </c>
      <c r="BE64" s="345">
        <f t="shared" si="33"/>
        <v>21.649325284090903</v>
      </c>
      <c r="BF64" s="346">
        <f t="shared" si="41"/>
        <v>3.4291444995890026</v>
      </c>
      <c r="BG64" s="242"/>
      <c r="BH64" s="348">
        <f t="shared" si="42"/>
        <v>125.226049634473</v>
      </c>
      <c r="BI64" s="345">
        <f t="shared" si="42"/>
        <v>628.37050654575296</v>
      </c>
      <c r="BJ64" s="346">
        <f t="shared" si="34"/>
        <v>753.596556180226</v>
      </c>
    </row>
    <row r="65" spans="1:62" x14ac:dyDescent="0.25">
      <c r="A65" s="27">
        <f t="shared" si="35"/>
        <v>51271</v>
      </c>
      <c r="B65" s="230"/>
      <c r="C65" s="237"/>
      <c r="D65" s="237"/>
      <c r="E65" s="237"/>
      <c r="F65" s="237"/>
      <c r="G65" s="233"/>
      <c r="H65" s="233"/>
      <c r="I65" s="234">
        <v>4.8750000000000002E-2</v>
      </c>
      <c r="J65" s="234">
        <v>4.4999999999999998E-2</v>
      </c>
      <c r="K65" s="233">
        <v>0.05</v>
      </c>
      <c r="L65" s="230">
        <v>4.1250000000000002E-2</v>
      </c>
      <c r="M65" s="289">
        <f t="shared" si="20"/>
        <v>2040</v>
      </c>
      <c r="N65" s="32">
        <f t="shared" si="36"/>
        <v>51271</v>
      </c>
      <c r="O65" s="347"/>
      <c r="P65" s="345"/>
      <c r="Q65" s="345"/>
      <c r="R65" s="346"/>
      <c r="S65" s="347"/>
      <c r="T65" s="345"/>
      <c r="U65" s="345"/>
      <c r="V65" s="346"/>
      <c r="W65" s="345"/>
      <c r="X65" s="345"/>
      <c r="Y65" s="345"/>
      <c r="Z65" s="346"/>
      <c r="AA65" s="345"/>
      <c r="AB65" s="345"/>
      <c r="AC65" s="345"/>
      <c r="AD65" s="346"/>
      <c r="AE65" s="345"/>
      <c r="AF65" s="345"/>
      <c r="AG65" s="345"/>
      <c r="AH65" s="346"/>
      <c r="AI65" s="345"/>
      <c r="AJ65" s="345"/>
      <c r="AK65" s="345"/>
      <c r="AL65" s="346"/>
      <c r="AM65" s="345"/>
      <c r="AN65" s="345"/>
      <c r="AO65" s="345"/>
      <c r="AP65" s="346"/>
      <c r="AQ65" s="348">
        <f>+IF($N65&gt;I$8,"FIN",(I$19-SUM(AR$25:AR64))*VLOOKUP($N65,$A:$M,9,0)/VLOOKUP(I$15,$J$1:$L$4,2,0))</f>
        <v>17.529292215499993</v>
      </c>
      <c r="AR65" s="345">
        <f t="shared" si="29"/>
        <v>179.78761246666667</v>
      </c>
      <c r="AS65" s="345">
        <f t="shared" si="15"/>
        <v>197.31690468216667</v>
      </c>
      <c r="AT65" s="346">
        <f t="shared" si="16"/>
        <v>29.799527072384166</v>
      </c>
      <c r="AU65" s="348">
        <f>+IF($N65&gt;J$8,"FIN",(J$19-SUM(AV$25:AV64))*VLOOKUP($N65,$A:$M,10,0)/VLOOKUP(J$15,$J$1:$L$4,2,0))</f>
        <v>19.419669294000009</v>
      </c>
      <c r="AV65" s="345">
        <f t="shared" si="30"/>
        <v>215.77410326666666</v>
      </c>
      <c r="AW65" s="345">
        <f t="shared" si="31"/>
        <v>235.19377256066667</v>
      </c>
      <c r="AX65" s="346">
        <f t="shared" si="40"/>
        <v>35.519831430394355</v>
      </c>
      <c r="AY65" s="348">
        <f>+IF($N65&gt;K$8,"FIN",(K$19-SUM(AZ$25:AZ64))*VLOOKUP($N65,$A:$M,11,0)/VLOOKUP(K$15,$J$1:$L$4,2,0))</f>
        <v>65.585227272727252</v>
      </c>
      <c r="AZ65" s="345">
        <f t="shared" si="17"/>
        <v>187.38636363636363</v>
      </c>
      <c r="BA65" s="345">
        <f t="shared" si="18"/>
        <v>252.97159090909088</v>
      </c>
      <c r="BB65" s="346">
        <f t="shared" si="19"/>
        <v>38.204703160037269</v>
      </c>
      <c r="BC65" s="348">
        <f>+IF($N65&gt;L$8,"FIN",(L$19-SUM(BD$25:BD64))*VLOOKUP($N65,$A:$M,12,0)/VLOOKUP(L$15,$J$1:$L$4,2,0))</f>
        <v>4.7742187499999922</v>
      </c>
      <c r="BD65" s="345">
        <f t="shared" si="32"/>
        <v>16.53409090909091</v>
      </c>
      <c r="BE65" s="345">
        <f t="shared" si="33"/>
        <v>21.308309659090902</v>
      </c>
      <c r="BF65" s="346">
        <f t="shared" si="41"/>
        <v>3.2180595553920277</v>
      </c>
      <c r="BG65" s="242"/>
      <c r="BH65" s="348">
        <f t="shared" si="42"/>
        <v>110.3170021102196</v>
      </c>
      <c r="BI65" s="345">
        <f t="shared" si="42"/>
        <v>628.37050654575296</v>
      </c>
      <c r="BJ65" s="346">
        <f t="shared" si="34"/>
        <v>738.68750865597258</v>
      </c>
    </row>
    <row r="66" spans="1:62" x14ac:dyDescent="0.25">
      <c r="A66" s="27">
        <f t="shared" si="35"/>
        <v>51455</v>
      </c>
      <c r="B66" s="230"/>
      <c r="C66" s="237"/>
      <c r="D66" s="237"/>
      <c r="E66" s="237"/>
      <c r="F66" s="237"/>
      <c r="G66" s="237"/>
      <c r="H66" s="233"/>
      <c r="I66" s="234">
        <v>4.8750000000000002E-2</v>
      </c>
      <c r="J66" s="234">
        <v>4.4999999999999998E-2</v>
      </c>
      <c r="K66" s="233">
        <v>0.05</v>
      </c>
      <c r="L66" s="230">
        <v>4.1250000000000002E-2</v>
      </c>
      <c r="M66" s="289">
        <f t="shared" si="20"/>
        <v>2040</v>
      </c>
      <c r="N66" s="32">
        <f t="shared" si="36"/>
        <v>51455</v>
      </c>
      <c r="O66" s="347"/>
      <c r="P66" s="345"/>
      <c r="Q66" s="345"/>
      <c r="R66" s="346"/>
      <c r="S66" s="347"/>
      <c r="T66" s="345"/>
      <c r="U66" s="345"/>
      <c r="V66" s="346"/>
      <c r="W66" s="345"/>
      <c r="X66" s="345"/>
      <c r="Y66" s="345"/>
      <c r="Z66" s="346"/>
      <c r="AA66" s="345"/>
      <c r="AB66" s="345"/>
      <c r="AC66" s="345"/>
      <c r="AD66" s="346"/>
      <c r="AE66" s="345"/>
      <c r="AF66" s="345"/>
      <c r="AG66" s="345"/>
      <c r="AH66" s="346"/>
      <c r="AI66" s="345"/>
      <c r="AJ66" s="345"/>
      <c r="AK66" s="345"/>
      <c r="AL66" s="346"/>
      <c r="AM66" s="345"/>
      <c r="AN66" s="345"/>
      <c r="AO66" s="345"/>
      <c r="AP66" s="346"/>
      <c r="AQ66" s="348">
        <f>+IF($N66&gt;I$8,"FIN",(I$19-SUM(AR$25:AR65))*VLOOKUP($N66,$A:$M,9,0)/VLOOKUP(I$15,$J$1:$L$4,2,0))</f>
        <v>13.146969161625</v>
      </c>
      <c r="AR66" s="345">
        <f t="shared" si="29"/>
        <v>179.78761246666667</v>
      </c>
      <c r="AS66" s="345">
        <f t="shared" si="15"/>
        <v>192.93458162829168</v>
      </c>
      <c r="AT66" s="346">
        <f t="shared" si="16"/>
        <v>27.781699710326091</v>
      </c>
      <c r="AU66" s="348">
        <f>+IF($N66&gt;J$8,"FIN",(J$19-SUM(AV$25:AV65))*VLOOKUP($N66,$A:$M,10,0)/VLOOKUP(J$15,$J$1:$L$4,2,0))</f>
        <v>14.564751970500017</v>
      </c>
      <c r="AV66" s="345">
        <f t="shared" si="30"/>
        <v>215.77410326666666</v>
      </c>
      <c r="AW66" s="345">
        <f t="shared" si="31"/>
        <v>230.33885523716668</v>
      </c>
      <c r="AX66" s="346">
        <f t="shared" si="40"/>
        <v>33.167744495634089</v>
      </c>
      <c r="AY66" s="348">
        <f>+IF($N66&gt;K$8,"FIN",(K$19-SUM(AZ$25:AZ65))*VLOOKUP($N66,$A:$M,11,0)/VLOOKUP(K$15,$J$1:$L$4,2,0))</f>
        <v>60.900568181818159</v>
      </c>
      <c r="AZ66" s="345">
        <f t="shared" si="17"/>
        <v>187.38636363636363</v>
      </c>
      <c r="BA66" s="345">
        <f t="shared" si="18"/>
        <v>248.28693181818178</v>
      </c>
      <c r="BB66" s="346">
        <f t="shared" si="19"/>
        <v>35.752185655655651</v>
      </c>
      <c r="BC66" s="348">
        <f>+IF($N66&gt;L$8,"FIN",(L$19-SUM(BD$25:BD65))*VLOOKUP($N66,$A:$M,12,0)/VLOOKUP(L$15,$J$1:$L$4,2,0))</f>
        <v>4.4332031249999915</v>
      </c>
      <c r="BD66" s="345">
        <f t="shared" si="32"/>
        <v>16.53409090909091</v>
      </c>
      <c r="BE66" s="345">
        <f t="shared" si="33"/>
        <v>20.967294034090902</v>
      </c>
      <c r="BF66" s="346">
        <f t="shared" si="41"/>
        <v>3.0191947015257479</v>
      </c>
      <c r="BG66" s="242"/>
      <c r="BH66" s="348">
        <f t="shared" si="42"/>
        <v>95.407954585966223</v>
      </c>
      <c r="BI66" s="345">
        <f t="shared" si="42"/>
        <v>628.37050654575296</v>
      </c>
      <c r="BJ66" s="346">
        <f t="shared" si="34"/>
        <v>723.77846113171915</v>
      </c>
    </row>
    <row r="67" spans="1:62" x14ac:dyDescent="0.25">
      <c r="A67" s="27">
        <f t="shared" si="35"/>
        <v>51636</v>
      </c>
      <c r="B67" s="230"/>
      <c r="C67" s="237"/>
      <c r="D67" s="237"/>
      <c r="E67" s="237"/>
      <c r="F67" s="237"/>
      <c r="G67" s="237"/>
      <c r="H67" s="233"/>
      <c r="I67" s="234">
        <v>4.8750000000000002E-2</v>
      </c>
      <c r="J67" s="234">
        <v>4.4999999999999998E-2</v>
      </c>
      <c r="K67" s="233">
        <v>0.05</v>
      </c>
      <c r="L67" s="230">
        <v>4.1250000000000002E-2</v>
      </c>
      <c r="M67" s="289">
        <f t="shared" si="20"/>
        <v>2041</v>
      </c>
      <c r="N67" s="32">
        <f t="shared" si="36"/>
        <v>51636</v>
      </c>
      <c r="O67" s="347"/>
      <c r="P67" s="345"/>
      <c r="Q67" s="345"/>
      <c r="R67" s="346"/>
      <c r="S67" s="347"/>
      <c r="T67" s="345"/>
      <c r="U67" s="345"/>
      <c r="V67" s="346"/>
      <c r="W67" s="345"/>
      <c r="X67" s="345"/>
      <c r="Y67" s="345"/>
      <c r="Z67" s="346"/>
      <c r="AA67" s="345"/>
      <c r="AB67" s="345"/>
      <c r="AC67" s="345"/>
      <c r="AD67" s="346"/>
      <c r="AE67" s="345"/>
      <c r="AF67" s="345"/>
      <c r="AG67" s="345"/>
      <c r="AH67" s="346"/>
      <c r="AI67" s="345"/>
      <c r="AJ67" s="345"/>
      <c r="AK67" s="345"/>
      <c r="AL67" s="346"/>
      <c r="AM67" s="345"/>
      <c r="AN67" s="345"/>
      <c r="AO67" s="345"/>
      <c r="AP67" s="346"/>
      <c r="AQ67" s="348">
        <f>+IF($N67&gt;I$8,"FIN",(I$19-SUM(AR$25:AR66))*VLOOKUP($N67,$A:$M,9,0)/VLOOKUP(I$15,$J$1:$L$4,2,0))</f>
        <v>8.7646461077500071</v>
      </c>
      <c r="AR67" s="345">
        <f t="shared" si="29"/>
        <v>179.78761246666667</v>
      </c>
      <c r="AS67" s="345">
        <f t="shared" si="15"/>
        <v>188.55225857441667</v>
      </c>
      <c r="AT67" s="346">
        <f t="shared" si="16"/>
        <v>25.887143522189181</v>
      </c>
      <c r="AU67" s="348">
        <f>+IF($N67&gt;J$8,"FIN",(J$19-SUM(AV$25:AV66))*VLOOKUP($N67,$A:$M,10,0)/VLOOKUP(J$15,$J$1:$L$4,2,0))</f>
        <v>9.7098346470000241</v>
      </c>
      <c r="AV67" s="345">
        <f t="shared" si="30"/>
        <v>215.77410326666666</v>
      </c>
      <c r="AW67" s="345">
        <f t="shared" si="31"/>
        <v>225.48393791366669</v>
      </c>
      <c r="AX67" s="346">
        <f t="shared" si="40"/>
        <v>30.957651246673979</v>
      </c>
      <c r="AY67" s="348">
        <f>+IF($N67&gt;K$8,"FIN",(K$19-SUM(AZ$25:AZ66))*VLOOKUP($N67,$A:$M,11,0)/VLOOKUP(K$15,$J$1:$L$4,2,0))</f>
        <v>56.215909090909058</v>
      </c>
      <c r="AZ67" s="345">
        <f t="shared" si="17"/>
        <v>187.38636363636363</v>
      </c>
      <c r="BA67" s="345">
        <f t="shared" si="18"/>
        <v>243.60227272727269</v>
      </c>
      <c r="BB67" s="346">
        <f t="shared" si="19"/>
        <v>33.445194685554505</v>
      </c>
      <c r="BC67" s="348">
        <f>+IF($N67&gt;L$8,"FIN",(L$19-SUM(BD$25:BD66))*VLOOKUP($N67,$A:$M,12,0)/VLOOKUP(L$15,$J$1:$L$4,2,0))</f>
        <v>4.0921874999999925</v>
      </c>
      <c r="BD67" s="345">
        <f t="shared" si="32"/>
        <v>16.53409090909091</v>
      </c>
      <c r="BE67" s="345">
        <f t="shared" si="33"/>
        <v>20.626278409090901</v>
      </c>
      <c r="BF67" s="346">
        <f t="shared" si="41"/>
        <v>2.8318697083865998</v>
      </c>
      <c r="BG67" s="242"/>
      <c r="BH67" s="348">
        <f t="shared" si="42"/>
        <v>80.498907061712828</v>
      </c>
      <c r="BI67" s="345">
        <f t="shared" si="42"/>
        <v>628.37050654575296</v>
      </c>
      <c r="BJ67" s="346">
        <f t="shared" si="34"/>
        <v>708.86941360746573</v>
      </c>
    </row>
    <row r="68" spans="1:62" x14ac:dyDescent="0.25">
      <c r="A68" s="27">
        <f t="shared" si="35"/>
        <v>51820</v>
      </c>
      <c r="B68" s="230"/>
      <c r="C68" s="237"/>
      <c r="D68" s="237"/>
      <c r="E68" s="237"/>
      <c r="F68" s="237"/>
      <c r="G68" s="237"/>
      <c r="H68" s="233"/>
      <c r="I68" s="234">
        <v>4.8750000000000002E-2</v>
      </c>
      <c r="J68" s="234">
        <v>4.4999999999999998E-2</v>
      </c>
      <c r="K68" s="233">
        <v>0.05</v>
      </c>
      <c r="L68" s="230">
        <v>4.1250000000000002E-2</v>
      </c>
      <c r="M68" s="289">
        <f t="shared" si="20"/>
        <v>2041</v>
      </c>
      <c r="N68" s="32">
        <f t="shared" si="36"/>
        <v>51820</v>
      </c>
      <c r="O68" s="347"/>
      <c r="P68" s="345"/>
      <c r="Q68" s="345"/>
      <c r="R68" s="346"/>
      <c r="S68" s="347"/>
      <c r="T68" s="345"/>
      <c r="U68" s="345"/>
      <c r="V68" s="346"/>
      <c r="W68" s="345"/>
      <c r="X68" s="345"/>
      <c r="Y68" s="345"/>
      <c r="Z68" s="346"/>
      <c r="AA68" s="345"/>
      <c r="AB68" s="345"/>
      <c r="AC68" s="345"/>
      <c r="AD68" s="346"/>
      <c r="AE68" s="345"/>
      <c r="AF68" s="345"/>
      <c r="AG68" s="345"/>
      <c r="AH68" s="346"/>
      <c r="AI68" s="345"/>
      <c r="AJ68" s="345"/>
      <c r="AK68" s="345"/>
      <c r="AL68" s="346"/>
      <c r="AM68" s="345"/>
      <c r="AN68" s="345"/>
      <c r="AO68" s="345"/>
      <c r="AP68" s="346"/>
      <c r="AQ68" s="348">
        <f>+IF($N68&gt;I$8,"FIN",(I$19-SUM(AR$25:AR67))*VLOOKUP($N68,$A:$M,9,0)/VLOOKUP(I$15,$J$1:$L$4,2,0))</f>
        <v>4.3823230538750151</v>
      </c>
      <c r="AR68" s="345">
        <f t="shared" si="29"/>
        <v>179.78761246666667</v>
      </c>
      <c r="AS68" s="345">
        <f t="shared" si="15"/>
        <v>184.16993552054169</v>
      </c>
      <c r="AT68" s="346">
        <f t="shared" si="16"/>
        <v>24.10875513592654</v>
      </c>
      <c r="AU68" s="348">
        <f>+IF($N68&gt;J$8,"FIN",(J$19-SUM(AV$25:AV67))*VLOOKUP($N68,$A:$M,10,0)/VLOOKUP(J$15,$J$1:$L$4,2,0))</f>
        <v>4.8549173235000325</v>
      </c>
      <c r="AV68" s="345">
        <f t="shared" si="30"/>
        <v>215.77410326666666</v>
      </c>
      <c r="AW68" s="345">
        <f t="shared" si="31"/>
        <v>220.6290205901667</v>
      </c>
      <c r="AX68" s="346">
        <f t="shared" si="40"/>
        <v>28.881429633200639</v>
      </c>
      <c r="AY68" s="348">
        <f>+IF($N68&gt;K$8,"FIN",(K$19-SUM(AZ$25:AZ67))*VLOOKUP($N68,$A:$M,11,0)/VLOOKUP(K$15,$J$1:$L$4,2,0))</f>
        <v>51.531249999999957</v>
      </c>
      <c r="AZ68" s="345">
        <f t="shared" si="17"/>
        <v>187.38636363636363</v>
      </c>
      <c r="BA68" s="345">
        <f t="shared" si="18"/>
        <v>238.91761363636357</v>
      </c>
      <c r="BB68" s="346">
        <f t="shared" si="19"/>
        <v>31.275496885736498</v>
      </c>
      <c r="BC68" s="348">
        <f>+IF($N68&gt;L$8,"FIN",(L$19-SUM(BD$25:BD67))*VLOOKUP($N68,$A:$M,12,0)/VLOOKUP(L$15,$J$1:$L$4,2,0))</f>
        <v>3.7511718749999932</v>
      </c>
      <c r="BD68" s="345">
        <f t="shared" si="32"/>
        <v>16.53409090909091</v>
      </c>
      <c r="BE68" s="345">
        <f t="shared" si="33"/>
        <v>20.285262784090904</v>
      </c>
      <c r="BF68" s="346">
        <f t="shared" si="41"/>
        <v>2.655441193196399</v>
      </c>
      <c r="BG68" s="242"/>
      <c r="BH68" s="348">
        <f t="shared" si="42"/>
        <v>65.589859537459432</v>
      </c>
      <c r="BI68" s="345">
        <f t="shared" si="42"/>
        <v>628.37050654575296</v>
      </c>
      <c r="BJ68" s="346">
        <f t="shared" si="34"/>
        <v>693.96036608321242</v>
      </c>
    </row>
    <row r="69" spans="1:62" x14ac:dyDescent="0.25">
      <c r="A69" s="27">
        <f t="shared" si="35"/>
        <v>52001</v>
      </c>
      <c r="B69" s="230"/>
      <c r="C69" s="237"/>
      <c r="D69" s="237"/>
      <c r="E69" s="237"/>
      <c r="F69" s="237"/>
      <c r="G69" s="237"/>
      <c r="H69" s="233"/>
      <c r="I69" s="234"/>
      <c r="J69" s="234"/>
      <c r="K69" s="233">
        <v>0.05</v>
      </c>
      <c r="L69" s="230">
        <v>4.1250000000000002E-2</v>
      </c>
      <c r="M69" s="289">
        <f t="shared" si="20"/>
        <v>2042</v>
      </c>
      <c r="N69" s="32">
        <f t="shared" si="36"/>
        <v>52001</v>
      </c>
      <c r="O69" s="347"/>
      <c r="P69" s="345"/>
      <c r="Q69" s="345"/>
      <c r="R69" s="346"/>
      <c r="S69" s="347"/>
      <c r="T69" s="345"/>
      <c r="U69" s="345"/>
      <c r="V69" s="346"/>
      <c r="W69" s="345"/>
      <c r="X69" s="345"/>
      <c r="Y69" s="345"/>
      <c r="Z69" s="346"/>
      <c r="AA69" s="345"/>
      <c r="AB69" s="345"/>
      <c r="AC69" s="345"/>
      <c r="AD69" s="346"/>
      <c r="AE69" s="345"/>
      <c r="AF69" s="345"/>
      <c r="AG69" s="345"/>
      <c r="AH69" s="346"/>
      <c r="AI69" s="345"/>
      <c r="AJ69" s="345"/>
      <c r="AK69" s="345"/>
      <c r="AL69" s="346"/>
      <c r="AM69" s="345"/>
      <c r="AN69" s="345"/>
      <c r="AO69" s="345"/>
      <c r="AP69" s="346"/>
      <c r="AQ69" s="348"/>
      <c r="AR69" s="345"/>
      <c r="AS69" s="345"/>
      <c r="AT69" s="346"/>
      <c r="AU69" s="348"/>
      <c r="AV69" s="345"/>
      <c r="AW69" s="345"/>
      <c r="AX69" s="346"/>
      <c r="AY69" s="348">
        <f>+IF($N69&gt;K$8,"FIN",(K$19-SUM(AZ$25:AZ68))*VLOOKUP($N69,$A:$M,11,0)/VLOOKUP(K$15,$J$1:$L$4,2,0))</f>
        <v>46.846590909090857</v>
      </c>
      <c r="AZ69" s="345">
        <f t="shared" si="17"/>
        <v>187.38636363636363</v>
      </c>
      <c r="BA69" s="345">
        <f t="shared" si="18"/>
        <v>234.23295454545448</v>
      </c>
      <c r="BB69" s="346">
        <f t="shared" si="19"/>
        <v>29.235310039820373</v>
      </c>
      <c r="BC69" s="348">
        <f>+IF($N69&gt;L$8,"FIN",(L$19-SUM(BD$25:BD68))*VLOOKUP($N69,$A:$M,12,0)/VLOOKUP(L$15,$J$1:$L$4,2,0))</f>
        <v>3.4101562499999938</v>
      </c>
      <c r="BD69" s="345">
        <f t="shared" si="32"/>
        <v>16.53409090909091</v>
      </c>
      <c r="BE69" s="345">
        <f t="shared" si="33"/>
        <v>19.944247159090903</v>
      </c>
      <c r="BF69" s="346">
        <f t="shared" si="41"/>
        <v>2.489300663684705</v>
      </c>
      <c r="BG69" s="242"/>
      <c r="BH69" s="348">
        <f t="shared" si="42"/>
        <v>50.680812013205987</v>
      </c>
      <c r="BI69" s="345">
        <f t="shared" si="42"/>
        <v>205.97652656540669</v>
      </c>
      <c r="BJ69" s="346">
        <f t="shared" si="34"/>
        <v>256.65733857861267</v>
      </c>
    </row>
    <row r="70" spans="1:62" x14ac:dyDescent="0.25">
      <c r="A70" s="27">
        <f t="shared" si="35"/>
        <v>52185</v>
      </c>
      <c r="B70" s="230"/>
      <c r="C70" s="237"/>
      <c r="D70" s="237"/>
      <c r="E70" s="237"/>
      <c r="F70" s="237"/>
      <c r="G70" s="237"/>
      <c r="H70" s="233"/>
      <c r="I70" s="234"/>
      <c r="J70" s="234"/>
      <c r="K70" s="233">
        <v>0.05</v>
      </c>
      <c r="L70" s="230">
        <v>4.1250000000000002E-2</v>
      </c>
      <c r="M70" s="289">
        <f t="shared" si="20"/>
        <v>2042</v>
      </c>
      <c r="N70" s="32">
        <f t="shared" si="36"/>
        <v>52185</v>
      </c>
      <c r="O70" s="347"/>
      <c r="P70" s="345"/>
      <c r="Q70" s="345"/>
      <c r="R70" s="346"/>
      <c r="S70" s="347"/>
      <c r="T70" s="345"/>
      <c r="U70" s="345"/>
      <c r="V70" s="346"/>
      <c r="W70" s="345"/>
      <c r="X70" s="345"/>
      <c r="Y70" s="345"/>
      <c r="Z70" s="346"/>
      <c r="AA70" s="345"/>
      <c r="AB70" s="345"/>
      <c r="AC70" s="345"/>
      <c r="AD70" s="346"/>
      <c r="AE70" s="345"/>
      <c r="AF70" s="345"/>
      <c r="AG70" s="345"/>
      <c r="AH70" s="346"/>
      <c r="AI70" s="345"/>
      <c r="AJ70" s="345"/>
      <c r="AK70" s="345"/>
      <c r="AL70" s="346"/>
      <c r="AM70" s="345"/>
      <c r="AN70" s="345"/>
      <c r="AO70" s="345"/>
      <c r="AP70" s="346"/>
      <c r="AQ70" s="348"/>
      <c r="AR70" s="345"/>
      <c r="AS70" s="345"/>
      <c r="AT70" s="346"/>
      <c r="AU70" s="348"/>
      <c r="AV70" s="345"/>
      <c r="AW70" s="345"/>
      <c r="AX70" s="346"/>
      <c r="AY70" s="348">
        <f>+IF($N70&gt;K$8,"FIN",(K$19-SUM(AZ$25:AZ69))*VLOOKUP($N70,$A:$M,11,0)/VLOOKUP(K$15,$J$1:$L$4,2,0))</f>
        <v>42.161931818181756</v>
      </c>
      <c r="AZ70" s="345">
        <f t="shared" si="17"/>
        <v>187.38636363636363</v>
      </c>
      <c r="BA70" s="345">
        <f t="shared" si="18"/>
        <v>229.54829545454538</v>
      </c>
      <c r="BB70" s="346">
        <f t="shared" si="19"/>
        <v>27.317278919805496</v>
      </c>
      <c r="BC70" s="348">
        <f>+IF($N70&gt;L$8,"FIN",(L$19-SUM(BD$25:BD69))*VLOOKUP($N70,$A:$M,12,0)/VLOOKUP(L$15,$J$1:$L$4,2,0))</f>
        <v>3.0691406249999944</v>
      </c>
      <c r="BD70" s="345">
        <f t="shared" si="32"/>
        <v>16.53409090909091</v>
      </c>
      <c r="BE70" s="345">
        <f t="shared" si="33"/>
        <v>19.603231534090906</v>
      </c>
      <c r="BF70" s="346">
        <f t="shared" si="41"/>
        <v>2.3328726640548183</v>
      </c>
      <c r="BG70" s="242"/>
      <c r="BH70" s="348">
        <f t="shared" si="42"/>
        <v>45.61273081188537</v>
      </c>
      <c r="BI70" s="345">
        <f t="shared" si="42"/>
        <v>205.97652656540669</v>
      </c>
      <c r="BJ70" s="346">
        <f t="shared" si="34"/>
        <v>251.58925737729206</v>
      </c>
    </row>
    <row r="71" spans="1:62" x14ac:dyDescent="0.25">
      <c r="A71" s="27">
        <f t="shared" si="35"/>
        <v>52366</v>
      </c>
      <c r="B71" s="230"/>
      <c r="C71" s="237"/>
      <c r="D71" s="237"/>
      <c r="E71" s="237"/>
      <c r="F71" s="237"/>
      <c r="G71" s="237"/>
      <c r="H71" s="233"/>
      <c r="I71" s="233"/>
      <c r="J71" s="233"/>
      <c r="K71" s="233">
        <v>0.05</v>
      </c>
      <c r="L71" s="230">
        <v>4.1250000000000002E-2</v>
      </c>
      <c r="M71" s="289">
        <f t="shared" si="20"/>
        <v>2043</v>
      </c>
      <c r="N71" s="32">
        <f t="shared" si="36"/>
        <v>52366</v>
      </c>
      <c r="O71" s="347"/>
      <c r="P71" s="345"/>
      <c r="Q71" s="345"/>
      <c r="R71" s="346"/>
      <c r="S71" s="347"/>
      <c r="T71" s="345"/>
      <c r="U71" s="345"/>
      <c r="V71" s="346"/>
      <c r="W71" s="345"/>
      <c r="X71" s="345"/>
      <c r="Y71" s="345"/>
      <c r="Z71" s="346"/>
      <c r="AA71" s="345"/>
      <c r="AB71" s="345"/>
      <c r="AC71" s="345"/>
      <c r="AD71" s="346"/>
      <c r="AE71" s="345"/>
      <c r="AF71" s="345"/>
      <c r="AG71" s="345"/>
      <c r="AH71" s="346"/>
      <c r="AI71" s="345"/>
      <c r="AJ71" s="345"/>
      <c r="AK71" s="345"/>
      <c r="AL71" s="346"/>
      <c r="AM71" s="345"/>
      <c r="AN71" s="345"/>
      <c r="AO71" s="345"/>
      <c r="AP71" s="346"/>
      <c r="AQ71" s="348"/>
      <c r="AR71" s="345"/>
      <c r="AS71" s="345"/>
      <c r="AT71" s="346"/>
      <c r="AU71" s="348"/>
      <c r="AV71" s="345"/>
      <c r="AW71" s="345"/>
      <c r="AX71" s="346"/>
      <c r="AY71" s="348">
        <f>+IF($N71&gt;K$8,"FIN",(K$19-SUM(AZ$25:AZ70))*VLOOKUP($N71,$A:$M,11,0)/VLOOKUP(K$15,$J$1:$L$4,2,0))</f>
        <v>37.477272727272656</v>
      </c>
      <c r="AZ71" s="345">
        <f t="shared" si="17"/>
        <v>187.38636363636363</v>
      </c>
      <c r="BA71" s="345">
        <f t="shared" si="18"/>
        <v>224.86363636363629</v>
      </c>
      <c r="BB71" s="346">
        <f t="shared" si="19"/>
        <v>25.514452398388677</v>
      </c>
      <c r="BC71" s="348">
        <f>+IF($N71&gt;L$8,"FIN",(L$19-SUM(BD$25:BD70))*VLOOKUP($N71,$A:$M,12,0)/VLOOKUP(L$15,$J$1:$L$4,2,0))</f>
        <v>2.728124999999995</v>
      </c>
      <c r="BD71" s="345">
        <f t="shared" si="32"/>
        <v>16.53409090909091</v>
      </c>
      <c r="BE71" s="345">
        <f t="shared" si="33"/>
        <v>19.262215909090905</v>
      </c>
      <c r="BF71" s="346">
        <f t="shared" si="41"/>
        <v>2.1856130179502067</v>
      </c>
      <c r="BG71" s="242"/>
      <c r="BH71" s="348">
        <f t="shared" si="42"/>
        <v>40.544649610564754</v>
      </c>
      <c r="BI71" s="345">
        <f t="shared" si="42"/>
        <v>205.97652656540669</v>
      </c>
      <c r="BJ71" s="346">
        <f t="shared" si="34"/>
        <v>246.52117617597145</v>
      </c>
    </row>
    <row r="72" spans="1:62" x14ac:dyDescent="0.25">
      <c r="A72" s="27">
        <f t="shared" si="35"/>
        <v>52550</v>
      </c>
      <c r="B72" s="230"/>
      <c r="C72" s="237"/>
      <c r="D72" s="237"/>
      <c r="E72" s="237"/>
      <c r="F72" s="237"/>
      <c r="G72" s="237"/>
      <c r="H72" s="233"/>
      <c r="I72" s="233"/>
      <c r="J72" s="233"/>
      <c r="K72" s="233">
        <v>0.05</v>
      </c>
      <c r="L72" s="230">
        <v>4.1250000000000002E-2</v>
      </c>
      <c r="M72" s="289">
        <f t="shared" si="20"/>
        <v>2043</v>
      </c>
      <c r="N72" s="32">
        <f t="shared" si="36"/>
        <v>52550</v>
      </c>
      <c r="O72" s="347"/>
      <c r="P72" s="345"/>
      <c r="Q72" s="345"/>
      <c r="R72" s="346"/>
      <c r="S72" s="347"/>
      <c r="T72" s="345"/>
      <c r="U72" s="345"/>
      <c r="V72" s="346"/>
      <c r="W72" s="345"/>
      <c r="X72" s="345"/>
      <c r="Y72" s="345"/>
      <c r="Z72" s="346"/>
      <c r="AA72" s="345"/>
      <c r="AB72" s="345"/>
      <c r="AC72" s="345"/>
      <c r="AD72" s="346"/>
      <c r="AE72" s="345"/>
      <c r="AF72" s="345"/>
      <c r="AG72" s="345"/>
      <c r="AH72" s="346"/>
      <c r="AI72" s="345"/>
      <c r="AJ72" s="345"/>
      <c r="AK72" s="345"/>
      <c r="AL72" s="346"/>
      <c r="AM72" s="345"/>
      <c r="AN72" s="345"/>
      <c r="AO72" s="345"/>
      <c r="AP72" s="346"/>
      <c r="AQ72" s="348"/>
      <c r="AR72" s="345"/>
      <c r="AS72" s="345"/>
      <c r="AT72" s="346"/>
      <c r="AU72" s="348"/>
      <c r="AV72" s="345"/>
      <c r="AW72" s="345"/>
      <c r="AX72" s="346"/>
      <c r="AY72" s="348">
        <f>+IF($N72&gt;K$8,"FIN",(K$19-SUM(AZ$25:AZ71))*VLOOKUP($N72,$A:$M,11,0)/VLOOKUP(K$15,$J$1:$L$4,2,0))</f>
        <v>32.792613636363562</v>
      </c>
      <c r="AZ72" s="345">
        <f t="shared" si="17"/>
        <v>187.38636363636363</v>
      </c>
      <c r="BA72" s="345">
        <f t="shared" si="18"/>
        <v>220.1789772727272</v>
      </c>
      <c r="BB72" s="346">
        <f t="shared" si="19"/>
        <v>23.820261766806272</v>
      </c>
      <c r="BC72" s="348">
        <f>+IF($N72&gt;L$8,"FIN",(L$19-SUM(BD$25:BD71))*VLOOKUP($N72,$A:$M,12,0)/VLOOKUP(L$15,$J$1:$L$4,2,0))</f>
        <v>2.3871093749999956</v>
      </c>
      <c r="BD72" s="345">
        <f t="shared" si="32"/>
        <v>16.53409090909091</v>
      </c>
      <c r="BE72" s="345">
        <f t="shared" si="33"/>
        <v>18.921200284090904</v>
      </c>
      <c r="BF72" s="346">
        <f t="shared" si="41"/>
        <v>2.0470071634084301</v>
      </c>
      <c r="BG72" s="242"/>
      <c r="BH72" s="348">
        <f t="shared" si="42"/>
        <v>35.476568409244152</v>
      </c>
      <c r="BI72" s="345">
        <f t="shared" si="42"/>
        <v>205.97652656540669</v>
      </c>
      <c r="BJ72" s="346">
        <f t="shared" si="34"/>
        <v>241.45309497465084</v>
      </c>
    </row>
    <row r="73" spans="1:62" x14ac:dyDescent="0.25">
      <c r="A73" s="27">
        <f t="shared" si="35"/>
        <v>52732</v>
      </c>
      <c r="B73" s="230"/>
      <c r="C73" s="237"/>
      <c r="D73" s="237"/>
      <c r="E73" s="237"/>
      <c r="F73" s="237"/>
      <c r="G73" s="237"/>
      <c r="H73" s="233"/>
      <c r="I73" s="237"/>
      <c r="J73" s="237"/>
      <c r="K73" s="233">
        <v>0.05</v>
      </c>
      <c r="L73" s="230">
        <v>4.1250000000000002E-2</v>
      </c>
      <c r="M73" s="289">
        <f t="shared" si="20"/>
        <v>2044</v>
      </c>
      <c r="N73" s="32">
        <f t="shared" si="36"/>
        <v>52732</v>
      </c>
      <c r="O73" s="347"/>
      <c r="P73" s="345"/>
      <c r="Q73" s="345"/>
      <c r="R73" s="346"/>
      <c r="S73" s="347"/>
      <c r="T73" s="345"/>
      <c r="U73" s="345"/>
      <c r="V73" s="346"/>
      <c r="W73" s="345"/>
      <c r="X73" s="345"/>
      <c r="Y73" s="345"/>
      <c r="Z73" s="346"/>
      <c r="AA73" s="345"/>
      <c r="AB73" s="345"/>
      <c r="AC73" s="345"/>
      <c r="AD73" s="346"/>
      <c r="AE73" s="345"/>
      <c r="AF73" s="345"/>
      <c r="AG73" s="345"/>
      <c r="AH73" s="346"/>
      <c r="AI73" s="345"/>
      <c r="AJ73" s="345"/>
      <c r="AK73" s="345"/>
      <c r="AL73" s="346"/>
      <c r="AM73" s="345"/>
      <c r="AN73" s="345"/>
      <c r="AO73" s="345"/>
      <c r="AP73" s="346"/>
      <c r="AQ73" s="345"/>
      <c r="AR73" s="345"/>
      <c r="AS73" s="345"/>
      <c r="AT73" s="346"/>
      <c r="AU73" s="345"/>
      <c r="AV73" s="345"/>
      <c r="AW73" s="345"/>
      <c r="AX73" s="346"/>
      <c r="AY73" s="348">
        <f>+IF($N73&gt;K$8,"FIN",(K$19-SUM(AZ$25:AZ72))*VLOOKUP($N73,$A:$M,11,0)/VLOOKUP(K$15,$J$1:$L$4,2,0))</f>
        <v>28.107954545454461</v>
      </c>
      <c r="AZ73" s="345">
        <f t="shared" si="17"/>
        <v>187.38636363636363</v>
      </c>
      <c r="BA73" s="345">
        <f t="shared" si="18"/>
        <v>215.49431818181807</v>
      </c>
      <c r="BB73" s="346">
        <f t="shared" si="19"/>
        <v>22.228500195565893</v>
      </c>
      <c r="BC73" s="348">
        <f>+IF($N73&gt;L$8,"FIN",(L$19-SUM(BD$25:BD72))*VLOOKUP($N73,$A:$M,12,0)/VLOOKUP(L$15,$J$1:$L$4,2,0))</f>
        <v>2.0460937499999963</v>
      </c>
      <c r="BD73" s="345">
        <f t="shared" si="32"/>
        <v>16.53409090909091</v>
      </c>
      <c r="BE73" s="345">
        <f t="shared" si="33"/>
        <v>18.580184659090907</v>
      </c>
      <c r="BF73" s="346">
        <f t="shared" si="41"/>
        <v>1.9165685750460755</v>
      </c>
      <c r="BG73" s="242"/>
      <c r="BH73" s="348">
        <f t="shared" si="42"/>
        <v>30.408487207923539</v>
      </c>
      <c r="BI73" s="345">
        <f t="shared" si="42"/>
        <v>205.97652656540669</v>
      </c>
      <c r="BJ73" s="346">
        <f t="shared" si="34"/>
        <v>236.38501377333023</v>
      </c>
    </row>
    <row r="74" spans="1:62" x14ac:dyDescent="0.25">
      <c r="A74" s="27">
        <f t="shared" si="35"/>
        <v>52916</v>
      </c>
      <c r="B74" s="230"/>
      <c r="C74" s="237"/>
      <c r="D74" s="237"/>
      <c r="E74" s="237"/>
      <c r="F74" s="237"/>
      <c r="G74" s="237"/>
      <c r="H74" s="233"/>
      <c r="I74" s="237"/>
      <c r="J74" s="237"/>
      <c r="K74" s="233">
        <v>0.05</v>
      </c>
      <c r="L74" s="230">
        <v>4.1250000000000002E-2</v>
      </c>
      <c r="M74" s="289">
        <f t="shared" si="20"/>
        <v>2044</v>
      </c>
      <c r="N74" s="32">
        <f t="shared" si="36"/>
        <v>52916</v>
      </c>
      <c r="O74" s="347"/>
      <c r="P74" s="345"/>
      <c r="Q74" s="345"/>
      <c r="R74" s="346"/>
      <c r="S74" s="347"/>
      <c r="T74" s="345"/>
      <c r="U74" s="345"/>
      <c r="V74" s="346"/>
      <c r="W74" s="345"/>
      <c r="X74" s="345"/>
      <c r="Y74" s="345"/>
      <c r="Z74" s="346"/>
      <c r="AA74" s="345"/>
      <c r="AB74" s="345"/>
      <c r="AC74" s="345"/>
      <c r="AD74" s="346"/>
      <c r="AE74" s="345"/>
      <c r="AF74" s="345"/>
      <c r="AG74" s="345"/>
      <c r="AH74" s="346"/>
      <c r="AI74" s="345"/>
      <c r="AJ74" s="345"/>
      <c r="AK74" s="345"/>
      <c r="AL74" s="346"/>
      <c r="AM74" s="345"/>
      <c r="AN74" s="345"/>
      <c r="AO74" s="345"/>
      <c r="AP74" s="346"/>
      <c r="AQ74" s="345"/>
      <c r="AR74" s="345"/>
      <c r="AS74" s="345"/>
      <c r="AT74" s="346"/>
      <c r="AU74" s="345"/>
      <c r="AV74" s="345"/>
      <c r="AW74" s="345"/>
      <c r="AX74" s="346"/>
      <c r="AY74" s="348">
        <f>+IF($N74&gt;K$8,"FIN",(K$19-SUM(AZ$25:AZ73))*VLOOKUP($N74,$A:$M,11,0)/VLOOKUP(K$15,$J$1:$L$4,2,0))</f>
        <v>23.423295454545361</v>
      </c>
      <c r="AZ74" s="345">
        <f t="shared" si="17"/>
        <v>187.38636363636363</v>
      </c>
      <c r="BA74" s="345">
        <f t="shared" si="18"/>
        <v>210.80965909090898</v>
      </c>
      <c r="BB74" s="346">
        <f t="shared" si="19"/>
        <v>20.733303278651491</v>
      </c>
      <c r="BC74" s="348">
        <f>+IF($N74&gt;L$8,"FIN",(L$19-SUM(BD$25:BD73))*VLOOKUP($N74,$A:$M,12,0)/VLOOKUP(L$15,$J$1:$L$4,2,0))</f>
        <v>1.7050781249999969</v>
      </c>
      <c r="BD74" s="345">
        <f t="shared" si="32"/>
        <v>16.53409090909091</v>
      </c>
      <c r="BE74" s="345">
        <f t="shared" si="33"/>
        <v>18.239169034090907</v>
      </c>
      <c r="BF74" s="346">
        <f t="shared" si="41"/>
        <v>1.7938372689617597</v>
      </c>
      <c r="BG74" s="242"/>
      <c r="BH74" s="348">
        <f t="shared" si="42"/>
        <v>25.340406006602926</v>
      </c>
      <c r="BI74" s="345">
        <f t="shared" si="42"/>
        <v>205.97652656540669</v>
      </c>
      <c r="BJ74" s="346">
        <f t="shared" si="34"/>
        <v>231.31693257200962</v>
      </c>
    </row>
    <row r="75" spans="1:62" x14ac:dyDescent="0.25">
      <c r="A75" s="27">
        <f t="shared" si="35"/>
        <v>53097</v>
      </c>
      <c r="B75" s="230"/>
      <c r="C75" s="237"/>
      <c r="D75" s="237"/>
      <c r="E75" s="237"/>
      <c r="F75" s="237"/>
      <c r="G75" s="237"/>
      <c r="H75" s="233"/>
      <c r="I75" s="237"/>
      <c r="J75" s="237"/>
      <c r="K75" s="233">
        <v>0.05</v>
      </c>
      <c r="L75" s="230">
        <v>4.1250000000000002E-2</v>
      </c>
      <c r="M75" s="289">
        <f t="shared" si="20"/>
        <v>2045</v>
      </c>
      <c r="N75" s="32">
        <f t="shared" si="36"/>
        <v>53097</v>
      </c>
      <c r="O75" s="347"/>
      <c r="P75" s="345"/>
      <c r="Q75" s="345"/>
      <c r="R75" s="346"/>
      <c r="S75" s="347"/>
      <c r="T75" s="345"/>
      <c r="U75" s="345"/>
      <c r="V75" s="346"/>
      <c r="W75" s="345"/>
      <c r="X75" s="345"/>
      <c r="Y75" s="345"/>
      <c r="Z75" s="346"/>
      <c r="AA75" s="345"/>
      <c r="AB75" s="345"/>
      <c r="AC75" s="345"/>
      <c r="AD75" s="346"/>
      <c r="AE75" s="345"/>
      <c r="AF75" s="345"/>
      <c r="AG75" s="345"/>
      <c r="AH75" s="346"/>
      <c r="AI75" s="345"/>
      <c r="AJ75" s="345"/>
      <c r="AK75" s="345"/>
      <c r="AL75" s="346"/>
      <c r="AM75" s="345"/>
      <c r="AN75" s="345"/>
      <c r="AO75" s="345"/>
      <c r="AP75" s="346"/>
      <c r="AQ75" s="345"/>
      <c r="AR75" s="345"/>
      <c r="AS75" s="345"/>
      <c r="AT75" s="346"/>
      <c r="AU75" s="345"/>
      <c r="AV75" s="345"/>
      <c r="AW75" s="345"/>
      <c r="AX75" s="346"/>
      <c r="AY75" s="348">
        <f>+IF($N75&gt;K$8,"FIN",(K$19-SUM(AZ$25:AZ74))*VLOOKUP($N75,$A:$M,11,0)/VLOOKUP(K$15,$J$1:$L$4,2,0))</f>
        <v>18.73863636363626</v>
      </c>
      <c r="AZ75" s="345">
        <f t="shared" si="17"/>
        <v>187.38636363636363</v>
      </c>
      <c r="BA75" s="345">
        <f t="shared" si="18"/>
        <v>206.12499999999989</v>
      </c>
      <c r="BB75" s="346">
        <f t="shared" si="19"/>
        <v>19.329130604839907</v>
      </c>
      <c r="BC75" s="348">
        <f>+IF($N75&gt;L$8,"FIN",(L$19-SUM(BD$25:BD74))*VLOOKUP($N75,$A:$M,12,0)/VLOOKUP(L$15,$J$1:$L$4,2,0))</f>
        <v>1.3640624999999975</v>
      </c>
      <c r="BD75" s="345">
        <f t="shared" si="32"/>
        <v>16.53409090909091</v>
      </c>
      <c r="BE75" s="345">
        <f t="shared" si="33"/>
        <v>17.898153409090909</v>
      </c>
      <c r="BF75" s="346">
        <f t="shared" si="41"/>
        <v>1.6783783860753376</v>
      </c>
      <c r="BG75" s="242"/>
      <c r="BH75" s="348">
        <f t="shared" si="42"/>
        <v>20.27232480528231</v>
      </c>
      <c r="BI75" s="345">
        <f t="shared" si="42"/>
        <v>205.97652656540669</v>
      </c>
      <c r="BJ75" s="346">
        <f t="shared" si="34"/>
        <v>226.24885137068901</v>
      </c>
    </row>
    <row r="76" spans="1:62" x14ac:dyDescent="0.25">
      <c r="A76" s="27">
        <f t="shared" si="35"/>
        <v>53281</v>
      </c>
      <c r="B76" s="230"/>
      <c r="C76" s="237"/>
      <c r="D76" s="237"/>
      <c r="E76" s="237"/>
      <c r="F76" s="237"/>
      <c r="G76" s="237"/>
      <c r="H76" s="233"/>
      <c r="I76" s="237"/>
      <c r="J76" s="237"/>
      <c r="K76" s="233">
        <v>0.05</v>
      </c>
      <c r="L76" s="230">
        <v>4.1250000000000002E-2</v>
      </c>
      <c r="M76" s="289">
        <f t="shared" si="20"/>
        <v>2045</v>
      </c>
      <c r="N76" s="32">
        <f t="shared" si="36"/>
        <v>53281</v>
      </c>
      <c r="O76" s="347"/>
      <c r="P76" s="345"/>
      <c r="Q76" s="345"/>
      <c r="R76" s="346"/>
      <c r="S76" s="347"/>
      <c r="T76" s="345"/>
      <c r="U76" s="345"/>
      <c r="V76" s="346"/>
      <c r="W76" s="345"/>
      <c r="X76" s="345"/>
      <c r="Y76" s="345"/>
      <c r="Z76" s="346"/>
      <c r="AA76" s="345"/>
      <c r="AB76" s="345"/>
      <c r="AC76" s="345"/>
      <c r="AD76" s="346"/>
      <c r="AE76" s="345"/>
      <c r="AF76" s="345"/>
      <c r="AG76" s="345"/>
      <c r="AH76" s="346"/>
      <c r="AI76" s="345"/>
      <c r="AJ76" s="345"/>
      <c r="AK76" s="345"/>
      <c r="AL76" s="346"/>
      <c r="AM76" s="345"/>
      <c r="AN76" s="345"/>
      <c r="AO76" s="345"/>
      <c r="AP76" s="346"/>
      <c r="AQ76" s="345"/>
      <c r="AR76" s="345"/>
      <c r="AS76" s="345"/>
      <c r="AT76" s="346"/>
      <c r="AU76" s="345"/>
      <c r="AV76" s="345"/>
      <c r="AW76" s="345"/>
      <c r="AX76" s="346"/>
      <c r="AY76" s="348">
        <f>+IF($N76&gt;K$8,"FIN",(K$19-SUM(AZ$25:AZ75))*VLOOKUP($N76,$A:$M,11,0)/VLOOKUP(K$15,$J$1:$L$4,2,0))</f>
        <v>14.053977272727161</v>
      </c>
      <c r="AZ76" s="345">
        <f t="shared" si="17"/>
        <v>187.38636363636363</v>
      </c>
      <c r="BA76" s="345">
        <f t="shared" si="18"/>
        <v>201.44034090909079</v>
      </c>
      <c r="BB76" s="346">
        <f t="shared" si="19"/>
        <v>18.010748302666943</v>
      </c>
      <c r="BC76" s="348">
        <f>+IF($N76&gt;L$8,"FIN",(L$19-SUM(BD$25:BD75))*VLOOKUP($N76,$A:$M,12,0)/VLOOKUP(L$15,$J$1:$L$4,2,0))</f>
        <v>1.0230468749999981</v>
      </c>
      <c r="BD76" s="345">
        <f t="shared" si="32"/>
        <v>16.53409090909091</v>
      </c>
      <c r="BE76" s="345">
        <f t="shared" si="33"/>
        <v>17.557137784090909</v>
      </c>
      <c r="BF76" s="346">
        <f t="shared" si="41"/>
        <v>1.5697808498408594</v>
      </c>
      <c r="BG76" s="242"/>
      <c r="BH76" s="348">
        <f t="shared" si="42"/>
        <v>15.2042436039617</v>
      </c>
      <c r="BI76" s="345">
        <f t="shared" si="42"/>
        <v>205.97652656540669</v>
      </c>
      <c r="BJ76" s="346">
        <f t="shared" si="34"/>
        <v>221.18077016936837</v>
      </c>
    </row>
    <row r="77" spans="1:62" x14ac:dyDescent="0.25">
      <c r="A77" s="27">
        <f t="shared" si="35"/>
        <v>53462</v>
      </c>
      <c r="B77" s="230"/>
      <c r="C77" s="237"/>
      <c r="D77" s="237"/>
      <c r="E77" s="237"/>
      <c r="F77" s="237"/>
      <c r="G77" s="237"/>
      <c r="H77" s="233"/>
      <c r="I77" s="237"/>
      <c r="J77" s="237"/>
      <c r="K77" s="233">
        <v>0.05</v>
      </c>
      <c r="L77" s="230">
        <v>4.1250000000000002E-2</v>
      </c>
      <c r="M77" s="289">
        <f t="shared" si="20"/>
        <v>2046</v>
      </c>
      <c r="N77" s="32">
        <f t="shared" si="36"/>
        <v>53462</v>
      </c>
      <c r="O77" s="347"/>
      <c r="P77" s="345"/>
      <c r="Q77" s="345"/>
      <c r="R77" s="346"/>
      <c r="S77" s="347"/>
      <c r="T77" s="345"/>
      <c r="U77" s="345"/>
      <c r="V77" s="346"/>
      <c r="W77" s="345"/>
      <c r="X77" s="345"/>
      <c r="Y77" s="345"/>
      <c r="Z77" s="346"/>
      <c r="AA77" s="345"/>
      <c r="AB77" s="345"/>
      <c r="AC77" s="345"/>
      <c r="AD77" s="346"/>
      <c r="AE77" s="345"/>
      <c r="AF77" s="345"/>
      <c r="AG77" s="345"/>
      <c r="AH77" s="346"/>
      <c r="AI77" s="345"/>
      <c r="AJ77" s="345"/>
      <c r="AK77" s="345"/>
      <c r="AL77" s="346"/>
      <c r="AM77" s="345"/>
      <c r="AN77" s="345"/>
      <c r="AO77" s="345"/>
      <c r="AP77" s="346"/>
      <c r="AQ77" s="345"/>
      <c r="AR77" s="345"/>
      <c r="AS77" s="345"/>
      <c r="AT77" s="346"/>
      <c r="AU77" s="345"/>
      <c r="AV77" s="345"/>
      <c r="AW77" s="345"/>
      <c r="AX77" s="346"/>
      <c r="AY77" s="348">
        <f>+IF($N77&gt;K$8,"FIN",(K$19-SUM(AZ$25:AZ76))*VLOOKUP($N77,$A:$M,11,0)/VLOOKUP(K$15,$J$1:$L$4,2,0))</f>
        <v>9.3693181818180626</v>
      </c>
      <c r="AZ77" s="345">
        <f t="shared" si="17"/>
        <v>187.38636363636363</v>
      </c>
      <c r="BA77" s="345">
        <f t="shared" si="18"/>
        <v>196.7556818181817</v>
      </c>
      <c r="BB77" s="346">
        <f t="shared" si="19"/>
        <v>16.773212508332143</v>
      </c>
      <c r="BC77" s="348">
        <f>+IF($N77&gt;L$8,"FIN",(L$19-SUM(BD$25:BD76))*VLOOKUP($N77,$A:$M,12,0)/VLOOKUP(L$15,$J$1:$L$4,2,0))</f>
        <v>0.68203124999999876</v>
      </c>
      <c r="BD77" s="345">
        <f t="shared" si="32"/>
        <v>16.53409090909091</v>
      </c>
      <c r="BE77" s="345">
        <f t="shared" si="33"/>
        <v>17.216122159090908</v>
      </c>
      <c r="BF77" s="346">
        <f t="shared" si="41"/>
        <v>1.4676560944790635</v>
      </c>
      <c r="BG77" s="242"/>
      <c r="BH77" s="348">
        <f t="shared" si="42"/>
        <v>10.136162402641087</v>
      </c>
      <c r="BI77" s="345">
        <f t="shared" si="42"/>
        <v>205.97652656540669</v>
      </c>
      <c r="BJ77" s="346">
        <f t="shared" si="34"/>
        <v>216.11268896804776</v>
      </c>
    </row>
    <row r="78" spans="1:62" x14ac:dyDescent="0.25">
      <c r="A78" s="27">
        <f t="shared" si="35"/>
        <v>53646</v>
      </c>
      <c r="B78" s="238"/>
      <c r="C78" s="239"/>
      <c r="D78" s="239"/>
      <c r="E78" s="239"/>
      <c r="F78" s="239"/>
      <c r="G78" s="239"/>
      <c r="H78" s="240"/>
      <c r="I78" s="239"/>
      <c r="J78" s="239"/>
      <c r="K78" s="240">
        <v>0.05</v>
      </c>
      <c r="L78" s="240">
        <v>4.1250000000000002E-2</v>
      </c>
      <c r="M78" s="290">
        <f t="shared" si="20"/>
        <v>2046</v>
      </c>
      <c r="N78" s="32">
        <f t="shared" si="36"/>
        <v>53646</v>
      </c>
      <c r="O78" s="347"/>
      <c r="P78" s="345"/>
      <c r="Q78" s="345"/>
      <c r="R78" s="346"/>
      <c r="S78" s="347"/>
      <c r="T78" s="345"/>
      <c r="U78" s="345"/>
      <c r="V78" s="346"/>
      <c r="W78" s="345"/>
      <c r="X78" s="345"/>
      <c r="Y78" s="345"/>
      <c r="Z78" s="346"/>
      <c r="AA78" s="345"/>
      <c r="AB78" s="345"/>
      <c r="AC78" s="345"/>
      <c r="AD78" s="346"/>
      <c r="AE78" s="345"/>
      <c r="AF78" s="345"/>
      <c r="AG78" s="345"/>
      <c r="AH78" s="346"/>
      <c r="AI78" s="345"/>
      <c r="AJ78" s="345"/>
      <c r="AK78" s="345"/>
      <c r="AL78" s="346"/>
      <c r="AM78" s="345"/>
      <c r="AN78" s="345"/>
      <c r="AO78" s="345"/>
      <c r="AP78" s="346"/>
      <c r="AQ78" s="345"/>
      <c r="AR78" s="345"/>
      <c r="AS78" s="345"/>
      <c r="AT78" s="346"/>
      <c r="AU78" s="345"/>
      <c r="AV78" s="345"/>
      <c r="AW78" s="345"/>
      <c r="AX78" s="346"/>
      <c r="AY78" s="348">
        <f>+IF($N78&gt;K$8,"FIN",(K$19-SUM(AZ$25:AZ77))*VLOOKUP($N78,$A:$M,11,0)/VLOOKUP(K$15,$J$1:$L$4,2,0))</f>
        <v>4.6846590909089629</v>
      </c>
      <c r="AZ78" s="345">
        <f t="shared" si="17"/>
        <v>187.38636363636363</v>
      </c>
      <c r="BA78" s="345">
        <f t="shared" si="18"/>
        <v>192.07102272727258</v>
      </c>
      <c r="BB78" s="346">
        <f t="shared" si="19"/>
        <v>15.611853708442805</v>
      </c>
      <c r="BC78" s="348">
        <f>+IF($N78&gt;L$8,"FIN",(L$19-SUM(BD$25:BD77))*VLOOKUP($N78,$A:$M,12,0)/VLOOKUP(L$15,$J$1:$L$4,2,0))</f>
        <v>0.34101562499999938</v>
      </c>
      <c r="BD78" s="345">
        <f t="shared" si="32"/>
        <v>16.53409090909091</v>
      </c>
      <c r="BE78" s="345">
        <f t="shared" si="33"/>
        <v>16.875106534090911</v>
      </c>
      <c r="BF78" s="346">
        <f t="shared" si="41"/>
        <v>1.3716368600728366</v>
      </c>
      <c r="BG78" s="242"/>
      <c r="BH78" s="348">
        <f t="shared" si="42"/>
        <v>5.0680812013204752</v>
      </c>
      <c r="BI78" s="345">
        <f t="shared" si="42"/>
        <v>205.97652656540669</v>
      </c>
      <c r="BJ78" s="346">
        <f t="shared" si="34"/>
        <v>211.04460776672715</v>
      </c>
    </row>
    <row r="79" spans="1:62" x14ac:dyDescent="0.25">
      <c r="N79" s="56" t="s">
        <v>45</v>
      </c>
      <c r="O79" s="394">
        <f>+SUM(O25:O78)</f>
        <v>173.38089042678723</v>
      </c>
      <c r="P79" s="395">
        <f>+SUM(P25:P78)</f>
        <v>2237.1727797004792</v>
      </c>
      <c r="Q79" s="395"/>
      <c r="R79" s="396">
        <f>+SUM(R25:R78)</f>
        <v>1156.8945044547638</v>
      </c>
      <c r="S79" s="394">
        <f>+SUM(S25:S78)</f>
        <v>478.02812500000005</v>
      </c>
      <c r="T79" s="395">
        <f>+SUM(T25:T78)</f>
        <v>9215</v>
      </c>
      <c r="U79" s="395"/>
      <c r="V79" s="396">
        <f>+SUM(V25:V78)</f>
        <v>4818.6678531501493</v>
      </c>
      <c r="W79" s="395">
        <f>+SUM(W25:W78)</f>
        <v>23.075714968110901</v>
      </c>
      <c r="X79" s="395">
        <f>+SUM(X25:X78)</f>
        <v>2546.2857895846505</v>
      </c>
      <c r="Y79" s="395"/>
      <c r="Z79" s="396">
        <f>+SUM(Z25:Z78)</f>
        <v>1268.3192195426918</v>
      </c>
      <c r="AA79" s="395">
        <f>+SUM(AA25:AA78)</f>
        <v>7968.8531249999996</v>
      </c>
      <c r="AB79" s="395">
        <f>+SUM(AB25:AB78)</f>
        <v>16732.5</v>
      </c>
      <c r="AC79" s="395"/>
      <c r="AD79" s="396">
        <f>+SUM(AD25:AD78)</f>
        <v>8585.0754177105428</v>
      </c>
      <c r="AE79" s="395">
        <f>+SUM(AE25:AE78)</f>
        <v>851.17499999999984</v>
      </c>
      <c r="AF79" s="395">
        <f>+SUM(AF25:AF78)</f>
        <v>2182.5</v>
      </c>
      <c r="AG79" s="395"/>
      <c r="AH79" s="396">
        <f>+SUM(AH25:AH78)</f>
        <v>1029.1360440604549</v>
      </c>
      <c r="AI79" s="395">
        <f>+SUM(AI25:AI78)</f>
        <v>2859.1686296011871</v>
      </c>
      <c r="AJ79" s="395">
        <f>+SUM(AJ25:AJ78)</f>
        <v>5565.2917364500008</v>
      </c>
      <c r="AK79" s="395"/>
      <c r="AL79" s="396">
        <f>+SUM(AL25:AL78)</f>
        <v>3021.2093213662924</v>
      </c>
      <c r="AM79" s="395">
        <f>+SUM(AM25:AM78)</f>
        <v>2494.6326606062935</v>
      </c>
      <c r="AN79" s="395">
        <f>+SUM(AN25:AN78)</f>
        <v>5776.2840187699976</v>
      </c>
      <c r="AO79" s="395"/>
      <c r="AP79" s="396">
        <f>+SUM(AP25:AP78)</f>
        <v>2899.752383642151</v>
      </c>
      <c r="AQ79" s="395">
        <f>+SUM(AQ25:AQ78)</f>
        <v>2687.2629700877083</v>
      </c>
      <c r="AR79" s="395">
        <f>+SUM(AR25:AR78)</f>
        <v>5393.628373999999</v>
      </c>
      <c r="AS79" s="395"/>
      <c r="AT79" s="396">
        <f>+SUM(AT25:AT78)</f>
        <v>2705.9837904892406</v>
      </c>
      <c r="AU79" s="395">
        <f>+SUM(AU25:AU78)</f>
        <v>2807.7605187574995</v>
      </c>
      <c r="AV79" s="395">
        <f>+SUM(AV25:AV78)</f>
        <v>6473.2230979999977</v>
      </c>
      <c r="AW79" s="395"/>
      <c r="AX79" s="396">
        <f>+SUM(AX25:AX78)</f>
        <v>3025.1799477890386</v>
      </c>
      <c r="AY79" s="395">
        <f>+SUM(AY25:AY78)</f>
        <v>4973.7025568181807</v>
      </c>
      <c r="AZ79" s="395">
        <f>+SUM(AZ25:AZ78)</f>
        <v>8245.0000000000055</v>
      </c>
      <c r="BA79" s="395"/>
      <c r="BB79" s="396">
        <f>+SUM(BB25:BB78)</f>
        <v>4158.759076507612</v>
      </c>
      <c r="BC79" s="395">
        <f>+SUM(BC25:BC78)</f>
        <v>364.96938920454534</v>
      </c>
      <c r="BD79" s="395">
        <f>+SUM(BD25:BD78)</f>
        <v>727.5</v>
      </c>
      <c r="BE79" s="395"/>
      <c r="BF79" s="396">
        <f>+SUM(BF25:BF78)</f>
        <v>337.15511074548726</v>
      </c>
      <c r="BG79" s="397"/>
      <c r="BH79" s="394">
        <f t="shared" si="42"/>
        <v>26495.482066594814</v>
      </c>
      <c r="BI79" s="395">
        <f t="shared" si="42"/>
        <v>67296.163056953548</v>
      </c>
      <c r="BJ79" s="396">
        <f t="shared" si="34"/>
        <v>93791.645123548369</v>
      </c>
    </row>
  </sheetData>
  <mergeCells count="12">
    <mergeCell ref="AM23:AP23"/>
    <mergeCell ref="AQ23:AT23"/>
    <mergeCell ref="AU23:AX23"/>
    <mergeCell ref="AY23:BB23"/>
    <mergeCell ref="BC23:BF23"/>
    <mergeCell ref="AE23:AH23"/>
    <mergeCell ref="AI23:AL23"/>
    <mergeCell ref="B24:L24"/>
    <mergeCell ref="O23:R23"/>
    <mergeCell ref="S23:V23"/>
    <mergeCell ref="W23:Z23"/>
    <mergeCell ref="AA23:AD2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C0A0B-E196-426A-B86F-C401A3464929}">
  <sheetPr codeName="Hoja6">
    <tabColor rgb="FF26547F"/>
  </sheetPr>
  <dimension ref="A1:R33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88"/>
    <col min="2" max="2" width="19" style="88" bestFit="1" customWidth="1"/>
    <col min="3" max="4" width="13" style="88" customWidth="1"/>
    <col min="5" max="6" width="10.5703125" style="88" customWidth="1"/>
    <col min="7" max="15" width="11.140625" style="88" customWidth="1"/>
    <col min="16" max="17" width="16.42578125" style="88" customWidth="1"/>
    <col min="18" max="18" width="12.42578125" style="88" bestFit="1" customWidth="1"/>
    <col min="19" max="19" width="13.5703125" style="88" bestFit="1" customWidth="1"/>
    <col min="20" max="16384" width="11.42578125" style="88"/>
  </cols>
  <sheetData>
    <row r="1" spans="1:18" s="85" customFormat="1" ht="15" x14ac:dyDescent="0.25">
      <c r="A1" s="85" t="s">
        <v>192</v>
      </c>
      <c r="Q1" s="329" t="s">
        <v>215</v>
      </c>
      <c r="R1" s="402">
        <v>43999</v>
      </c>
    </row>
    <row r="2" spans="1:18" x14ac:dyDescent="0.2">
      <c r="A2" s="8" t="s">
        <v>195</v>
      </c>
      <c r="G2" s="89"/>
      <c r="H2" s="90"/>
      <c r="I2" s="90"/>
      <c r="Q2" s="403" t="s">
        <v>15</v>
      </c>
      <c r="R2" s="403">
        <v>0.88939999999999997</v>
      </c>
    </row>
    <row r="3" spans="1:18" s="91" customFormat="1" ht="20.25" customHeight="1" x14ac:dyDescent="0.25">
      <c r="A3" s="146"/>
      <c r="F3" s="472" t="s">
        <v>80</v>
      </c>
      <c r="G3" s="473"/>
      <c r="H3" s="473"/>
      <c r="I3" s="473"/>
      <c r="J3" s="473"/>
      <c r="K3" s="473"/>
      <c r="L3" s="473"/>
      <c r="M3" s="473"/>
      <c r="N3" s="473"/>
      <c r="O3" s="474"/>
      <c r="P3" s="93"/>
      <c r="Q3" s="403" t="s">
        <v>17</v>
      </c>
      <c r="R3" s="403">
        <v>0.9486</v>
      </c>
    </row>
    <row r="4" spans="1:18" s="93" customFormat="1" ht="20.25" customHeight="1" x14ac:dyDescent="0.25">
      <c r="F4" s="400">
        <v>0.97</v>
      </c>
      <c r="G4" s="400">
        <v>0.97</v>
      </c>
      <c r="H4" s="400">
        <v>1</v>
      </c>
      <c r="I4" s="400">
        <v>1</v>
      </c>
      <c r="J4" s="400">
        <v>0.97</v>
      </c>
      <c r="K4" s="400">
        <v>0.97</v>
      </c>
      <c r="L4" s="400">
        <v>0.97</v>
      </c>
      <c r="M4" s="400">
        <v>1</v>
      </c>
      <c r="N4" s="400">
        <v>1</v>
      </c>
      <c r="O4" s="401">
        <v>0.97</v>
      </c>
    </row>
    <row r="5" spans="1:18" s="93" customFormat="1" ht="27" customHeight="1" x14ac:dyDescent="0.25">
      <c r="A5" s="70" t="s">
        <v>23</v>
      </c>
      <c r="B5" s="70" t="s">
        <v>81</v>
      </c>
      <c r="C5" s="70" t="s">
        <v>82</v>
      </c>
      <c r="D5" s="70" t="s">
        <v>83</v>
      </c>
      <c r="E5" s="70" t="s">
        <v>135</v>
      </c>
      <c r="F5" s="96" t="s">
        <v>2</v>
      </c>
      <c r="G5" s="96" t="s">
        <v>3</v>
      </c>
      <c r="H5" s="96" t="s">
        <v>4</v>
      </c>
      <c r="I5" s="96" t="s">
        <v>5</v>
      </c>
      <c r="J5" s="96" t="s">
        <v>6</v>
      </c>
      <c r="K5" s="96" t="s">
        <v>7</v>
      </c>
      <c r="L5" s="96" t="s">
        <v>8</v>
      </c>
      <c r="M5" s="97" t="s">
        <v>9</v>
      </c>
      <c r="N5" s="98" t="s">
        <v>10</v>
      </c>
      <c r="O5" s="96" t="s">
        <v>11</v>
      </c>
      <c r="P5" s="70" t="s">
        <v>84</v>
      </c>
      <c r="Q5" s="70" t="s">
        <v>85</v>
      </c>
    </row>
    <row r="6" spans="1:18" s="87" customFormat="1" ht="11.25" x14ac:dyDescent="0.15">
      <c r="A6" s="99" t="s">
        <v>24</v>
      </c>
      <c r="B6" s="100" t="s">
        <v>64</v>
      </c>
      <c r="C6" s="101">
        <v>4500</v>
      </c>
      <c r="D6" s="102">
        <v>226.01562500000003</v>
      </c>
      <c r="E6" s="102">
        <f>IF(A6="USD",D6,D6/$R$2)</f>
        <v>226.01562500000003</v>
      </c>
      <c r="F6" s="103">
        <f>+C6*F$4</f>
        <v>4365</v>
      </c>
      <c r="G6" s="104"/>
      <c r="H6" s="104"/>
      <c r="I6" s="104"/>
      <c r="J6" s="105"/>
      <c r="K6" s="106"/>
      <c r="L6" s="104"/>
      <c r="M6" s="104"/>
      <c r="N6" s="104"/>
      <c r="O6" s="107"/>
      <c r="P6" s="108">
        <f t="shared" ref="P6:P26" si="0">+SUM(F6:O6)</f>
        <v>4365</v>
      </c>
      <c r="Q6" s="101">
        <f>+SUM(E6:J6)+SUM(K6:O6)/$R$2</f>
        <v>4591.015625</v>
      </c>
    </row>
    <row r="7" spans="1:18" s="87" customFormat="1" ht="11.25" x14ac:dyDescent="0.15">
      <c r="A7" s="109" t="s">
        <v>24</v>
      </c>
      <c r="B7" s="110" t="s">
        <v>60</v>
      </c>
      <c r="C7" s="111">
        <v>3250</v>
      </c>
      <c r="D7" s="112">
        <v>85.8203125</v>
      </c>
      <c r="E7" s="112">
        <f>IF(A7="USD",D7,D7/$R$2)</f>
        <v>85.8203125</v>
      </c>
      <c r="F7" s="113">
        <f t="shared" ref="F7:F8" si="1">+C7*F$4</f>
        <v>3152.5</v>
      </c>
      <c r="G7" s="114"/>
      <c r="H7" s="114"/>
      <c r="I7" s="114"/>
      <c r="J7" s="115"/>
      <c r="K7" s="116"/>
      <c r="L7" s="114"/>
      <c r="M7" s="114"/>
      <c r="N7" s="114"/>
      <c r="O7" s="117"/>
      <c r="P7" s="118">
        <f t="shared" si="0"/>
        <v>3152.5</v>
      </c>
      <c r="Q7" s="111">
        <f t="shared" ref="Q7:Q26" si="2">+SUM(E7:J7)+SUM(K7:O7)/$R$2</f>
        <v>3238.3203125</v>
      </c>
    </row>
    <row r="8" spans="1:18" s="87" customFormat="1" ht="11.25" x14ac:dyDescent="0.15">
      <c r="A8" s="109" t="s">
        <v>24</v>
      </c>
      <c r="B8" s="110" t="s">
        <v>59</v>
      </c>
      <c r="C8" s="111">
        <v>1750</v>
      </c>
      <c r="D8" s="112">
        <v>41.368055555555557</v>
      </c>
      <c r="E8" s="112">
        <f>IF(A8="USD",D8,D8/$R$2)</f>
        <v>41.368055555555557</v>
      </c>
      <c r="F8" s="113">
        <f t="shared" si="1"/>
        <v>1697.5</v>
      </c>
      <c r="G8" s="114"/>
      <c r="H8" s="114"/>
      <c r="I8" s="114"/>
      <c r="J8" s="115"/>
      <c r="K8" s="116"/>
      <c r="L8" s="114"/>
      <c r="M8" s="114"/>
      <c r="N8" s="114"/>
      <c r="O8" s="117"/>
      <c r="P8" s="118">
        <f t="shared" si="0"/>
        <v>1697.5</v>
      </c>
      <c r="Q8" s="111">
        <f t="shared" si="2"/>
        <v>1738.8680555555557</v>
      </c>
    </row>
    <row r="9" spans="1:18" s="87" customFormat="1" ht="11.25" x14ac:dyDescent="0.15">
      <c r="A9" s="109" t="s">
        <v>17</v>
      </c>
      <c r="B9" s="110" t="s">
        <v>75</v>
      </c>
      <c r="C9" s="111">
        <v>400</v>
      </c>
      <c r="D9" s="112">
        <v>10.237500000000001</v>
      </c>
      <c r="E9" s="136">
        <f>IF(A9="USD",D9,D9/$R$3)</f>
        <v>10.792220113851993</v>
      </c>
      <c r="F9" s="116"/>
      <c r="G9" s="114"/>
      <c r="H9" s="114"/>
      <c r="I9" s="114"/>
      <c r="J9" s="117"/>
      <c r="K9" s="113">
        <f>+C9*K4/$R$3*$R$2</f>
        <v>363.78578958465107</v>
      </c>
      <c r="L9" s="114"/>
      <c r="M9" s="114"/>
      <c r="N9" s="114"/>
      <c r="O9" s="115"/>
      <c r="P9" s="118">
        <f t="shared" si="0"/>
        <v>363.78578958465107</v>
      </c>
      <c r="Q9" s="111">
        <f t="shared" si="2"/>
        <v>419.81604469744889</v>
      </c>
    </row>
    <row r="10" spans="1:18" s="87" customFormat="1" ht="11.25" x14ac:dyDescent="0.15">
      <c r="A10" s="109" t="s">
        <v>15</v>
      </c>
      <c r="B10" s="110" t="s">
        <v>71</v>
      </c>
      <c r="C10" s="111">
        <v>1250</v>
      </c>
      <c r="D10" s="112">
        <v>24.218749999999982</v>
      </c>
      <c r="E10" s="112">
        <f t="shared" ref="E10:E26" si="3">IF(A10="USD",D10,D10/$R$2)</f>
        <v>27.230436249156718</v>
      </c>
      <c r="F10" s="116"/>
      <c r="G10" s="114"/>
      <c r="H10" s="114"/>
      <c r="I10" s="114"/>
      <c r="J10" s="117"/>
      <c r="K10" s="113">
        <f>+C10*K$4</f>
        <v>1212.5</v>
      </c>
      <c r="L10" s="114"/>
      <c r="M10" s="114"/>
      <c r="N10" s="114"/>
      <c r="O10" s="115"/>
      <c r="P10" s="118">
        <f t="shared" si="0"/>
        <v>1212.5</v>
      </c>
      <c r="Q10" s="111">
        <f t="shared" si="2"/>
        <v>1390.5090510456489</v>
      </c>
    </row>
    <row r="11" spans="1:18" s="87" customFormat="1" ht="11.25" x14ac:dyDescent="0.15">
      <c r="A11" s="122" t="s">
        <v>15</v>
      </c>
      <c r="B11" s="123" t="s">
        <v>70</v>
      </c>
      <c r="C11" s="124">
        <v>1000</v>
      </c>
      <c r="D11" s="125">
        <v>16.874999999999989</v>
      </c>
      <c r="E11" s="125">
        <f t="shared" si="3"/>
        <v>18.973465257476938</v>
      </c>
      <c r="F11" s="126"/>
      <c r="G11" s="127"/>
      <c r="H11" s="127"/>
      <c r="I11" s="127"/>
      <c r="J11" s="128"/>
      <c r="K11" s="129">
        <f>+C11*K$4</f>
        <v>970</v>
      </c>
      <c r="L11" s="127"/>
      <c r="M11" s="127"/>
      <c r="N11" s="127"/>
      <c r="O11" s="130"/>
      <c r="P11" s="131">
        <f t="shared" si="0"/>
        <v>970</v>
      </c>
      <c r="Q11" s="124">
        <f t="shared" si="2"/>
        <v>1109.5963570946706</v>
      </c>
    </row>
    <row r="12" spans="1:18" s="87" customFormat="1" ht="11.25" x14ac:dyDescent="0.15">
      <c r="A12" s="99" t="s">
        <v>24</v>
      </c>
      <c r="B12" s="100" t="s">
        <v>68</v>
      </c>
      <c r="C12" s="101">
        <v>6500</v>
      </c>
      <c r="D12" s="102">
        <v>356.14583333333331</v>
      </c>
      <c r="E12" s="102">
        <f t="shared" si="3"/>
        <v>356.14583333333331</v>
      </c>
      <c r="F12" s="106"/>
      <c r="G12" s="133">
        <f>C12*G$4</f>
        <v>6305</v>
      </c>
      <c r="H12" s="104"/>
      <c r="I12" s="104"/>
      <c r="J12" s="133"/>
      <c r="K12" s="106"/>
      <c r="L12" s="104"/>
      <c r="M12" s="104"/>
      <c r="N12" s="104"/>
      <c r="O12" s="107"/>
      <c r="P12" s="108">
        <f t="shared" si="0"/>
        <v>6305</v>
      </c>
      <c r="Q12" s="101">
        <f t="shared" si="2"/>
        <v>6661.145833333333</v>
      </c>
    </row>
    <row r="13" spans="1:18" s="87" customFormat="1" ht="11.25" x14ac:dyDescent="0.15">
      <c r="A13" s="109" t="s">
        <v>24</v>
      </c>
      <c r="B13" s="110" t="s">
        <v>65</v>
      </c>
      <c r="C13" s="111">
        <v>3750</v>
      </c>
      <c r="D13" s="112">
        <v>121.02864583333333</v>
      </c>
      <c r="E13" s="112">
        <f t="shared" si="3"/>
        <v>121.02864583333333</v>
      </c>
      <c r="F13" s="116"/>
      <c r="G13" s="135">
        <f t="shared" ref="G13:G16" si="4">C13*G$4</f>
        <v>3637.5</v>
      </c>
      <c r="H13" s="114"/>
      <c r="I13" s="114"/>
      <c r="J13" s="115"/>
      <c r="K13" s="116"/>
      <c r="L13" s="114"/>
      <c r="M13" s="114"/>
      <c r="N13" s="114"/>
      <c r="O13" s="117"/>
      <c r="P13" s="118">
        <f t="shared" si="0"/>
        <v>3637.5</v>
      </c>
      <c r="Q13" s="111">
        <f t="shared" si="2"/>
        <v>3758.5286458333335</v>
      </c>
    </row>
    <row r="14" spans="1:18" s="87" customFormat="1" ht="11.25" x14ac:dyDescent="0.15">
      <c r="A14" s="109" t="s">
        <v>24</v>
      </c>
      <c r="B14" s="110" t="s">
        <v>61</v>
      </c>
      <c r="C14" s="111">
        <v>4250</v>
      </c>
      <c r="D14" s="112">
        <v>127.61805555555554</v>
      </c>
      <c r="E14" s="112">
        <f t="shared" si="3"/>
        <v>127.61805555555554</v>
      </c>
      <c r="F14" s="116"/>
      <c r="G14" s="135">
        <f t="shared" si="4"/>
        <v>4122.5</v>
      </c>
      <c r="H14" s="114"/>
      <c r="I14" s="114"/>
      <c r="J14" s="115"/>
      <c r="K14" s="116"/>
      <c r="L14" s="114"/>
      <c r="M14" s="114"/>
      <c r="N14" s="114"/>
      <c r="O14" s="117"/>
      <c r="P14" s="118">
        <f t="shared" si="0"/>
        <v>4122.5</v>
      </c>
      <c r="Q14" s="111">
        <f t="shared" si="2"/>
        <v>4250.1180555555557</v>
      </c>
    </row>
    <row r="15" spans="1:18" s="87" customFormat="1" ht="11.25" x14ac:dyDescent="0.15">
      <c r="A15" s="109" t="s">
        <v>24</v>
      </c>
      <c r="B15" s="110" t="s">
        <v>62</v>
      </c>
      <c r="C15" s="111">
        <v>1000</v>
      </c>
      <c r="D15" s="112">
        <v>34.78125</v>
      </c>
      <c r="E15" s="112">
        <f t="shared" si="3"/>
        <v>34.78125</v>
      </c>
      <c r="F15" s="116"/>
      <c r="G15" s="135">
        <f t="shared" si="4"/>
        <v>970</v>
      </c>
      <c r="H15" s="114"/>
      <c r="I15" s="114"/>
      <c r="J15" s="115"/>
      <c r="K15" s="116"/>
      <c r="L15" s="114"/>
      <c r="M15" s="114"/>
      <c r="N15" s="114"/>
      <c r="O15" s="117"/>
      <c r="P15" s="118">
        <f t="shared" si="0"/>
        <v>970</v>
      </c>
      <c r="Q15" s="111">
        <f t="shared" si="2"/>
        <v>1004.78125</v>
      </c>
    </row>
    <row r="16" spans="1:18" s="87" customFormat="1" ht="11.25" x14ac:dyDescent="0.15">
      <c r="A16" s="109" t="s">
        <v>24</v>
      </c>
      <c r="B16" s="110" t="s">
        <v>66</v>
      </c>
      <c r="C16" s="71">
        <v>1750</v>
      </c>
      <c r="D16" s="136">
        <v>65.460937499999986</v>
      </c>
      <c r="E16" s="136">
        <f t="shared" si="3"/>
        <v>65.460937499999986</v>
      </c>
      <c r="F16" s="116"/>
      <c r="G16" s="135">
        <f t="shared" si="4"/>
        <v>1697.5</v>
      </c>
      <c r="H16" s="114"/>
      <c r="I16" s="114"/>
      <c r="J16" s="115"/>
      <c r="K16" s="116"/>
      <c r="L16" s="114"/>
      <c r="M16" s="114"/>
      <c r="N16" s="114"/>
      <c r="O16" s="117"/>
      <c r="P16" s="118">
        <f t="shared" si="0"/>
        <v>1697.5</v>
      </c>
      <c r="Q16" s="71">
        <f t="shared" si="2"/>
        <v>1762.9609375</v>
      </c>
    </row>
    <row r="17" spans="1:17" s="87" customFormat="1" ht="11.25" x14ac:dyDescent="0.15">
      <c r="A17" s="109" t="s">
        <v>15</v>
      </c>
      <c r="B17" s="110" t="s">
        <v>72</v>
      </c>
      <c r="C17" s="111">
        <v>1250</v>
      </c>
      <c r="D17" s="112">
        <v>31.249999999999979</v>
      </c>
      <c r="E17" s="112">
        <f t="shared" si="3"/>
        <v>35.136046773105441</v>
      </c>
      <c r="F17" s="116"/>
      <c r="G17" s="114"/>
      <c r="H17" s="114"/>
      <c r="I17" s="114"/>
      <c r="J17" s="117"/>
      <c r="K17" s="116"/>
      <c r="L17" s="135">
        <f>+C17*L$4</f>
        <v>1212.5</v>
      </c>
      <c r="M17" s="114"/>
      <c r="N17" s="114"/>
      <c r="O17" s="115"/>
      <c r="P17" s="118">
        <f t="shared" si="0"/>
        <v>1212.5</v>
      </c>
      <c r="Q17" s="111">
        <f t="shared" si="2"/>
        <v>1398.4146615695975</v>
      </c>
    </row>
    <row r="18" spans="1:17" s="87" customFormat="1" ht="11.25" x14ac:dyDescent="0.15">
      <c r="A18" s="122" t="s">
        <v>15</v>
      </c>
      <c r="B18" s="123" t="s">
        <v>73</v>
      </c>
      <c r="C18" s="124">
        <v>1000</v>
      </c>
      <c r="D18" s="125">
        <v>26.249999999999982</v>
      </c>
      <c r="E18" s="125">
        <f t="shared" si="3"/>
        <v>29.51427928940857</v>
      </c>
      <c r="F18" s="126"/>
      <c r="G18" s="127"/>
      <c r="H18" s="127"/>
      <c r="I18" s="127"/>
      <c r="J18" s="128"/>
      <c r="K18" s="126"/>
      <c r="L18" s="139">
        <f>+C18*L$4</f>
        <v>970</v>
      </c>
      <c r="M18" s="127"/>
      <c r="N18" s="127"/>
      <c r="O18" s="130"/>
      <c r="P18" s="131">
        <f t="shared" si="0"/>
        <v>970</v>
      </c>
      <c r="Q18" s="124">
        <f t="shared" si="2"/>
        <v>1120.1371711266022</v>
      </c>
    </row>
    <row r="19" spans="1:17" s="87" customFormat="1" ht="11.25" x14ac:dyDescent="0.15">
      <c r="A19" s="99" t="s">
        <v>24</v>
      </c>
      <c r="B19" s="100" t="s">
        <v>69</v>
      </c>
      <c r="C19" s="101">
        <v>2750</v>
      </c>
      <c r="D19" s="102">
        <v>153.18836805555557</v>
      </c>
      <c r="E19" s="102">
        <f t="shared" si="3"/>
        <v>153.18836805555557</v>
      </c>
      <c r="F19" s="106"/>
      <c r="G19" s="104"/>
      <c r="H19" s="104"/>
      <c r="I19" s="104"/>
      <c r="J19" s="105">
        <f>+C19*J$4</f>
        <v>2667.5</v>
      </c>
      <c r="K19" s="106"/>
      <c r="L19" s="104"/>
      <c r="M19" s="104"/>
      <c r="N19" s="104"/>
      <c r="O19" s="107"/>
      <c r="P19" s="108">
        <f t="shared" si="0"/>
        <v>2667.5</v>
      </c>
      <c r="Q19" s="101">
        <f t="shared" si="2"/>
        <v>2820.6883680555557</v>
      </c>
    </row>
    <row r="20" spans="1:17" s="87" customFormat="1" ht="11.25" x14ac:dyDescent="0.15">
      <c r="A20" s="109" t="s">
        <v>24</v>
      </c>
      <c r="B20" s="110" t="s">
        <v>63</v>
      </c>
      <c r="C20" s="111">
        <v>3000</v>
      </c>
      <c r="D20" s="112">
        <v>105.41666666666669</v>
      </c>
      <c r="E20" s="112">
        <f t="shared" si="3"/>
        <v>105.41666666666669</v>
      </c>
      <c r="F20" s="116"/>
      <c r="G20" s="114"/>
      <c r="H20" s="114"/>
      <c r="I20" s="114"/>
      <c r="J20" s="115">
        <f t="shared" ref="J20:J21" si="5">+C20*J$4</f>
        <v>2910</v>
      </c>
      <c r="K20" s="116"/>
      <c r="L20" s="114"/>
      <c r="M20" s="114"/>
      <c r="N20" s="114"/>
      <c r="O20" s="117"/>
      <c r="P20" s="118">
        <f t="shared" si="0"/>
        <v>2910</v>
      </c>
      <c r="Q20" s="111">
        <f t="shared" si="2"/>
        <v>3015.4166666666665</v>
      </c>
    </row>
    <row r="21" spans="1:17" s="87" customFormat="1" ht="11.25" x14ac:dyDescent="0.15">
      <c r="A21" s="109" t="s">
        <v>24</v>
      </c>
      <c r="B21" s="110" t="s">
        <v>67</v>
      </c>
      <c r="C21" s="111">
        <v>2750</v>
      </c>
      <c r="D21" s="112">
        <v>107.22135416666666</v>
      </c>
      <c r="E21" s="112">
        <f t="shared" si="3"/>
        <v>107.22135416666666</v>
      </c>
      <c r="F21" s="116"/>
      <c r="G21" s="114"/>
      <c r="H21" s="114"/>
      <c r="I21" s="114"/>
      <c r="J21" s="115">
        <f t="shared" si="5"/>
        <v>2667.5</v>
      </c>
      <c r="K21" s="116"/>
      <c r="L21" s="114"/>
      <c r="M21" s="114"/>
      <c r="N21" s="114"/>
      <c r="O21" s="117"/>
      <c r="P21" s="118">
        <f t="shared" si="0"/>
        <v>2667.5</v>
      </c>
      <c r="Q21" s="111">
        <f t="shared" si="2"/>
        <v>2774.7213541666665</v>
      </c>
    </row>
    <row r="22" spans="1:17" s="87" customFormat="1" ht="11.25" x14ac:dyDescent="0.15">
      <c r="A22" s="122" t="s">
        <v>15</v>
      </c>
      <c r="B22" s="123" t="s">
        <v>74</v>
      </c>
      <c r="C22" s="124">
        <v>750</v>
      </c>
      <c r="D22" s="125">
        <v>32.031249999999979</v>
      </c>
      <c r="E22" s="125">
        <f t="shared" si="3"/>
        <v>36.01444794243308</v>
      </c>
      <c r="F22" s="126"/>
      <c r="G22" s="127"/>
      <c r="H22" s="127"/>
      <c r="I22" s="127"/>
      <c r="J22" s="128"/>
      <c r="K22" s="126"/>
      <c r="L22" s="127"/>
      <c r="M22" s="127"/>
      <c r="N22" s="127"/>
      <c r="O22" s="130">
        <f>+C22*O$4</f>
        <v>727.5</v>
      </c>
      <c r="P22" s="131">
        <f t="shared" si="0"/>
        <v>727.5</v>
      </c>
      <c r="Q22" s="124">
        <f t="shared" si="2"/>
        <v>853.98161682032833</v>
      </c>
    </row>
    <row r="23" spans="1:17" s="87" customFormat="1" ht="11.25" x14ac:dyDescent="0.15">
      <c r="A23" s="99" t="s">
        <v>24</v>
      </c>
      <c r="B23" s="100" t="s">
        <v>77</v>
      </c>
      <c r="C23" s="101">
        <v>5565.2917364499999</v>
      </c>
      <c r="D23" s="102">
        <v>249.60333437978255</v>
      </c>
      <c r="E23" s="102">
        <f t="shared" si="3"/>
        <v>249.60333437978255</v>
      </c>
      <c r="F23" s="106"/>
      <c r="G23" s="104"/>
      <c r="H23" s="133">
        <f>+C23*H$4</f>
        <v>5565.2917364499999</v>
      </c>
      <c r="I23" s="133"/>
      <c r="J23" s="105"/>
      <c r="K23" s="106"/>
      <c r="L23" s="104"/>
      <c r="M23" s="104"/>
      <c r="N23" s="104"/>
      <c r="O23" s="107"/>
      <c r="P23" s="108">
        <f t="shared" si="0"/>
        <v>5565.2917364499999</v>
      </c>
      <c r="Q23" s="101">
        <f t="shared" si="2"/>
        <v>5814.8950708297825</v>
      </c>
    </row>
    <row r="24" spans="1:17" s="87" customFormat="1" ht="11.25" x14ac:dyDescent="0.15">
      <c r="A24" s="122" t="s">
        <v>15</v>
      </c>
      <c r="B24" s="123" t="s">
        <v>76</v>
      </c>
      <c r="C24" s="124">
        <v>5776.2840187699994</v>
      </c>
      <c r="D24" s="125">
        <v>244.67376389506592</v>
      </c>
      <c r="E24" s="125">
        <f t="shared" si="3"/>
        <v>275.09980199580156</v>
      </c>
      <c r="F24" s="126"/>
      <c r="G24" s="127"/>
      <c r="H24" s="127"/>
      <c r="I24" s="127"/>
      <c r="J24" s="128"/>
      <c r="K24" s="126"/>
      <c r="L24" s="127"/>
      <c r="M24" s="139">
        <f>+C24*M$4</f>
        <v>5776.2840187699994</v>
      </c>
      <c r="N24" s="139"/>
      <c r="O24" s="130"/>
      <c r="P24" s="131">
        <f t="shared" si="0"/>
        <v>5776.2840187699994</v>
      </c>
      <c r="Q24" s="124">
        <f t="shared" si="2"/>
        <v>6769.6849366596198</v>
      </c>
    </row>
    <row r="25" spans="1:17" s="87" customFormat="1" ht="11.25" x14ac:dyDescent="0.15">
      <c r="A25" s="99" t="s">
        <v>24</v>
      </c>
      <c r="B25" s="100" t="s">
        <v>79</v>
      </c>
      <c r="C25" s="101">
        <v>5393.6283739999999</v>
      </c>
      <c r="D25" s="102">
        <v>58.992810340624992</v>
      </c>
      <c r="E25" s="102">
        <f t="shared" si="3"/>
        <v>58.992810340624992</v>
      </c>
      <c r="F25" s="106"/>
      <c r="G25" s="104"/>
      <c r="H25" s="104"/>
      <c r="I25" s="133">
        <f>+C25*I$4</f>
        <v>5393.6283739999999</v>
      </c>
      <c r="J25" s="105"/>
      <c r="K25" s="106"/>
      <c r="L25" s="104"/>
      <c r="M25" s="104"/>
      <c r="N25" s="104"/>
      <c r="O25" s="107"/>
      <c r="P25" s="108">
        <f t="shared" si="0"/>
        <v>5393.6283739999999</v>
      </c>
      <c r="Q25" s="101">
        <f t="shared" si="2"/>
        <v>5452.6211843406245</v>
      </c>
    </row>
    <row r="26" spans="1:17" s="87" customFormat="1" ht="11.25" x14ac:dyDescent="0.15">
      <c r="A26" s="122" t="s">
        <v>15</v>
      </c>
      <c r="B26" s="123" t="s">
        <v>78</v>
      </c>
      <c r="C26" s="124">
        <v>6473.2230979999995</v>
      </c>
      <c r="D26" s="125">
        <v>63.815191041116663</v>
      </c>
      <c r="E26" s="125">
        <f t="shared" si="3"/>
        <v>71.750833192170745</v>
      </c>
      <c r="F26" s="126"/>
      <c r="G26" s="127"/>
      <c r="H26" s="127"/>
      <c r="I26" s="127"/>
      <c r="J26" s="128"/>
      <c r="K26" s="126"/>
      <c r="L26" s="127"/>
      <c r="M26" s="127"/>
      <c r="N26" s="139">
        <f>+C26*N$4</f>
        <v>6473.2230979999995</v>
      </c>
      <c r="O26" s="130"/>
      <c r="P26" s="131">
        <f t="shared" si="0"/>
        <v>6473.2230979999995</v>
      </c>
      <c r="Q26" s="124">
        <f t="shared" si="2"/>
        <v>7349.9418586025595</v>
      </c>
    </row>
    <row r="27" spans="1:17" s="93" customFormat="1" ht="18" customHeight="1" x14ac:dyDescent="0.25">
      <c r="A27" s="475" t="s">
        <v>45</v>
      </c>
      <c r="B27" s="476"/>
      <c r="C27" s="477"/>
      <c r="D27" s="247"/>
      <c r="E27" s="140">
        <f t="shared" ref="E27" si="6">+SUM(E6:E26)</f>
        <v>2237.1727797004796</v>
      </c>
      <c r="F27" s="141">
        <f t="shared" ref="F27:O27" si="7">+SUM(F6:F26)</f>
        <v>9215</v>
      </c>
      <c r="G27" s="141">
        <f t="shared" si="7"/>
        <v>16732.5</v>
      </c>
      <c r="H27" s="141">
        <f t="shared" si="7"/>
        <v>5565.2917364499999</v>
      </c>
      <c r="I27" s="141">
        <f t="shared" si="7"/>
        <v>5393.6283739999999</v>
      </c>
      <c r="J27" s="141">
        <f t="shared" si="7"/>
        <v>8245</v>
      </c>
      <c r="K27" s="141">
        <f t="shared" si="7"/>
        <v>2546.285789584651</v>
      </c>
      <c r="L27" s="141">
        <f t="shared" si="7"/>
        <v>2182.5</v>
      </c>
      <c r="M27" s="141">
        <f t="shared" si="7"/>
        <v>5776.2840187699994</v>
      </c>
      <c r="N27" s="141">
        <f t="shared" si="7"/>
        <v>6473.2230979999995</v>
      </c>
      <c r="O27" s="142">
        <f t="shared" si="7"/>
        <v>727.5</v>
      </c>
      <c r="P27" s="140"/>
      <c r="Q27" s="140">
        <f>+SUM(Q6:Q26)</f>
        <v>67296.163056953548</v>
      </c>
    </row>
    <row r="28" spans="1:17" s="93" customFormat="1" ht="18" customHeight="1" x14ac:dyDescent="0.25">
      <c r="A28" s="478" t="s">
        <v>87</v>
      </c>
      <c r="B28" s="479"/>
      <c r="C28" s="480"/>
      <c r="D28" s="143"/>
      <c r="E28" s="144"/>
      <c r="F28" s="144">
        <v>13500</v>
      </c>
      <c r="G28" s="144">
        <v>22900</v>
      </c>
      <c r="H28" s="144"/>
      <c r="I28" s="144"/>
      <c r="J28" s="144"/>
      <c r="K28" s="144">
        <v>2900</v>
      </c>
      <c r="L28" s="144">
        <v>2500</v>
      </c>
      <c r="M28" s="144"/>
      <c r="N28" s="144"/>
      <c r="O28" s="145"/>
      <c r="P28" s="144"/>
      <c r="Q28" s="144"/>
    </row>
    <row r="29" spans="1:17" x14ac:dyDescent="0.2">
      <c r="A29" s="146" t="s">
        <v>88</v>
      </c>
      <c r="C29" s="147"/>
      <c r="D29" s="147"/>
      <c r="E29" s="147"/>
      <c r="F29" s="148"/>
      <c r="H29" s="148"/>
      <c r="I29" s="148"/>
      <c r="J29" s="148"/>
      <c r="K29" s="148"/>
      <c r="L29" s="148"/>
      <c r="M29" s="148"/>
      <c r="N29" s="148"/>
      <c r="O29" s="148"/>
    </row>
    <row r="30" spans="1:17" s="147" customFormat="1" x14ac:dyDescent="0.2">
      <c r="F30" s="148"/>
      <c r="G30" s="148"/>
      <c r="H30" s="148"/>
      <c r="I30" s="148"/>
      <c r="J30" s="148"/>
      <c r="K30" s="148"/>
      <c r="L30" s="148"/>
      <c r="M30" s="148"/>
      <c r="N30" s="148"/>
      <c r="O30" s="148"/>
    </row>
    <row r="32" spans="1:17" x14ac:dyDescent="0.2">
      <c r="G32" s="243"/>
    </row>
    <row r="33" spans="7:7" x14ac:dyDescent="0.2">
      <c r="G33" s="244"/>
    </row>
  </sheetData>
  <mergeCells count="3">
    <mergeCell ref="F3:O3"/>
    <mergeCell ref="A27:C27"/>
    <mergeCell ref="A28:C2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883B-5BD0-4D82-BC16-C396947C9A04}">
  <sheetPr codeName="Hoja7">
    <tabColor rgb="FF26547F"/>
  </sheetPr>
  <dimension ref="A1:K28"/>
  <sheetViews>
    <sheetView showGridLines="0" zoomScale="90" zoomScaleNormal="90" workbookViewId="0"/>
  </sheetViews>
  <sheetFormatPr baseColWidth="10" defaultColWidth="11.42578125" defaultRowHeight="15" x14ac:dyDescent="0.25"/>
  <cols>
    <col min="1" max="1" width="17" bestFit="1" customWidth="1"/>
    <col min="2" max="2" width="17" style="308" customWidth="1"/>
    <col min="3" max="3" width="17" customWidth="1"/>
  </cols>
  <sheetData>
    <row r="1" spans="1:11" s="155" customFormat="1" x14ac:dyDescent="0.2">
      <c r="A1" s="155" t="s">
        <v>185</v>
      </c>
      <c r="B1" s="305"/>
    </row>
    <row r="2" spans="1:11" x14ac:dyDescent="0.25">
      <c r="A2" s="2" t="s">
        <v>13</v>
      </c>
    </row>
    <row r="3" spans="1:11" ht="22.5" x14ac:dyDescent="0.25">
      <c r="A3" s="156" t="s">
        <v>51</v>
      </c>
      <c r="B3" s="300" t="s">
        <v>89</v>
      </c>
      <c r="C3" s="157" t="s">
        <v>90</v>
      </c>
      <c r="D3" s="157" t="s">
        <v>2</v>
      </c>
      <c r="E3" s="156" t="s">
        <v>3</v>
      </c>
      <c r="F3" s="156" t="s">
        <v>4</v>
      </c>
      <c r="G3" s="156" t="s">
        <v>5</v>
      </c>
      <c r="H3" s="156" t="s">
        <v>6</v>
      </c>
      <c r="J3" s="245" t="s">
        <v>91</v>
      </c>
      <c r="K3" s="246" t="s">
        <v>92</v>
      </c>
    </row>
    <row r="4" spans="1:11" x14ac:dyDescent="0.25">
      <c r="A4" s="160" t="s">
        <v>64</v>
      </c>
      <c r="B4" s="301">
        <f>+D4*$K$5+E4*$K$7+F4*$K$4+G4*$K$6+H4*$K$8+C4*$K$9</f>
        <v>53.320107942159851</v>
      </c>
      <c r="C4" s="161">
        <f>+VLOOKUP(A4,'Intereses corridos'!$A$5:$G$25,7,FALSE)</f>
        <v>5.0225694444444448E-2</v>
      </c>
      <c r="D4" s="161">
        <f>+VLOOKUP($A4,'Argentina III - Canje optimo'!$B$6:$O$26,5,FALSE)/VLOOKUP($A4,'Argentina III - Canje optimo'!$B$6:$P$26,15,FALSE)</f>
        <v>1</v>
      </c>
      <c r="E4" s="161">
        <f>+VLOOKUP($A4,'Argentina III - Canje optimo'!$B$6:$O$26,6,FALSE)/VLOOKUP($A4,'Argentina III - Canje optimo'!$B$6:$P$26,15,FALSE)</f>
        <v>0</v>
      </c>
      <c r="F4" s="161">
        <f>+VLOOKUP($A4,'Argentina III - Canje optimo'!$B$6:$O$26,7,FALSE)/VLOOKUP($A4,'Argentina III - Canje optimo'!$B$6:$P$26,15,FALSE)</f>
        <v>0</v>
      </c>
      <c r="G4" s="161">
        <f>+VLOOKUP($A4,'Argentina III - Canje optimo'!$B$6:$O$26,8,FALSE)/VLOOKUP($A4,'Argentina III - Canje optimo'!$B$6:$P$26,15,FALSE)</f>
        <v>0</v>
      </c>
      <c r="H4" s="161">
        <f>+VLOOKUP($A4,'Argentina III - Canje optimo'!$B$6:$O$26,9,FALSE)/VLOOKUP($A4,'Argentina III - Canje optimo'!$B$6:$P$26,15,FALSE)</f>
        <v>0</v>
      </c>
      <c r="J4" s="163" t="s">
        <v>4</v>
      </c>
      <c r="K4" s="164">
        <f>+HLOOKUP(J4,'Argen III - Nuevos Bonos 100VN'!$B$6:$L$21,15,FALSE)</f>
        <v>54.28662978400245</v>
      </c>
    </row>
    <row r="5" spans="1:11" x14ac:dyDescent="0.25">
      <c r="A5" s="160" t="s">
        <v>60</v>
      </c>
      <c r="B5" s="302">
        <f t="shared" ref="B5:B16" si="0">+D5*$K$5+E5*$K$7+F5*$K$4+G5*$K$6+H5*$K$8+C5*$K$9</f>
        <v>52.08834861507593</v>
      </c>
      <c r="C5" s="165">
        <f>+VLOOKUP(A5,'Intereses corridos'!$A$5:$G$25,7,FALSE)</f>
        <v>2.6406249999999999E-2</v>
      </c>
      <c r="D5" s="165">
        <f>+VLOOKUP($A5,'Argentina III - Canje optimo'!$B$6:$O$26,5,FALSE)/VLOOKUP($A5,'Argentina III - Canje optimo'!$B$6:$P$26,15,FALSE)</f>
        <v>1</v>
      </c>
      <c r="E5" s="165">
        <f>+VLOOKUP($A5,'Argentina III - Canje optimo'!$B$6:$O$26,6,FALSE)/VLOOKUP($A5,'Argentina III - Canje optimo'!$B$6:$P$26,15,FALSE)</f>
        <v>0</v>
      </c>
      <c r="F5" s="165">
        <f>+VLOOKUP($A5,'Argentina III - Canje optimo'!$B$6:$O$26,7,FALSE)/VLOOKUP($A5,'Argentina III - Canje optimo'!$B$6:$P$26,15,FALSE)</f>
        <v>0</v>
      </c>
      <c r="G5" s="165">
        <f>+VLOOKUP($A5,'Argentina III - Canje optimo'!$B$6:$O$26,8,FALSE)/VLOOKUP($A5,'Argentina III - Canje optimo'!$B$6:$P$26,15,FALSE)</f>
        <v>0</v>
      </c>
      <c r="H5" s="165">
        <f>+VLOOKUP($A5,'Argentina III - Canje optimo'!$B$6:$O$26,9,FALSE)/VLOOKUP($A5,'Argentina III - Canje optimo'!$B$6:$P$26,15,FALSE)</f>
        <v>0</v>
      </c>
      <c r="J5" s="163" t="s">
        <v>2</v>
      </c>
      <c r="K5" s="164">
        <f>+HLOOKUP(J5,'Argen III - Nuevos Bonos 100VN'!$B$6:$L$21,15,FALSE)</f>
        <v>50.722819506843678</v>
      </c>
    </row>
    <row r="6" spans="1:11" x14ac:dyDescent="0.25">
      <c r="A6" s="160" t="s">
        <v>59</v>
      </c>
      <c r="B6" s="302">
        <f t="shared" si="0"/>
        <v>51.9452418827602</v>
      </c>
      <c r="C6" s="165">
        <f>+VLOOKUP(A6,'Intereses corridos'!$A$5:$G$25,7,FALSE)</f>
        <v>2.363888888888889E-2</v>
      </c>
      <c r="D6" s="165">
        <f>+VLOOKUP($A6,'Argentina III - Canje optimo'!$B$6:$O$26,5,FALSE)/VLOOKUP($A6,'Argentina III - Canje optimo'!$B$6:$P$26,15,FALSE)</f>
        <v>1</v>
      </c>
      <c r="E6" s="165">
        <f>+VLOOKUP($A6,'Argentina III - Canje optimo'!$B$6:$O$26,6,FALSE)/VLOOKUP($A6,'Argentina III - Canje optimo'!$B$6:$P$26,15,FALSE)</f>
        <v>0</v>
      </c>
      <c r="F6" s="165">
        <f>+VLOOKUP($A6,'Argentina III - Canje optimo'!$B$6:$O$26,7,FALSE)/VLOOKUP($A6,'Argentina III - Canje optimo'!$B$6:$P$26,15,FALSE)</f>
        <v>0</v>
      </c>
      <c r="G6" s="165">
        <f>+VLOOKUP($A6,'Argentina III - Canje optimo'!$B$6:$O$26,8,FALSE)/VLOOKUP($A6,'Argentina III - Canje optimo'!$B$6:$P$26,15,FALSE)</f>
        <v>0</v>
      </c>
      <c r="H6" s="165">
        <f>+VLOOKUP($A6,'Argentina III - Canje optimo'!$B$6:$O$26,9,FALSE)/VLOOKUP($A6,'Argentina III - Canje optimo'!$B$6:$P$26,15,FALSE)</f>
        <v>0</v>
      </c>
      <c r="J6" s="163" t="s">
        <v>5</v>
      </c>
      <c r="K6" s="164">
        <f>+HLOOKUP(J6,'Argen III - Nuevos Bonos 100VN'!$B$6:$L$21,15,FALSE)</f>
        <v>50.170008069770674</v>
      </c>
    </row>
    <row r="7" spans="1:11" x14ac:dyDescent="0.25">
      <c r="A7" s="160" t="s">
        <v>68</v>
      </c>
      <c r="B7" s="302">
        <f t="shared" si="0"/>
        <v>52.601958711947532</v>
      </c>
      <c r="C7" s="165">
        <f>+VLOOKUP(A7,'Intereses corridos'!$A$5:$G$25,7,FALSE)</f>
        <v>5.4791666666666662E-2</v>
      </c>
      <c r="D7" s="165">
        <f>+VLOOKUP($A7,'Argentina III - Canje optimo'!$B$6:$O$26,5,FALSE)/VLOOKUP($A7,'Argentina III - Canje optimo'!$B$6:$P$26,15,FALSE)</f>
        <v>0</v>
      </c>
      <c r="E7" s="165">
        <f>+VLOOKUP($A7,'Argentina III - Canje optimo'!$B$6:$O$26,6,FALSE)/VLOOKUP($A7,'Argentina III - Canje optimo'!$B$6:$P$26,15,FALSE)</f>
        <v>1</v>
      </c>
      <c r="F7" s="165">
        <f>+VLOOKUP($A7,'Argentina III - Canje optimo'!$B$6:$O$26,7,FALSE)/VLOOKUP($A7,'Argentina III - Canje optimo'!$B$6:$P$26,15,FALSE)</f>
        <v>0</v>
      </c>
      <c r="G7" s="165">
        <f>+VLOOKUP($A7,'Argentina III - Canje optimo'!$B$6:$O$26,8,FALSE)/VLOOKUP($A7,'Argentina III - Canje optimo'!$B$6:$P$26,15,FALSE)</f>
        <v>0</v>
      </c>
      <c r="H7" s="165">
        <f>+VLOOKUP($A7,'Argentina III - Canje optimo'!$B$6:$O$26,9,FALSE)/VLOOKUP($A7,'Argentina III - Canje optimo'!$B$6:$P$26,15,FALSE)</f>
        <v>0</v>
      </c>
      <c r="J7" s="163" t="s">
        <v>3</v>
      </c>
      <c r="K7" s="164">
        <f>+HLOOKUP(J7,'Argen III - Nuevos Bonos 100VN'!$B$6:$L$21,15,FALSE)</f>
        <v>49.768553146148072</v>
      </c>
    </row>
    <row r="8" spans="1:11" x14ac:dyDescent="0.25">
      <c r="A8" s="160" t="s">
        <v>65</v>
      </c>
      <c r="B8" s="302">
        <f t="shared" si="0"/>
        <v>51.437533167320822</v>
      </c>
      <c r="C8" s="165">
        <f>+VLOOKUP(A8,'Intereses corridos'!$A$5:$G$25,7,FALSE)</f>
        <v>3.2274305555555556E-2</v>
      </c>
      <c r="D8" s="165">
        <f>+VLOOKUP($A8,'Argentina III - Canje optimo'!$B$6:$O$26,5,FALSE)/VLOOKUP($A8,'Argentina III - Canje optimo'!$B$6:$P$26,15,FALSE)</f>
        <v>0</v>
      </c>
      <c r="E8" s="165">
        <f>+VLOOKUP($A8,'Argentina III - Canje optimo'!$B$6:$O$26,6,FALSE)/VLOOKUP($A8,'Argentina III - Canje optimo'!$B$6:$P$26,15,FALSE)</f>
        <v>1</v>
      </c>
      <c r="F8" s="165">
        <f>+VLOOKUP($A8,'Argentina III - Canje optimo'!$B$6:$O$26,7,FALSE)/VLOOKUP($A8,'Argentina III - Canje optimo'!$B$6:$P$26,15,FALSE)</f>
        <v>0</v>
      </c>
      <c r="G8" s="165">
        <f>+VLOOKUP($A8,'Argentina III - Canje optimo'!$B$6:$O$26,8,FALSE)/VLOOKUP($A8,'Argentina III - Canje optimo'!$B$6:$P$26,15,FALSE)</f>
        <v>0</v>
      </c>
      <c r="H8" s="165">
        <f>+VLOOKUP($A8,'Argentina III - Canje optimo'!$B$6:$O$26,9,FALSE)/VLOOKUP($A8,'Argentina III - Canje optimo'!$B$6:$P$26,15,FALSE)</f>
        <v>0</v>
      </c>
      <c r="J8" s="166" t="s">
        <v>6</v>
      </c>
      <c r="K8" s="167">
        <f>+HLOOKUP(J8,'Argen III - Nuevos Bonos 100VN'!$B$6:$L$21,15,FALSE)</f>
        <v>48.926577370677784</v>
      </c>
    </row>
    <row r="9" spans="1:11" x14ac:dyDescent="0.25">
      <c r="A9" s="160" t="s">
        <v>61</v>
      </c>
      <c r="B9" s="302">
        <f t="shared" si="0"/>
        <v>51.321359947987979</v>
      </c>
      <c r="C9" s="165">
        <f>+VLOOKUP(A9,'Intereses corridos'!$A$5:$G$25,7,FALSE)</f>
        <v>3.0027777777777775E-2</v>
      </c>
      <c r="D9" s="165">
        <f>+VLOOKUP($A9,'Argentina III - Canje optimo'!$B$6:$O$26,5,FALSE)/VLOOKUP($A9,'Argentina III - Canje optimo'!$B$6:$P$26,15,FALSE)</f>
        <v>0</v>
      </c>
      <c r="E9" s="165">
        <f>+VLOOKUP($A9,'Argentina III - Canje optimo'!$B$6:$O$26,6,FALSE)/VLOOKUP($A9,'Argentina III - Canje optimo'!$B$6:$P$26,15,FALSE)</f>
        <v>1</v>
      </c>
      <c r="F9" s="165">
        <f>+VLOOKUP($A9,'Argentina III - Canje optimo'!$B$6:$O$26,7,FALSE)/VLOOKUP($A9,'Argentina III - Canje optimo'!$B$6:$P$26,15,FALSE)</f>
        <v>0</v>
      </c>
      <c r="G9" s="165">
        <f>+VLOOKUP($A9,'Argentina III - Canje optimo'!$B$6:$O$26,8,FALSE)/VLOOKUP($A9,'Argentina III - Canje optimo'!$B$6:$P$26,15,FALSE)</f>
        <v>0</v>
      </c>
      <c r="H9" s="165">
        <f>+VLOOKUP($A9,'Argentina III - Canje optimo'!$B$6:$O$26,9,FALSE)/VLOOKUP($A9,'Argentina III - Canje optimo'!$B$6:$P$26,15,FALSE)</f>
        <v>0</v>
      </c>
      <c r="J9" s="166" t="s">
        <v>135</v>
      </c>
      <c r="K9" s="167">
        <f>+HLOOKUP(J9,'Argen III - Nuevos Bonos 100VN'!$B$6:$L$21,15,FALSE)</f>
        <v>51.712344927138489</v>
      </c>
    </row>
    <row r="10" spans="1:11" x14ac:dyDescent="0.25">
      <c r="A10" s="160" t="s">
        <v>62</v>
      </c>
      <c r="B10" s="302">
        <f t="shared" si="0"/>
        <v>51.567173143145105</v>
      </c>
      <c r="C10" s="165">
        <f>+VLOOKUP(A10,'Intereses corridos'!$A$5:$G$25,7,FALSE)</f>
        <v>3.478125E-2</v>
      </c>
      <c r="D10" s="165">
        <f>+VLOOKUP($A10,'Argentina III - Canje optimo'!$B$6:$O$26,5,FALSE)/VLOOKUP($A10,'Argentina III - Canje optimo'!$B$6:$P$26,15,FALSE)</f>
        <v>0</v>
      </c>
      <c r="E10" s="165">
        <f>+VLOOKUP($A10,'Argentina III - Canje optimo'!$B$6:$O$26,6,FALSE)/VLOOKUP($A10,'Argentina III - Canje optimo'!$B$6:$P$26,15,FALSE)</f>
        <v>1</v>
      </c>
      <c r="F10" s="165">
        <f>+VLOOKUP($A10,'Argentina III - Canje optimo'!$B$6:$O$26,7,FALSE)/VLOOKUP($A10,'Argentina III - Canje optimo'!$B$6:$P$26,15,FALSE)</f>
        <v>0</v>
      </c>
      <c r="G10" s="165">
        <f>+VLOOKUP($A10,'Argentina III - Canje optimo'!$B$6:$O$26,8,FALSE)/VLOOKUP($A10,'Argentina III - Canje optimo'!$B$6:$P$26,15,FALSE)</f>
        <v>0</v>
      </c>
      <c r="H10" s="165">
        <f>+VLOOKUP($A10,'Argentina III - Canje optimo'!$B$6:$O$26,9,FALSE)/VLOOKUP($A10,'Argentina III - Canje optimo'!$B$6:$P$26,15,FALSE)</f>
        <v>0</v>
      </c>
      <c r="J10" s="168"/>
      <c r="K10" s="169"/>
    </row>
    <row r="11" spans="1:11" x14ac:dyDescent="0.25">
      <c r="A11" s="160" t="s">
        <v>66</v>
      </c>
      <c r="B11" s="302">
        <f t="shared" si="0"/>
        <v>51.702918048578844</v>
      </c>
      <c r="C11" s="165">
        <f>+VLOOKUP(A11,'Intereses corridos'!$A$5:$G$25,7,FALSE)</f>
        <v>3.7406249999999995E-2</v>
      </c>
      <c r="D11" s="165">
        <f>+VLOOKUP($A11,'Argentina III - Canje optimo'!$B$6:$O$26,5,FALSE)/VLOOKUP($A11,'Argentina III - Canje optimo'!$B$6:$P$26,15,FALSE)</f>
        <v>0</v>
      </c>
      <c r="E11" s="165">
        <f>+VLOOKUP($A11,'Argentina III - Canje optimo'!$B$6:$O$26,6,FALSE)/VLOOKUP($A11,'Argentina III - Canje optimo'!$B$6:$P$26,15,FALSE)</f>
        <v>1</v>
      </c>
      <c r="F11" s="165">
        <f>+VLOOKUP($A11,'Argentina III - Canje optimo'!$B$6:$O$26,7,FALSE)/VLOOKUP($A11,'Argentina III - Canje optimo'!$B$6:$P$26,15,FALSE)</f>
        <v>0</v>
      </c>
      <c r="G11" s="165">
        <f>+VLOOKUP($A11,'Argentina III - Canje optimo'!$B$6:$O$26,8,FALSE)/VLOOKUP($A11,'Argentina III - Canje optimo'!$B$6:$P$26,15,FALSE)</f>
        <v>0</v>
      </c>
      <c r="H11" s="165">
        <f>+VLOOKUP($A11,'Argentina III - Canje optimo'!$B$6:$O$26,9,FALSE)/VLOOKUP($A11,'Argentina III - Canje optimo'!$B$6:$P$26,15,FALSE)</f>
        <v>0</v>
      </c>
      <c r="J11" s="170"/>
      <c r="K11" s="87"/>
    </row>
    <row r="12" spans="1:11" x14ac:dyDescent="0.25">
      <c r="A12" s="160" t="s">
        <v>69</v>
      </c>
      <c r="B12" s="302">
        <f t="shared" si="0"/>
        <v>51.807206362573908</v>
      </c>
      <c r="C12" s="165">
        <f>+VLOOKUP(A12,'Intereses corridos'!$A$5:$G$25,7,FALSE)</f>
        <v>5.5704861111111115E-2</v>
      </c>
      <c r="D12" s="165">
        <f>+VLOOKUP($A12,'Argentina III - Canje optimo'!$B$6:$O$26,5,FALSE)/VLOOKUP($A12,'Argentina III - Canje optimo'!$B$6:$P$26,15,FALSE)</f>
        <v>0</v>
      </c>
      <c r="E12" s="165">
        <f>+VLOOKUP($A12,'Argentina III - Canje optimo'!$B$6:$O$26,6,FALSE)/VLOOKUP($A12,'Argentina III - Canje optimo'!$B$6:$P$26,15,FALSE)</f>
        <v>0</v>
      </c>
      <c r="F12" s="165">
        <f>+VLOOKUP($A12,'Argentina III - Canje optimo'!$B$6:$O$26,7,FALSE)/VLOOKUP($A12,'Argentina III - Canje optimo'!$B$6:$P$26,15,FALSE)</f>
        <v>0</v>
      </c>
      <c r="G12" s="165">
        <f>+VLOOKUP($A12,'Argentina III - Canje optimo'!$B$6:$O$26,8,FALSE)/VLOOKUP($A12,'Argentina III - Canje optimo'!$B$6:$P$26,15,FALSE)</f>
        <v>0</v>
      </c>
      <c r="H12" s="165">
        <f>+VLOOKUP($A12,'Argentina III - Canje optimo'!$B$6:$O$26,9,FALSE)/VLOOKUP($A12,'Argentina III - Canje optimo'!$B$6:$P$26,15,FALSE)</f>
        <v>1</v>
      </c>
      <c r="J12" s="168"/>
      <c r="K12" s="87"/>
    </row>
    <row r="13" spans="1:11" x14ac:dyDescent="0.25">
      <c r="A13" s="160" t="s">
        <v>63</v>
      </c>
      <c r="B13" s="302">
        <f t="shared" si="0"/>
        <v>50.743691713256403</v>
      </c>
      <c r="C13" s="165">
        <f>+VLOOKUP(A13,'Intereses corridos'!$A$5:$G$25,7,FALSE)</f>
        <v>3.5138888888888893E-2</v>
      </c>
      <c r="D13" s="165">
        <f>+VLOOKUP($A13,'Argentina III - Canje optimo'!$B$6:$O$26,5,FALSE)/VLOOKUP($A13,'Argentina III - Canje optimo'!$B$6:$P$26,15,FALSE)</f>
        <v>0</v>
      </c>
      <c r="E13" s="165">
        <f>+VLOOKUP($A13,'Argentina III - Canje optimo'!$B$6:$O$26,6,FALSE)/VLOOKUP($A13,'Argentina III - Canje optimo'!$B$6:$P$26,15,FALSE)</f>
        <v>0</v>
      </c>
      <c r="F13" s="165">
        <f>+VLOOKUP($A13,'Argentina III - Canje optimo'!$B$6:$O$26,7,FALSE)/VLOOKUP($A13,'Argentina III - Canje optimo'!$B$6:$P$26,15,FALSE)</f>
        <v>0</v>
      </c>
      <c r="G13" s="165">
        <f>+VLOOKUP($A13,'Argentina III - Canje optimo'!$B$6:$O$26,8,FALSE)/VLOOKUP($A13,'Argentina III - Canje optimo'!$B$6:$P$26,15,FALSE)</f>
        <v>0</v>
      </c>
      <c r="H13" s="165">
        <f>+VLOOKUP($A13,'Argentina III - Canje optimo'!$B$6:$O$26,9,FALSE)/VLOOKUP($A13,'Argentina III - Canje optimo'!$B$6:$P$26,15,FALSE)</f>
        <v>1</v>
      </c>
      <c r="J13" s="168"/>
      <c r="K13" s="87"/>
    </row>
    <row r="14" spans="1:11" x14ac:dyDescent="0.25">
      <c r="A14" s="160" t="s">
        <v>67</v>
      </c>
      <c r="B14" s="302">
        <f t="shared" si="0"/>
        <v>50.94282015257653</v>
      </c>
      <c r="C14" s="165">
        <f>+VLOOKUP(A14,'Intereses corridos'!$A$5:$G$25,7,FALSE)</f>
        <v>3.8989583333333327E-2</v>
      </c>
      <c r="D14" s="165">
        <f>+VLOOKUP($A14,'Argentina III - Canje optimo'!$B$6:$O$26,5,FALSE)/VLOOKUP($A14,'Argentina III - Canje optimo'!$B$6:$P$26,15,FALSE)</f>
        <v>0</v>
      </c>
      <c r="E14" s="165">
        <f>+VLOOKUP($A14,'Argentina III - Canje optimo'!$B$6:$O$26,6,FALSE)/VLOOKUP($A14,'Argentina III - Canje optimo'!$B$6:$P$26,15,FALSE)</f>
        <v>0</v>
      </c>
      <c r="F14" s="165">
        <f>+VLOOKUP($A14,'Argentina III - Canje optimo'!$B$6:$O$26,7,FALSE)/VLOOKUP($A14,'Argentina III - Canje optimo'!$B$6:$P$26,15,FALSE)</f>
        <v>0</v>
      </c>
      <c r="G14" s="165">
        <f>+VLOOKUP($A14,'Argentina III - Canje optimo'!$B$6:$O$26,8,FALSE)/VLOOKUP($A14,'Argentina III - Canje optimo'!$B$6:$P$26,15,FALSE)</f>
        <v>0</v>
      </c>
      <c r="H14" s="165">
        <f>+VLOOKUP($A14,'Argentina III - Canje optimo'!$B$6:$O$26,9,FALSE)/VLOOKUP($A14,'Argentina III - Canje optimo'!$B$6:$P$26,15,FALSE)</f>
        <v>1</v>
      </c>
      <c r="J14" s="168"/>
      <c r="K14" s="87"/>
    </row>
    <row r="15" spans="1:11" x14ac:dyDescent="0.25">
      <c r="A15" s="160" t="s">
        <v>77</v>
      </c>
      <c r="B15" s="302">
        <f t="shared" si="0"/>
        <v>56.60592845398461</v>
      </c>
      <c r="C15" s="165">
        <f>+VLOOKUP(A15,'Intereses corridos'!$A$5:$G$25,7,FALSE)</f>
        <v>4.4850000000000001E-2</v>
      </c>
      <c r="D15" s="165">
        <f>+VLOOKUP($A15,'Argentina III - Canje optimo'!$B$6:$O$26,5,FALSE)/VLOOKUP($A15,'Argentina III - Canje optimo'!$B$6:$P$26,15,FALSE)</f>
        <v>0</v>
      </c>
      <c r="E15" s="165">
        <f>+VLOOKUP($A15,'Argentina III - Canje optimo'!$B$6:$O$26,6,FALSE)/VLOOKUP($A15,'Argentina III - Canje optimo'!$B$6:$P$26,15,FALSE)</f>
        <v>0</v>
      </c>
      <c r="F15" s="165">
        <f>+VLOOKUP($A15,'Argentina III - Canje optimo'!$B$6:$O$26,7,FALSE)/VLOOKUP($A15,'Argentina III - Canje optimo'!$B$6:$P$26,15,FALSE)</f>
        <v>1</v>
      </c>
      <c r="G15" s="165">
        <f>+VLOOKUP($A15,'Argentina III - Canje optimo'!$B$6:$O$26,8,FALSE)/VLOOKUP($A15,'Argentina III - Canje optimo'!$B$6:$P$26,15,FALSE)</f>
        <v>0</v>
      </c>
      <c r="H15" s="165">
        <f>+VLOOKUP($A15,'Argentina III - Canje optimo'!$B$6:$O$26,9,FALSE)/VLOOKUP($A15,'Argentina III - Canje optimo'!$B$6:$P$26,15,FALSE)</f>
        <v>0</v>
      </c>
      <c r="J15" s="168"/>
      <c r="K15" s="87"/>
    </row>
    <row r="16" spans="1:11" x14ac:dyDescent="0.25">
      <c r="A16" s="171" t="s">
        <v>79</v>
      </c>
      <c r="B16" s="303">
        <f t="shared" si="0"/>
        <v>50.735611842411252</v>
      </c>
      <c r="C16" s="172">
        <f>+VLOOKUP(A16,'Intereses corridos'!$A$5:$G$25,7,FALSE)</f>
        <v>1.0937499999999999E-2</v>
      </c>
      <c r="D16" s="172">
        <f>+VLOOKUP($A16,'Argentina III - Canje optimo'!$B$6:$O$26,5,FALSE)/VLOOKUP($A16,'Argentina III - Canje optimo'!$B$6:$P$26,15,FALSE)</f>
        <v>0</v>
      </c>
      <c r="E16" s="172">
        <f>+VLOOKUP($A16,'Argentina III - Canje optimo'!$B$6:$O$26,6,FALSE)/VLOOKUP($A16,'Argentina III - Canje optimo'!$B$6:$P$26,15,FALSE)</f>
        <v>0</v>
      </c>
      <c r="F16" s="172">
        <f>+VLOOKUP($A16,'Argentina III - Canje optimo'!$B$6:$O$26,7,FALSE)/VLOOKUP($A16,'Argentina III - Canje optimo'!$B$6:$P$26,15,FALSE)</f>
        <v>0</v>
      </c>
      <c r="G16" s="172">
        <f>+VLOOKUP($A16,'Argentina III - Canje optimo'!$B$6:$O$26,8,FALSE)/VLOOKUP($A16,'Argentina III - Canje optimo'!$B$6:$P$26,15,FALSE)</f>
        <v>1</v>
      </c>
      <c r="H16" s="172">
        <f>+VLOOKUP($A16,'Argentina III - Canje optimo'!$B$6:$O$26,9,FALSE)/VLOOKUP($A16,'Argentina III - Canje optimo'!$B$6:$P$26,15,FALSE)</f>
        <v>0</v>
      </c>
      <c r="J16" s="168"/>
      <c r="K16" s="87"/>
    </row>
    <row r="17" spans="1:11" x14ac:dyDescent="0.25">
      <c r="A17" s="70" t="s">
        <v>93</v>
      </c>
      <c r="B17" s="306">
        <f>+AVERAGE(B4:B16)</f>
        <v>52.063069229521453</v>
      </c>
      <c r="C17" s="174"/>
      <c r="J17" s="168"/>
      <c r="K17" s="87"/>
    </row>
    <row r="18" spans="1:11" x14ac:dyDescent="0.25">
      <c r="A18" s="173"/>
      <c r="B18" s="307"/>
      <c r="C18" s="174"/>
      <c r="J18" s="168"/>
      <c r="K18" s="87"/>
    </row>
    <row r="19" spans="1:11" ht="22.5" x14ac:dyDescent="0.25">
      <c r="A19" s="156" t="s">
        <v>51</v>
      </c>
      <c r="B19" s="300" t="s">
        <v>89</v>
      </c>
      <c r="C19" s="156" t="s">
        <v>90</v>
      </c>
      <c r="D19" s="156" t="s">
        <v>7</v>
      </c>
      <c r="E19" s="156" t="s">
        <v>8</v>
      </c>
      <c r="F19" s="156" t="s">
        <v>9</v>
      </c>
      <c r="G19" s="156" t="s">
        <v>10</v>
      </c>
      <c r="H19" s="156" t="s">
        <v>11</v>
      </c>
      <c r="J19" s="245" t="s">
        <v>91</v>
      </c>
      <c r="K19" s="246" t="s">
        <v>92</v>
      </c>
    </row>
    <row r="20" spans="1:11" x14ac:dyDescent="0.25">
      <c r="A20" s="175" t="s">
        <v>71</v>
      </c>
      <c r="B20" s="301">
        <f>+D20*$K$21+E20*$K$23+F20*$K$20+G20*$K$22+H20*$K$24+C20*$K$25</f>
        <v>49.207357117543211</v>
      </c>
      <c r="C20" s="161">
        <f>+VLOOKUP(A20,'Intereses corridos'!$A$5:$G$25,7,FALSE)</f>
        <v>1.9375E-2</v>
      </c>
      <c r="D20" s="161">
        <f>+VLOOKUP($A20,'Argentina III - Canje optimo'!$B$6:$O$26,10,FALSE)/VLOOKUP($A20,'Argentina III - Canje optimo'!$B$6:$P$26,15,FALSE)</f>
        <v>1</v>
      </c>
      <c r="E20" s="161">
        <f>+VLOOKUP($A20,'Argentina III - Canje optimo'!$B$6:$O$26,11,FALSE)/VLOOKUP($A20,'Argentina III - Canje optimo'!$B$6:$P$26,15,FALSE)</f>
        <v>0</v>
      </c>
      <c r="F20" s="161">
        <f>+VLOOKUP($A20,'Argentina III - Canje optimo'!$B$6:$O$26,12,FALSE)/VLOOKUP($A20,'Argentina III - Canje optimo'!$B$6:$P$26,15,FALSE)</f>
        <v>0</v>
      </c>
      <c r="G20" s="161">
        <f>+VLOOKUP($A20,'Argentina III - Canje optimo'!$B$6:$O$26,13,FALSE)/VLOOKUP($A20,'Argentina III - Canje optimo'!$B$6:$P$26,15,FALSE)</f>
        <v>0</v>
      </c>
      <c r="H20" s="161">
        <f>+VLOOKUP($A20,'Argentina III - Canje optimo'!$B$6:$O$26,14,FALSE)/VLOOKUP($A20,'Argentina III - Canje optimo'!$B$6:$P$26,15,FALSE)</f>
        <v>0</v>
      </c>
      <c r="J20" s="163" t="s">
        <v>9</v>
      </c>
      <c r="K20" s="164">
        <f>+HLOOKUP(J20,'Argen III - Nuevos Bonos 100VN'!$B$6:$L$21,15,FALSE)</f>
        <v>50.201000750991881</v>
      </c>
    </row>
    <row r="21" spans="1:11" x14ac:dyDescent="0.25">
      <c r="A21" s="175" t="s">
        <v>70</v>
      </c>
      <c r="B21" s="302">
        <f t="shared" ref="B21:B27" si="1">+D21*$K$21+E21*$K$23+F21*$K$20+G21*$K$22+H21*$K$24+C21*$K$25</f>
        <v>49.092374718597718</v>
      </c>
      <c r="C21" s="165">
        <f>+VLOOKUP(A21,'Intereses corridos'!$A$5:$G$25,7,FALSE)</f>
        <v>1.6875000000000001E-2</v>
      </c>
      <c r="D21" s="165">
        <f>+VLOOKUP($A21,'Argentina III - Canje optimo'!$B$6:$O$26,10,FALSE)/VLOOKUP($A21,'Argentina III - Canje optimo'!$B$6:$P$26,15,FALSE)</f>
        <v>1</v>
      </c>
      <c r="E21" s="165">
        <f>+VLOOKUP($A21,'Argentina III - Canje optimo'!$B$6:$O$26,11,FALSE)/VLOOKUP($A21,'Argentina III - Canje optimo'!$B$6:$P$26,15,FALSE)</f>
        <v>0</v>
      </c>
      <c r="F21" s="165">
        <f>+VLOOKUP($A21,'Argentina III - Canje optimo'!$B$6:$O$26,12,FALSE)/VLOOKUP($A21,'Argentina III - Canje optimo'!$B$6:$P$26,15,FALSE)</f>
        <v>0</v>
      </c>
      <c r="G21" s="165">
        <f>+VLOOKUP($A21,'Argentina III - Canje optimo'!$B$6:$O$26,13,FALSE)/VLOOKUP($A21,'Argentina III - Canje optimo'!$B$6:$P$26,15,FALSE)</f>
        <v>0</v>
      </c>
      <c r="H21" s="165">
        <f>+VLOOKUP($A21,'Argentina III - Canje optimo'!$B$6:$O$26,14,FALSE)/VLOOKUP($A21,'Argentina III - Canje optimo'!$B$6:$P$26,15,FALSE)</f>
        <v>0</v>
      </c>
      <c r="J21" s="163" t="s">
        <v>7</v>
      </c>
      <c r="K21" s="164">
        <f>+HLOOKUP(J21,'Argen III - Nuevos Bonos 100VN'!$B$6:$L$21,15,FALSE)</f>
        <v>48.316243525715642</v>
      </c>
    </row>
    <row r="22" spans="1:11" x14ac:dyDescent="0.25">
      <c r="A22" s="175" t="s">
        <v>72</v>
      </c>
      <c r="B22" s="302">
        <f t="shared" si="1"/>
        <v>46.889203725475127</v>
      </c>
      <c r="C22" s="165">
        <f>+VLOOKUP(A22,'Intereses corridos'!$A$5:$G$25,7,FALSE)</f>
        <v>2.5000000000000001E-2</v>
      </c>
      <c r="D22" s="165">
        <f>+VLOOKUP($A22,'Argentina III - Canje optimo'!$B$6:$O$26,10,FALSE)/VLOOKUP($A22,'Argentina III - Canje optimo'!$B$6:$P$26,15,FALSE)</f>
        <v>0</v>
      </c>
      <c r="E22" s="165">
        <f>+VLOOKUP($A22,'Argentina III - Canje optimo'!$B$6:$O$26,11,FALSE)/VLOOKUP($A22,'Argentina III - Canje optimo'!$B$6:$P$26,15,FALSE)</f>
        <v>1</v>
      </c>
      <c r="F22" s="165">
        <f>+VLOOKUP($A22,'Argentina III - Canje optimo'!$B$6:$O$26,12,FALSE)/VLOOKUP($A22,'Argentina III - Canje optimo'!$B$6:$P$26,15,FALSE)</f>
        <v>0</v>
      </c>
      <c r="G22" s="165">
        <f>+VLOOKUP($A22,'Argentina III - Canje optimo'!$B$6:$O$26,13,FALSE)/VLOOKUP($A22,'Argentina III - Canje optimo'!$B$6:$P$26,15,FALSE)</f>
        <v>0</v>
      </c>
      <c r="H22" s="165">
        <f>+VLOOKUP($A22,'Argentina III - Canje optimo'!$B$6:$O$26,14,FALSE)/VLOOKUP($A22,'Argentina III - Canje optimo'!$B$6:$P$26,15,FALSE)</f>
        <v>0</v>
      </c>
      <c r="J22" s="163" t="s">
        <v>10</v>
      </c>
      <c r="K22" s="164">
        <f>+HLOOKUP(J22,'Argen III - Nuevos Bonos 100VN'!$B$6:$L$21,15,FALSE)</f>
        <v>46.733750745030164</v>
      </c>
    </row>
    <row r="23" spans="1:11" x14ac:dyDescent="0.25">
      <c r="A23" s="175" t="s">
        <v>73</v>
      </c>
      <c r="B23" s="302">
        <f t="shared" si="1"/>
        <v>46.946694924947877</v>
      </c>
      <c r="C23" s="165">
        <f>+VLOOKUP(A23,'Intereses corridos'!$A$5:$G$25,7,FALSE)</f>
        <v>2.6249999999999999E-2</v>
      </c>
      <c r="D23" s="165">
        <f>+VLOOKUP($A23,'Argentina III - Canje optimo'!$B$6:$O$26,10,FALSE)/VLOOKUP($A23,'Argentina III - Canje optimo'!$B$6:$P$26,15,FALSE)</f>
        <v>0</v>
      </c>
      <c r="E23" s="165">
        <f>+VLOOKUP($A23,'Argentina III - Canje optimo'!$B$6:$O$26,11,FALSE)/VLOOKUP($A23,'Argentina III - Canje optimo'!$B$6:$P$26,15,FALSE)</f>
        <v>1</v>
      </c>
      <c r="F23" s="165">
        <f>+VLOOKUP($A23,'Argentina III - Canje optimo'!$B$6:$O$26,12,FALSE)/VLOOKUP($A23,'Argentina III - Canje optimo'!$B$6:$P$26,15,FALSE)</f>
        <v>0</v>
      </c>
      <c r="G23" s="165">
        <f>+VLOOKUP($A23,'Argentina III - Canje optimo'!$B$6:$O$26,13,FALSE)/VLOOKUP($A23,'Argentina III - Canje optimo'!$B$6:$P$26,15,FALSE)</f>
        <v>0</v>
      </c>
      <c r="H23" s="165">
        <f>+VLOOKUP($A23,'Argentina III - Canje optimo'!$B$6:$O$26,14,FALSE)/VLOOKUP($A23,'Argentina III - Canje optimo'!$B$6:$P$26,15,FALSE)</f>
        <v>0</v>
      </c>
      <c r="J23" s="163" t="s">
        <v>8</v>
      </c>
      <c r="K23" s="164">
        <f>+HLOOKUP(J23,'Argen III - Nuevos Bonos 100VN'!$B$6:$L$21,15,FALSE)</f>
        <v>45.739379736020204</v>
      </c>
    </row>
    <row r="24" spans="1:11" x14ac:dyDescent="0.25">
      <c r="A24" s="175" t="s">
        <v>74</v>
      </c>
      <c r="B24" s="302">
        <f t="shared" si="1"/>
        <v>46.918297414717117</v>
      </c>
      <c r="C24" s="165">
        <f>+VLOOKUP(A24,'Intereses corridos'!$A$5:$G$25,7,FALSE)</f>
        <v>4.2708333333333334E-2</v>
      </c>
      <c r="D24" s="165">
        <f>+VLOOKUP($A24,'Argentina III - Canje optimo'!$B$6:$O$26,10,FALSE)/VLOOKUP($A24,'Argentina III - Canje optimo'!$B$6:$P$26,15,FALSE)</f>
        <v>0</v>
      </c>
      <c r="E24" s="165">
        <f>+VLOOKUP($A24,'Argentina III - Canje optimo'!$B$6:$O$26,11,FALSE)/VLOOKUP($A24,'Argentina III - Canje optimo'!$B$6:$P$26,15,FALSE)</f>
        <v>0</v>
      </c>
      <c r="F24" s="165">
        <f>+VLOOKUP($A24,'Argentina III - Canje optimo'!$B$6:$O$26,12,FALSE)/VLOOKUP($A24,'Argentina III - Canje optimo'!$B$6:$P$26,15,FALSE)</f>
        <v>0</v>
      </c>
      <c r="G24" s="165">
        <f>+VLOOKUP($A24,'Argentina III - Canje optimo'!$B$6:$O$26,13,FALSE)/VLOOKUP($A24,'Argentina III - Canje optimo'!$B$6:$P$26,15,FALSE)</f>
        <v>0</v>
      </c>
      <c r="H24" s="165">
        <f>+VLOOKUP($A24,'Argentina III - Canje optimo'!$B$6:$O$26,14,FALSE)/VLOOKUP($A24,'Argentina III - Canje optimo'!$B$6:$P$26,15,FALSE)</f>
        <v>1</v>
      </c>
      <c r="J24" s="166" t="s">
        <v>11</v>
      </c>
      <c r="K24" s="167">
        <f>+HLOOKUP(J24,'Argen III - Nuevos Bonos 100VN'!$B$6:$L$21,15,FALSE)</f>
        <v>44.954014766064958</v>
      </c>
    </row>
    <row r="25" spans="1:11" x14ac:dyDescent="0.25">
      <c r="A25" s="175" t="s">
        <v>75</v>
      </c>
      <c r="B25" s="304">
        <f t="shared" si="1"/>
        <v>49.419913645688723</v>
      </c>
      <c r="C25" s="299">
        <f>+VLOOKUP(A25,'Intereses corridos'!A5:G25,7,FALSE)*'Argentina III - Nuevos Bonos'!P2/'Argentina III - Nuevos Bonos'!P3</f>
        <v>2.3996501423149907E-2</v>
      </c>
      <c r="D25" s="165">
        <f>+VLOOKUP($A25,'Argentina III - Canje optimo'!$B$6:$O$26,10,FALSE)/VLOOKUP($A25,'Argentina III - Canje optimo'!$B$6:$P$26,15,FALSE)</f>
        <v>1</v>
      </c>
      <c r="E25" s="165">
        <f>+VLOOKUP($A25,'Argentina III - Canje optimo'!$B$6:$O$26,11,FALSE)/VLOOKUP($A25,'Argentina III - Canje optimo'!$B$6:$P$26,15,FALSE)</f>
        <v>0</v>
      </c>
      <c r="F25" s="165">
        <f>+VLOOKUP($A25,'Argentina III - Canje optimo'!$B$6:$O$26,12,FALSE)/VLOOKUP($A25,'Argentina III - Canje optimo'!$B$6:$P$26,15,FALSE)</f>
        <v>0</v>
      </c>
      <c r="G25" s="165">
        <f>+VLOOKUP($A25,'Argentina III - Canje optimo'!$B$6:$O$26,13,FALSE)/VLOOKUP($A25,'Argentina III - Canje optimo'!$B$6:$P$26,15,FALSE)</f>
        <v>0</v>
      </c>
      <c r="H25" s="165">
        <f>+VLOOKUP($A25,'Argentina III - Canje optimo'!$B$6:$O$26,14,FALSE)/VLOOKUP($A25,'Argentina III - Canje optimo'!$B$6:$P$26,15,FALSE)</f>
        <v>0</v>
      </c>
      <c r="J25" s="166" t="s">
        <v>135</v>
      </c>
      <c r="K25" s="167">
        <f>+HLOOKUP(J25,'Argen III - Nuevos Bonos 100VN'!$B$6:$L$21,15,FALSE)*'Argentina III - Nuevos Bonos'!P2</f>
        <v>45.992959578196967</v>
      </c>
    </row>
    <row r="26" spans="1:11" x14ac:dyDescent="0.25">
      <c r="A26" s="175" t="s">
        <v>76</v>
      </c>
      <c r="B26" s="302">
        <f t="shared" si="1"/>
        <v>52.149185863791672</v>
      </c>
      <c r="C26" s="165">
        <f>+VLOOKUP(A26,'Intereses corridos'!$A$5:$G$25,7,FALSE)</f>
        <v>4.2358333333333338E-2</v>
      </c>
      <c r="D26" s="165">
        <f>+VLOOKUP($A26,'Argentina III - Canje optimo'!$B$6:$O$26,10,FALSE)/VLOOKUP($A26,'Argentina III - Canje optimo'!$B$6:$P$26,15,FALSE)</f>
        <v>0</v>
      </c>
      <c r="E26" s="165">
        <f>+VLOOKUP($A26,'Argentina III - Canje optimo'!$B$6:$O$26,11,FALSE)/VLOOKUP($A26,'Argentina III - Canje optimo'!$B$6:$P$26,15,FALSE)</f>
        <v>0</v>
      </c>
      <c r="F26" s="165">
        <f>+VLOOKUP($A26,'Argentina III - Canje optimo'!$B$6:$O$26,12,FALSE)/VLOOKUP($A26,'Argentina III - Canje optimo'!$B$6:$P$26,15,FALSE)</f>
        <v>1</v>
      </c>
      <c r="G26" s="165">
        <f>+VLOOKUP($A26,'Argentina III - Canje optimo'!$B$6:$O$26,13,FALSE)/VLOOKUP($A26,'Argentina III - Canje optimo'!$B$6:$P$26,15,FALSE)</f>
        <v>0</v>
      </c>
      <c r="H26" s="165">
        <f>+VLOOKUP($A26,'Argentina III - Canje optimo'!$B$6:$O$26,14,FALSE)/VLOOKUP($A26,'Argentina III - Canje optimo'!$B$6:$P$26,15,FALSE)</f>
        <v>0</v>
      </c>
      <c r="J26" s="168"/>
      <c r="K26" s="87"/>
    </row>
    <row r="27" spans="1:11" x14ac:dyDescent="0.25">
      <c r="A27" s="177" t="s">
        <v>78</v>
      </c>
      <c r="B27" s="303">
        <f t="shared" si="1"/>
        <v>47.187164671538554</v>
      </c>
      <c r="C27" s="172">
        <f>+VLOOKUP(A27,'Intereses corridos'!$A$5:$G$25,7,FALSE)</f>
        <v>9.8583333333333318E-3</v>
      </c>
      <c r="D27" s="172">
        <f>+VLOOKUP($A27,'Argentina III - Canje optimo'!$B$6:$O$26,10,FALSE)/VLOOKUP($A27,'Argentina III - Canje optimo'!$B$6:$P$26,15,FALSE)</f>
        <v>0</v>
      </c>
      <c r="E27" s="172">
        <f>+VLOOKUP($A27,'Argentina III - Canje optimo'!$B$6:$O$26,11,FALSE)/VLOOKUP($A27,'Argentina III - Canje optimo'!$B$6:$P$26,15,FALSE)</f>
        <v>0</v>
      </c>
      <c r="F27" s="172">
        <f>+VLOOKUP($A27,'Argentina III - Canje optimo'!$B$6:$O$26,12,FALSE)/VLOOKUP($A27,'Argentina III - Canje optimo'!$B$6:$P$26,15,FALSE)</f>
        <v>0</v>
      </c>
      <c r="G27" s="172">
        <f>+VLOOKUP($A27,'Argentina III - Canje optimo'!$B$6:$O$26,13,FALSE)/VLOOKUP($A27,'Argentina III - Canje optimo'!$B$6:$P$26,15,FALSE)</f>
        <v>1</v>
      </c>
      <c r="H27" s="172">
        <f>+VLOOKUP($A27,'Argentina III - Canje optimo'!$B$6:$O$26,14,FALSE)/VLOOKUP($A27,'Argentina III - Canje optimo'!$B$6:$P$26,15,FALSE)</f>
        <v>0</v>
      </c>
    </row>
    <row r="28" spans="1:11" x14ac:dyDescent="0.25">
      <c r="A28" s="70" t="s">
        <v>93</v>
      </c>
      <c r="B28" s="306">
        <f>+AVERAGE(B20:B27)</f>
        <v>48.476274010287497</v>
      </c>
      <c r="C28" s="174"/>
    </row>
  </sheetData>
  <conditionalFormatting sqref="A4:A1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0:A2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ignoredErrors>
    <ignoredError sqref="C25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BBC0-9FF9-410A-9762-562EE66DDD5C}">
  <sheetPr codeName="Hoja13">
    <tabColor theme="9" tint="-0.499984740745262"/>
  </sheetPr>
  <dimension ref="A1:CS85"/>
  <sheetViews>
    <sheetView showGridLines="0" zoomScaleNormal="100" workbookViewId="0"/>
  </sheetViews>
  <sheetFormatPr baseColWidth="10" defaultColWidth="11.42578125" defaultRowHeight="11.25" x14ac:dyDescent="0.25"/>
  <cols>
    <col min="1" max="1" width="25.7109375" style="2" customWidth="1"/>
    <col min="2" max="2" width="11.85546875" style="2" bestFit="1" customWidth="1"/>
    <col min="3" max="6" width="11.85546875" style="2" customWidth="1"/>
    <col min="7" max="8" width="11.85546875" style="2" bestFit="1" customWidth="1"/>
    <col min="9" max="12" width="11.85546875" style="2" customWidth="1"/>
    <col min="13" max="13" width="11.85546875" style="2" bestFit="1" customWidth="1"/>
    <col min="14" max="15" width="12.140625" style="2" bestFit="1" customWidth="1"/>
    <col min="16" max="16" width="11.85546875" style="2" customWidth="1"/>
    <col min="17" max="17" width="6.42578125" style="2" bestFit="1" customWidth="1"/>
    <col min="18" max="18" width="12.42578125" style="2" bestFit="1" customWidth="1"/>
    <col min="19" max="19" width="10.140625" style="2" bestFit="1" customWidth="1"/>
    <col min="20" max="20" width="9.140625" style="2" bestFit="1" customWidth="1"/>
    <col min="21" max="21" width="15.5703125" style="4" bestFit="1" customWidth="1"/>
    <col min="22" max="25" width="10" style="4" customWidth="1"/>
    <col min="26" max="26" width="12.28515625" style="4" bestFit="1" customWidth="1"/>
    <col min="27" max="80" width="10" style="4" customWidth="1"/>
    <col min="81" max="16384" width="11.42578125" style="2"/>
  </cols>
  <sheetData>
    <row r="1" spans="1:93" s="68" customFormat="1" ht="15" x14ac:dyDescent="0.25">
      <c r="A1" s="85" t="s">
        <v>186</v>
      </c>
      <c r="M1" s="330" t="s">
        <v>12</v>
      </c>
      <c r="N1" s="331">
        <v>12</v>
      </c>
      <c r="O1" s="332">
        <v>1</v>
      </c>
      <c r="T1" s="339" t="s">
        <v>215</v>
      </c>
      <c r="U1" s="340">
        <v>43999</v>
      </c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3"/>
      <c r="AL1" s="313"/>
      <c r="AM1" s="313"/>
      <c r="AN1" s="313"/>
      <c r="AO1" s="313"/>
      <c r="AP1" s="313"/>
      <c r="AQ1" s="313"/>
      <c r="AR1" s="313"/>
      <c r="AS1" s="313"/>
      <c r="AT1" s="313"/>
      <c r="AU1" s="313"/>
      <c r="AV1" s="313"/>
      <c r="AW1" s="313"/>
      <c r="AX1" s="313"/>
      <c r="AY1" s="313"/>
      <c r="AZ1" s="313"/>
      <c r="BA1" s="313"/>
      <c r="BB1" s="313"/>
      <c r="BC1" s="313"/>
      <c r="BD1" s="313"/>
      <c r="BE1" s="313"/>
      <c r="BF1" s="313"/>
      <c r="BG1" s="313"/>
      <c r="BH1" s="313"/>
      <c r="BI1" s="313"/>
      <c r="BJ1" s="313"/>
      <c r="BK1" s="313"/>
      <c r="BL1" s="313"/>
      <c r="BM1" s="313"/>
      <c r="BN1" s="313"/>
      <c r="BO1" s="313"/>
      <c r="BP1" s="313"/>
      <c r="BQ1" s="313"/>
      <c r="BR1" s="313"/>
      <c r="BS1" s="313"/>
      <c r="BT1" s="313"/>
      <c r="BU1" s="313"/>
      <c r="BV1" s="313"/>
      <c r="BW1" s="313"/>
      <c r="BX1" s="313"/>
      <c r="BY1" s="313"/>
      <c r="BZ1" s="313"/>
      <c r="CA1" s="313"/>
      <c r="CB1" s="313"/>
    </row>
    <row r="2" spans="1:93" x14ac:dyDescent="0.25">
      <c r="A2" s="2" t="s">
        <v>13</v>
      </c>
      <c r="M2" s="333" t="s">
        <v>14</v>
      </c>
      <c r="N2" s="334">
        <v>4</v>
      </c>
      <c r="O2" s="335">
        <v>3</v>
      </c>
      <c r="T2" s="330" t="s">
        <v>15</v>
      </c>
      <c r="U2" s="341">
        <v>0.88939999999999997</v>
      </c>
    </row>
    <row r="3" spans="1:93" x14ac:dyDescent="0.25">
      <c r="A3" s="2" t="s">
        <v>16</v>
      </c>
      <c r="M3" s="333" t="s">
        <v>1</v>
      </c>
      <c r="N3" s="334">
        <v>2</v>
      </c>
      <c r="O3" s="335">
        <v>6</v>
      </c>
      <c r="T3" s="336" t="s">
        <v>17</v>
      </c>
      <c r="U3" s="342">
        <v>0.9486</v>
      </c>
    </row>
    <row r="4" spans="1:93" x14ac:dyDescent="0.25">
      <c r="M4" s="336" t="s">
        <v>18</v>
      </c>
      <c r="N4" s="337">
        <v>1</v>
      </c>
      <c r="O4" s="338">
        <v>12</v>
      </c>
    </row>
    <row r="5" spans="1:93" x14ac:dyDescent="0.25">
      <c r="A5" s="6" t="s">
        <v>19</v>
      </c>
      <c r="B5" s="399">
        <v>0.1</v>
      </c>
    </row>
    <row r="6" spans="1:93" s="14" customFormat="1" ht="28.5" customHeight="1" x14ac:dyDescent="0.25">
      <c r="A6" s="10" t="s">
        <v>20</v>
      </c>
      <c r="B6" s="12" t="s">
        <v>136</v>
      </c>
      <c r="C6" s="12" t="s">
        <v>137</v>
      </c>
      <c r="D6" s="12" t="s">
        <v>2</v>
      </c>
      <c r="E6" s="12" t="s">
        <v>7</v>
      </c>
      <c r="F6" s="12" t="s">
        <v>138</v>
      </c>
      <c r="G6" s="12" t="s">
        <v>139</v>
      </c>
      <c r="H6" s="12" t="s">
        <v>140</v>
      </c>
      <c r="I6" s="12" t="s">
        <v>141</v>
      </c>
      <c r="J6" s="12" t="s">
        <v>4</v>
      </c>
      <c r="K6" s="12" t="s">
        <v>9</v>
      </c>
      <c r="L6" s="12" t="s">
        <v>5</v>
      </c>
      <c r="M6" s="12" t="s">
        <v>10</v>
      </c>
      <c r="N6" s="12" t="s">
        <v>142</v>
      </c>
      <c r="O6" s="12" t="s">
        <v>143</v>
      </c>
      <c r="P6" s="11" t="s">
        <v>181</v>
      </c>
      <c r="R6" s="2"/>
      <c r="S6" s="2"/>
      <c r="T6" s="2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2"/>
      <c r="CD6" s="2"/>
      <c r="CE6" s="2"/>
      <c r="CF6" s="2"/>
      <c r="CG6" s="2"/>
      <c r="CH6" s="2"/>
      <c r="CI6" s="2"/>
      <c r="CJ6" s="2"/>
      <c r="CK6" s="2"/>
    </row>
    <row r="7" spans="1:93" x14ac:dyDescent="0.25">
      <c r="A7" s="15" t="s">
        <v>21</v>
      </c>
      <c r="B7" s="291">
        <v>44027</v>
      </c>
      <c r="C7" s="291">
        <f>+B7</f>
        <v>44027</v>
      </c>
      <c r="D7" s="291">
        <f>+C7</f>
        <v>44027</v>
      </c>
      <c r="E7" s="291">
        <f t="shared" ref="E7:O7" si="0">+D7</f>
        <v>44027</v>
      </c>
      <c r="F7" s="291">
        <f t="shared" si="0"/>
        <v>44027</v>
      </c>
      <c r="G7" s="291">
        <f t="shared" si="0"/>
        <v>44027</v>
      </c>
      <c r="H7" s="291">
        <f t="shared" si="0"/>
        <v>44027</v>
      </c>
      <c r="I7" s="291">
        <f t="shared" si="0"/>
        <v>44027</v>
      </c>
      <c r="J7" s="291">
        <f t="shared" si="0"/>
        <v>44027</v>
      </c>
      <c r="K7" s="291">
        <f t="shared" si="0"/>
        <v>44027</v>
      </c>
      <c r="L7" s="291">
        <f t="shared" si="0"/>
        <v>44027</v>
      </c>
      <c r="M7" s="291">
        <f t="shared" si="0"/>
        <v>44027</v>
      </c>
      <c r="N7" s="291">
        <f t="shared" si="0"/>
        <v>44027</v>
      </c>
      <c r="O7" s="291">
        <f t="shared" si="0"/>
        <v>44027</v>
      </c>
      <c r="P7" s="291">
        <v>44027</v>
      </c>
      <c r="Q7" s="14"/>
    </row>
    <row r="8" spans="1:93" x14ac:dyDescent="0.25">
      <c r="A8" s="15" t="s">
        <v>22</v>
      </c>
      <c r="B8" s="292">
        <v>46583</v>
      </c>
      <c r="C8" s="292">
        <v>46583</v>
      </c>
      <c r="D8" s="292">
        <v>47679</v>
      </c>
      <c r="E8" s="292">
        <v>47679</v>
      </c>
      <c r="F8" s="292">
        <v>48775</v>
      </c>
      <c r="G8" s="292">
        <v>48775</v>
      </c>
      <c r="H8" s="292">
        <v>49871</v>
      </c>
      <c r="I8" s="292">
        <v>49871</v>
      </c>
      <c r="J8" s="292">
        <v>50601</v>
      </c>
      <c r="K8" s="292">
        <v>50601</v>
      </c>
      <c r="L8" s="292">
        <v>51697</v>
      </c>
      <c r="M8" s="292">
        <v>51697</v>
      </c>
      <c r="N8" s="292">
        <v>53158</v>
      </c>
      <c r="O8" s="292">
        <v>53158</v>
      </c>
      <c r="P8" s="292">
        <v>45122</v>
      </c>
      <c r="Q8" s="14"/>
      <c r="CL8" s="4"/>
      <c r="CM8" s="4"/>
      <c r="CN8" s="4"/>
      <c r="CO8" s="4"/>
    </row>
    <row r="9" spans="1:93" x14ac:dyDescent="0.25">
      <c r="A9" s="15" t="s">
        <v>23</v>
      </c>
      <c r="B9" s="292" t="s">
        <v>24</v>
      </c>
      <c r="C9" s="292" t="s">
        <v>15</v>
      </c>
      <c r="D9" s="292" t="s">
        <v>24</v>
      </c>
      <c r="E9" s="292" t="s">
        <v>15</v>
      </c>
      <c r="F9" s="292" t="s">
        <v>24</v>
      </c>
      <c r="G9" s="292" t="s">
        <v>15</v>
      </c>
      <c r="H9" s="292" t="s">
        <v>24</v>
      </c>
      <c r="I9" s="292" t="s">
        <v>15</v>
      </c>
      <c r="J9" s="292" t="s">
        <v>24</v>
      </c>
      <c r="K9" s="292" t="s">
        <v>15</v>
      </c>
      <c r="L9" s="292" t="s">
        <v>24</v>
      </c>
      <c r="M9" s="292" t="s">
        <v>15</v>
      </c>
      <c r="N9" s="292" t="s">
        <v>24</v>
      </c>
      <c r="O9" s="292" t="s">
        <v>15</v>
      </c>
      <c r="P9" s="292" t="s">
        <v>24</v>
      </c>
      <c r="Q9" s="14"/>
    </row>
    <row r="10" spans="1:93" x14ac:dyDescent="0.25">
      <c r="A10" s="15" t="s">
        <v>25</v>
      </c>
      <c r="B10" s="293">
        <f>+YEARFRAC(B7,B8)</f>
        <v>7</v>
      </c>
      <c r="C10" s="293">
        <f t="shared" ref="C10" si="1">+YEARFRAC(C7,C8)</f>
        <v>7</v>
      </c>
      <c r="D10" s="293">
        <f>+YEARFRAC(D7,D8)</f>
        <v>10</v>
      </c>
      <c r="E10" s="293">
        <f t="shared" ref="E10:P10" si="2">+YEARFRAC(E7,E8)</f>
        <v>10</v>
      </c>
      <c r="F10" s="293">
        <f t="shared" si="2"/>
        <v>13</v>
      </c>
      <c r="G10" s="293">
        <f t="shared" si="2"/>
        <v>13</v>
      </c>
      <c r="H10" s="293">
        <f t="shared" si="2"/>
        <v>16</v>
      </c>
      <c r="I10" s="293">
        <f t="shared" si="2"/>
        <v>16</v>
      </c>
      <c r="J10" s="293">
        <f t="shared" si="2"/>
        <v>18</v>
      </c>
      <c r="K10" s="293">
        <f t="shared" si="2"/>
        <v>18</v>
      </c>
      <c r="L10" s="293">
        <f t="shared" si="2"/>
        <v>21</v>
      </c>
      <c r="M10" s="293">
        <f t="shared" si="2"/>
        <v>21</v>
      </c>
      <c r="N10" s="293">
        <f t="shared" si="2"/>
        <v>25</v>
      </c>
      <c r="O10" s="293">
        <f t="shared" si="2"/>
        <v>25</v>
      </c>
      <c r="P10" s="293">
        <f t="shared" si="2"/>
        <v>3</v>
      </c>
      <c r="Q10" s="14"/>
    </row>
    <row r="11" spans="1:93" s="4" customFormat="1" x14ac:dyDescent="0.25">
      <c r="A11" s="15" t="s">
        <v>26</v>
      </c>
      <c r="B11" s="293">
        <f>+YEARFRAC(B7,B12)</f>
        <v>0</v>
      </c>
      <c r="C11" s="293">
        <f t="shared" ref="C11" si="3">+YEARFRAC(C7,C12)</f>
        <v>0</v>
      </c>
      <c r="D11" s="293">
        <f>+YEARFRAC(D7,D12)</f>
        <v>0</v>
      </c>
      <c r="E11" s="293">
        <f t="shared" ref="E11:P11" si="4">+YEARFRAC(E7,E12)</f>
        <v>0</v>
      </c>
      <c r="F11" s="293">
        <f t="shared" si="4"/>
        <v>0</v>
      </c>
      <c r="G11" s="293">
        <f t="shared" si="4"/>
        <v>0</v>
      </c>
      <c r="H11" s="293">
        <f t="shared" si="4"/>
        <v>0</v>
      </c>
      <c r="I11" s="293">
        <f t="shared" si="4"/>
        <v>0</v>
      </c>
      <c r="J11" s="293">
        <f t="shared" si="4"/>
        <v>0</v>
      </c>
      <c r="K11" s="293">
        <f t="shared" si="4"/>
        <v>0</v>
      </c>
      <c r="L11" s="293">
        <f t="shared" si="4"/>
        <v>0</v>
      </c>
      <c r="M11" s="293">
        <f t="shared" si="4"/>
        <v>0</v>
      </c>
      <c r="N11" s="293">
        <f t="shared" si="4"/>
        <v>0</v>
      </c>
      <c r="O11" s="293">
        <f t="shared" si="4"/>
        <v>0</v>
      </c>
      <c r="P11" s="293">
        <f t="shared" si="4"/>
        <v>0</v>
      </c>
      <c r="Q11" s="14"/>
      <c r="R11" s="2"/>
      <c r="S11" s="2"/>
      <c r="T11" s="2"/>
      <c r="CC11" s="2"/>
      <c r="CD11" s="2"/>
      <c r="CE11" s="2"/>
      <c r="CF11" s="2"/>
      <c r="CG11" s="2"/>
      <c r="CH11" s="2"/>
      <c r="CI11" s="2"/>
      <c r="CJ11" s="2"/>
      <c r="CK11" s="2"/>
    </row>
    <row r="12" spans="1:93" x14ac:dyDescent="0.25">
      <c r="A12" s="15" t="s">
        <v>27</v>
      </c>
      <c r="B12" s="292">
        <v>44027</v>
      </c>
      <c r="C12" s="292">
        <f>+B12</f>
        <v>44027</v>
      </c>
      <c r="D12" s="292">
        <f t="shared" ref="D12:P12" si="5">+C12</f>
        <v>44027</v>
      </c>
      <c r="E12" s="292">
        <f t="shared" si="5"/>
        <v>44027</v>
      </c>
      <c r="F12" s="292">
        <f t="shared" si="5"/>
        <v>44027</v>
      </c>
      <c r="G12" s="292">
        <f t="shared" si="5"/>
        <v>44027</v>
      </c>
      <c r="H12" s="292">
        <f t="shared" si="5"/>
        <v>44027</v>
      </c>
      <c r="I12" s="292">
        <f t="shared" si="5"/>
        <v>44027</v>
      </c>
      <c r="J12" s="292">
        <f t="shared" si="5"/>
        <v>44027</v>
      </c>
      <c r="K12" s="292">
        <f t="shared" si="5"/>
        <v>44027</v>
      </c>
      <c r="L12" s="292">
        <f>+I12</f>
        <v>44027</v>
      </c>
      <c r="M12" s="292">
        <f t="shared" si="5"/>
        <v>44027</v>
      </c>
      <c r="N12" s="292">
        <f t="shared" si="5"/>
        <v>44027</v>
      </c>
      <c r="O12" s="292">
        <f t="shared" si="5"/>
        <v>44027</v>
      </c>
      <c r="P12" s="292">
        <f t="shared" si="5"/>
        <v>44027</v>
      </c>
      <c r="Q12" s="14"/>
    </row>
    <row r="13" spans="1:93" x14ac:dyDescent="0.25">
      <c r="A13" s="15" t="s">
        <v>28</v>
      </c>
      <c r="B13" s="292">
        <f t="shared" ref="B13:P13" si="6">DATE(YEAR(B$12),MONTH(B$12)+VLOOKUP(B$15,$M$1:$O$4,3,0),DAY(B$12))</f>
        <v>44211</v>
      </c>
      <c r="C13" s="292">
        <f t="shared" si="6"/>
        <v>44211</v>
      </c>
      <c r="D13" s="292">
        <f t="shared" si="6"/>
        <v>44211</v>
      </c>
      <c r="E13" s="292">
        <f t="shared" si="6"/>
        <v>44211</v>
      </c>
      <c r="F13" s="292">
        <f t="shared" si="6"/>
        <v>44211</v>
      </c>
      <c r="G13" s="292">
        <f t="shared" si="6"/>
        <v>44211</v>
      </c>
      <c r="H13" s="292">
        <f t="shared" si="6"/>
        <v>44211</v>
      </c>
      <c r="I13" s="292">
        <f t="shared" si="6"/>
        <v>44211</v>
      </c>
      <c r="J13" s="292">
        <f t="shared" si="6"/>
        <v>44211</v>
      </c>
      <c r="K13" s="292">
        <f t="shared" si="6"/>
        <v>44211</v>
      </c>
      <c r="L13" s="292">
        <f t="shared" si="6"/>
        <v>44211</v>
      </c>
      <c r="M13" s="292">
        <f t="shared" si="6"/>
        <v>44211</v>
      </c>
      <c r="N13" s="292">
        <f t="shared" si="6"/>
        <v>44211</v>
      </c>
      <c r="O13" s="292">
        <f t="shared" si="6"/>
        <v>44211</v>
      </c>
      <c r="P13" s="292">
        <f t="shared" si="6"/>
        <v>44211</v>
      </c>
      <c r="Q13" s="14"/>
    </row>
    <row r="14" spans="1:93" x14ac:dyDescent="0.25">
      <c r="A14" s="15" t="s">
        <v>144</v>
      </c>
      <c r="B14" s="294" t="s">
        <v>30</v>
      </c>
      <c r="C14" s="294" t="s">
        <v>30</v>
      </c>
      <c r="D14" s="294" t="s">
        <v>30</v>
      </c>
      <c r="E14" s="294" t="s">
        <v>30</v>
      </c>
      <c r="F14" s="294" t="s">
        <v>30</v>
      </c>
      <c r="G14" s="294" t="s">
        <v>30</v>
      </c>
      <c r="H14" s="294" t="s">
        <v>30</v>
      </c>
      <c r="I14" s="294" t="s">
        <v>30</v>
      </c>
      <c r="J14" s="294" t="s">
        <v>30</v>
      </c>
      <c r="K14" s="294" t="s">
        <v>30</v>
      </c>
      <c r="L14" s="294" t="s">
        <v>30</v>
      </c>
      <c r="M14" s="294" t="s">
        <v>30</v>
      </c>
      <c r="N14" s="294" t="s">
        <v>30</v>
      </c>
      <c r="O14" s="294" t="s">
        <v>30</v>
      </c>
      <c r="P14" s="294" t="s">
        <v>30</v>
      </c>
      <c r="Q14" s="14"/>
      <c r="R14" s="250"/>
      <c r="T14" s="252"/>
    </row>
    <row r="15" spans="1:93" x14ac:dyDescent="0.25">
      <c r="A15" s="15" t="s">
        <v>31</v>
      </c>
      <c r="B15" s="292" t="s">
        <v>1</v>
      </c>
      <c r="C15" s="292" t="s">
        <v>1</v>
      </c>
      <c r="D15" s="292" t="s">
        <v>1</v>
      </c>
      <c r="E15" s="292" t="s">
        <v>1</v>
      </c>
      <c r="F15" s="292" t="s">
        <v>1</v>
      </c>
      <c r="G15" s="292" t="s">
        <v>1</v>
      </c>
      <c r="H15" s="292" t="s">
        <v>1</v>
      </c>
      <c r="I15" s="292" t="s">
        <v>1</v>
      </c>
      <c r="J15" s="292" t="s">
        <v>1</v>
      </c>
      <c r="K15" s="292" t="s">
        <v>1</v>
      </c>
      <c r="L15" s="292" t="s">
        <v>1</v>
      </c>
      <c r="M15" s="292" t="s">
        <v>1</v>
      </c>
      <c r="N15" s="292" t="s">
        <v>1</v>
      </c>
      <c r="O15" s="292" t="s">
        <v>1</v>
      </c>
      <c r="P15" s="292" t="s">
        <v>1</v>
      </c>
      <c r="Q15" s="14"/>
      <c r="R15" s="250"/>
      <c r="T15" s="252"/>
    </row>
    <row r="16" spans="1:93" x14ac:dyDescent="0.25">
      <c r="A16" s="15" t="s">
        <v>32</v>
      </c>
      <c r="B16" s="295">
        <v>5</v>
      </c>
      <c r="C16" s="295">
        <v>5</v>
      </c>
      <c r="D16" s="295">
        <v>6</v>
      </c>
      <c r="E16" s="295">
        <v>6</v>
      </c>
      <c r="F16" s="295">
        <v>6</v>
      </c>
      <c r="G16" s="295">
        <v>6</v>
      </c>
      <c r="H16" s="295">
        <v>6</v>
      </c>
      <c r="I16" s="295">
        <v>6</v>
      </c>
      <c r="J16" s="295">
        <v>22</v>
      </c>
      <c r="K16" s="295">
        <v>22</v>
      </c>
      <c r="L16" s="295">
        <v>30</v>
      </c>
      <c r="M16" s="295">
        <v>30</v>
      </c>
      <c r="N16" s="295">
        <v>36</v>
      </c>
      <c r="O16" s="295">
        <v>36</v>
      </c>
      <c r="P16" s="295">
        <v>6</v>
      </c>
      <c r="Q16" s="14"/>
      <c r="R16" s="250"/>
      <c r="T16" s="252"/>
    </row>
    <row r="17" spans="1:97" x14ac:dyDescent="0.25">
      <c r="A17" s="15" t="s">
        <v>33</v>
      </c>
      <c r="B17" s="292">
        <v>45853</v>
      </c>
      <c r="C17" s="292">
        <v>45853</v>
      </c>
      <c r="D17" s="292">
        <v>46767</v>
      </c>
      <c r="E17" s="292">
        <v>46767</v>
      </c>
      <c r="F17" s="292">
        <v>47863</v>
      </c>
      <c r="G17" s="292">
        <v>47863</v>
      </c>
      <c r="H17" s="292">
        <v>48959</v>
      </c>
      <c r="I17" s="292">
        <v>48959</v>
      </c>
      <c r="J17" s="292">
        <v>46767</v>
      </c>
      <c r="K17" s="292">
        <v>46767</v>
      </c>
      <c r="L17" s="292">
        <v>46402</v>
      </c>
      <c r="M17" s="292">
        <v>46402</v>
      </c>
      <c r="N17" s="292">
        <v>46767</v>
      </c>
      <c r="O17" s="292">
        <v>46767</v>
      </c>
      <c r="P17" s="292">
        <v>44211</v>
      </c>
      <c r="Q17" s="14"/>
      <c r="R17" s="250"/>
      <c r="T17" s="252"/>
    </row>
    <row r="18" spans="1:97" x14ac:dyDescent="0.25">
      <c r="A18" s="15" t="s">
        <v>145</v>
      </c>
      <c r="B18" s="352">
        <v>100</v>
      </c>
      <c r="C18" s="352">
        <v>100</v>
      </c>
      <c r="D18" s="352">
        <v>100</v>
      </c>
      <c r="E18" s="352">
        <v>100</v>
      </c>
      <c r="F18" s="352">
        <v>100</v>
      </c>
      <c r="G18" s="352">
        <v>100</v>
      </c>
      <c r="H18" s="352">
        <v>99</v>
      </c>
      <c r="I18" s="352">
        <v>99</v>
      </c>
      <c r="J18" s="352">
        <v>100</v>
      </c>
      <c r="K18" s="352">
        <v>100</v>
      </c>
      <c r="L18" s="352">
        <v>100</v>
      </c>
      <c r="M18" s="352">
        <v>100</v>
      </c>
      <c r="N18" s="352">
        <v>99</v>
      </c>
      <c r="O18" s="352">
        <v>99</v>
      </c>
      <c r="P18" s="352">
        <v>100</v>
      </c>
      <c r="Q18" s="14"/>
      <c r="R18" s="250"/>
      <c r="T18" s="252"/>
    </row>
    <row r="19" spans="1:97" x14ac:dyDescent="0.25">
      <c r="A19" s="15" t="s">
        <v>146</v>
      </c>
      <c r="B19" s="351">
        <f>+S28</f>
        <v>100</v>
      </c>
      <c r="C19" s="351">
        <f>+X28</f>
        <v>100</v>
      </c>
      <c r="D19" s="351">
        <f>+AC28</f>
        <v>100</v>
      </c>
      <c r="E19" s="351">
        <f>+AH28</f>
        <v>100</v>
      </c>
      <c r="F19" s="351">
        <f>+AM28</f>
        <v>100</v>
      </c>
      <c r="G19" s="351">
        <f>+AR28</f>
        <v>100</v>
      </c>
      <c r="H19" s="351">
        <f>+AW28</f>
        <v>99</v>
      </c>
      <c r="I19" s="351">
        <f>+BB28</f>
        <v>99</v>
      </c>
      <c r="J19" s="351">
        <f>+BG28</f>
        <v>100</v>
      </c>
      <c r="K19" s="351">
        <f>+BL28</f>
        <v>100</v>
      </c>
      <c r="L19" s="351">
        <f>+BQ28</f>
        <v>100</v>
      </c>
      <c r="M19" s="351">
        <f>+BV28</f>
        <v>100</v>
      </c>
      <c r="N19" s="351">
        <f>+CA28</f>
        <v>99</v>
      </c>
      <c r="O19" s="351">
        <f>+CF28</f>
        <v>99</v>
      </c>
      <c r="P19" s="351">
        <f>+CK28</f>
        <v>100</v>
      </c>
      <c r="Q19" s="14"/>
      <c r="R19" s="250"/>
      <c r="T19" s="252"/>
    </row>
    <row r="20" spans="1:97" s="4" customFormat="1" ht="21" customHeight="1" x14ac:dyDescent="0.25">
      <c r="A20" s="12" t="s">
        <v>36</v>
      </c>
      <c r="B20" s="19">
        <f>$W$82</f>
        <v>61.355115063241328</v>
      </c>
      <c r="C20" s="19">
        <f>$AB$82</f>
        <v>57.281866895780063</v>
      </c>
      <c r="D20" s="19">
        <f>$AG$82</f>
        <v>58.985598324195792</v>
      </c>
      <c r="E20" s="19">
        <f>$AL$82</f>
        <v>53.607900135921518</v>
      </c>
      <c r="F20" s="19">
        <f>$AQ$82</f>
        <v>57.063287586198477</v>
      </c>
      <c r="G20" s="19">
        <f>$AV$82</f>
        <v>50.529607074850226</v>
      </c>
      <c r="H20" s="19">
        <f>$BA$82</f>
        <v>55.21745947831176</v>
      </c>
      <c r="I20" s="19">
        <f>$BF$82</f>
        <v>47.974823234334643</v>
      </c>
      <c r="J20" s="19">
        <f>$BK$82</f>
        <v>60.741198590638483</v>
      </c>
      <c r="K20" s="19">
        <f>$BP$82</f>
        <v>54.536514008693416</v>
      </c>
      <c r="L20" s="19">
        <f>$BU$82</f>
        <v>51.585668576914657</v>
      </c>
      <c r="M20" s="19">
        <f>$BZ$82</f>
        <v>46.898007346284778</v>
      </c>
      <c r="N20" s="19">
        <f>$CE$82</f>
        <v>55.096152616668341</v>
      </c>
      <c r="O20" s="19">
        <f>$CJ$82</f>
        <v>47.940702375927856</v>
      </c>
      <c r="P20" s="19">
        <f>$CO$82</f>
        <v>91.098069931921941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</row>
    <row r="21" spans="1:97" s="4" customFormat="1" ht="21" customHeight="1" x14ac:dyDescent="0.25">
      <c r="A21" s="12" t="s">
        <v>37</v>
      </c>
      <c r="B21" s="19">
        <f t="shared" ref="B21:P21" si="7">+B20/IF(B$9="USD",1,$U$2)</f>
        <v>61.355115063241328</v>
      </c>
      <c r="C21" s="19">
        <f t="shared" si="7"/>
        <v>64.40506734402976</v>
      </c>
      <c r="D21" s="19">
        <f t="shared" si="7"/>
        <v>58.985598324195792</v>
      </c>
      <c r="E21" s="19">
        <f t="shared" si="7"/>
        <v>60.274229970678569</v>
      </c>
      <c r="F21" s="19">
        <f t="shared" si="7"/>
        <v>57.063287586198477</v>
      </c>
      <c r="G21" s="19">
        <f t="shared" si="7"/>
        <v>56.813140403474506</v>
      </c>
      <c r="H21" s="19">
        <f t="shared" si="7"/>
        <v>55.21745947831176</v>
      </c>
      <c r="I21" s="19">
        <f t="shared" si="7"/>
        <v>53.940660258977566</v>
      </c>
      <c r="J21" s="19">
        <f t="shared" si="7"/>
        <v>60.741198590638483</v>
      </c>
      <c r="K21" s="19">
        <f t="shared" si="7"/>
        <v>61.318320225650346</v>
      </c>
      <c r="L21" s="19">
        <f t="shared" si="7"/>
        <v>51.585668576914657</v>
      </c>
      <c r="M21" s="19">
        <f t="shared" si="7"/>
        <v>52.729938549904183</v>
      </c>
      <c r="N21" s="19">
        <f t="shared" si="7"/>
        <v>55.096152616668341</v>
      </c>
      <c r="O21" s="19">
        <f t="shared" si="7"/>
        <v>53.902296352516146</v>
      </c>
      <c r="P21" s="19">
        <f t="shared" si="7"/>
        <v>91.098069931921941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Q21"/>
      <c r="CR21"/>
      <c r="CS21"/>
    </row>
    <row r="22" spans="1:97" ht="15" x14ac:dyDescent="0.25">
      <c r="A22" s="4"/>
      <c r="R22" s="250"/>
      <c r="T22" s="252"/>
      <c r="CQ22"/>
      <c r="CR22"/>
      <c r="CS22"/>
    </row>
    <row r="23" spans="1:97" ht="11.25" customHeight="1" x14ac:dyDescent="0.25">
      <c r="A23" s="21"/>
      <c r="B23" s="21"/>
      <c r="C23" s="22"/>
      <c r="D23" s="21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54"/>
      <c r="R23" s="250"/>
      <c r="S23" s="481" t="s">
        <v>148</v>
      </c>
      <c r="T23" s="481"/>
      <c r="U23" s="481"/>
      <c r="V23" s="481"/>
      <c r="W23" s="482"/>
      <c r="X23" s="483" t="s">
        <v>149</v>
      </c>
      <c r="Y23" s="481"/>
      <c r="Z23" s="481"/>
      <c r="AA23" s="481"/>
      <c r="AB23" s="482"/>
      <c r="AC23" s="471" t="s">
        <v>150</v>
      </c>
      <c r="AD23" s="466"/>
      <c r="AE23" s="466"/>
      <c r="AF23" s="466"/>
      <c r="AG23" s="467"/>
      <c r="AH23" s="471" t="s">
        <v>151</v>
      </c>
      <c r="AI23" s="466"/>
      <c r="AJ23" s="466"/>
      <c r="AK23" s="466"/>
      <c r="AL23" s="467"/>
      <c r="AM23" s="484" t="s">
        <v>152</v>
      </c>
      <c r="AN23" s="485"/>
      <c r="AO23" s="485"/>
      <c r="AP23" s="485"/>
      <c r="AQ23" s="486"/>
      <c r="AR23" s="471" t="s">
        <v>153</v>
      </c>
      <c r="AS23" s="466"/>
      <c r="AT23" s="466"/>
      <c r="AU23" s="466"/>
      <c r="AV23" s="467"/>
      <c r="AW23" s="471" t="s">
        <v>154</v>
      </c>
      <c r="AX23" s="466"/>
      <c r="AY23" s="466"/>
      <c r="AZ23" s="466"/>
      <c r="BA23" s="467"/>
      <c r="BB23" s="471" t="s">
        <v>155</v>
      </c>
      <c r="BC23" s="466"/>
      <c r="BD23" s="466"/>
      <c r="BE23" s="466"/>
      <c r="BF23" s="467"/>
      <c r="BG23" s="471" t="s">
        <v>156</v>
      </c>
      <c r="BH23" s="466"/>
      <c r="BI23" s="466"/>
      <c r="BJ23" s="466"/>
      <c r="BK23" s="467"/>
      <c r="BL23" s="471" t="s">
        <v>157</v>
      </c>
      <c r="BM23" s="466"/>
      <c r="BN23" s="466"/>
      <c r="BO23" s="466"/>
      <c r="BP23" s="467"/>
      <c r="BQ23" s="471" t="s">
        <v>158</v>
      </c>
      <c r="BR23" s="466"/>
      <c r="BS23" s="466"/>
      <c r="BT23" s="466"/>
      <c r="BU23" s="467"/>
      <c r="BV23" s="471" t="s">
        <v>159</v>
      </c>
      <c r="BW23" s="466"/>
      <c r="BX23" s="466"/>
      <c r="BY23" s="466"/>
      <c r="BZ23" s="467"/>
      <c r="CA23" s="471" t="s">
        <v>160</v>
      </c>
      <c r="CB23" s="466"/>
      <c r="CC23" s="466"/>
      <c r="CD23" s="466"/>
      <c r="CE23" s="467"/>
      <c r="CF23" s="471" t="s">
        <v>161</v>
      </c>
      <c r="CG23" s="466"/>
      <c r="CH23" s="466"/>
      <c r="CI23" s="466"/>
      <c r="CJ23" s="467"/>
      <c r="CK23" s="471" t="s">
        <v>212</v>
      </c>
      <c r="CL23" s="466"/>
      <c r="CM23" s="466"/>
      <c r="CN23" s="466"/>
      <c r="CO23" s="467"/>
      <c r="CP23" s="4"/>
      <c r="CQ23"/>
      <c r="CR23"/>
      <c r="CS23"/>
    </row>
    <row r="24" spans="1:97" ht="22.5" x14ac:dyDescent="0.25">
      <c r="A24" s="23" t="s">
        <v>38</v>
      </c>
      <c r="B24" s="468" t="s">
        <v>39</v>
      </c>
      <c r="C24" s="469"/>
      <c r="D24" s="469"/>
      <c r="E24" s="469"/>
      <c r="F24" s="469"/>
      <c r="G24" s="469"/>
      <c r="H24" s="469"/>
      <c r="I24" s="469"/>
      <c r="J24" s="469"/>
      <c r="K24" s="469"/>
      <c r="L24" s="469"/>
      <c r="M24" s="469"/>
      <c r="N24" s="469"/>
      <c r="O24" s="469"/>
      <c r="P24" s="470"/>
      <c r="Q24" s="24" t="s">
        <v>132</v>
      </c>
      <c r="R24" s="24" t="s">
        <v>40</v>
      </c>
      <c r="S24" s="24" t="s">
        <v>162</v>
      </c>
      <c r="T24" s="25" t="s">
        <v>41</v>
      </c>
      <c r="U24" s="25" t="s">
        <v>42</v>
      </c>
      <c r="V24" s="25" t="s">
        <v>43</v>
      </c>
      <c r="W24" s="26" t="s">
        <v>44</v>
      </c>
      <c r="X24" s="24" t="s">
        <v>162</v>
      </c>
      <c r="Y24" s="25" t="s">
        <v>41</v>
      </c>
      <c r="Z24" s="25" t="s">
        <v>42</v>
      </c>
      <c r="AA24" s="25" t="s">
        <v>43</v>
      </c>
      <c r="AB24" s="26" t="s">
        <v>44</v>
      </c>
      <c r="AC24" s="24" t="s">
        <v>162</v>
      </c>
      <c r="AD24" s="25" t="s">
        <v>41</v>
      </c>
      <c r="AE24" s="25" t="s">
        <v>42</v>
      </c>
      <c r="AF24" s="25" t="s">
        <v>43</v>
      </c>
      <c r="AG24" s="26" t="s">
        <v>44</v>
      </c>
      <c r="AH24" s="24" t="s">
        <v>162</v>
      </c>
      <c r="AI24" s="25" t="s">
        <v>41</v>
      </c>
      <c r="AJ24" s="25" t="s">
        <v>42</v>
      </c>
      <c r="AK24" s="25" t="s">
        <v>43</v>
      </c>
      <c r="AL24" s="26" t="s">
        <v>44</v>
      </c>
      <c r="AM24" s="24" t="s">
        <v>162</v>
      </c>
      <c r="AN24" s="25" t="s">
        <v>41</v>
      </c>
      <c r="AO24" s="25" t="s">
        <v>42</v>
      </c>
      <c r="AP24" s="25" t="s">
        <v>43</v>
      </c>
      <c r="AQ24" s="26" t="s">
        <v>44</v>
      </c>
      <c r="AR24" s="24" t="s">
        <v>162</v>
      </c>
      <c r="AS24" s="25" t="s">
        <v>41</v>
      </c>
      <c r="AT24" s="25" t="s">
        <v>42</v>
      </c>
      <c r="AU24" s="25" t="s">
        <v>43</v>
      </c>
      <c r="AV24" s="26" t="s">
        <v>44</v>
      </c>
      <c r="AW24" s="24" t="s">
        <v>162</v>
      </c>
      <c r="AX24" s="25" t="s">
        <v>41</v>
      </c>
      <c r="AY24" s="25" t="s">
        <v>42</v>
      </c>
      <c r="AZ24" s="25" t="s">
        <v>43</v>
      </c>
      <c r="BA24" s="26" t="s">
        <v>44</v>
      </c>
      <c r="BB24" s="24" t="s">
        <v>162</v>
      </c>
      <c r="BC24" s="25" t="s">
        <v>41</v>
      </c>
      <c r="BD24" s="25" t="s">
        <v>42</v>
      </c>
      <c r="BE24" s="25" t="s">
        <v>43</v>
      </c>
      <c r="BF24" s="26" t="s">
        <v>44</v>
      </c>
      <c r="BG24" s="24" t="s">
        <v>162</v>
      </c>
      <c r="BH24" s="25" t="s">
        <v>41</v>
      </c>
      <c r="BI24" s="25" t="s">
        <v>42</v>
      </c>
      <c r="BJ24" s="25" t="s">
        <v>43</v>
      </c>
      <c r="BK24" s="26" t="s">
        <v>44</v>
      </c>
      <c r="BL24" s="24" t="s">
        <v>162</v>
      </c>
      <c r="BM24" s="25" t="s">
        <v>41</v>
      </c>
      <c r="BN24" s="25" t="s">
        <v>42</v>
      </c>
      <c r="BO24" s="25" t="s">
        <v>43</v>
      </c>
      <c r="BP24" s="26" t="s">
        <v>44</v>
      </c>
      <c r="BQ24" s="24" t="s">
        <v>162</v>
      </c>
      <c r="BR24" s="25" t="s">
        <v>41</v>
      </c>
      <c r="BS24" s="25" t="s">
        <v>42</v>
      </c>
      <c r="BT24" s="25" t="s">
        <v>43</v>
      </c>
      <c r="BU24" s="26" t="s">
        <v>44</v>
      </c>
      <c r="BV24" s="24" t="s">
        <v>162</v>
      </c>
      <c r="BW24" s="25" t="s">
        <v>41</v>
      </c>
      <c r="BX24" s="25" t="s">
        <v>42</v>
      </c>
      <c r="BY24" s="25" t="s">
        <v>43</v>
      </c>
      <c r="BZ24" s="26" t="s">
        <v>44</v>
      </c>
      <c r="CA24" s="24" t="s">
        <v>162</v>
      </c>
      <c r="CB24" s="25" t="s">
        <v>41</v>
      </c>
      <c r="CC24" s="25" t="s">
        <v>42</v>
      </c>
      <c r="CD24" s="25" t="s">
        <v>43</v>
      </c>
      <c r="CE24" s="26" t="s">
        <v>44</v>
      </c>
      <c r="CF24" s="24" t="s">
        <v>162</v>
      </c>
      <c r="CG24" s="25" t="s">
        <v>41</v>
      </c>
      <c r="CH24" s="25" t="s">
        <v>42</v>
      </c>
      <c r="CI24" s="25" t="s">
        <v>43</v>
      </c>
      <c r="CJ24" s="26" t="s">
        <v>44</v>
      </c>
      <c r="CK24" s="24" t="s">
        <v>162</v>
      </c>
      <c r="CL24" s="25" t="s">
        <v>41</v>
      </c>
      <c r="CM24" s="25" t="s">
        <v>42</v>
      </c>
      <c r="CN24" s="25" t="s">
        <v>43</v>
      </c>
      <c r="CO24" s="26" t="s">
        <v>44</v>
      </c>
      <c r="CP24" s="4"/>
      <c r="CQ24"/>
      <c r="CR24"/>
      <c r="CS24"/>
    </row>
    <row r="25" spans="1:97" s="4" customFormat="1" ht="15" x14ac:dyDescent="0.25">
      <c r="A25" s="27">
        <f>+D7</f>
        <v>44027</v>
      </c>
      <c r="B25" s="255">
        <v>0</v>
      </c>
      <c r="C25" s="256">
        <v>0</v>
      </c>
      <c r="D25" s="256">
        <v>0</v>
      </c>
      <c r="E25" s="256">
        <v>0</v>
      </c>
      <c r="F25" s="256">
        <v>0</v>
      </c>
      <c r="G25" s="256">
        <v>0</v>
      </c>
      <c r="H25" s="256">
        <v>0</v>
      </c>
      <c r="I25" s="256">
        <v>0</v>
      </c>
      <c r="J25" s="256">
        <v>0</v>
      </c>
      <c r="K25" s="256">
        <v>0</v>
      </c>
      <c r="L25" s="256">
        <v>0</v>
      </c>
      <c r="M25" s="256">
        <v>0</v>
      </c>
      <c r="N25" s="256">
        <v>0</v>
      </c>
      <c r="O25" s="30">
        <v>0</v>
      </c>
      <c r="P25" s="259">
        <v>0</v>
      </c>
      <c r="Q25" s="2">
        <f>+YEAR(R25)</f>
        <v>2020</v>
      </c>
      <c r="R25" s="249">
        <f>+D7</f>
        <v>44027</v>
      </c>
      <c r="S25" s="257">
        <f>+B18</f>
        <v>100</v>
      </c>
      <c r="T25" s="257">
        <f>+IF($R25&gt;B$8,"FIN",(S25-SUM($U24:U$25))*VLOOKUP($R25,$A:$Q,2,0)/VLOOKUP(B$15,$M$1:$O$4,2,0))</f>
        <v>0</v>
      </c>
      <c r="U25" s="257">
        <f t="shared" ref="U25:U39" si="8">+IF($R25&gt;B$8,"FIN",IF($R25&lt;=B$8,IFERROR(IF($R25&lt;B$17,0,$B$19/B$16),0),0))</f>
        <v>0</v>
      </c>
      <c r="V25" s="257">
        <f>+SUM(T25:U25)</f>
        <v>0</v>
      </c>
      <c r="W25" s="258">
        <f t="shared" ref="W25:W39" si="9">V25/(1+$B$5)^(YEARFRAC($R$25,$R25))</f>
        <v>0</v>
      </c>
      <c r="X25" s="257">
        <f>+C18</f>
        <v>100</v>
      </c>
      <c r="Y25" s="257">
        <f>+IF($R25&gt;C$8,"FIN",(X25-SUM($Z24:Z$25))*VLOOKUP($R25,$A:$Q,3,0)/VLOOKUP(C$15,$M$1:$O$4,2,0))</f>
        <v>0</v>
      </c>
      <c r="Z25" s="257">
        <f>+IF($R25&gt;C$8,"FIN",IF($R25&lt;=C$8,IFERROR(IF($R25&lt;C$17,0,C$19/C$16),0),0))</f>
        <v>0</v>
      </c>
      <c r="AA25" s="257">
        <f t="shared" ref="AA25:AA39" si="10">+SUM(Y25:Z25)</f>
        <v>0</v>
      </c>
      <c r="AB25" s="258">
        <f t="shared" ref="AB25:AB39" si="11">AA25/(1+$B$5)^(YEARFRAC($R$25,$R25))</f>
        <v>0</v>
      </c>
      <c r="AC25" s="257">
        <f>+D18</f>
        <v>100</v>
      </c>
      <c r="AD25" s="257">
        <f>+IF($R25&gt;D$8,"FIN",(AC25-SUM($AE24:AE$25))*VLOOKUP($R25,$A:$Q,4,0)/VLOOKUP(D$15,$M$1:$O$4,2,0))</f>
        <v>0</v>
      </c>
      <c r="AE25" s="257">
        <f t="shared" ref="AE25:AE45" si="12">+IF($R25&gt;D$8,"FIN",IF($R25&lt;=D$8,IFERROR(IF($R25&lt;D$17,0,D$19/D$16),0),0))</f>
        <v>0</v>
      </c>
      <c r="AF25" s="257">
        <f t="shared" ref="AF25:AF26" si="13">+SUM(AD25:AE25)</f>
        <v>0</v>
      </c>
      <c r="AG25" s="258">
        <f t="shared" ref="AG25:AG45" si="14">AF25/(1+$B$5)^(YEARFRAC($R$25,$R25))</f>
        <v>0</v>
      </c>
      <c r="AH25" s="257">
        <f>+E18</f>
        <v>100</v>
      </c>
      <c r="AI25" s="257">
        <f>+IF($R25&gt;E$8,"FIN",(AH25-SUM($AJ24:AJ$25))*VLOOKUP($R25,$A:$Q,5,0)/VLOOKUP(E$15,$M$1:$O$4,2,0))</f>
        <v>0</v>
      </c>
      <c r="AJ25" s="257">
        <f t="shared" ref="AJ25:AJ45" si="15">+IF($R25&gt;E$8,"FIN",IF($R25&lt;=E$8,IFERROR(IF($R25&lt;E$17,0,E$19/E$16),0),0))</f>
        <v>0</v>
      </c>
      <c r="AK25" s="257">
        <f t="shared" ref="AK25:AK45" si="16">+SUM(AI25:AJ25)</f>
        <v>0</v>
      </c>
      <c r="AL25" s="258">
        <f t="shared" ref="AL25:AL45" si="17">AK25/(1+$B$5)^(YEARFRAC($R$25,$R25))</f>
        <v>0</v>
      </c>
      <c r="AM25" s="257">
        <f>+F18</f>
        <v>100</v>
      </c>
      <c r="AN25" s="257">
        <f>+IF($R25&gt;F$8,"FIN",(AM25-SUM($AO24:AO$25))*VLOOKUP($R25,$A:$Q,6,0)/VLOOKUP(F$15,$M$1:$O$4,2,0))</f>
        <v>0</v>
      </c>
      <c r="AO25" s="257">
        <f t="shared" ref="AO25:AO51" si="18">+IF($R25&gt;F$8,"FIN",IF($R25&lt;=F$8,IFERROR(IF($R25&lt;F$17,0,F$19/F$16),0),0))</f>
        <v>0</v>
      </c>
      <c r="AP25" s="257">
        <f t="shared" ref="AP25:AP51" si="19">+SUM(AN25:AO25)</f>
        <v>0</v>
      </c>
      <c r="AQ25" s="258">
        <f t="shared" ref="AQ25:AQ51" si="20">AP25/(1+$B$5)^(YEARFRAC($R$25,$R25))</f>
        <v>0</v>
      </c>
      <c r="AR25" s="257">
        <f>+G18</f>
        <v>100</v>
      </c>
      <c r="AS25" s="257">
        <f>+IF($R25&gt;G$8,"FIN",(AR25-SUM(AT24:AT$25))*VLOOKUP($R25,$A:$Q,7,0)/VLOOKUP(G$15,$M$1:$O$4,2,0))</f>
        <v>0</v>
      </c>
      <c r="AT25" s="257">
        <f t="shared" ref="AT25:AT51" si="21">+IF($R25&gt;G$8,"FIN",IF($R25&lt;=G$8,IFERROR(IF($R25&lt;G$17,0,G$19/G$16),0),0))</f>
        <v>0</v>
      </c>
      <c r="AU25" s="257">
        <f>+SUM(AS25:AT25)</f>
        <v>0</v>
      </c>
      <c r="AV25" s="258">
        <f t="shared" ref="AV25:AV51" si="22">AU25/(1+$B$5)^(YEARFRAC($R$25,$R25))</f>
        <v>0</v>
      </c>
      <c r="AW25" s="257">
        <f>+H18</f>
        <v>99</v>
      </c>
      <c r="AX25" s="257">
        <f>+IF($R25&gt;H$8,"FIN",(AW25-SUM(AY24:AY$25))*VLOOKUP($R25,$A:$Q,8,0)/VLOOKUP(H$15,$M$1:$O$4,2,0))</f>
        <v>0</v>
      </c>
      <c r="AY25" s="257">
        <f t="shared" ref="AY25:AY57" si="23">+IF($R25&gt;H$8,"FIN",IF($R25&lt;=H$8,IFERROR(IF($R25&lt;H$17,0,H$19/H$16),0),0))</f>
        <v>0</v>
      </c>
      <c r="AZ25" s="257">
        <f t="shared" ref="AZ25:AZ57" si="24">+SUM(AX25:AY25)</f>
        <v>0</v>
      </c>
      <c r="BA25" s="258">
        <f t="shared" ref="BA25:BA57" si="25">AZ25/(1+$B$5)^(YEARFRAC($R$25,$R25))</f>
        <v>0</v>
      </c>
      <c r="BB25" s="257">
        <f>+I18</f>
        <v>99</v>
      </c>
      <c r="BC25" s="257">
        <f>+IF($R25&gt;I$8,"FIN",(BB25-SUM(BD24:BD$25))*VLOOKUP($R25,$A:$Q,9,0)/VLOOKUP(I$15,$M$1:$O$4,2,0))</f>
        <v>0</v>
      </c>
      <c r="BD25" s="257">
        <f t="shared" ref="BD25:BD57" si="26">+IF($R25&gt;I$8,"FIN",IF($R25&lt;=I$8,IFERROR(IF($R25&lt;I$17,0,I$19/I$16),0),0))</f>
        <v>0</v>
      </c>
      <c r="BE25" s="257">
        <f>+SUM(BC25:BD25)</f>
        <v>0</v>
      </c>
      <c r="BF25" s="258">
        <f t="shared" ref="BF25:BF57" si="27">BE25/(1+$B$5)^(YEARFRAC($R$25,$R25))</f>
        <v>0</v>
      </c>
      <c r="BG25" s="257">
        <f>+J18</f>
        <v>100</v>
      </c>
      <c r="BH25" s="257">
        <f>+IF($R25&gt;J$8,"FIN",(BG25-SUM(BI24:BI$25))*VLOOKUP($R25,$A:$Q,10,0)/VLOOKUP(J$15,$M$1:$O$4,2,0))</f>
        <v>0</v>
      </c>
      <c r="BI25" s="257">
        <f>+IF($R25&gt;J$8,"FIN",IF($R25&lt;=J$8,IFERROR(IF($R25&lt;J$17,0,J$18/J$16),0),0))</f>
        <v>0</v>
      </c>
      <c r="BJ25" s="257">
        <f t="shared" ref="BJ25:BJ61" si="28">+SUM(BH25:BI25)</f>
        <v>0</v>
      </c>
      <c r="BK25" s="258">
        <f t="shared" ref="BK25:BK61" si="29">BJ25/(1+$B$5)^(YEARFRAC($R$25,$R25))</f>
        <v>0</v>
      </c>
      <c r="BL25" s="257">
        <f>+K18</f>
        <v>100</v>
      </c>
      <c r="BM25" s="257">
        <f>+IF($R25&gt;K$8,"FIN",(BL25-SUM(BN24:BN$25))*VLOOKUP($R25,$A:$Q,11,0)/VLOOKUP(K$15,$M$1:$O$4,2,0))</f>
        <v>0</v>
      </c>
      <c r="BN25" s="257">
        <f>+IF($R25&gt;K$8,"FIN",IF($R25&lt;=K$8,IFERROR(IF($R25&lt;K$17,0,K$18/K$16),0),0))</f>
        <v>0</v>
      </c>
      <c r="BO25" s="257">
        <f>+SUM(BM25:BN25)</f>
        <v>0</v>
      </c>
      <c r="BP25" s="258">
        <f t="shared" ref="BP25:BP61" si="30">BO25/(1+$B$5)^(YEARFRAC($R$25,$R25))</f>
        <v>0</v>
      </c>
      <c r="BQ25" s="257">
        <f>+L18</f>
        <v>100</v>
      </c>
      <c r="BR25" s="257">
        <f>+IF($R25&gt;L$8,"FIN",(BQ25-SUM(BS24:BS$25))*VLOOKUP($R25,$A:$Q,12,0)/VLOOKUP(L$15,$M$1:$O$4,2,0))</f>
        <v>0</v>
      </c>
      <c r="BS25" s="257">
        <f t="shared" ref="BS25:BS67" si="31">+IF($R25&gt;L$8,"FIN",IF($R25&lt;=L$8,IFERROR(IF($R25&lt;L$17,0,L$19/L$16),0),0))</f>
        <v>0</v>
      </c>
      <c r="BT25" s="257">
        <f t="shared" ref="BT25:BT67" si="32">+SUM(BR25:BS25)</f>
        <v>0</v>
      </c>
      <c r="BU25" s="258">
        <f t="shared" ref="BU25:BU67" si="33">BT25/(1+$B$5)^(YEARFRAC($R$25,$R25))</f>
        <v>0</v>
      </c>
      <c r="BV25" s="257">
        <f>+M18</f>
        <v>100</v>
      </c>
      <c r="BW25" s="257">
        <f>+IF($R25&gt;M$8,"FIN",(BV25-SUM(BX24:BX$25))*VLOOKUP($R25,$A:$Q,13,0)/VLOOKUP(M$15,$M$1:$O$4,2,0))</f>
        <v>0</v>
      </c>
      <c r="BX25" s="257">
        <f t="shared" ref="BX25:BX67" si="34">+IF($R25&gt;M$8,"FIN",IF($R25&lt;=M$8,IFERROR(IF($R25&lt;M$17,0,M$19/M$16),0),0))</f>
        <v>0</v>
      </c>
      <c r="BY25" s="257">
        <f>+SUM(BW25:BX25)</f>
        <v>0</v>
      </c>
      <c r="BZ25" s="258">
        <f t="shared" ref="BZ25:BZ67" si="35">BY25/(1+$B$5)^(YEARFRAC($R$25,$R25))</f>
        <v>0</v>
      </c>
      <c r="CA25" s="257">
        <f>+N18</f>
        <v>99</v>
      </c>
      <c r="CB25" s="257">
        <f>+IF($R25&gt;N$8,"FIN",(CA25-SUM(CC24:CC$25))*VLOOKUP($R25,$A:$Q,14,0)/VLOOKUP(N$15,$M$1:$O$4,2,0))</f>
        <v>0</v>
      </c>
      <c r="CC25" s="257">
        <f t="shared" ref="CC25:CC75" si="36">+IF($R25&gt;N$8,"FIN",IF($R25&lt;=N$8,IFERROR(IF($R25&lt;N$17,0,N$19/N$16),0),0))</f>
        <v>0</v>
      </c>
      <c r="CD25" s="257">
        <f t="shared" ref="CD25" si="37">+SUM(CB25:CC25)</f>
        <v>0</v>
      </c>
      <c r="CE25" s="258">
        <f t="shared" ref="CE25:CE56" si="38">CD25/(1+$B$5)^(YEARFRAC($R$25,$R25))</f>
        <v>0</v>
      </c>
      <c r="CF25" s="257">
        <f>+O18</f>
        <v>99</v>
      </c>
      <c r="CG25" s="257">
        <f>+IF($R25&gt;O$8,"FIN",(CF25-SUM(CH24:CH$25))*VLOOKUP($R25,$A:$Q,15,0)/VLOOKUP(O$15,$M$1:$O$4,2,0))</f>
        <v>0</v>
      </c>
      <c r="CH25" s="257">
        <f t="shared" ref="CH25:CH75" si="39">+IF($R25&gt;O$8,"FIN",IF($R25&lt;=O$8,IFERROR(IF($R25&lt;O$17,0,O$19/O$16),0),0))</f>
        <v>0</v>
      </c>
      <c r="CI25" s="257">
        <f>+SUM(CG25:CH25)</f>
        <v>0</v>
      </c>
      <c r="CJ25" s="258">
        <f t="shared" ref="CJ25:CJ56" si="40">CI25/(1+$B$5)^(YEARFRAC($R$25,$R25))</f>
        <v>0</v>
      </c>
      <c r="CK25" s="257">
        <f>+P18</f>
        <v>100</v>
      </c>
      <c r="CL25" s="257">
        <f>+IF($R25&gt;P$8,"FIN",(CK25-SUM(CM24:CM$25))*VLOOKUP($R25,$A:$Q,16,0)/VLOOKUP(P$15,$M$1:$O$4,2,0))</f>
        <v>0</v>
      </c>
      <c r="CM25" s="257">
        <f>+IF($R25&gt;P$8,"FIN",IF($R25&lt;=P$8,IFERROR(IF($R25&lt;P$17,0,P$19/P$16),0),0))</f>
        <v>0</v>
      </c>
      <c r="CN25" s="257">
        <f t="shared" ref="CN25:CN31" si="41">+SUM(CL25:CM25)</f>
        <v>0</v>
      </c>
      <c r="CO25" s="258">
        <f t="shared" ref="CO25:CO31" si="42">CN25/(1+$B$5)^(YEARFRAC($R$25,$R25))</f>
        <v>0</v>
      </c>
      <c r="CQ25"/>
      <c r="CR25"/>
      <c r="CS25"/>
    </row>
    <row r="26" spans="1:97" s="4" customFormat="1" ht="15" x14ac:dyDescent="0.25">
      <c r="A26" s="27">
        <f t="shared" ref="A26:A80" si="43">DATE(YEAR(A25),MONTH(A25)+VLOOKUP($D$15,$M$1:$O$4,3,0),DAY(A25))</f>
        <v>44211</v>
      </c>
      <c r="B26" s="255">
        <v>7.4999999999999997E-3</v>
      </c>
      <c r="C26" s="256">
        <v>1.25E-3</v>
      </c>
      <c r="D26" s="256">
        <v>7.4999999999999997E-3</v>
      </c>
      <c r="E26" s="256">
        <v>2.5000000000000001E-3</v>
      </c>
      <c r="F26" s="256">
        <v>7.4999999999999997E-3</v>
      </c>
      <c r="G26" s="256">
        <v>2.5000000000000001E-3</v>
      </c>
      <c r="H26" s="256">
        <v>7.4999999999999997E-3</v>
      </c>
      <c r="I26" s="256">
        <v>2.5000000000000001E-3</v>
      </c>
      <c r="J26" s="256">
        <v>5.0000000000000001E-3</v>
      </c>
      <c r="K26" s="256">
        <v>4.0000000000000001E-3</v>
      </c>
      <c r="L26" s="256">
        <v>1.25E-3</v>
      </c>
      <c r="M26" s="256">
        <v>1.25E-3</v>
      </c>
      <c r="N26" s="256">
        <v>7.4999999999999997E-3</v>
      </c>
      <c r="O26" s="286">
        <v>2.5000000000000001E-3</v>
      </c>
      <c r="P26" s="259">
        <v>0.04</v>
      </c>
      <c r="Q26" s="2">
        <f t="shared" ref="Q26:Q80" si="44">+YEAR(R26)</f>
        <v>2021</v>
      </c>
      <c r="R26" s="27">
        <f t="shared" ref="R26:R80" si="45">+DATE(YEAR(R25),MONTH(R25)+VLOOKUP(D$15,$M$1:$O$4,3,0),DAY(R25))</f>
        <v>44211</v>
      </c>
      <c r="S26" s="257">
        <f t="shared" ref="S26:S36" si="46">+S25*IF($R26&gt;T$6,1,(1+U9/VLOOKUP(B$15,$M$1:$N$4,2,0))^(VLOOKUP(B$15,$M$1:$N$4,2,0)*T9))</f>
        <v>100</v>
      </c>
      <c r="T26" s="257">
        <f>+IF($R26&gt;B$8,"FIN",(S26-SUM($U$25:U25))*VLOOKUP($R26,$A:$Q,2,0)/VLOOKUP(B$15,$M$1:$O$4,2,0))</f>
        <v>0.375</v>
      </c>
      <c r="U26" s="257">
        <f t="shared" si="8"/>
        <v>0</v>
      </c>
      <c r="V26" s="257">
        <f t="shared" ref="V26:V39" si="47">+SUM(T26:U26)</f>
        <v>0.375</v>
      </c>
      <c r="W26" s="258">
        <f t="shared" si="9"/>
        <v>0.35754847096709708</v>
      </c>
      <c r="X26" s="257">
        <f t="shared" ref="X26:X36" si="48">+X25*IF($R26&gt;Y$6,1,(1+Z9/VLOOKUP(C$15,$M$1:$N$4,2,0))^(VLOOKUP(C$15,$M$1:$N$4,2,0)*Y9))</f>
        <v>100</v>
      </c>
      <c r="Y26" s="257">
        <f>+IF($R26&gt;C$8,"FIN",(X26-SUM($Z$25:Z25))*VLOOKUP($R26,$A:$Q,3,0)/VLOOKUP(C$15,$M$1:$O$4,2,0))</f>
        <v>6.25E-2</v>
      </c>
      <c r="Z26" s="257">
        <f t="shared" ref="Z26:Z39" si="49">+IF($R26&gt;C$8,"FIN",IF($R26&lt;=C$8,IFERROR(IF($R26&lt;C$17,0,C$19/C$16),0),0))</f>
        <v>0</v>
      </c>
      <c r="AA26" s="257">
        <f t="shared" si="10"/>
        <v>6.25E-2</v>
      </c>
      <c r="AB26" s="258">
        <f t="shared" si="11"/>
        <v>5.9591411827849515E-2</v>
      </c>
      <c r="AC26" s="257">
        <f t="shared" ref="AC26:AC36" si="50">+AC25*IF($R26&gt;AD$6,1,(1+AE9/VLOOKUP(D$15,$M$1:$N$4,2,0))^(VLOOKUP(D$15,$M$1:$N$4,2,0)*AD9))</f>
        <v>100</v>
      </c>
      <c r="AD26" s="257">
        <f>+IF($R26&gt;D$8,"FIN",(AC26-SUM($AE$25:AE25))*VLOOKUP($R26,$A:$Q,4,0)/VLOOKUP(D$15,$M$1:$O$4,2,0))</f>
        <v>0.375</v>
      </c>
      <c r="AE26" s="257">
        <f t="shared" si="12"/>
        <v>0</v>
      </c>
      <c r="AF26" s="257">
        <f t="shared" si="13"/>
        <v>0.375</v>
      </c>
      <c r="AG26" s="258">
        <f t="shared" si="14"/>
        <v>0.35754847096709708</v>
      </c>
      <c r="AH26" s="257">
        <f t="shared" ref="AH26:AH36" si="51">+AH25*IF($R26&gt;AI$6,1,(1+AJ9/VLOOKUP(E$15,$M$1:$N$4,2,0))^(VLOOKUP(E$15,$M$1:$N$4,2,0)*AI9))</f>
        <v>100</v>
      </c>
      <c r="AI26" s="257">
        <f>+IF($R26&gt;E$8,"FIN",(AH26-SUM($AJ$25:AJ25))*VLOOKUP($R26,$A:$Q,5,0)/VLOOKUP(E$15,$M$1:$O$4,2,0))</f>
        <v>0.125</v>
      </c>
      <c r="AJ26" s="257">
        <f t="shared" si="15"/>
        <v>0</v>
      </c>
      <c r="AK26" s="257">
        <f t="shared" si="16"/>
        <v>0.125</v>
      </c>
      <c r="AL26" s="258">
        <f t="shared" si="17"/>
        <v>0.11918282365569903</v>
      </c>
      <c r="AM26" s="257">
        <f t="shared" ref="AM26:AM36" si="52">+AM25*IF($R26&gt;AN$6,1,(1+AO9/VLOOKUP(F$15,$M$1:$N$4,2,0))^(VLOOKUP(F$15,$M$1:$N$4,2,0)*AN9))</f>
        <v>100</v>
      </c>
      <c r="AN26" s="257">
        <f>+IF($R26&gt;F$8,"FIN",(AM26-SUM($AO$25:AO25))*VLOOKUP($R26,$A:$Q,6,0)/VLOOKUP(F$15,$M$1:$O$4,2,0))</f>
        <v>0.375</v>
      </c>
      <c r="AO26" s="257">
        <f t="shared" si="18"/>
        <v>0</v>
      </c>
      <c r="AP26" s="257">
        <f t="shared" si="19"/>
        <v>0.375</v>
      </c>
      <c r="AQ26" s="258">
        <f t="shared" si="20"/>
        <v>0.35754847096709708</v>
      </c>
      <c r="AR26" s="257">
        <f t="shared" ref="AR26:AR36" si="53">+AR25*IF($R26&gt;AS$6,1,(1+AT9/VLOOKUP(G$15,$M$1:$N$4,2,0))^(VLOOKUP(G$15,$M$1:$N$4,2,0)*AS9))</f>
        <v>100</v>
      </c>
      <c r="AS26" s="257">
        <f>+IF($R26&gt;G$8,"FIN",(AR26-SUM(AT$25:AT25))*VLOOKUP($R26,$A:$Q,7,0)/VLOOKUP(G$15,$M$1:$O$4,2,0))</f>
        <v>0.125</v>
      </c>
      <c r="AT26" s="257">
        <f t="shared" si="21"/>
        <v>0</v>
      </c>
      <c r="AU26" s="257">
        <f t="shared" ref="AU26:AU51" si="54">+SUM(AS26:AT26)</f>
        <v>0.125</v>
      </c>
      <c r="AV26" s="258">
        <f t="shared" si="22"/>
        <v>0.11918282365569903</v>
      </c>
      <c r="AW26" s="257">
        <f t="shared" ref="AW26:AW36" si="55">+AW25*IF($R26&gt;AX$6,1,(1+AY9/VLOOKUP(H$15,$M$1:$N$4,2,0))^(VLOOKUP(H$15,$M$1:$N$4,2,0)*AX9))</f>
        <v>99</v>
      </c>
      <c r="AX26" s="257">
        <f>+IF($R26&gt;H$8,"FIN",(AW26-SUM(AY$25:AY25))*VLOOKUP($R26,$A:$Q,8,0)/VLOOKUP(H$15,$M$1:$O$4,2,0))</f>
        <v>0.37124999999999997</v>
      </c>
      <c r="AY26" s="257">
        <f t="shared" si="23"/>
        <v>0</v>
      </c>
      <c r="AZ26" s="257">
        <f t="shared" si="24"/>
        <v>0.37124999999999997</v>
      </c>
      <c r="BA26" s="258">
        <f t="shared" si="25"/>
        <v>0.35397298625742607</v>
      </c>
      <c r="BB26" s="257">
        <f t="shared" ref="BB26:BB36" si="56">+BB25*IF($R26&gt;BC$6,1,(1+BD9/VLOOKUP(I$15,$M$1:$N$4,2,0))^(VLOOKUP(I$15,$M$1:$N$4,2,0)*BC9))</f>
        <v>99</v>
      </c>
      <c r="BC26" s="257">
        <f>+IF($R26&gt;I$8,"FIN",(BB26-SUM(BD$25:BD25))*VLOOKUP($R26,$A:$Q,9,0)/VLOOKUP(I$15,$M$1:$O$4,2,0))</f>
        <v>0.12375</v>
      </c>
      <c r="BD26" s="257">
        <f t="shared" si="26"/>
        <v>0</v>
      </c>
      <c r="BE26" s="257">
        <f t="shared" ref="BE26:BE57" si="57">+SUM(BC26:BD26)</f>
        <v>0.12375</v>
      </c>
      <c r="BF26" s="258">
        <f t="shared" si="27"/>
        <v>0.11799099541914204</v>
      </c>
      <c r="BG26" s="257">
        <f t="shared" ref="BG26:BG36" si="58">+BG25*IF($R26&gt;BH$6,1,(1+BI9/VLOOKUP(J$15,$M$1:$N$4,2,0))^(VLOOKUP(J$15,$M$1:$N$4,2,0)*BH9))</f>
        <v>100</v>
      </c>
      <c r="BH26" s="257">
        <f>+IF($R26&gt;J$8,"FIN",(BG26-SUM(BI$25:BI25))*VLOOKUP($R26,$A:$Q,10,0)/VLOOKUP(J$15,$M$1:$O$4,2,0))</f>
        <v>0.25</v>
      </c>
      <c r="BI26" s="257">
        <f t="shared" ref="BI26:BI61" si="59">+IF($R26&gt;J$8,"FIN",IF($R26&lt;=J$8,IFERROR(IF($R26&lt;J$17,0,J$18/J$16),0),0))</f>
        <v>0</v>
      </c>
      <c r="BJ26" s="257">
        <f t="shared" si="28"/>
        <v>0.25</v>
      </c>
      <c r="BK26" s="258">
        <f t="shared" si="29"/>
        <v>0.23836564731139806</v>
      </c>
      <c r="BL26" s="257">
        <f t="shared" ref="BL26:BL36" si="60">+BL25*IF($R26&gt;BM$6,1,(1+BN9/VLOOKUP(K$15,$M$1:$N$4,2,0))^(VLOOKUP(K$15,$M$1:$N$4,2,0)*BM9))</f>
        <v>100</v>
      </c>
      <c r="BM26" s="257">
        <f>+IF($R26&gt;K$8,"FIN",(BL26-SUM(BN$25:BN25))*VLOOKUP($R26,$A:$Q,11,0)/VLOOKUP(K$15,$M$1:$O$4,2,0))</f>
        <v>0.2</v>
      </c>
      <c r="BN26" s="257">
        <f t="shared" ref="BN26:BN61" si="61">+IF($R26&gt;K$8,"FIN",IF($R26&lt;=K$8,IFERROR(IF($R26&lt;K$17,0,K$18/K$16),0),0))</f>
        <v>0</v>
      </c>
      <c r="BO26" s="257">
        <f t="shared" ref="BO26:BO61" si="62">+SUM(BM26:BN26)</f>
        <v>0.2</v>
      </c>
      <c r="BP26" s="258">
        <f t="shared" si="30"/>
        <v>0.19069251784911845</v>
      </c>
      <c r="BQ26" s="257">
        <f t="shared" ref="BQ26:BQ36" si="63">+BQ25*IF($R26&gt;BR$6,1,(1+BS9/VLOOKUP(L$15,$M$1:$N$4,2,0))^(VLOOKUP(L$15,$M$1:$N$4,2,0)*BR9))</f>
        <v>100</v>
      </c>
      <c r="BR26" s="257">
        <f>+IF($R26&gt;L$8,"FIN",(BQ26-SUM(BS$25:BS25))*VLOOKUP($R26,$A:$Q,12,0)/VLOOKUP(L$15,$M$1:$O$4,2,0))</f>
        <v>6.25E-2</v>
      </c>
      <c r="BS26" s="257">
        <f t="shared" si="31"/>
        <v>0</v>
      </c>
      <c r="BT26" s="257">
        <f t="shared" si="32"/>
        <v>6.25E-2</v>
      </c>
      <c r="BU26" s="258">
        <f t="shared" si="33"/>
        <v>5.9591411827849515E-2</v>
      </c>
      <c r="BV26" s="257">
        <f t="shared" ref="BV26:BV36" si="64">+BV25*IF($R26&gt;BW$6,1,(1+BX9/VLOOKUP(M$15,$M$1:$N$4,2,0))^(VLOOKUP(M$15,$M$1:$N$4,2,0)*BW9))</f>
        <v>100</v>
      </c>
      <c r="BW26" s="257">
        <f>+IF($R26&gt;M$8,"FIN",(BV26-SUM(BX$25:BX25))*VLOOKUP($R26,$A:$Q,13,0)/VLOOKUP(M$15,$M$1:$O$4,2,0))</f>
        <v>6.25E-2</v>
      </c>
      <c r="BX26" s="257">
        <f t="shared" si="34"/>
        <v>0</v>
      </c>
      <c r="BY26" s="257">
        <f t="shared" ref="BY26:BY67" si="65">+SUM(BW26:BX26)</f>
        <v>6.25E-2</v>
      </c>
      <c r="BZ26" s="258">
        <f t="shared" si="35"/>
        <v>5.9591411827849515E-2</v>
      </c>
      <c r="CA26" s="257">
        <f t="shared" ref="CA26:CA36" si="66">+CA25*IF($R26&gt;CB$6,1,(1+CC9/VLOOKUP(N$15,$M$1:$N$4,2,0))^(VLOOKUP(N$15,$M$1:$N$4,2,0)*CB9))</f>
        <v>99</v>
      </c>
      <c r="CB26" s="257">
        <f>+IF($R26&gt;N$8,"FIN",(CA26-SUM(CC$25:CC25))*VLOOKUP($R26,$A:$Q,14,0)/VLOOKUP(N$15,$M$1:$O$4,2,0))</f>
        <v>0.37124999999999997</v>
      </c>
      <c r="CC26" s="257">
        <f t="shared" si="36"/>
        <v>0</v>
      </c>
      <c r="CD26" s="257">
        <f t="shared" ref="CD26:CD75" si="67">+SUM(CB26:CC26)</f>
        <v>0.37124999999999997</v>
      </c>
      <c r="CE26" s="258">
        <f t="shared" si="38"/>
        <v>0.35397298625742607</v>
      </c>
      <c r="CF26" s="257">
        <f t="shared" ref="CF26:CF36" si="68">+CF25*IF($R26&gt;CG$6,1,(1+CH9/VLOOKUP(O$15,$M$1:$N$4,2,0))^(VLOOKUP(O$15,$M$1:$N$4,2,0)*CG9))</f>
        <v>99</v>
      </c>
      <c r="CG26" s="257">
        <f>+IF($R26&gt;O$8,"FIN",(CF26-SUM(CH$25:CH25))*VLOOKUP($R26,$A:$Q,15,0)/VLOOKUP(O$15,$M$1:$O$4,2,0))</f>
        <v>0.12375</v>
      </c>
      <c r="CH26" s="257">
        <f>+IF($R26&gt;O$8,"FIN",IF($R26&lt;=O$8,IFERROR(IF($R26&lt;O$17,0,O$19/O$16),0),0))</f>
        <v>0</v>
      </c>
      <c r="CI26" s="257">
        <f t="shared" ref="CI26:CI75" si="69">+SUM(CG26:CH26)</f>
        <v>0.12375</v>
      </c>
      <c r="CJ26" s="258">
        <f t="shared" si="40"/>
        <v>0.11799099541914204</v>
      </c>
      <c r="CK26" s="257">
        <f>+CK25</f>
        <v>100</v>
      </c>
      <c r="CL26" s="257">
        <f>+IF($R26&gt;P$8,"FIN",(CK26-SUM(CM$25:CM25))*VLOOKUP($R26,$A:$Q,16,0)/VLOOKUP(P$15,$M$1:$O$4,2,0))</f>
        <v>2</v>
      </c>
      <c r="CM26" s="257">
        <f>+IF($R26&gt;P$8,"FIN",IF($R26&lt;=P$8,IFERROR(IF($R26&lt;P$17,0,P$19/P$16),0),0))</f>
        <v>16.666666666666668</v>
      </c>
      <c r="CN26" s="257">
        <f t="shared" si="41"/>
        <v>18.666666666666668</v>
      </c>
      <c r="CO26" s="258">
        <f t="shared" si="42"/>
        <v>17.797968332584389</v>
      </c>
      <c r="CQ26"/>
      <c r="CR26"/>
      <c r="CS26"/>
    </row>
    <row r="27" spans="1:97" s="4" customFormat="1" ht="15" x14ac:dyDescent="0.25">
      <c r="A27" s="27">
        <f t="shared" si="43"/>
        <v>44392</v>
      </c>
      <c r="B27" s="255">
        <v>7.4999999999999997E-3</v>
      </c>
      <c r="C27" s="256">
        <v>1.25E-3</v>
      </c>
      <c r="D27" s="256">
        <v>7.4999999999999997E-3</v>
      </c>
      <c r="E27" s="256">
        <v>2.5000000000000001E-3</v>
      </c>
      <c r="F27" s="256">
        <v>7.4999999999999997E-3</v>
      </c>
      <c r="G27" s="256">
        <v>2.5000000000000001E-3</v>
      </c>
      <c r="H27" s="256">
        <v>7.4999999999999997E-3</v>
      </c>
      <c r="I27" s="256">
        <v>2.5000000000000001E-3</v>
      </c>
      <c r="J27" s="256">
        <v>5.0000000000000001E-3</v>
      </c>
      <c r="K27" s="256">
        <v>4.0000000000000001E-3</v>
      </c>
      <c r="L27" s="256">
        <v>1.25E-3</v>
      </c>
      <c r="M27" s="256">
        <v>1.25E-3</v>
      </c>
      <c r="N27" s="256">
        <v>7.4999999999999997E-3</v>
      </c>
      <c r="O27" s="286">
        <v>2.5000000000000001E-3</v>
      </c>
      <c r="P27" s="259">
        <v>0.04</v>
      </c>
      <c r="Q27" s="2">
        <f t="shared" si="44"/>
        <v>2021</v>
      </c>
      <c r="R27" s="27">
        <f t="shared" si="45"/>
        <v>44392</v>
      </c>
      <c r="S27" s="257">
        <f t="shared" si="46"/>
        <v>100</v>
      </c>
      <c r="T27" s="257">
        <f>+IF($R27&gt;B$8,"FIN",(S27-SUM($U$25:U26))*VLOOKUP($R27,$A:$Q,2,0)/VLOOKUP(B$15,$M$1:$O$4,2,0))</f>
        <v>0.375</v>
      </c>
      <c r="U27" s="257">
        <f t="shared" si="8"/>
        <v>0</v>
      </c>
      <c r="V27" s="257">
        <f t="shared" si="47"/>
        <v>0.375</v>
      </c>
      <c r="W27" s="258">
        <f t="shared" si="9"/>
        <v>0.34090909090909088</v>
      </c>
      <c r="X27" s="257">
        <f t="shared" si="48"/>
        <v>100</v>
      </c>
      <c r="Y27" s="257">
        <f>+IF($R27&gt;C$8,"FIN",(X27-SUM($Z$25:Z26))*VLOOKUP($R27,$A:$Q,3,0)/VLOOKUP(C$15,$M$1:$O$4,2,0))</f>
        <v>6.25E-2</v>
      </c>
      <c r="Z27" s="257">
        <f t="shared" si="49"/>
        <v>0</v>
      </c>
      <c r="AA27" s="257">
        <f t="shared" si="10"/>
        <v>6.25E-2</v>
      </c>
      <c r="AB27" s="258">
        <f t="shared" si="11"/>
        <v>5.6818181818181816E-2</v>
      </c>
      <c r="AC27" s="257">
        <f t="shared" si="50"/>
        <v>100</v>
      </c>
      <c r="AD27" s="257">
        <f>+IF($R27&gt;D$8,"FIN",(AC27-SUM($AE$25:AE26))*VLOOKUP($R27,$A:$Q,4,0)/VLOOKUP(D$15,$M$1:$O$4,2,0))</f>
        <v>0.375</v>
      </c>
      <c r="AE27" s="257">
        <f t="shared" si="12"/>
        <v>0</v>
      </c>
      <c r="AF27" s="257">
        <f>+SUM(AD27:AE27)</f>
        <v>0.375</v>
      </c>
      <c r="AG27" s="258">
        <f t="shared" si="14"/>
        <v>0.34090909090909088</v>
      </c>
      <c r="AH27" s="257">
        <f t="shared" si="51"/>
        <v>100</v>
      </c>
      <c r="AI27" s="257">
        <f>+IF($R27&gt;E$8,"FIN",(AH27-SUM($AJ$25:AJ26))*VLOOKUP($R27,$A:$Q,5,0)/VLOOKUP(E$15,$M$1:$O$4,2,0))</f>
        <v>0.125</v>
      </c>
      <c r="AJ27" s="257">
        <f t="shared" si="15"/>
        <v>0</v>
      </c>
      <c r="AK27" s="257">
        <f t="shared" si="16"/>
        <v>0.125</v>
      </c>
      <c r="AL27" s="258">
        <f t="shared" si="17"/>
        <v>0.11363636363636363</v>
      </c>
      <c r="AM27" s="257">
        <f t="shared" si="52"/>
        <v>100</v>
      </c>
      <c r="AN27" s="257">
        <f>+IF($R27&gt;F$8,"FIN",(AM27-SUM($AO$25:AO26))*VLOOKUP($R27,$A:$Q,6,0)/VLOOKUP(F$15,$M$1:$O$4,2,0))</f>
        <v>0.375</v>
      </c>
      <c r="AO27" s="257">
        <f t="shared" si="18"/>
        <v>0</v>
      </c>
      <c r="AP27" s="257">
        <f t="shared" si="19"/>
        <v>0.375</v>
      </c>
      <c r="AQ27" s="258">
        <f t="shared" si="20"/>
        <v>0.34090909090909088</v>
      </c>
      <c r="AR27" s="257">
        <f t="shared" si="53"/>
        <v>100</v>
      </c>
      <c r="AS27" s="257">
        <f>+IF($R27&gt;G$8,"FIN",(AR27-SUM(AT$25:AT26))*VLOOKUP($R27,$A:$Q,7,0)/VLOOKUP(G$15,$M$1:$O$4,2,0))</f>
        <v>0.125</v>
      </c>
      <c r="AT27" s="257">
        <f t="shared" si="21"/>
        <v>0</v>
      </c>
      <c r="AU27" s="257">
        <f t="shared" si="54"/>
        <v>0.125</v>
      </c>
      <c r="AV27" s="258">
        <f t="shared" si="22"/>
        <v>0.11363636363636363</v>
      </c>
      <c r="AW27" s="257">
        <f t="shared" si="55"/>
        <v>99</v>
      </c>
      <c r="AX27" s="257">
        <f>+IF($R27&gt;H$8,"FIN",(AW27-SUM(AY$25:AY26))*VLOOKUP($R27,$A:$Q,8,0)/VLOOKUP(H$15,$M$1:$O$4,2,0))</f>
        <v>0.37124999999999997</v>
      </c>
      <c r="AY27" s="257">
        <f t="shared" si="23"/>
        <v>0</v>
      </c>
      <c r="AZ27" s="257">
        <f t="shared" si="24"/>
        <v>0.37124999999999997</v>
      </c>
      <c r="BA27" s="258">
        <f t="shared" si="25"/>
        <v>0.33749999999999997</v>
      </c>
      <c r="BB27" s="257">
        <f t="shared" si="56"/>
        <v>99</v>
      </c>
      <c r="BC27" s="257">
        <f>+IF($R27&gt;I$8,"FIN",(BB27-SUM(BD$25:BD26))*VLOOKUP($R27,$A:$Q,9,0)/VLOOKUP(I$15,$M$1:$O$4,2,0))</f>
        <v>0.12375</v>
      </c>
      <c r="BD27" s="257">
        <f t="shared" si="26"/>
        <v>0</v>
      </c>
      <c r="BE27" s="257">
        <f t="shared" si="57"/>
        <v>0.12375</v>
      </c>
      <c r="BF27" s="258">
        <f t="shared" si="27"/>
        <v>0.11249999999999999</v>
      </c>
      <c r="BG27" s="257">
        <f t="shared" si="58"/>
        <v>100</v>
      </c>
      <c r="BH27" s="257">
        <f>+IF($R27&gt;J$8,"FIN",(BG27-SUM(BI$25:BI26))*VLOOKUP($R27,$A:$Q,10,0)/VLOOKUP(J$15,$M$1:$O$4,2,0))</f>
        <v>0.25</v>
      </c>
      <c r="BI27" s="257">
        <f t="shared" si="59"/>
        <v>0</v>
      </c>
      <c r="BJ27" s="257">
        <f t="shared" si="28"/>
        <v>0.25</v>
      </c>
      <c r="BK27" s="258">
        <f t="shared" si="29"/>
        <v>0.22727272727272727</v>
      </c>
      <c r="BL27" s="257">
        <f t="shared" si="60"/>
        <v>100</v>
      </c>
      <c r="BM27" s="257">
        <f>+IF($R27&gt;K$8,"FIN",(BL27-SUM(BN$25:BN26))*VLOOKUP($R27,$A:$Q,11,0)/VLOOKUP(K$15,$M$1:$O$4,2,0))</f>
        <v>0.2</v>
      </c>
      <c r="BN27" s="257">
        <f t="shared" si="61"/>
        <v>0</v>
      </c>
      <c r="BO27" s="257">
        <f t="shared" si="62"/>
        <v>0.2</v>
      </c>
      <c r="BP27" s="258">
        <f t="shared" si="30"/>
        <v>0.18181818181818182</v>
      </c>
      <c r="BQ27" s="257">
        <f t="shared" si="63"/>
        <v>100</v>
      </c>
      <c r="BR27" s="257">
        <f>+IF($R27&gt;L$8,"FIN",(BQ27-SUM(BS$25:BS26))*VLOOKUP($R27,$A:$Q,12,0)/VLOOKUP(L$15,$M$1:$O$4,2,0))</f>
        <v>6.25E-2</v>
      </c>
      <c r="BS27" s="257">
        <f t="shared" si="31"/>
        <v>0</v>
      </c>
      <c r="BT27" s="257">
        <f t="shared" si="32"/>
        <v>6.25E-2</v>
      </c>
      <c r="BU27" s="258">
        <f t="shared" si="33"/>
        <v>5.6818181818181816E-2</v>
      </c>
      <c r="BV27" s="257">
        <f t="shared" si="64"/>
        <v>100</v>
      </c>
      <c r="BW27" s="257">
        <f>+IF($R27&gt;M$8,"FIN",(BV27-SUM(BX$25:BX26))*VLOOKUP($R27,$A:$Q,13,0)/VLOOKUP(M$15,$M$1:$O$4,2,0))</f>
        <v>6.25E-2</v>
      </c>
      <c r="BX27" s="257">
        <f t="shared" si="34"/>
        <v>0</v>
      </c>
      <c r="BY27" s="257">
        <f t="shared" si="65"/>
        <v>6.25E-2</v>
      </c>
      <c r="BZ27" s="258">
        <f t="shared" si="35"/>
        <v>5.6818181818181816E-2</v>
      </c>
      <c r="CA27" s="257">
        <f t="shared" si="66"/>
        <v>99</v>
      </c>
      <c r="CB27" s="257">
        <f>+IF($R27&gt;N$8,"FIN",(CA27-SUM(CC$25:CC26))*VLOOKUP($R27,$A:$Q,14,0)/VLOOKUP(N$15,$M$1:$O$4,2,0))</f>
        <v>0.37124999999999997</v>
      </c>
      <c r="CC27" s="257">
        <f t="shared" si="36"/>
        <v>0</v>
      </c>
      <c r="CD27" s="257">
        <f t="shared" si="67"/>
        <v>0.37124999999999997</v>
      </c>
      <c r="CE27" s="258">
        <f t="shared" si="38"/>
        <v>0.33749999999999997</v>
      </c>
      <c r="CF27" s="257">
        <f t="shared" si="68"/>
        <v>99</v>
      </c>
      <c r="CG27" s="257">
        <f>+IF($R27&gt;O$8,"FIN",(CF27-SUM(CH$25:CH26))*VLOOKUP($R27,$A:$Q,15,0)/VLOOKUP(O$15,$M$1:$O$4,2,0))</f>
        <v>0.12375</v>
      </c>
      <c r="CH27" s="257">
        <f t="shared" si="39"/>
        <v>0</v>
      </c>
      <c r="CI27" s="257">
        <f t="shared" si="69"/>
        <v>0.12375</v>
      </c>
      <c r="CJ27" s="258">
        <f t="shared" si="40"/>
        <v>0.11249999999999999</v>
      </c>
      <c r="CK27" s="257">
        <f t="shared" ref="CK27:CK31" si="70">+CK26</f>
        <v>100</v>
      </c>
      <c r="CL27" s="257">
        <f>+IF($R27&gt;P$8,"FIN",(CK27-SUM(CM$25:CM26))*VLOOKUP($R27,$A:$Q,16,0)/VLOOKUP(P$15,$M$1:$O$4,2,0))</f>
        <v>1.6666666666666665</v>
      </c>
      <c r="CM27" s="257">
        <f t="shared" ref="CM27:CM31" si="71">+IF($R27&gt;P$8,"FIN",IF($R27&lt;=P$8,IFERROR(IF($R27&lt;P$17,0,P$19/P$16),0),0))</f>
        <v>16.666666666666668</v>
      </c>
      <c r="CN27" s="257">
        <f t="shared" si="41"/>
        <v>18.333333333333336</v>
      </c>
      <c r="CO27" s="258">
        <f t="shared" si="42"/>
        <v>16.666666666666668</v>
      </c>
      <c r="CQ27"/>
      <c r="CR27"/>
      <c r="CS27"/>
    </row>
    <row r="28" spans="1:97" s="4" customFormat="1" ht="15" x14ac:dyDescent="0.25">
      <c r="A28" s="27">
        <f t="shared" si="43"/>
        <v>44576</v>
      </c>
      <c r="B28" s="255">
        <v>7.4999999999999997E-3</v>
      </c>
      <c r="C28" s="256">
        <v>1.25E-3</v>
      </c>
      <c r="D28" s="256">
        <v>1.7500000000000002E-2</v>
      </c>
      <c r="E28" s="256">
        <v>9.4999999999999998E-3</v>
      </c>
      <c r="F28" s="256">
        <v>1.7500000000000002E-2</v>
      </c>
      <c r="G28" s="256">
        <v>9.4999999999999998E-3</v>
      </c>
      <c r="H28" s="256">
        <v>1.7500000000000002E-2</v>
      </c>
      <c r="I28" s="256">
        <v>9.4999999999999998E-3</v>
      </c>
      <c r="J28" s="256">
        <v>2.2499999999999999E-2</v>
      </c>
      <c r="K28" s="256">
        <v>1.7999999999999999E-2</v>
      </c>
      <c r="L28" s="256">
        <v>1.6250000000000001E-2</v>
      </c>
      <c r="M28" s="256">
        <v>1.125E-2</v>
      </c>
      <c r="N28" s="256">
        <v>1.7500000000000002E-2</v>
      </c>
      <c r="O28" s="286">
        <v>9.4999999999999998E-3</v>
      </c>
      <c r="P28" s="259">
        <v>0.04</v>
      </c>
      <c r="Q28" s="2">
        <f t="shared" si="44"/>
        <v>2022</v>
      </c>
      <c r="R28" s="27">
        <f t="shared" si="45"/>
        <v>44576</v>
      </c>
      <c r="S28" s="257">
        <f t="shared" si="46"/>
        <v>100</v>
      </c>
      <c r="T28" s="257">
        <f>+IF($R28&gt;B$8,"FIN",(S28-SUM($U$25:U27))*VLOOKUP($R28,$A:$Q,2,0)/VLOOKUP(B$15,$M$1:$O$4,2,0))</f>
        <v>0.375</v>
      </c>
      <c r="U28" s="257">
        <f t="shared" si="8"/>
        <v>0</v>
      </c>
      <c r="V28" s="257">
        <f t="shared" si="47"/>
        <v>0.375</v>
      </c>
      <c r="W28" s="258">
        <f t="shared" si="9"/>
        <v>0.3250440645155428</v>
      </c>
      <c r="X28" s="257">
        <f t="shared" si="48"/>
        <v>100</v>
      </c>
      <c r="Y28" s="257">
        <f>+IF($R28&gt;C$8,"FIN",(X28-SUM($Z$25:Z27))*VLOOKUP($R28,$A:$Q,3,0)/VLOOKUP(C$15,$M$1:$O$4,2,0))</f>
        <v>6.25E-2</v>
      </c>
      <c r="Z28" s="257">
        <f t="shared" si="49"/>
        <v>0</v>
      </c>
      <c r="AA28" s="257">
        <f t="shared" si="10"/>
        <v>6.25E-2</v>
      </c>
      <c r="AB28" s="258">
        <f t="shared" si="11"/>
        <v>5.4174010752590464E-2</v>
      </c>
      <c r="AC28" s="257">
        <f t="shared" si="50"/>
        <v>100</v>
      </c>
      <c r="AD28" s="257">
        <f>+IF($R28&gt;D$8,"FIN",(AC28-SUM($AE$25:AE27))*VLOOKUP($R28,$A:$Q,4,0)/VLOOKUP(D$15,$M$1:$O$4,2,0))</f>
        <v>0.87500000000000011</v>
      </c>
      <c r="AE28" s="257">
        <f t="shared" si="12"/>
        <v>0</v>
      </c>
      <c r="AF28" s="257">
        <f t="shared" ref="AF28:AF45" si="72">+SUM(AD28:AE28)</f>
        <v>0.87500000000000011</v>
      </c>
      <c r="AG28" s="258">
        <f t="shared" si="14"/>
        <v>0.75843615053626656</v>
      </c>
      <c r="AH28" s="257">
        <f t="shared" si="51"/>
        <v>100</v>
      </c>
      <c r="AI28" s="257">
        <f>+IF($R28&gt;E$8,"FIN",(AH28-SUM($AJ$25:AJ27))*VLOOKUP($R28,$A:$Q,5,0)/VLOOKUP(E$15,$M$1:$O$4,2,0))</f>
        <v>0.47499999999999998</v>
      </c>
      <c r="AJ28" s="257">
        <f t="shared" si="15"/>
        <v>0</v>
      </c>
      <c r="AK28" s="257">
        <f t="shared" si="16"/>
        <v>0.47499999999999998</v>
      </c>
      <c r="AL28" s="258">
        <f t="shared" si="17"/>
        <v>0.41172248171968751</v>
      </c>
      <c r="AM28" s="257">
        <f t="shared" si="52"/>
        <v>100</v>
      </c>
      <c r="AN28" s="257">
        <f>+IF($R28&gt;F$8,"FIN",(AM28-SUM($AO$25:AO27))*VLOOKUP($R28,$A:$Q,6,0)/VLOOKUP(F$15,$M$1:$O$4,2,0))</f>
        <v>0.87500000000000011</v>
      </c>
      <c r="AO28" s="257">
        <f t="shared" si="18"/>
        <v>0</v>
      </c>
      <c r="AP28" s="257">
        <f t="shared" si="19"/>
        <v>0.87500000000000011</v>
      </c>
      <c r="AQ28" s="258">
        <f t="shared" si="20"/>
        <v>0.75843615053626656</v>
      </c>
      <c r="AR28" s="257">
        <f t="shared" si="53"/>
        <v>100</v>
      </c>
      <c r="AS28" s="257">
        <f>+IF($R28&gt;G$8,"FIN",(AR28-SUM(AT$25:AT27))*VLOOKUP($R28,$A:$Q,7,0)/VLOOKUP(G$15,$M$1:$O$4,2,0))</f>
        <v>0.47499999999999998</v>
      </c>
      <c r="AT28" s="257">
        <f t="shared" si="21"/>
        <v>0</v>
      </c>
      <c r="AU28" s="257">
        <f t="shared" si="54"/>
        <v>0.47499999999999998</v>
      </c>
      <c r="AV28" s="258">
        <f t="shared" si="22"/>
        <v>0.41172248171968751</v>
      </c>
      <c r="AW28" s="257">
        <f t="shared" si="55"/>
        <v>99</v>
      </c>
      <c r="AX28" s="257">
        <f>+IF($R28&gt;H$8,"FIN",(AW28-SUM(AY$25:AY27))*VLOOKUP($R28,$A:$Q,8,0)/VLOOKUP(H$15,$M$1:$O$4,2,0))</f>
        <v>0.86625000000000008</v>
      </c>
      <c r="AY28" s="257">
        <f t="shared" si="23"/>
        <v>0</v>
      </c>
      <c r="AZ28" s="257">
        <f t="shared" si="24"/>
        <v>0.86625000000000008</v>
      </c>
      <c r="BA28" s="258">
        <f t="shared" si="25"/>
        <v>0.75085178903090388</v>
      </c>
      <c r="BB28" s="257">
        <f t="shared" si="56"/>
        <v>99</v>
      </c>
      <c r="BC28" s="257">
        <f>+IF($R28&gt;I$8,"FIN",(BB28-SUM(BD$25:BD27))*VLOOKUP($R28,$A:$Q,9,0)/VLOOKUP(I$15,$M$1:$O$4,2,0))</f>
        <v>0.47025</v>
      </c>
      <c r="BD28" s="257">
        <f t="shared" si="26"/>
        <v>0</v>
      </c>
      <c r="BE28" s="257">
        <f t="shared" si="57"/>
        <v>0.47025</v>
      </c>
      <c r="BF28" s="258">
        <f t="shared" si="27"/>
        <v>0.40760525690249061</v>
      </c>
      <c r="BG28" s="257">
        <f t="shared" si="58"/>
        <v>100</v>
      </c>
      <c r="BH28" s="257">
        <f>+IF($R28&gt;J$8,"FIN",(BG28-SUM(BI$25:BI27))*VLOOKUP($R28,$A:$Q,10,0)/VLOOKUP(J$15,$M$1:$O$4,2,0))</f>
        <v>1.125</v>
      </c>
      <c r="BI28" s="257">
        <f t="shared" si="59"/>
        <v>0</v>
      </c>
      <c r="BJ28" s="257">
        <f t="shared" si="28"/>
        <v>1.125</v>
      </c>
      <c r="BK28" s="258">
        <f t="shared" si="29"/>
        <v>0.97513219354662828</v>
      </c>
      <c r="BL28" s="257">
        <f t="shared" si="60"/>
        <v>100</v>
      </c>
      <c r="BM28" s="257">
        <f>+IF($R28&gt;K$8,"FIN",(BL28-SUM(BN$25:BN27))*VLOOKUP($R28,$A:$Q,11,0)/VLOOKUP(K$15,$M$1:$O$4,2,0))</f>
        <v>0.89999999999999991</v>
      </c>
      <c r="BN28" s="257">
        <f t="shared" si="61"/>
        <v>0</v>
      </c>
      <c r="BO28" s="257">
        <f t="shared" si="62"/>
        <v>0.89999999999999991</v>
      </c>
      <c r="BP28" s="258">
        <f t="shared" si="30"/>
        <v>0.7801057548373026</v>
      </c>
      <c r="BQ28" s="257">
        <f t="shared" si="63"/>
        <v>100</v>
      </c>
      <c r="BR28" s="257">
        <f>+IF($R28&gt;L$8,"FIN",(BQ28-SUM(BS$25:BS27))*VLOOKUP($R28,$A:$Q,12,0)/VLOOKUP(L$15,$M$1:$O$4,2,0))</f>
        <v>0.8125</v>
      </c>
      <c r="BS28" s="257">
        <f t="shared" si="31"/>
        <v>0</v>
      </c>
      <c r="BT28" s="257">
        <f t="shared" si="32"/>
        <v>0.8125</v>
      </c>
      <c r="BU28" s="258">
        <f t="shared" si="33"/>
        <v>0.70426213978367602</v>
      </c>
      <c r="BV28" s="257">
        <f t="shared" si="64"/>
        <v>100</v>
      </c>
      <c r="BW28" s="257">
        <f>+IF($R28&gt;M$8,"FIN",(BV28-SUM(BX$25:BX27))*VLOOKUP($R28,$A:$Q,13,0)/VLOOKUP(M$15,$M$1:$O$4,2,0))</f>
        <v>0.5625</v>
      </c>
      <c r="BX28" s="257">
        <f t="shared" si="34"/>
        <v>0</v>
      </c>
      <c r="BY28" s="257">
        <f t="shared" si="65"/>
        <v>0.5625</v>
      </c>
      <c r="BZ28" s="258">
        <f t="shared" si="35"/>
        <v>0.48756609677331414</v>
      </c>
      <c r="CA28" s="257">
        <f t="shared" si="66"/>
        <v>99</v>
      </c>
      <c r="CB28" s="257">
        <f>+IF($R28&gt;N$8,"FIN",(CA28-SUM(CC$25:CC27))*VLOOKUP($R28,$A:$Q,14,0)/VLOOKUP(N$15,$M$1:$O$4,2,0))</f>
        <v>0.86625000000000008</v>
      </c>
      <c r="CC28" s="257">
        <f t="shared" si="36"/>
        <v>0</v>
      </c>
      <c r="CD28" s="257">
        <f t="shared" si="67"/>
        <v>0.86625000000000008</v>
      </c>
      <c r="CE28" s="258">
        <f t="shared" si="38"/>
        <v>0.75085178903090388</v>
      </c>
      <c r="CF28" s="257">
        <f t="shared" si="68"/>
        <v>99</v>
      </c>
      <c r="CG28" s="257">
        <f>+IF($R28&gt;O$8,"FIN",(CF28-SUM(CH$25:CH27))*VLOOKUP($R28,$A:$Q,15,0)/VLOOKUP(O$15,$M$1:$O$4,2,0))</f>
        <v>0.47025</v>
      </c>
      <c r="CH28" s="257">
        <f t="shared" si="39"/>
        <v>0</v>
      </c>
      <c r="CI28" s="257">
        <f t="shared" si="69"/>
        <v>0.47025</v>
      </c>
      <c r="CJ28" s="258">
        <f t="shared" si="40"/>
        <v>0.40760525690249061</v>
      </c>
      <c r="CK28" s="257">
        <f t="shared" si="70"/>
        <v>100</v>
      </c>
      <c r="CL28" s="257">
        <f>+IF($R28&gt;P$8,"FIN",(CK28-SUM(CM$25:CM27))*VLOOKUP($R28,$A:$Q,16,0)/VLOOKUP(P$15,$M$1:$O$4,2,0))</f>
        <v>1.3333333333333333</v>
      </c>
      <c r="CM28" s="257">
        <f t="shared" si="71"/>
        <v>16.666666666666668</v>
      </c>
      <c r="CN28" s="257">
        <f t="shared" si="41"/>
        <v>18</v>
      </c>
      <c r="CO28" s="258">
        <f t="shared" si="42"/>
        <v>15.602115096746052</v>
      </c>
      <c r="CQ28"/>
      <c r="CR28"/>
      <c r="CS28"/>
    </row>
    <row r="29" spans="1:97" s="4" customFormat="1" ht="15" x14ac:dyDescent="0.25">
      <c r="A29" s="27">
        <f t="shared" si="43"/>
        <v>44757</v>
      </c>
      <c r="B29" s="256">
        <v>7.4999999999999997E-3</v>
      </c>
      <c r="C29" s="256">
        <v>1.25E-3</v>
      </c>
      <c r="D29" s="256">
        <v>1.7500000000000002E-2</v>
      </c>
      <c r="E29" s="256">
        <v>9.4999999999999998E-3</v>
      </c>
      <c r="F29" s="256">
        <v>1.7500000000000002E-2</v>
      </c>
      <c r="G29" s="256">
        <v>9.4999999999999998E-3</v>
      </c>
      <c r="H29" s="256">
        <v>1.7500000000000002E-2</v>
      </c>
      <c r="I29" s="256">
        <v>9.4999999999999998E-3</v>
      </c>
      <c r="J29" s="256">
        <v>2.2499999999999999E-2</v>
      </c>
      <c r="K29" s="256">
        <v>1.7999999999999999E-2</v>
      </c>
      <c r="L29" s="256">
        <v>1.6250000000000001E-2</v>
      </c>
      <c r="M29" s="256">
        <v>1.125E-2</v>
      </c>
      <c r="N29" s="256">
        <v>1.7500000000000002E-2</v>
      </c>
      <c r="O29" s="286">
        <v>9.4999999999999998E-3</v>
      </c>
      <c r="P29" s="259">
        <v>0.04</v>
      </c>
      <c r="Q29" s="2">
        <f t="shared" si="44"/>
        <v>2022</v>
      </c>
      <c r="R29" s="27">
        <f t="shared" si="45"/>
        <v>44757</v>
      </c>
      <c r="S29" s="257">
        <f t="shared" si="46"/>
        <v>100</v>
      </c>
      <c r="T29" s="257">
        <f>+IF($R29&gt;B$8,"FIN",(S29-SUM($U$25:U28))*VLOOKUP($R29,$A:$Q,2,0)/VLOOKUP(B$15,$M$1:$O$4,2,0))</f>
        <v>0.375</v>
      </c>
      <c r="U29" s="257">
        <f t="shared" si="8"/>
        <v>0</v>
      </c>
      <c r="V29" s="257">
        <f t="shared" si="47"/>
        <v>0.375</v>
      </c>
      <c r="W29" s="258">
        <f t="shared" si="9"/>
        <v>0.30991735537190079</v>
      </c>
      <c r="X29" s="257">
        <f t="shared" si="48"/>
        <v>100</v>
      </c>
      <c r="Y29" s="257">
        <f>+IF($R29&gt;C$8,"FIN",(X29-SUM($Z$25:Z28))*VLOOKUP($R29,$A:$Q,3,0)/VLOOKUP(C$15,$M$1:$O$4,2,0))</f>
        <v>6.25E-2</v>
      </c>
      <c r="Z29" s="257">
        <f t="shared" si="49"/>
        <v>0</v>
      </c>
      <c r="AA29" s="257">
        <f t="shared" si="10"/>
        <v>6.25E-2</v>
      </c>
      <c r="AB29" s="258">
        <f t="shared" si="11"/>
        <v>5.1652892561983466E-2</v>
      </c>
      <c r="AC29" s="257">
        <f t="shared" si="50"/>
        <v>100</v>
      </c>
      <c r="AD29" s="257">
        <f>+IF($R29&gt;D$8,"FIN",(AC29-SUM($AE$25:AE28))*VLOOKUP($R29,$A:$Q,4,0)/VLOOKUP(D$15,$M$1:$O$4,2,0))</f>
        <v>0.87500000000000011</v>
      </c>
      <c r="AE29" s="257">
        <f t="shared" si="12"/>
        <v>0</v>
      </c>
      <c r="AF29" s="257">
        <f t="shared" si="72"/>
        <v>0.87500000000000011</v>
      </c>
      <c r="AG29" s="258">
        <f t="shared" si="14"/>
        <v>0.72314049586776863</v>
      </c>
      <c r="AH29" s="257">
        <f t="shared" si="51"/>
        <v>100</v>
      </c>
      <c r="AI29" s="257">
        <f>+IF($R29&gt;E$8,"FIN",(AH29-SUM($AJ$25:AJ28))*VLOOKUP($R29,$A:$Q,5,0)/VLOOKUP(E$15,$M$1:$O$4,2,0))</f>
        <v>0.47499999999999998</v>
      </c>
      <c r="AJ29" s="257">
        <f t="shared" si="15"/>
        <v>0</v>
      </c>
      <c r="AK29" s="257">
        <f t="shared" si="16"/>
        <v>0.47499999999999998</v>
      </c>
      <c r="AL29" s="258">
        <f t="shared" si="17"/>
        <v>0.39256198347107429</v>
      </c>
      <c r="AM29" s="257">
        <f t="shared" si="52"/>
        <v>100</v>
      </c>
      <c r="AN29" s="257">
        <f>+IF($R29&gt;F$8,"FIN",(AM29-SUM($AO$25:AO28))*VLOOKUP($R29,$A:$Q,6,0)/VLOOKUP(F$15,$M$1:$O$4,2,0))</f>
        <v>0.87500000000000011</v>
      </c>
      <c r="AO29" s="257">
        <f t="shared" si="18"/>
        <v>0</v>
      </c>
      <c r="AP29" s="257">
        <f t="shared" si="19"/>
        <v>0.87500000000000011</v>
      </c>
      <c r="AQ29" s="258">
        <f t="shared" si="20"/>
        <v>0.72314049586776863</v>
      </c>
      <c r="AR29" s="257">
        <f t="shared" si="53"/>
        <v>100</v>
      </c>
      <c r="AS29" s="257">
        <f>+IF($R29&gt;G$8,"FIN",(AR29-SUM(AT$25:AT28))*VLOOKUP($R29,$A:$Q,7,0)/VLOOKUP(G$15,$M$1:$O$4,2,0))</f>
        <v>0.47499999999999998</v>
      </c>
      <c r="AT29" s="257">
        <f t="shared" si="21"/>
        <v>0</v>
      </c>
      <c r="AU29" s="257">
        <f t="shared" si="54"/>
        <v>0.47499999999999998</v>
      </c>
      <c r="AV29" s="258">
        <f t="shared" si="22"/>
        <v>0.39256198347107429</v>
      </c>
      <c r="AW29" s="257">
        <f t="shared" si="55"/>
        <v>99</v>
      </c>
      <c r="AX29" s="257">
        <f>+IF($R29&gt;H$8,"FIN",(AW29-SUM(AY$25:AY28))*VLOOKUP($R29,$A:$Q,8,0)/VLOOKUP(H$15,$M$1:$O$4,2,0))</f>
        <v>0.86625000000000008</v>
      </c>
      <c r="AY29" s="257">
        <f t="shared" si="23"/>
        <v>0</v>
      </c>
      <c r="AZ29" s="257">
        <f t="shared" si="24"/>
        <v>0.86625000000000008</v>
      </c>
      <c r="BA29" s="258">
        <f t="shared" si="25"/>
        <v>0.71590909090909083</v>
      </c>
      <c r="BB29" s="257">
        <f t="shared" si="56"/>
        <v>99</v>
      </c>
      <c r="BC29" s="257">
        <f>+IF($R29&gt;I$8,"FIN",(BB29-SUM(BD$25:BD28))*VLOOKUP($R29,$A:$Q,9,0)/VLOOKUP(I$15,$M$1:$O$4,2,0))</f>
        <v>0.47025</v>
      </c>
      <c r="BD29" s="257">
        <f t="shared" si="26"/>
        <v>0</v>
      </c>
      <c r="BE29" s="257">
        <f t="shared" si="57"/>
        <v>0.47025</v>
      </c>
      <c r="BF29" s="258">
        <f t="shared" si="27"/>
        <v>0.38863636363636356</v>
      </c>
      <c r="BG29" s="257">
        <f t="shared" si="58"/>
        <v>100</v>
      </c>
      <c r="BH29" s="257">
        <f>+IF($R29&gt;J$8,"FIN",(BG29-SUM(BI$25:BI28))*VLOOKUP($R29,$A:$Q,10,0)/VLOOKUP(J$15,$M$1:$O$4,2,0))</f>
        <v>1.125</v>
      </c>
      <c r="BI29" s="257">
        <f t="shared" si="59"/>
        <v>0</v>
      </c>
      <c r="BJ29" s="257">
        <f t="shared" si="28"/>
        <v>1.125</v>
      </c>
      <c r="BK29" s="258">
        <f t="shared" si="29"/>
        <v>0.92975206611570238</v>
      </c>
      <c r="BL29" s="257">
        <f t="shared" si="60"/>
        <v>100</v>
      </c>
      <c r="BM29" s="257">
        <f>+IF($R29&gt;K$8,"FIN",(BL29-SUM(BN$25:BN28))*VLOOKUP($R29,$A:$Q,11,0)/VLOOKUP(K$15,$M$1:$O$4,2,0))</f>
        <v>0.89999999999999991</v>
      </c>
      <c r="BN29" s="257">
        <f t="shared" si="61"/>
        <v>0</v>
      </c>
      <c r="BO29" s="257">
        <f t="shared" si="62"/>
        <v>0.89999999999999991</v>
      </c>
      <c r="BP29" s="258">
        <f t="shared" si="30"/>
        <v>0.74380165289256184</v>
      </c>
      <c r="BQ29" s="257">
        <f t="shared" si="63"/>
        <v>100</v>
      </c>
      <c r="BR29" s="257">
        <f>+IF($R29&gt;L$8,"FIN",(BQ29-SUM(BS$25:BS28))*VLOOKUP($R29,$A:$Q,12,0)/VLOOKUP(L$15,$M$1:$O$4,2,0))</f>
        <v>0.8125</v>
      </c>
      <c r="BS29" s="257">
        <f t="shared" si="31"/>
        <v>0</v>
      </c>
      <c r="BT29" s="257">
        <f t="shared" si="32"/>
        <v>0.8125</v>
      </c>
      <c r="BU29" s="258">
        <f t="shared" si="33"/>
        <v>0.67148760330578505</v>
      </c>
      <c r="BV29" s="257">
        <f t="shared" si="64"/>
        <v>100</v>
      </c>
      <c r="BW29" s="257">
        <f>+IF($R29&gt;M$8,"FIN",(BV29-SUM(BX$25:BX28))*VLOOKUP($R29,$A:$Q,13,0)/VLOOKUP(M$15,$M$1:$O$4,2,0))</f>
        <v>0.5625</v>
      </c>
      <c r="BX29" s="257">
        <f t="shared" si="34"/>
        <v>0</v>
      </c>
      <c r="BY29" s="257">
        <f t="shared" si="65"/>
        <v>0.5625</v>
      </c>
      <c r="BZ29" s="258">
        <f t="shared" si="35"/>
        <v>0.46487603305785119</v>
      </c>
      <c r="CA29" s="257">
        <f t="shared" si="66"/>
        <v>99</v>
      </c>
      <c r="CB29" s="257">
        <f>+IF($R29&gt;N$8,"FIN",(CA29-SUM(CC$25:CC28))*VLOOKUP($R29,$A:$Q,14,0)/VLOOKUP(N$15,$M$1:$O$4,2,0))</f>
        <v>0.86625000000000008</v>
      </c>
      <c r="CC29" s="257">
        <f t="shared" si="36"/>
        <v>0</v>
      </c>
      <c r="CD29" s="257">
        <f t="shared" si="67"/>
        <v>0.86625000000000008</v>
      </c>
      <c r="CE29" s="258">
        <f t="shared" si="38"/>
        <v>0.71590909090909083</v>
      </c>
      <c r="CF29" s="257">
        <f t="shared" si="68"/>
        <v>99</v>
      </c>
      <c r="CG29" s="257">
        <f>+IF($R29&gt;O$8,"FIN",(CF29-SUM(CH$25:CH28))*VLOOKUP($R29,$A:$Q,15,0)/VLOOKUP(O$15,$M$1:$O$4,2,0))</f>
        <v>0.47025</v>
      </c>
      <c r="CH29" s="257">
        <f t="shared" si="39"/>
        <v>0</v>
      </c>
      <c r="CI29" s="257">
        <f t="shared" si="69"/>
        <v>0.47025</v>
      </c>
      <c r="CJ29" s="258">
        <f t="shared" si="40"/>
        <v>0.38863636363636356</v>
      </c>
      <c r="CK29" s="257">
        <f t="shared" si="70"/>
        <v>100</v>
      </c>
      <c r="CL29" s="257">
        <f>+IF($R29&gt;P$8,"FIN",(CK29-SUM(CM$25:CM28))*VLOOKUP($R29,$A:$Q,16,0)/VLOOKUP(P$15,$M$1:$O$4,2,0))</f>
        <v>1</v>
      </c>
      <c r="CM29" s="257">
        <f t="shared" si="71"/>
        <v>16.666666666666668</v>
      </c>
      <c r="CN29" s="257">
        <f t="shared" si="41"/>
        <v>17.666666666666668</v>
      </c>
      <c r="CO29" s="258">
        <f t="shared" si="42"/>
        <v>14.600550964187326</v>
      </c>
      <c r="CQ29"/>
      <c r="CR29"/>
      <c r="CS29"/>
    </row>
    <row r="30" spans="1:97" s="4" customFormat="1" ht="15" x14ac:dyDescent="0.25">
      <c r="A30" s="27">
        <f t="shared" si="43"/>
        <v>44941</v>
      </c>
      <c r="B30" s="256">
        <v>0.01</v>
      </c>
      <c r="C30" s="256">
        <v>1.25E-3</v>
      </c>
      <c r="D30" s="256">
        <v>2.2499999999999999E-2</v>
      </c>
      <c r="E30" s="256">
        <v>1.4999999999999999E-2</v>
      </c>
      <c r="F30" s="256">
        <v>2.4E-2</v>
      </c>
      <c r="G30" s="256">
        <v>1.35E-2</v>
      </c>
      <c r="H30" s="256">
        <v>2.8500000000000001E-2</v>
      </c>
      <c r="I30" s="256">
        <v>1.8749999999999999E-2</v>
      </c>
      <c r="J30" s="256">
        <v>3.7499999999999999E-2</v>
      </c>
      <c r="K30" s="256">
        <v>2.9499999999999998E-2</v>
      </c>
      <c r="L30" s="256">
        <v>0.03</v>
      </c>
      <c r="M30" s="256">
        <v>0.02</v>
      </c>
      <c r="N30" s="256">
        <v>0.03</v>
      </c>
      <c r="O30" s="286">
        <v>0.02</v>
      </c>
      <c r="P30" s="259">
        <v>0.04</v>
      </c>
      <c r="Q30" s="2">
        <f t="shared" si="44"/>
        <v>2023</v>
      </c>
      <c r="R30" s="27">
        <f t="shared" si="45"/>
        <v>44941</v>
      </c>
      <c r="S30" s="257">
        <f t="shared" si="46"/>
        <v>100</v>
      </c>
      <c r="T30" s="257">
        <f>+IF($R30&gt;B$8,"FIN",(S30-SUM($U$25:U29))*VLOOKUP($R30,$A:$Q,2,0)/VLOOKUP(B$15,$M$1:$O$4,2,0))</f>
        <v>0.5</v>
      </c>
      <c r="U30" s="257">
        <f t="shared" si="8"/>
        <v>0</v>
      </c>
      <c r="V30" s="257">
        <f t="shared" si="47"/>
        <v>0.5</v>
      </c>
      <c r="W30" s="258">
        <f t="shared" si="9"/>
        <v>0.39399280547338517</v>
      </c>
      <c r="X30" s="257">
        <f t="shared" si="48"/>
        <v>100</v>
      </c>
      <c r="Y30" s="257">
        <f>+IF($R30&gt;C$8,"FIN",(X30-SUM($Z$25:Z29))*VLOOKUP($R30,$A:$Q,3,0)/VLOOKUP(C$15,$M$1:$O$4,2,0))</f>
        <v>6.25E-2</v>
      </c>
      <c r="Z30" s="257">
        <f t="shared" si="49"/>
        <v>0</v>
      </c>
      <c r="AA30" s="257">
        <f t="shared" si="10"/>
        <v>6.25E-2</v>
      </c>
      <c r="AB30" s="258">
        <f t="shared" si="11"/>
        <v>4.9249100684173146E-2</v>
      </c>
      <c r="AC30" s="257">
        <f t="shared" si="50"/>
        <v>100</v>
      </c>
      <c r="AD30" s="257">
        <f>+IF($R30&gt;D$8,"FIN",(AC30-SUM($AE$25:AE29))*VLOOKUP($R30,$A:$Q,4,0)/VLOOKUP(D$15,$M$1:$O$4,2,0))</f>
        <v>1.125</v>
      </c>
      <c r="AE30" s="257">
        <f t="shared" si="12"/>
        <v>0</v>
      </c>
      <c r="AF30" s="257">
        <f t="shared" si="72"/>
        <v>1.125</v>
      </c>
      <c r="AG30" s="258">
        <f t="shared" si="14"/>
        <v>0.88648381231511664</v>
      </c>
      <c r="AH30" s="257">
        <f t="shared" si="51"/>
        <v>100</v>
      </c>
      <c r="AI30" s="257">
        <f>+IF($R30&gt;E$8,"FIN",(AH30-SUM($AJ$25:AJ29))*VLOOKUP($R30,$A:$Q,5,0)/VLOOKUP(E$15,$M$1:$O$4,2,0))</f>
        <v>0.75</v>
      </c>
      <c r="AJ30" s="257">
        <f t="shared" si="15"/>
        <v>0</v>
      </c>
      <c r="AK30" s="257">
        <f t="shared" si="16"/>
        <v>0.75</v>
      </c>
      <c r="AL30" s="258">
        <f t="shared" si="17"/>
        <v>0.59098920821007783</v>
      </c>
      <c r="AM30" s="257">
        <f t="shared" si="52"/>
        <v>100</v>
      </c>
      <c r="AN30" s="257">
        <f>+IF($R30&gt;F$8,"FIN",(AM30-SUM($AO$25:AO29))*VLOOKUP($R30,$A:$Q,6,0)/VLOOKUP(F$15,$M$1:$O$4,2,0))</f>
        <v>1.2</v>
      </c>
      <c r="AO30" s="257">
        <f t="shared" si="18"/>
        <v>0</v>
      </c>
      <c r="AP30" s="257">
        <f t="shared" si="19"/>
        <v>1.2</v>
      </c>
      <c r="AQ30" s="258">
        <f t="shared" si="20"/>
        <v>0.9455827331361244</v>
      </c>
      <c r="AR30" s="257">
        <f t="shared" si="53"/>
        <v>100</v>
      </c>
      <c r="AS30" s="257">
        <f>+IF($R30&gt;G$8,"FIN",(AR30-SUM(AT$25:AT29))*VLOOKUP($R30,$A:$Q,7,0)/VLOOKUP(G$15,$M$1:$O$4,2,0))</f>
        <v>0.67500000000000004</v>
      </c>
      <c r="AT30" s="257">
        <f t="shared" si="21"/>
        <v>0</v>
      </c>
      <c r="AU30" s="257">
        <f t="shared" si="54"/>
        <v>0.67500000000000004</v>
      </c>
      <c r="AV30" s="258">
        <f t="shared" si="22"/>
        <v>0.53189028738907007</v>
      </c>
      <c r="AW30" s="257">
        <f t="shared" si="55"/>
        <v>99</v>
      </c>
      <c r="AX30" s="257">
        <f>+IF($R30&gt;H$8,"FIN",(AW30-SUM(AY$25:AY29))*VLOOKUP($R30,$A:$Q,8,0)/VLOOKUP(H$15,$M$1:$O$4,2,0))</f>
        <v>1.4107499999999999</v>
      </c>
      <c r="AY30" s="257">
        <f t="shared" si="23"/>
        <v>0</v>
      </c>
      <c r="AZ30" s="257">
        <f t="shared" si="24"/>
        <v>1.4107499999999999</v>
      </c>
      <c r="BA30" s="258">
        <f t="shared" si="25"/>
        <v>1.1116507006431562</v>
      </c>
      <c r="BB30" s="257">
        <f t="shared" si="56"/>
        <v>99</v>
      </c>
      <c r="BC30" s="257">
        <f>+IF($R30&gt;I$8,"FIN",(BB30-SUM(BD$25:BD29))*VLOOKUP($R30,$A:$Q,9,0)/VLOOKUP(I$15,$M$1:$O$4,2,0))</f>
        <v>0.92812499999999998</v>
      </c>
      <c r="BD30" s="257">
        <f t="shared" si="26"/>
        <v>0</v>
      </c>
      <c r="BE30" s="257">
        <f t="shared" si="57"/>
        <v>0.92812499999999998</v>
      </c>
      <c r="BF30" s="258">
        <f t="shared" si="27"/>
        <v>0.73134914515997129</v>
      </c>
      <c r="BG30" s="257">
        <f t="shared" si="58"/>
        <v>100</v>
      </c>
      <c r="BH30" s="257">
        <f>+IF($R30&gt;J$8,"FIN",(BG30-SUM(BI$25:BI29))*VLOOKUP($R30,$A:$Q,10,0)/VLOOKUP(J$15,$M$1:$O$4,2,0))</f>
        <v>1.875</v>
      </c>
      <c r="BI30" s="257">
        <f t="shared" si="59"/>
        <v>0</v>
      </c>
      <c r="BJ30" s="257">
        <f t="shared" si="28"/>
        <v>1.875</v>
      </c>
      <c r="BK30" s="258">
        <f t="shared" si="29"/>
        <v>1.4774730205251945</v>
      </c>
      <c r="BL30" s="257">
        <f t="shared" si="60"/>
        <v>100</v>
      </c>
      <c r="BM30" s="257">
        <f>+IF($R30&gt;K$8,"FIN",(BL30-SUM(BN$25:BN29))*VLOOKUP($R30,$A:$Q,11,0)/VLOOKUP(K$15,$M$1:$O$4,2,0))</f>
        <v>1.4749999999999999</v>
      </c>
      <c r="BN30" s="257">
        <f t="shared" si="61"/>
        <v>0</v>
      </c>
      <c r="BO30" s="257">
        <f t="shared" si="62"/>
        <v>1.4749999999999999</v>
      </c>
      <c r="BP30" s="258">
        <f t="shared" si="30"/>
        <v>1.1622787761464861</v>
      </c>
      <c r="BQ30" s="257">
        <f t="shared" si="63"/>
        <v>100</v>
      </c>
      <c r="BR30" s="257">
        <f>+IF($R30&gt;L$8,"FIN",(BQ30-SUM(BS$25:BS29))*VLOOKUP($R30,$A:$Q,12,0)/VLOOKUP(L$15,$M$1:$O$4,2,0))</f>
        <v>1.5</v>
      </c>
      <c r="BS30" s="257">
        <f t="shared" si="31"/>
        <v>0</v>
      </c>
      <c r="BT30" s="257">
        <f t="shared" si="32"/>
        <v>1.5</v>
      </c>
      <c r="BU30" s="258">
        <f t="shared" si="33"/>
        <v>1.1819784164201557</v>
      </c>
      <c r="BV30" s="257">
        <f t="shared" si="64"/>
        <v>100</v>
      </c>
      <c r="BW30" s="257">
        <f>+IF($R30&gt;M$8,"FIN",(BV30-SUM(BX$25:BX29))*VLOOKUP($R30,$A:$Q,13,0)/VLOOKUP(M$15,$M$1:$O$4,2,0))</f>
        <v>1</v>
      </c>
      <c r="BX30" s="257">
        <f t="shared" si="34"/>
        <v>0</v>
      </c>
      <c r="BY30" s="257">
        <f t="shared" si="65"/>
        <v>1</v>
      </c>
      <c r="BZ30" s="258">
        <f t="shared" si="35"/>
        <v>0.78798561094677033</v>
      </c>
      <c r="CA30" s="257">
        <f t="shared" si="66"/>
        <v>99</v>
      </c>
      <c r="CB30" s="257">
        <f>+IF($R30&gt;N$8,"FIN",(CA30-SUM(CC$25:CC29))*VLOOKUP($R30,$A:$Q,14,0)/VLOOKUP(N$15,$M$1:$O$4,2,0))</f>
        <v>1.4849999999999999</v>
      </c>
      <c r="CC30" s="257">
        <f t="shared" si="36"/>
        <v>0</v>
      </c>
      <c r="CD30" s="257">
        <f t="shared" si="67"/>
        <v>1.4849999999999999</v>
      </c>
      <c r="CE30" s="258">
        <f t="shared" si="38"/>
        <v>1.1701586322559538</v>
      </c>
      <c r="CF30" s="257">
        <f t="shared" si="68"/>
        <v>99</v>
      </c>
      <c r="CG30" s="257">
        <f>+IF($R30&gt;O$8,"FIN",(CF30-SUM(CH$25:CH29))*VLOOKUP($R30,$A:$Q,15,0)/VLOOKUP(O$15,$M$1:$O$4,2,0))</f>
        <v>0.99</v>
      </c>
      <c r="CH30" s="257">
        <f t="shared" si="39"/>
        <v>0</v>
      </c>
      <c r="CI30" s="257">
        <f t="shared" si="69"/>
        <v>0.99</v>
      </c>
      <c r="CJ30" s="258">
        <f t="shared" si="40"/>
        <v>0.78010575483730271</v>
      </c>
      <c r="CK30" s="257">
        <f t="shared" si="70"/>
        <v>100</v>
      </c>
      <c r="CL30" s="257">
        <f>+IF($R30&gt;P$8,"FIN",(CK30-SUM(CM$25:CM29))*VLOOKUP($R30,$A:$Q,16,0)/VLOOKUP(P$15,$M$1:$O$4,2,0))</f>
        <v>0.66666666666666663</v>
      </c>
      <c r="CM30" s="257">
        <f t="shared" si="71"/>
        <v>16.666666666666668</v>
      </c>
      <c r="CN30" s="257">
        <f t="shared" si="41"/>
        <v>17.333333333333336</v>
      </c>
      <c r="CO30" s="258">
        <f t="shared" si="42"/>
        <v>13.658417256410688</v>
      </c>
      <c r="CQ30"/>
      <c r="CR30"/>
      <c r="CS30"/>
    </row>
    <row r="31" spans="1:97" ht="15" x14ac:dyDescent="0.25">
      <c r="A31" s="27">
        <f t="shared" si="43"/>
        <v>45122</v>
      </c>
      <c r="B31" s="256">
        <v>0.01</v>
      </c>
      <c r="C31" s="256">
        <v>1.25E-3</v>
      </c>
      <c r="D31" s="256">
        <v>2.2499999999999999E-2</v>
      </c>
      <c r="E31" s="256">
        <v>1.4999999999999999E-2</v>
      </c>
      <c r="F31" s="256">
        <v>2.4E-2</v>
      </c>
      <c r="G31" s="256">
        <v>1.35E-2</v>
      </c>
      <c r="H31" s="256">
        <v>2.8500000000000001E-2</v>
      </c>
      <c r="I31" s="256">
        <v>1.8749999999999999E-2</v>
      </c>
      <c r="J31" s="256">
        <v>3.7499999999999999E-2</v>
      </c>
      <c r="K31" s="256">
        <v>2.9499999999999998E-2</v>
      </c>
      <c r="L31" s="256">
        <v>0.03</v>
      </c>
      <c r="M31" s="256">
        <v>0.02</v>
      </c>
      <c r="N31" s="256">
        <v>0.03</v>
      </c>
      <c r="O31" s="286">
        <v>0.02</v>
      </c>
      <c r="P31" s="259">
        <v>0.04</v>
      </c>
      <c r="Q31" s="2">
        <f t="shared" si="44"/>
        <v>2023</v>
      </c>
      <c r="R31" s="27">
        <f t="shared" si="45"/>
        <v>45122</v>
      </c>
      <c r="S31" s="257">
        <f t="shared" si="46"/>
        <v>100</v>
      </c>
      <c r="T31" s="257">
        <f>+IF($R31&gt;B$8,"FIN",(S31-SUM($U$25:U30))*VLOOKUP($R31,$A:$Q,2,0)/VLOOKUP(B$15,$M$1:$O$4,2,0))</f>
        <v>0.5</v>
      </c>
      <c r="U31" s="257">
        <f t="shared" si="8"/>
        <v>0</v>
      </c>
      <c r="V31" s="257">
        <f t="shared" si="47"/>
        <v>0.5</v>
      </c>
      <c r="W31" s="258">
        <f t="shared" si="9"/>
        <v>0.37565740045078877</v>
      </c>
      <c r="X31" s="257">
        <f t="shared" si="48"/>
        <v>100</v>
      </c>
      <c r="Y31" s="257">
        <f>+IF($R31&gt;C$8,"FIN",(X31-SUM($Z$25:Z30))*VLOOKUP($R31,$A:$Q,3,0)/VLOOKUP(C$15,$M$1:$O$4,2,0))</f>
        <v>6.25E-2</v>
      </c>
      <c r="Z31" s="257">
        <f t="shared" si="49"/>
        <v>0</v>
      </c>
      <c r="AA31" s="257">
        <f t="shared" si="10"/>
        <v>6.25E-2</v>
      </c>
      <c r="AB31" s="258">
        <f t="shared" si="11"/>
        <v>4.6957175056348596E-2</v>
      </c>
      <c r="AC31" s="257">
        <f t="shared" si="50"/>
        <v>100</v>
      </c>
      <c r="AD31" s="257">
        <f>+IF($R31&gt;D$8,"FIN",(AC31-SUM($AE$25:AE30))*VLOOKUP($R31,$A:$Q,4,0)/VLOOKUP(D$15,$M$1:$O$4,2,0))</f>
        <v>1.125</v>
      </c>
      <c r="AE31" s="257">
        <f t="shared" si="12"/>
        <v>0</v>
      </c>
      <c r="AF31" s="257">
        <f t="shared" si="72"/>
        <v>1.125</v>
      </c>
      <c r="AG31" s="258">
        <f t="shared" si="14"/>
        <v>0.84522915101427476</v>
      </c>
      <c r="AH31" s="257">
        <f t="shared" si="51"/>
        <v>100</v>
      </c>
      <c r="AI31" s="257">
        <f>+IF($R31&gt;E$8,"FIN",(AH31-SUM($AJ$25:AJ30))*VLOOKUP($R31,$A:$Q,5,0)/VLOOKUP(E$15,$M$1:$O$4,2,0))</f>
        <v>0.75</v>
      </c>
      <c r="AJ31" s="257">
        <f t="shared" si="15"/>
        <v>0</v>
      </c>
      <c r="AK31" s="257">
        <f t="shared" si="16"/>
        <v>0.75</v>
      </c>
      <c r="AL31" s="258">
        <f t="shared" si="17"/>
        <v>0.5634861006761831</v>
      </c>
      <c r="AM31" s="257">
        <f t="shared" si="52"/>
        <v>100</v>
      </c>
      <c r="AN31" s="257">
        <f>+IF($R31&gt;F$8,"FIN",(AM31-SUM($AO$25:AO30))*VLOOKUP($R31,$A:$Q,6,0)/VLOOKUP(F$15,$M$1:$O$4,2,0))</f>
        <v>1.2</v>
      </c>
      <c r="AO31" s="257">
        <f t="shared" si="18"/>
        <v>0</v>
      </c>
      <c r="AP31" s="257">
        <f t="shared" si="19"/>
        <v>1.2</v>
      </c>
      <c r="AQ31" s="258">
        <f t="shared" si="20"/>
        <v>0.90157776108189303</v>
      </c>
      <c r="AR31" s="257">
        <f t="shared" si="53"/>
        <v>100</v>
      </c>
      <c r="AS31" s="257">
        <f>+IF($R31&gt;G$8,"FIN",(AR31-SUM(AT$25:AT30))*VLOOKUP($R31,$A:$Q,7,0)/VLOOKUP(G$15,$M$1:$O$4,2,0))</f>
        <v>0.67500000000000004</v>
      </c>
      <c r="AT31" s="257">
        <f t="shared" si="21"/>
        <v>0</v>
      </c>
      <c r="AU31" s="257">
        <f t="shared" si="54"/>
        <v>0.67500000000000004</v>
      </c>
      <c r="AV31" s="258">
        <f t="shared" si="22"/>
        <v>0.50713749060856483</v>
      </c>
      <c r="AW31" s="257">
        <f t="shared" si="55"/>
        <v>99</v>
      </c>
      <c r="AX31" s="257">
        <f>+IF($R31&gt;H$8,"FIN",(AW31-SUM(AY$25:AY30))*VLOOKUP($R31,$A:$Q,8,0)/VLOOKUP(H$15,$M$1:$O$4,2,0))</f>
        <v>1.4107499999999999</v>
      </c>
      <c r="AY31" s="257">
        <f t="shared" si="23"/>
        <v>0</v>
      </c>
      <c r="AZ31" s="257">
        <f t="shared" si="24"/>
        <v>1.4107499999999999</v>
      </c>
      <c r="BA31" s="258">
        <f t="shared" si="25"/>
        <v>1.0599173553719006</v>
      </c>
      <c r="BB31" s="257">
        <f t="shared" si="56"/>
        <v>99</v>
      </c>
      <c r="BC31" s="257">
        <f>+IF($R31&gt;I$8,"FIN",(BB31-SUM(BD$25:BD30))*VLOOKUP($R31,$A:$Q,9,0)/VLOOKUP(I$15,$M$1:$O$4,2,0))</f>
        <v>0.92812499999999998</v>
      </c>
      <c r="BD31" s="257">
        <f t="shared" si="26"/>
        <v>0</v>
      </c>
      <c r="BE31" s="257">
        <f t="shared" si="57"/>
        <v>0.92812499999999998</v>
      </c>
      <c r="BF31" s="258">
        <f t="shared" si="27"/>
        <v>0.69731404958677667</v>
      </c>
      <c r="BG31" s="257">
        <f t="shared" si="58"/>
        <v>100</v>
      </c>
      <c r="BH31" s="257">
        <f>+IF($R31&gt;J$8,"FIN",(BG31-SUM(BI$25:BI30))*VLOOKUP($R31,$A:$Q,10,0)/VLOOKUP(J$15,$M$1:$O$4,2,0))</f>
        <v>1.875</v>
      </c>
      <c r="BI31" s="257">
        <f t="shared" si="59"/>
        <v>0</v>
      </c>
      <c r="BJ31" s="257">
        <f t="shared" si="28"/>
        <v>1.875</v>
      </c>
      <c r="BK31" s="258">
        <f t="shared" si="29"/>
        <v>1.408715251690458</v>
      </c>
      <c r="BL31" s="257">
        <f t="shared" si="60"/>
        <v>100</v>
      </c>
      <c r="BM31" s="257">
        <f>+IF($R31&gt;K$8,"FIN",(BL31-SUM(BN$25:BN30))*VLOOKUP($R31,$A:$Q,11,0)/VLOOKUP(K$15,$M$1:$O$4,2,0))</f>
        <v>1.4749999999999999</v>
      </c>
      <c r="BN31" s="257">
        <f t="shared" si="61"/>
        <v>0</v>
      </c>
      <c r="BO31" s="257">
        <f t="shared" si="62"/>
        <v>1.4749999999999999</v>
      </c>
      <c r="BP31" s="258">
        <f t="shared" si="30"/>
        <v>1.1081893313298268</v>
      </c>
      <c r="BQ31" s="257">
        <f t="shared" si="63"/>
        <v>100</v>
      </c>
      <c r="BR31" s="257">
        <f>+IF($R31&gt;L$8,"FIN",(BQ31-SUM(BS$25:BS30))*VLOOKUP($R31,$A:$Q,12,0)/VLOOKUP(L$15,$M$1:$O$4,2,0))</f>
        <v>1.5</v>
      </c>
      <c r="BS31" s="257">
        <f t="shared" si="31"/>
        <v>0</v>
      </c>
      <c r="BT31" s="257">
        <f t="shared" si="32"/>
        <v>1.5</v>
      </c>
      <c r="BU31" s="258">
        <f t="shared" si="33"/>
        <v>1.1269722013523662</v>
      </c>
      <c r="BV31" s="257">
        <f t="shared" si="64"/>
        <v>100</v>
      </c>
      <c r="BW31" s="257">
        <f>+IF($R31&gt;M$8,"FIN",(BV31-SUM(BX$25:BX30))*VLOOKUP($R31,$A:$Q,13,0)/VLOOKUP(M$15,$M$1:$O$4,2,0))</f>
        <v>1</v>
      </c>
      <c r="BX31" s="257">
        <f t="shared" si="34"/>
        <v>0</v>
      </c>
      <c r="BY31" s="257">
        <f t="shared" si="65"/>
        <v>1</v>
      </c>
      <c r="BZ31" s="258">
        <f t="shared" si="35"/>
        <v>0.75131480090157754</v>
      </c>
      <c r="CA31" s="257">
        <f t="shared" si="66"/>
        <v>99</v>
      </c>
      <c r="CB31" s="257">
        <f>+IF($R31&gt;N$8,"FIN",(CA31-SUM(CC$25:CC30))*VLOOKUP($R31,$A:$Q,14,0)/VLOOKUP(N$15,$M$1:$O$4,2,0))</f>
        <v>1.4849999999999999</v>
      </c>
      <c r="CC31" s="257">
        <f t="shared" si="36"/>
        <v>0</v>
      </c>
      <c r="CD31" s="257">
        <f t="shared" si="67"/>
        <v>1.4849999999999999</v>
      </c>
      <c r="CE31" s="258">
        <f t="shared" si="38"/>
        <v>1.1157024793388426</v>
      </c>
      <c r="CF31" s="257">
        <f t="shared" si="68"/>
        <v>99</v>
      </c>
      <c r="CG31" s="257">
        <f>+IF($R31&gt;O$8,"FIN",(CF31-SUM(CH$25:CH30))*VLOOKUP($R31,$A:$Q,15,0)/VLOOKUP(O$15,$M$1:$O$4,2,0))</f>
        <v>0.99</v>
      </c>
      <c r="CH31" s="257">
        <f t="shared" si="39"/>
        <v>0</v>
      </c>
      <c r="CI31" s="257">
        <f t="shared" si="69"/>
        <v>0.99</v>
      </c>
      <c r="CJ31" s="258">
        <f t="shared" si="40"/>
        <v>0.74380165289256173</v>
      </c>
      <c r="CK31" s="257">
        <f t="shared" si="70"/>
        <v>100</v>
      </c>
      <c r="CL31" s="257">
        <f>+IF($R31&gt;P$8,"FIN",(CK31-SUM(CM$25:CM30))*VLOOKUP($R31,$A:$Q,16,0)/VLOOKUP(P$15,$M$1:$O$4,2,0))</f>
        <v>0.33333333333333315</v>
      </c>
      <c r="CM31" s="257">
        <f t="shared" si="71"/>
        <v>16.666666666666668</v>
      </c>
      <c r="CN31" s="257">
        <f t="shared" si="41"/>
        <v>17</v>
      </c>
      <c r="CO31" s="258">
        <f t="shared" si="42"/>
        <v>12.772351615326818</v>
      </c>
      <c r="CP31" s="4"/>
      <c r="CQ31"/>
      <c r="CR31"/>
      <c r="CS31"/>
    </row>
    <row r="32" spans="1:97" ht="15" x14ac:dyDescent="0.25">
      <c r="A32" s="27">
        <f t="shared" si="43"/>
        <v>45306</v>
      </c>
      <c r="B32" s="256">
        <v>1.2500000000000001E-2</v>
      </c>
      <c r="C32" s="256">
        <v>1.25E-3</v>
      </c>
      <c r="D32" s="256">
        <v>2.75E-2</v>
      </c>
      <c r="E32" s="256">
        <v>1.7500000000000002E-2</v>
      </c>
      <c r="F32" s="256">
        <v>0.03</v>
      </c>
      <c r="G32" s="256">
        <v>0.02</v>
      </c>
      <c r="H32" s="256">
        <v>3.5000000000000003E-2</v>
      </c>
      <c r="I32" s="256">
        <v>2.5000000000000001E-2</v>
      </c>
      <c r="J32" s="256">
        <v>4.2500000000000003E-2</v>
      </c>
      <c r="K32" s="256">
        <v>3.3500000000000002E-2</v>
      </c>
      <c r="L32" s="256">
        <v>3.5000000000000003E-2</v>
      </c>
      <c r="M32" s="256">
        <v>2.6249999999999999E-2</v>
      </c>
      <c r="N32" s="256">
        <v>3.2500000000000001E-2</v>
      </c>
      <c r="O32" s="286">
        <v>2.2499999999999999E-2</v>
      </c>
      <c r="P32" s="259"/>
      <c r="Q32" s="2">
        <f t="shared" si="44"/>
        <v>2024</v>
      </c>
      <c r="R32" s="27">
        <f t="shared" si="45"/>
        <v>45306</v>
      </c>
      <c r="S32" s="257">
        <f t="shared" si="46"/>
        <v>100</v>
      </c>
      <c r="T32" s="257">
        <f>+IF($R32&gt;B$8,"FIN",(S32-SUM($U$25:U31))*VLOOKUP($R32,$A:$Q,2,0)/VLOOKUP(B$15,$M$1:$O$4,2,0))</f>
        <v>0.625</v>
      </c>
      <c r="U32" s="257">
        <f t="shared" si="8"/>
        <v>0</v>
      </c>
      <c r="V32" s="257">
        <f t="shared" si="47"/>
        <v>0.625</v>
      </c>
      <c r="W32" s="258">
        <f t="shared" si="9"/>
        <v>0.44771909712884678</v>
      </c>
      <c r="X32" s="257">
        <f t="shared" si="48"/>
        <v>100</v>
      </c>
      <c r="Y32" s="257">
        <f>+IF($R32&gt;C$8,"FIN",(X32-SUM($Z$25:Z31))*VLOOKUP($R32,$A:$Q,3,0)/VLOOKUP(C$15,$M$1:$O$4,2,0))</f>
        <v>6.25E-2</v>
      </c>
      <c r="Z32" s="257">
        <f t="shared" si="49"/>
        <v>0</v>
      </c>
      <c r="AA32" s="257">
        <f t="shared" si="10"/>
        <v>6.25E-2</v>
      </c>
      <c r="AB32" s="258">
        <f t="shared" si="11"/>
        <v>4.477190971288468E-2</v>
      </c>
      <c r="AC32" s="257">
        <f t="shared" si="50"/>
        <v>100</v>
      </c>
      <c r="AD32" s="257">
        <f>+IF($R32&gt;D$8,"FIN",(AC32-SUM($AE$25:AE31))*VLOOKUP($R32,$A:$Q,4,0)/VLOOKUP(D$15,$M$1:$O$4,2,0))</f>
        <v>1.375</v>
      </c>
      <c r="AE32" s="257">
        <f t="shared" si="12"/>
        <v>0</v>
      </c>
      <c r="AF32" s="257">
        <f t="shared" si="72"/>
        <v>1.375</v>
      </c>
      <c r="AG32" s="258">
        <f t="shared" si="14"/>
        <v>0.98498201368346294</v>
      </c>
      <c r="AH32" s="257">
        <f t="shared" si="51"/>
        <v>100</v>
      </c>
      <c r="AI32" s="257">
        <f>+IF($R32&gt;E$8,"FIN",(AH32-SUM($AJ$25:AJ31))*VLOOKUP($R32,$A:$Q,5,0)/VLOOKUP(E$15,$M$1:$O$4,2,0))</f>
        <v>0.87500000000000011</v>
      </c>
      <c r="AJ32" s="257">
        <f t="shared" si="15"/>
        <v>0</v>
      </c>
      <c r="AK32" s="257">
        <f t="shared" si="16"/>
        <v>0.87500000000000011</v>
      </c>
      <c r="AL32" s="258">
        <f t="shared" si="17"/>
        <v>0.62680673598038561</v>
      </c>
      <c r="AM32" s="257">
        <f t="shared" si="52"/>
        <v>100</v>
      </c>
      <c r="AN32" s="257">
        <f>+IF($R32&gt;F$8,"FIN",(AM32-SUM($AO$25:AO31))*VLOOKUP($R32,$A:$Q,6,0)/VLOOKUP(F$15,$M$1:$O$4,2,0))</f>
        <v>1.5</v>
      </c>
      <c r="AO32" s="257">
        <f t="shared" si="18"/>
        <v>0</v>
      </c>
      <c r="AP32" s="257">
        <f t="shared" si="19"/>
        <v>1.5</v>
      </c>
      <c r="AQ32" s="258">
        <f t="shared" si="20"/>
        <v>1.0745258331092322</v>
      </c>
      <c r="AR32" s="257">
        <f t="shared" si="53"/>
        <v>100</v>
      </c>
      <c r="AS32" s="257">
        <f>+IF($R32&gt;G$8,"FIN",(AR32-SUM(AT$25:AT31))*VLOOKUP($R32,$A:$Q,7,0)/VLOOKUP(G$15,$M$1:$O$4,2,0))</f>
        <v>1</v>
      </c>
      <c r="AT32" s="257">
        <f t="shared" si="21"/>
        <v>0</v>
      </c>
      <c r="AU32" s="257">
        <f t="shared" si="54"/>
        <v>1</v>
      </c>
      <c r="AV32" s="258">
        <f t="shared" si="22"/>
        <v>0.71635055540615489</v>
      </c>
      <c r="AW32" s="257">
        <f t="shared" si="55"/>
        <v>99</v>
      </c>
      <c r="AX32" s="257">
        <f>+IF($R32&gt;H$8,"FIN",(AW32-SUM(AY$25:AY31))*VLOOKUP($R32,$A:$Q,8,0)/VLOOKUP(H$15,$M$1:$O$4,2,0))</f>
        <v>1.7325000000000002</v>
      </c>
      <c r="AY32" s="257">
        <f t="shared" si="23"/>
        <v>0</v>
      </c>
      <c r="AZ32" s="257">
        <f t="shared" si="24"/>
        <v>1.7325000000000002</v>
      </c>
      <c r="BA32" s="258">
        <f t="shared" si="25"/>
        <v>1.2410773372411634</v>
      </c>
      <c r="BB32" s="257">
        <f t="shared" si="56"/>
        <v>99</v>
      </c>
      <c r="BC32" s="257">
        <f>+IF($R32&gt;I$8,"FIN",(BB32-SUM(BD$25:BD31))*VLOOKUP($R32,$A:$Q,9,0)/VLOOKUP(I$15,$M$1:$O$4,2,0))</f>
        <v>1.2375</v>
      </c>
      <c r="BD32" s="257">
        <f t="shared" si="26"/>
        <v>0</v>
      </c>
      <c r="BE32" s="257">
        <f t="shared" si="57"/>
        <v>1.2375</v>
      </c>
      <c r="BF32" s="258">
        <f t="shared" si="27"/>
        <v>0.88648381231511675</v>
      </c>
      <c r="BG32" s="257">
        <f t="shared" si="58"/>
        <v>100</v>
      </c>
      <c r="BH32" s="257">
        <f>+IF($R32&gt;J$8,"FIN",(BG32-SUM(BI$25:BI31))*VLOOKUP($R32,$A:$Q,10,0)/VLOOKUP(J$15,$M$1:$O$4,2,0))</f>
        <v>2.125</v>
      </c>
      <c r="BI32" s="257">
        <f t="shared" si="59"/>
        <v>0</v>
      </c>
      <c r="BJ32" s="257">
        <f t="shared" si="28"/>
        <v>2.125</v>
      </c>
      <c r="BK32" s="258">
        <f t="shared" si="29"/>
        <v>1.5222449302380792</v>
      </c>
      <c r="BL32" s="257">
        <f t="shared" si="60"/>
        <v>100</v>
      </c>
      <c r="BM32" s="257">
        <f>+IF($R32&gt;K$8,"FIN",(BL32-SUM(BN$25:BN31))*VLOOKUP($R32,$A:$Q,11,0)/VLOOKUP(K$15,$M$1:$O$4,2,0))</f>
        <v>1.675</v>
      </c>
      <c r="BN32" s="257">
        <f t="shared" si="61"/>
        <v>0</v>
      </c>
      <c r="BO32" s="257">
        <f t="shared" si="62"/>
        <v>1.675</v>
      </c>
      <c r="BP32" s="258">
        <f t="shared" si="30"/>
        <v>1.1998871803053095</v>
      </c>
      <c r="BQ32" s="257">
        <f t="shared" si="63"/>
        <v>100</v>
      </c>
      <c r="BR32" s="257">
        <f>+IF($R32&gt;L$8,"FIN",(BQ32-SUM(BS$25:BS31))*VLOOKUP($R32,$A:$Q,12,0)/VLOOKUP(L$15,$M$1:$O$4,2,0))</f>
        <v>1.7500000000000002</v>
      </c>
      <c r="BS32" s="257">
        <f t="shared" si="31"/>
        <v>0</v>
      </c>
      <c r="BT32" s="257">
        <f t="shared" si="32"/>
        <v>1.7500000000000002</v>
      </c>
      <c r="BU32" s="258">
        <f t="shared" si="33"/>
        <v>1.2536134719607712</v>
      </c>
      <c r="BV32" s="257">
        <f t="shared" si="64"/>
        <v>100</v>
      </c>
      <c r="BW32" s="257">
        <f>+IF($R32&gt;M$8,"FIN",(BV32-SUM(BX$25:BX31))*VLOOKUP($R32,$A:$Q,13,0)/VLOOKUP(M$15,$M$1:$O$4,2,0))</f>
        <v>1.3125</v>
      </c>
      <c r="BX32" s="257">
        <f t="shared" si="34"/>
        <v>0</v>
      </c>
      <c r="BY32" s="257">
        <f t="shared" si="65"/>
        <v>1.3125</v>
      </c>
      <c r="BZ32" s="258">
        <f t="shared" si="35"/>
        <v>0.94021010397057825</v>
      </c>
      <c r="CA32" s="257">
        <f t="shared" si="66"/>
        <v>99</v>
      </c>
      <c r="CB32" s="257">
        <f>+IF($R32&gt;N$8,"FIN",(CA32-SUM(CC$25:CC31))*VLOOKUP($R32,$A:$Q,14,0)/VLOOKUP(N$15,$M$1:$O$4,2,0))</f>
        <v>1.6087500000000001</v>
      </c>
      <c r="CC32" s="257">
        <f t="shared" si="36"/>
        <v>0</v>
      </c>
      <c r="CD32" s="257">
        <f t="shared" si="67"/>
        <v>1.6087500000000001</v>
      </c>
      <c r="CE32" s="258">
        <f t="shared" si="38"/>
        <v>1.1524289560096517</v>
      </c>
      <c r="CF32" s="257">
        <f t="shared" si="68"/>
        <v>99</v>
      </c>
      <c r="CG32" s="257">
        <f>+IF($R32&gt;O$8,"FIN",(CF32-SUM(CH$25:CH31))*VLOOKUP($R32,$A:$Q,15,0)/VLOOKUP(O$15,$M$1:$O$4,2,0))</f>
        <v>1.11375</v>
      </c>
      <c r="CH32" s="257">
        <f t="shared" si="39"/>
        <v>0</v>
      </c>
      <c r="CI32" s="257">
        <f t="shared" si="69"/>
        <v>1.11375</v>
      </c>
      <c r="CJ32" s="258">
        <f t="shared" si="40"/>
        <v>0.797835431083605</v>
      </c>
      <c r="CK32" s="257"/>
      <c r="CL32" s="257"/>
      <c r="CM32" s="257"/>
      <c r="CN32" s="257"/>
      <c r="CO32" s="258"/>
      <c r="CP32" s="4"/>
      <c r="CQ32"/>
      <c r="CR32"/>
      <c r="CS32"/>
    </row>
    <row r="33" spans="1:97" ht="15" x14ac:dyDescent="0.25">
      <c r="A33" s="27">
        <f t="shared" si="43"/>
        <v>45488</v>
      </c>
      <c r="B33" s="256">
        <v>1.2500000000000001E-2</v>
      </c>
      <c r="C33" s="256">
        <v>1.25E-3</v>
      </c>
      <c r="D33" s="256">
        <v>2.75E-2</v>
      </c>
      <c r="E33" s="256">
        <v>1.7500000000000002E-2</v>
      </c>
      <c r="F33" s="256">
        <v>0.03</v>
      </c>
      <c r="G33" s="256">
        <v>0.02</v>
      </c>
      <c r="H33" s="256">
        <v>3.5000000000000003E-2</v>
      </c>
      <c r="I33" s="256">
        <v>2.5000000000000001E-2</v>
      </c>
      <c r="J33" s="256">
        <v>4.2500000000000003E-2</v>
      </c>
      <c r="K33" s="256">
        <v>3.3500000000000002E-2</v>
      </c>
      <c r="L33" s="256">
        <v>3.5000000000000003E-2</v>
      </c>
      <c r="M33" s="256">
        <v>2.6249999999999999E-2</v>
      </c>
      <c r="N33" s="256">
        <v>3.2500000000000001E-2</v>
      </c>
      <c r="O33" s="286">
        <v>2.2499999999999999E-2</v>
      </c>
      <c r="P33" s="259"/>
      <c r="Q33" s="2">
        <f t="shared" si="44"/>
        <v>2024</v>
      </c>
      <c r="R33" s="27">
        <f t="shared" si="45"/>
        <v>45488</v>
      </c>
      <c r="S33" s="257">
        <f t="shared" si="46"/>
        <v>100</v>
      </c>
      <c r="T33" s="257">
        <f>+IF($R33&gt;B$8,"FIN",(S33-SUM($U$25:U32))*VLOOKUP($R33,$A:$Q,2,0)/VLOOKUP(B$15,$M$1:$O$4,2,0))</f>
        <v>0.625</v>
      </c>
      <c r="U33" s="257">
        <f t="shared" si="8"/>
        <v>0</v>
      </c>
      <c r="V33" s="257">
        <f t="shared" si="47"/>
        <v>0.625</v>
      </c>
      <c r="W33" s="258">
        <f t="shared" si="9"/>
        <v>0.42688340960316906</v>
      </c>
      <c r="X33" s="257">
        <f t="shared" si="48"/>
        <v>100</v>
      </c>
      <c r="Y33" s="257">
        <f>+IF($R33&gt;C$8,"FIN",(X33-SUM($Z$25:Z32))*VLOOKUP($R33,$A:$Q,3,0)/VLOOKUP(C$15,$M$1:$O$4,2,0))</f>
        <v>6.25E-2</v>
      </c>
      <c r="Z33" s="257">
        <f t="shared" si="49"/>
        <v>0</v>
      </c>
      <c r="AA33" s="257">
        <f t="shared" si="10"/>
        <v>6.25E-2</v>
      </c>
      <c r="AB33" s="258">
        <f t="shared" si="11"/>
        <v>4.2688340960316908E-2</v>
      </c>
      <c r="AC33" s="257">
        <f t="shared" si="50"/>
        <v>100</v>
      </c>
      <c r="AD33" s="257">
        <f>+IF($R33&gt;D$8,"FIN",(AC33-SUM($AE$25:AE32))*VLOOKUP($R33,$A:$Q,4,0)/VLOOKUP(D$15,$M$1:$O$4,2,0))</f>
        <v>1.375</v>
      </c>
      <c r="AE33" s="257">
        <f t="shared" si="12"/>
        <v>0</v>
      </c>
      <c r="AF33" s="257">
        <f t="shared" si="72"/>
        <v>1.375</v>
      </c>
      <c r="AG33" s="258">
        <f t="shared" si="14"/>
        <v>0.93914350112697198</v>
      </c>
      <c r="AH33" s="257">
        <f t="shared" si="51"/>
        <v>100</v>
      </c>
      <c r="AI33" s="257">
        <f>+IF($R33&gt;E$8,"FIN",(AH33-SUM($AJ$25:AJ32))*VLOOKUP($R33,$A:$Q,5,0)/VLOOKUP(E$15,$M$1:$O$4,2,0))</f>
        <v>0.87500000000000011</v>
      </c>
      <c r="AJ33" s="257">
        <f t="shared" si="15"/>
        <v>0</v>
      </c>
      <c r="AK33" s="257">
        <f t="shared" si="16"/>
        <v>0.87500000000000011</v>
      </c>
      <c r="AL33" s="258">
        <f t="shared" si="17"/>
        <v>0.59763677344443678</v>
      </c>
      <c r="AM33" s="257">
        <f t="shared" si="52"/>
        <v>100</v>
      </c>
      <c r="AN33" s="257">
        <f>+IF($R33&gt;F$8,"FIN",(AM33-SUM($AO$25:AO32))*VLOOKUP($R33,$A:$Q,6,0)/VLOOKUP(F$15,$M$1:$O$4,2,0))</f>
        <v>1.5</v>
      </c>
      <c r="AO33" s="257">
        <f t="shared" si="18"/>
        <v>0</v>
      </c>
      <c r="AP33" s="257">
        <f t="shared" si="19"/>
        <v>1.5</v>
      </c>
      <c r="AQ33" s="258">
        <f t="shared" si="20"/>
        <v>1.0245201830476058</v>
      </c>
      <c r="AR33" s="257">
        <f t="shared" si="53"/>
        <v>100</v>
      </c>
      <c r="AS33" s="257">
        <f>+IF($R33&gt;G$8,"FIN",(AR33-SUM(AT$25:AT32))*VLOOKUP($R33,$A:$Q,7,0)/VLOOKUP(G$15,$M$1:$O$4,2,0))</f>
        <v>1</v>
      </c>
      <c r="AT33" s="257">
        <f t="shared" si="21"/>
        <v>0</v>
      </c>
      <c r="AU33" s="257">
        <f t="shared" si="54"/>
        <v>1</v>
      </c>
      <c r="AV33" s="258">
        <f t="shared" si="22"/>
        <v>0.68301345536507052</v>
      </c>
      <c r="AW33" s="257">
        <f t="shared" si="55"/>
        <v>99</v>
      </c>
      <c r="AX33" s="257">
        <f>+IF($R33&gt;H$8,"FIN",(AW33-SUM(AY$25:AY32))*VLOOKUP($R33,$A:$Q,8,0)/VLOOKUP(H$15,$M$1:$O$4,2,0))</f>
        <v>1.7325000000000002</v>
      </c>
      <c r="AY33" s="257">
        <f t="shared" si="23"/>
        <v>0</v>
      </c>
      <c r="AZ33" s="257">
        <f t="shared" si="24"/>
        <v>1.7325000000000002</v>
      </c>
      <c r="BA33" s="258">
        <f t="shared" si="25"/>
        <v>1.1833208114199847</v>
      </c>
      <c r="BB33" s="257">
        <f t="shared" si="56"/>
        <v>99</v>
      </c>
      <c r="BC33" s="257">
        <f>+IF($R33&gt;I$8,"FIN",(BB33-SUM(BD$25:BD32))*VLOOKUP($R33,$A:$Q,9,0)/VLOOKUP(I$15,$M$1:$O$4,2,0))</f>
        <v>1.2375</v>
      </c>
      <c r="BD33" s="257">
        <f t="shared" si="26"/>
        <v>0</v>
      </c>
      <c r="BE33" s="257">
        <f t="shared" si="57"/>
        <v>1.2375</v>
      </c>
      <c r="BF33" s="258">
        <f t="shared" si="27"/>
        <v>0.84522915101427476</v>
      </c>
      <c r="BG33" s="257">
        <f t="shared" si="58"/>
        <v>100</v>
      </c>
      <c r="BH33" s="257">
        <f>+IF($R33&gt;J$8,"FIN",(BG33-SUM(BI$25:BI32))*VLOOKUP($R33,$A:$Q,10,0)/VLOOKUP(J$15,$M$1:$O$4,2,0))</f>
        <v>2.125</v>
      </c>
      <c r="BI33" s="257">
        <f t="shared" si="59"/>
        <v>0</v>
      </c>
      <c r="BJ33" s="257">
        <f t="shared" si="28"/>
        <v>2.125</v>
      </c>
      <c r="BK33" s="258">
        <f t="shared" si="29"/>
        <v>1.4514035926507749</v>
      </c>
      <c r="BL33" s="257">
        <f t="shared" si="60"/>
        <v>100</v>
      </c>
      <c r="BM33" s="257">
        <f>+IF($R33&gt;K$8,"FIN",(BL33-SUM(BN$25:BN32))*VLOOKUP($R33,$A:$Q,11,0)/VLOOKUP(K$15,$M$1:$O$4,2,0))</f>
        <v>1.675</v>
      </c>
      <c r="BN33" s="257">
        <f t="shared" si="61"/>
        <v>0</v>
      </c>
      <c r="BO33" s="257">
        <f t="shared" si="62"/>
        <v>1.675</v>
      </c>
      <c r="BP33" s="258">
        <f t="shared" si="30"/>
        <v>1.1440475377364931</v>
      </c>
      <c r="BQ33" s="257">
        <f t="shared" si="63"/>
        <v>100</v>
      </c>
      <c r="BR33" s="257">
        <f>+IF($R33&gt;L$8,"FIN",(BQ33-SUM(BS$25:BS32))*VLOOKUP($R33,$A:$Q,12,0)/VLOOKUP(L$15,$M$1:$O$4,2,0))</f>
        <v>1.7500000000000002</v>
      </c>
      <c r="BS33" s="257">
        <f t="shared" si="31"/>
        <v>0</v>
      </c>
      <c r="BT33" s="257">
        <f t="shared" si="32"/>
        <v>1.7500000000000002</v>
      </c>
      <c r="BU33" s="258">
        <f t="shared" si="33"/>
        <v>1.1952735468888736</v>
      </c>
      <c r="BV33" s="257">
        <f t="shared" si="64"/>
        <v>100</v>
      </c>
      <c r="BW33" s="257">
        <f>+IF($R33&gt;M$8,"FIN",(BV33-SUM(BX$25:BX32))*VLOOKUP($R33,$A:$Q,13,0)/VLOOKUP(M$15,$M$1:$O$4,2,0))</f>
        <v>1.3125</v>
      </c>
      <c r="BX33" s="257">
        <f t="shared" si="34"/>
        <v>0</v>
      </c>
      <c r="BY33" s="257">
        <f t="shared" si="65"/>
        <v>1.3125</v>
      </c>
      <c r="BZ33" s="258">
        <f t="shared" si="35"/>
        <v>0.89645516016665505</v>
      </c>
      <c r="CA33" s="257">
        <f t="shared" si="66"/>
        <v>99</v>
      </c>
      <c r="CB33" s="257">
        <f>+IF($R33&gt;N$8,"FIN",(CA33-SUM(CC$25:CC32))*VLOOKUP($R33,$A:$Q,14,0)/VLOOKUP(N$15,$M$1:$O$4,2,0))</f>
        <v>1.6087500000000001</v>
      </c>
      <c r="CC33" s="257">
        <f t="shared" si="36"/>
        <v>0</v>
      </c>
      <c r="CD33" s="257">
        <f t="shared" si="67"/>
        <v>1.6087500000000001</v>
      </c>
      <c r="CE33" s="258">
        <f t="shared" si="38"/>
        <v>1.0987978963185572</v>
      </c>
      <c r="CF33" s="257">
        <f t="shared" si="68"/>
        <v>99</v>
      </c>
      <c r="CG33" s="257">
        <f>+IF($R33&gt;O$8,"FIN",(CF33-SUM(CH$25:CH32))*VLOOKUP($R33,$A:$Q,15,0)/VLOOKUP(O$15,$M$1:$O$4,2,0))</f>
        <v>1.11375</v>
      </c>
      <c r="CH33" s="257">
        <f t="shared" si="39"/>
        <v>0</v>
      </c>
      <c r="CI33" s="257">
        <f t="shared" si="69"/>
        <v>1.11375</v>
      </c>
      <c r="CJ33" s="258">
        <f t="shared" si="40"/>
        <v>0.76070623591284725</v>
      </c>
      <c r="CK33" s="257"/>
      <c r="CL33" s="257"/>
      <c r="CM33" s="257"/>
      <c r="CN33" s="257"/>
      <c r="CO33" s="258"/>
      <c r="CP33" s="4"/>
      <c r="CQ33"/>
      <c r="CR33"/>
      <c r="CS33"/>
    </row>
    <row r="34" spans="1:97" ht="15" x14ac:dyDescent="0.25">
      <c r="A34" s="27">
        <f t="shared" si="43"/>
        <v>45672</v>
      </c>
      <c r="B34" s="256">
        <v>1.4999999999999999E-2</v>
      </c>
      <c r="C34" s="256">
        <v>2.5000000000000001E-3</v>
      </c>
      <c r="D34" s="256">
        <v>3.3500000000000002E-2</v>
      </c>
      <c r="E34" s="256">
        <v>0.02</v>
      </c>
      <c r="F34" s="256">
        <v>3.4000000000000002E-2</v>
      </c>
      <c r="G34" s="256">
        <v>2.2499999999999999E-2</v>
      </c>
      <c r="H34" s="256">
        <v>4.2500000000000003E-2</v>
      </c>
      <c r="I34" s="256">
        <v>0.03</v>
      </c>
      <c r="J34" s="256">
        <v>0.05</v>
      </c>
      <c r="K34" s="256">
        <v>3.95E-2</v>
      </c>
      <c r="L34" s="256">
        <v>3.5000000000000003E-2</v>
      </c>
      <c r="M34" s="256">
        <v>2.6249999999999999E-2</v>
      </c>
      <c r="N34" s="256">
        <v>4.2500000000000003E-2</v>
      </c>
      <c r="O34" s="286">
        <v>0.03</v>
      </c>
      <c r="P34" s="259"/>
      <c r="Q34" s="2">
        <f t="shared" si="44"/>
        <v>2025</v>
      </c>
      <c r="R34" s="27">
        <f t="shared" si="45"/>
        <v>45672</v>
      </c>
      <c r="S34" s="257">
        <f t="shared" si="46"/>
        <v>100</v>
      </c>
      <c r="T34" s="257">
        <f>+IF($R34&gt;B$8,"FIN",(S34-SUM($U$25:U33))*VLOOKUP($R34,$A:$Q,2,0)/VLOOKUP(B$15,$M$1:$O$4,2,0))</f>
        <v>0.75</v>
      </c>
      <c r="U34" s="257">
        <f t="shared" si="8"/>
        <v>0</v>
      </c>
      <c r="V34" s="257">
        <f t="shared" si="47"/>
        <v>0.75</v>
      </c>
      <c r="W34" s="258">
        <f t="shared" si="9"/>
        <v>0.48842083323146918</v>
      </c>
      <c r="X34" s="257">
        <f t="shared" si="48"/>
        <v>100</v>
      </c>
      <c r="Y34" s="257">
        <f>+IF($R34&gt;C$8,"FIN",(X34-SUM($Z$25:Z33))*VLOOKUP($R34,$A:$Q,3,0)/VLOOKUP(C$15,$M$1:$O$4,2,0))</f>
        <v>0.125</v>
      </c>
      <c r="Z34" s="257">
        <f t="shared" si="49"/>
        <v>0</v>
      </c>
      <c r="AA34" s="257">
        <f t="shared" si="10"/>
        <v>0.125</v>
      </c>
      <c r="AB34" s="258">
        <f t="shared" si="11"/>
        <v>8.1403472205244853E-2</v>
      </c>
      <c r="AC34" s="257">
        <f t="shared" si="50"/>
        <v>100</v>
      </c>
      <c r="AD34" s="257">
        <f>+IF($R34&gt;D$8,"FIN",(AC34-SUM($AE$25:AE33))*VLOOKUP($R34,$A:$Q,4,0)/VLOOKUP(D$15,$M$1:$O$4,2,0))</f>
        <v>1.675</v>
      </c>
      <c r="AE34" s="257">
        <f t="shared" si="12"/>
        <v>0</v>
      </c>
      <c r="AF34" s="257">
        <f t="shared" si="72"/>
        <v>1.675</v>
      </c>
      <c r="AG34" s="258">
        <f t="shared" si="14"/>
        <v>1.0908065275502812</v>
      </c>
      <c r="AH34" s="257">
        <f t="shared" si="51"/>
        <v>100</v>
      </c>
      <c r="AI34" s="257">
        <f>+IF($R34&gt;E$8,"FIN",(AH34-SUM($AJ$25:AJ33))*VLOOKUP($R34,$A:$Q,5,0)/VLOOKUP(E$15,$M$1:$O$4,2,0))</f>
        <v>1</v>
      </c>
      <c r="AJ34" s="257">
        <f t="shared" si="15"/>
        <v>0</v>
      </c>
      <c r="AK34" s="257">
        <f t="shared" si="16"/>
        <v>1</v>
      </c>
      <c r="AL34" s="258">
        <f t="shared" si="17"/>
        <v>0.65122777764195883</v>
      </c>
      <c r="AM34" s="257">
        <f t="shared" si="52"/>
        <v>100</v>
      </c>
      <c r="AN34" s="257">
        <f>+IF($R34&gt;F$8,"FIN",(AM34-SUM($AO$25:AO33))*VLOOKUP($R34,$A:$Q,6,0)/VLOOKUP(F$15,$M$1:$O$4,2,0))</f>
        <v>1.7000000000000002</v>
      </c>
      <c r="AO34" s="257">
        <f t="shared" si="18"/>
        <v>0</v>
      </c>
      <c r="AP34" s="257">
        <f t="shared" si="19"/>
        <v>1.7000000000000002</v>
      </c>
      <c r="AQ34" s="258">
        <f t="shared" si="20"/>
        <v>1.1070872219913301</v>
      </c>
      <c r="AR34" s="257">
        <f t="shared" si="53"/>
        <v>100</v>
      </c>
      <c r="AS34" s="257">
        <f>+IF($R34&gt;G$8,"FIN",(AR34-SUM(AT$25:AT33))*VLOOKUP($R34,$A:$Q,7,0)/VLOOKUP(G$15,$M$1:$O$4,2,0))</f>
        <v>1.125</v>
      </c>
      <c r="AT34" s="257">
        <f t="shared" si="21"/>
        <v>0</v>
      </c>
      <c r="AU34" s="257">
        <f t="shared" si="54"/>
        <v>1.125</v>
      </c>
      <c r="AV34" s="258">
        <f t="shared" si="22"/>
        <v>0.73263124984720374</v>
      </c>
      <c r="AW34" s="257">
        <f t="shared" si="55"/>
        <v>99</v>
      </c>
      <c r="AX34" s="257">
        <f>+IF($R34&gt;H$8,"FIN",(AW34-SUM(AY$25:AY33))*VLOOKUP($R34,$A:$Q,8,0)/VLOOKUP(H$15,$M$1:$O$4,2,0))</f>
        <v>2.1037500000000002</v>
      </c>
      <c r="AY34" s="257">
        <f t="shared" si="23"/>
        <v>0</v>
      </c>
      <c r="AZ34" s="257">
        <f t="shared" si="24"/>
        <v>2.1037500000000002</v>
      </c>
      <c r="BA34" s="258">
        <f t="shared" si="25"/>
        <v>1.370020437214271</v>
      </c>
      <c r="BB34" s="257">
        <f t="shared" si="56"/>
        <v>99</v>
      </c>
      <c r="BC34" s="257">
        <f>+IF($R34&gt;I$8,"FIN",(BB34-SUM(BD$25:BD33))*VLOOKUP($R34,$A:$Q,9,0)/VLOOKUP(I$15,$M$1:$O$4,2,0))</f>
        <v>1.4849999999999999</v>
      </c>
      <c r="BD34" s="257">
        <f t="shared" si="26"/>
        <v>0</v>
      </c>
      <c r="BE34" s="257">
        <f t="shared" si="57"/>
        <v>1.4849999999999999</v>
      </c>
      <c r="BF34" s="258">
        <f t="shared" si="27"/>
        <v>0.96707324979830889</v>
      </c>
      <c r="BG34" s="257">
        <f t="shared" si="58"/>
        <v>100</v>
      </c>
      <c r="BH34" s="257">
        <f>+IF($R34&gt;J$8,"FIN",(BG34-SUM(BI$25:BI33))*VLOOKUP($R34,$A:$Q,10,0)/VLOOKUP(J$15,$M$1:$O$4,2,0))</f>
        <v>2.5</v>
      </c>
      <c r="BI34" s="257">
        <f t="shared" si="59"/>
        <v>0</v>
      </c>
      <c r="BJ34" s="257">
        <f t="shared" si="28"/>
        <v>2.5</v>
      </c>
      <c r="BK34" s="258">
        <f t="shared" si="29"/>
        <v>1.6280694441048971</v>
      </c>
      <c r="BL34" s="257">
        <f t="shared" si="60"/>
        <v>100</v>
      </c>
      <c r="BM34" s="257">
        <f>+IF($R34&gt;K$8,"FIN",(BL34-SUM(BN$25:BN33))*VLOOKUP($R34,$A:$Q,11,0)/VLOOKUP(K$15,$M$1:$O$4,2,0))</f>
        <v>1.9750000000000001</v>
      </c>
      <c r="BN34" s="257">
        <f t="shared" si="61"/>
        <v>0</v>
      </c>
      <c r="BO34" s="257">
        <f t="shared" si="62"/>
        <v>1.9750000000000001</v>
      </c>
      <c r="BP34" s="258">
        <f t="shared" si="30"/>
        <v>1.2861748608428689</v>
      </c>
      <c r="BQ34" s="257">
        <f t="shared" si="63"/>
        <v>100</v>
      </c>
      <c r="BR34" s="257">
        <f>+IF($R34&gt;L$8,"FIN",(BQ34-SUM(BS$25:BS33))*VLOOKUP($R34,$A:$Q,12,0)/VLOOKUP(L$15,$M$1:$O$4,2,0))</f>
        <v>1.7500000000000002</v>
      </c>
      <c r="BS34" s="257">
        <f t="shared" si="31"/>
        <v>0</v>
      </c>
      <c r="BT34" s="257">
        <f t="shared" si="32"/>
        <v>1.7500000000000002</v>
      </c>
      <c r="BU34" s="258">
        <f t="shared" si="33"/>
        <v>1.1396486108734281</v>
      </c>
      <c r="BV34" s="257">
        <f t="shared" si="64"/>
        <v>100</v>
      </c>
      <c r="BW34" s="257">
        <f>+IF($R34&gt;M$8,"FIN",(BV34-SUM(BX$25:BX33))*VLOOKUP($R34,$A:$Q,13,0)/VLOOKUP(M$15,$M$1:$O$4,2,0))</f>
        <v>1.3125</v>
      </c>
      <c r="BX34" s="257">
        <f t="shared" si="34"/>
        <v>0</v>
      </c>
      <c r="BY34" s="257">
        <f t="shared" si="65"/>
        <v>1.3125</v>
      </c>
      <c r="BZ34" s="258">
        <f t="shared" si="35"/>
        <v>0.85473645815507104</v>
      </c>
      <c r="CA34" s="257">
        <f t="shared" si="66"/>
        <v>99</v>
      </c>
      <c r="CB34" s="257">
        <f>+IF($R34&gt;N$8,"FIN",(CA34-SUM(CC$25:CC33))*VLOOKUP($R34,$A:$Q,14,0)/VLOOKUP(N$15,$M$1:$O$4,2,0))</f>
        <v>2.1037500000000002</v>
      </c>
      <c r="CC34" s="257">
        <f t="shared" si="36"/>
        <v>0</v>
      </c>
      <c r="CD34" s="257">
        <f t="shared" si="67"/>
        <v>2.1037500000000002</v>
      </c>
      <c r="CE34" s="258">
        <f t="shared" si="38"/>
        <v>1.370020437214271</v>
      </c>
      <c r="CF34" s="257">
        <f t="shared" si="68"/>
        <v>99</v>
      </c>
      <c r="CG34" s="257">
        <f>+IF($R34&gt;O$8,"FIN",(CF34-SUM(CH$25:CH33))*VLOOKUP($R34,$A:$Q,15,0)/VLOOKUP(O$15,$M$1:$O$4,2,0))</f>
        <v>1.4849999999999999</v>
      </c>
      <c r="CH34" s="257">
        <f t="shared" si="39"/>
        <v>0</v>
      </c>
      <c r="CI34" s="257">
        <f t="shared" si="69"/>
        <v>1.4849999999999999</v>
      </c>
      <c r="CJ34" s="258">
        <f t="shared" si="40"/>
        <v>0.96707324979830889</v>
      </c>
      <c r="CK34" s="257"/>
      <c r="CL34" s="257"/>
      <c r="CM34" s="257"/>
      <c r="CN34" s="257"/>
      <c r="CO34" s="258"/>
      <c r="CP34" s="4"/>
      <c r="CQ34"/>
      <c r="CR34"/>
      <c r="CS34"/>
    </row>
    <row r="35" spans="1:97" ht="15" x14ac:dyDescent="0.25">
      <c r="A35" s="27">
        <f t="shared" si="43"/>
        <v>45853</v>
      </c>
      <c r="B35" s="256">
        <v>1.4999999999999999E-2</v>
      </c>
      <c r="C35" s="256">
        <v>2.5000000000000001E-3</v>
      </c>
      <c r="D35" s="256">
        <v>3.3500000000000002E-2</v>
      </c>
      <c r="E35" s="256">
        <v>0.02</v>
      </c>
      <c r="F35" s="256">
        <v>3.4000000000000002E-2</v>
      </c>
      <c r="G35" s="256">
        <v>2.2499999999999999E-2</v>
      </c>
      <c r="H35" s="256">
        <v>4.2500000000000003E-2</v>
      </c>
      <c r="I35" s="256">
        <v>0.03</v>
      </c>
      <c r="J35" s="256">
        <v>0.05</v>
      </c>
      <c r="K35" s="256">
        <v>3.95E-2</v>
      </c>
      <c r="L35" s="256">
        <v>3.5000000000000003E-2</v>
      </c>
      <c r="M35" s="256">
        <v>2.6249999999999999E-2</v>
      </c>
      <c r="N35" s="256">
        <v>4.2500000000000003E-2</v>
      </c>
      <c r="O35" s="286">
        <v>0.03</v>
      </c>
      <c r="P35" s="259"/>
      <c r="Q35" s="2">
        <f t="shared" si="44"/>
        <v>2025</v>
      </c>
      <c r="R35" s="27">
        <f t="shared" si="45"/>
        <v>45853</v>
      </c>
      <c r="S35" s="257">
        <f t="shared" si="46"/>
        <v>100</v>
      </c>
      <c r="T35" s="257">
        <f>+IF($R35&gt;B$8,"FIN",(S35-SUM($U$25:U34))*VLOOKUP($R35,$A:$Q,2,0)/VLOOKUP(B$15,$M$1:$O$4,2,0))</f>
        <v>0.75</v>
      </c>
      <c r="U35" s="257">
        <f t="shared" si="8"/>
        <v>20</v>
      </c>
      <c r="V35" s="257">
        <f t="shared" si="47"/>
        <v>20.75</v>
      </c>
      <c r="W35" s="258">
        <f t="shared" si="9"/>
        <v>12.884117453477465</v>
      </c>
      <c r="X35" s="257">
        <f t="shared" si="48"/>
        <v>100</v>
      </c>
      <c r="Y35" s="257">
        <f>+IF($R35&gt;C$8,"FIN",(X35-SUM($Z$25:Z34))*VLOOKUP($R35,$A:$Q,3,0)/VLOOKUP(C$15,$M$1:$O$4,2,0))</f>
        <v>0.125</v>
      </c>
      <c r="Z35" s="257">
        <f t="shared" si="49"/>
        <v>20</v>
      </c>
      <c r="AA35" s="257">
        <f t="shared" si="10"/>
        <v>20.125</v>
      </c>
      <c r="AB35" s="258">
        <f t="shared" si="11"/>
        <v>12.496041626565493</v>
      </c>
      <c r="AC35" s="257">
        <f t="shared" si="50"/>
        <v>100</v>
      </c>
      <c r="AD35" s="257">
        <f>+IF($R35&gt;D$8,"FIN",(AC35-SUM($AE$25:AE34))*VLOOKUP($R35,$A:$Q,4,0)/VLOOKUP(D$15,$M$1:$O$4,2,0))</f>
        <v>1.675</v>
      </c>
      <c r="AE35" s="257">
        <f t="shared" si="12"/>
        <v>0</v>
      </c>
      <c r="AF35" s="257">
        <f t="shared" si="72"/>
        <v>1.675</v>
      </c>
      <c r="AG35" s="258">
        <f t="shared" si="14"/>
        <v>1.0400432161240847</v>
      </c>
      <c r="AH35" s="257">
        <f t="shared" si="51"/>
        <v>100</v>
      </c>
      <c r="AI35" s="257">
        <f>+IF($R35&gt;E$8,"FIN",(AH35-SUM($AJ$25:AJ34))*VLOOKUP($R35,$A:$Q,5,0)/VLOOKUP(E$15,$M$1:$O$4,2,0))</f>
        <v>1</v>
      </c>
      <c r="AJ35" s="257">
        <f t="shared" si="15"/>
        <v>0</v>
      </c>
      <c r="AK35" s="257">
        <f t="shared" si="16"/>
        <v>1</v>
      </c>
      <c r="AL35" s="258">
        <f t="shared" si="17"/>
        <v>0.62092132305915493</v>
      </c>
      <c r="AM35" s="257">
        <f t="shared" si="52"/>
        <v>100</v>
      </c>
      <c r="AN35" s="257">
        <f>+IF($R35&gt;F$8,"FIN",(AM35-SUM($AO$25:AO34))*VLOOKUP($R35,$A:$Q,6,0)/VLOOKUP(F$15,$M$1:$O$4,2,0))</f>
        <v>1.7000000000000002</v>
      </c>
      <c r="AO35" s="257">
        <f t="shared" si="18"/>
        <v>0</v>
      </c>
      <c r="AP35" s="257">
        <f t="shared" si="19"/>
        <v>1.7000000000000002</v>
      </c>
      <c r="AQ35" s="258">
        <f t="shared" si="20"/>
        <v>1.0555662492005635</v>
      </c>
      <c r="AR35" s="257">
        <f t="shared" si="53"/>
        <v>100</v>
      </c>
      <c r="AS35" s="257">
        <f>+IF($R35&gt;G$8,"FIN",(AR35-SUM(AT$25:AT34))*VLOOKUP($R35,$A:$Q,7,0)/VLOOKUP(G$15,$M$1:$O$4,2,0))</f>
        <v>1.125</v>
      </c>
      <c r="AT35" s="257">
        <f t="shared" si="21"/>
        <v>0</v>
      </c>
      <c r="AU35" s="257">
        <f t="shared" si="54"/>
        <v>1.125</v>
      </c>
      <c r="AV35" s="258">
        <f t="shared" si="22"/>
        <v>0.69853648844154936</v>
      </c>
      <c r="AW35" s="257">
        <f t="shared" si="55"/>
        <v>99</v>
      </c>
      <c r="AX35" s="257">
        <f>+IF($R35&gt;H$8,"FIN",(AW35-SUM(AY$25:AY34))*VLOOKUP($R35,$A:$Q,8,0)/VLOOKUP(H$15,$M$1:$O$4,2,0))</f>
        <v>2.1037500000000002</v>
      </c>
      <c r="AY35" s="257">
        <f t="shared" si="23"/>
        <v>0</v>
      </c>
      <c r="AZ35" s="257">
        <f t="shared" si="24"/>
        <v>2.1037500000000002</v>
      </c>
      <c r="BA35" s="258">
        <f t="shared" si="25"/>
        <v>1.3062632333856974</v>
      </c>
      <c r="BB35" s="257">
        <f t="shared" si="56"/>
        <v>99</v>
      </c>
      <c r="BC35" s="257">
        <f>+IF($R35&gt;I$8,"FIN",(BB35-SUM(BD$25:BD34))*VLOOKUP($R35,$A:$Q,9,0)/VLOOKUP(I$15,$M$1:$O$4,2,0))</f>
        <v>1.4849999999999999</v>
      </c>
      <c r="BD35" s="257">
        <f t="shared" si="26"/>
        <v>0</v>
      </c>
      <c r="BE35" s="257">
        <f t="shared" si="57"/>
        <v>1.4849999999999999</v>
      </c>
      <c r="BF35" s="258">
        <f t="shared" si="27"/>
        <v>0.92206816474284503</v>
      </c>
      <c r="BG35" s="257">
        <f t="shared" si="58"/>
        <v>100</v>
      </c>
      <c r="BH35" s="257">
        <f>+IF($R35&gt;J$8,"FIN",(BG35-SUM(BI$25:BI34))*VLOOKUP($R35,$A:$Q,10,0)/VLOOKUP(J$15,$M$1:$O$4,2,0))</f>
        <v>2.5</v>
      </c>
      <c r="BI35" s="257">
        <f t="shared" si="59"/>
        <v>0</v>
      </c>
      <c r="BJ35" s="257">
        <f t="shared" si="28"/>
        <v>2.5</v>
      </c>
      <c r="BK35" s="258">
        <f t="shared" si="29"/>
        <v>1.5523033076478874</v>
      </c>
      <c r="BL35" s="257">
        <f t="shared" si="60"/>
        <v>100</v>
      </c>
      <c r="BM35" s="257">
        <f>+IF($R35&gt;K$8,"FIN",(BL35-SUM(BN$25:BN34))*VLOOKUP($R35,$A:$Q,11,0)/VLOOKUP(K$15,$M$1:$O$4,2,0))</f>
        <v>1.9750000000000001</v>
      </c>
      <c r="BN35" s="257">
        <f t="shared" si="61"/>
        <v>0</v>
      </c>
      <c r="BO35" s="257">
        <f t="shared" si="62"/>
        <v>1.9750000000000001</v>
      </c>
      <c r="BP35" s="258">
        <f t="shared" si="30"/>
        <v>1.226319613041831</v>
      </c>
      <c r="BQ35" s="257">
        <f t="shared" si="63"/>
        <v>100</v>
      </c>
      <c r="BR35" s="257">
        <f>+IF($R35&gt;L$8,"FIN",(BQ35-SUM(BS$25:BS34))*VLOOKUP($R35,$A:$Q,12,0)/VLOOKUP(L$15,$M$1:$O$4,2,0))</f>
        <v>1.7500000000000002</v>
      </c>
      <c r="BS35" s="257">
        <f t="shared" si="31"/>
        <v>0</v>
      </c>
      <c r="BT35" s="257">
        <f t="shared" si="32"/>
        <v>1.7500000000000002</v>
      </c>
      <c r="BU35" s="258">
        <f t="shared" si="33"/>
        <v>1.0866123153535214</v>
      </c>
      <c r="BV35" s="257">
        <f t="shared" si="64"/>
        <v>100</v>
      </c>
      <c r="BW35" s="257">
        <f>+IF($R35&gt;M$8,"FIN",(BV35-SUM(BX$25:BX34))*VLOOKUP($R35,$A:$Q,13,0)/VLOOKUP(M$15,$M$1:$O$4,2,0))</f>
        <v>1.3125</v>
      </c>
      <c r="BX35" s="257">
        <f t="shared" si="34"/>
        <v>0</v>
      </c>
      <c r="BY35" s="257">
        <f t="shared" si="65"/>
        <v>1.3125</v>
      </c>
      <c r="BZ35" s="258">
        <f t="shared" si="35"/>
        <v>0.81495923651514091</v>
      </c>
      <c r="CA35" s="257">
        <f t="shared" si="66"/>
        <v>99</v>
      </c>
      <c r="CB35" s="257">
        <f>+IF($R35&gt;N$8,"FIN",(CA35-SUM(CC$25:CC34))*VLOOKUP($R35,$A:$Q,14,0)/VLOOKUP(N$15,$M$1:$O$4,2,0))</f>
        <v>2.1037500000000002</v>
      </c>
      <c r="CC35" s="257">
        <f t="shared" si="36"/>
        <v>0</v>
      </c>
      <c r="CD35" s="257">
        <f t="shared" si="67"/>
        <v>2.1037500000000002</v>
      </c>
      <c r="CE35" s="258">
        <f t="shared" si="38"/>
        <v>1.3062632333856974</v>
      </c>
      <c r="CF35" s="257">
        <f t="shared" si="68"/>
        <v>99</v>
      </c>
      <c r="CG35" s="257">
        <f>+IF($R35&gt;O$8,"FIN",(CF35-SUM(CH$25:CH34))*VLOOKUP($R35,$A:$Q,15,0)/VLOOKUP(O$15,$M$1:$O$4,2,0))</f>
        <v>1.4849999999999999</v>
      </c>
      <c r="CH35" s="257">
        <f t="shared" si="39"/>
        <v>0</v>
      </c>
      <c r="CI35" s="257">
        <f t="shared" si="69"/>
        <v>1.4849999999999999</v>
      </c>
      <c r="CJ35" s="258">
        <f t="shared" si="40"/>
        <v>0.92206816474284503</v>
      </c>
      <c r="CK35" s="257"/>
      <c r="CL35" s="257"/>
      <c r="CM35" s="257"/>
      <c r="CN35" s="257"/>
      <c r="CO35" s="258"/>
      <c r="CP35" s="4"/>
      <c r="CQ35"/>
      <c r="CR35"/>
      <c r="CS35"/>
    </row>
    <row r="36" spans="1:97" ht="15" x14ac:dyDescent="0.25">
      <c r="A36" s="27">
        <f t="shared" si="43"/>
        <v>46037</v>
      </c>
      <c r="B36" s="256">
        <v>1.4999999999999999E-2</v>
      </c>
      <c r="C36" s="256">
        <v>2.5000000000000001E-3</v>
      </c>
      <c r="D36" s="256">
        <v>3.7499999999999999E-2</v>
      </c>
      <c r="E36" s="256">
        <v>2.4E-2</v>
      </c>
      <c r="F36" s="256">
        <v>0.04</v>
      </c>
      <c r="G36" s="256">
        <v>2.75E-2</v>
      </c>
      <c r="H36" s="256">
        <v>0.05</v>
      </c>
      <c r="I36" s="256">
        <v>3.85E-2</v>
      </c>
      <c r="J36" s="256">
        <v>5.7500000000000002E-2</v>
      </c>
      <c r="K36" s="256">
        <v>4.5499999999999999E-2</v>
      </c>
      <c r="L36" s="256">
        <v>3.5000000000000003E-2</v>
      </c>
      <c r="M36" s="256">
        <v>2.6249999999999999E-2</v>
      </c>
      <c r="N36" s="256">
        <v>5.3499999999999999E-2</v>
      </c>
      <c r="O36" s="286">
        <v>4.4999999999999998E-2</v>
      </c>
      <c r="P36" s="259"/>
      <c r="Q36" s="2">
        <f t="shared" si="44"/>
        <v>2026</v>
      </c>
      <c r="R36" s="27">
        <f t="shared" si="45"/>
        <v>46037</v>
      </c>
      <c r="S36" s="257">
        <f t="shared" si="46"/>
        <v>100</v>
      </c>
      <c r="T36" s="257">
        <f>+IF($R36&gt;B$8,"FIN",(S36-SUM($U$25:U35))*VLOOKUP($R36,$A:$Q,2,0)/VLOOKUP(B$15,$M$1:$O$4,2,0))</f>
        <v>0.6</v>
      </c>
      <c r="U36" s="257">
        <f>+IF($R36&gt;B$8,"FIN",IF($R36&lt;=B$8,IFERROR(IF($R36&lt;B$17,0,$B$19/B$16),0),0))</f>
        <v>20</v>
      </c>
      <c r="V36" s="257">
        <f t="shared" si="47"/>
        <v>20.6</v>
      </c>
      <c r="W36" s="258">
        <f t="shared" si="9"/>
        <v>12.195720199476686</v>
      </c>
      <c r="X36" s="257">
        <f t="shared" si="48"/>
        <v>100</v>
      </c>
      <c r="Y36" s="257">
        <f>+IF($R36&gt;C$8,"FIN",(X36-SUM($Z$25:Z35))*VLOOKUP($R36,$A:$Q,3,0)/VLOOKUP(C$15,$M$1:$O$4,2,0))</f>
        <v>0.1</v>
      </c>
      <c r="Z36" s="257">
        <f t="shared" si="49"/>
        <v>20</v>
      </c>
      <c r="AA36" s="257">
        <f t="shared" si="10"/>
        <v>20.100000000000001</v>
      </c>
      <c r="AB36" s="258">
        <f t="shared" si="11"/>
        <v>11.899707573275794</v>
      </c>
      <c r="AC36" s="257">
        <f t="shared" si="50"/>
        <v>100</v>
      </c>
      <c r="AD36" s="257">
        <f>+IF($R36&gt;D$8,"FIN",(AC36-SUM($AE$25:AE35))*VLOOKUP($R36,$A:$Q,4,0)/VLOOKUP(D$15,$M$1:$O$4,2,0))</f>
        <v>1.875</v>
      </c>
      <c r="AE36" s="257">
        <f t="shared" si="12"/>
        <v>0</v>
      </c>
      <c r="AF36" s="257">
        <f t="shared" si="72"/>
        <v>1.875</v>
      </c>
      <c r="AG36" s="258">
        <f t="shared" si="14"/>
        <v>1.1100473482533391</v>
      </c>
      <c r="AH36" s="257">
        <f t="shared" si="51"/>
        <v>100</v>
      </c>
      <c r="AI36" s="257">
        <f>+IF($R36&gt;E$8,"FIN",(AH36-SUM($AJ$25:AJ35))*VLOOKUP($R36,$A:$Q,5,0)/VLOOKUP(E$15,$M$1:$O$4,2,0))</f>
        <v>1.2</v>
      </c>
      <c r="AJ36" s="257">
        <f t="shared" si="15"/>
        <v>0</v>
      </c>
      <c r="AK36" s="257">
        <f t="shared" si="16"/>
        <v>1.2</v>
      </c>
      <c r="AL36" s="258">
        <f t="shared" si="17"/>
        <v>0.71043030288213693</v>
      </c>
      <c r="AM36" s="257">
        <f t="shared" si="52"/>
        <v>100</v>
      </c>
      <c r="AN36" s="257">
        <f>+IF($R36&gt;F$8,"FIN",(AM36-SUM($AO$25:AO35))*VLOOKUP($R36,$A:$Q,6,0)/VLOOKUP(F$15,$M$1:$O$4,2,0))</f>
        <v>2</v>
      </c>
      <c r="AO36" s="257">
        <f t="shared" si="18"/>
        <v>0</v>
      </c>
      <c r="AP36" s="257">
        <f t="shared" si="19"/>
        <v>2</v>
      </c>
      <c r="AQ36" s="258">
        <f t="shared" si="20"/>
        <v>1.1840505048035617</v>
      </c>
      <c r="AR36" s="257">
        <f t="shared" si="53"/>
        <v>100</v>
      </c>
      <c r="AS36" s="257">
        <f>+IF($R36&gt;G$8,"FIN",(AR36-SUM(AT$25:AT35))*VLOOKUP($R36,$A:$Q,7,0)/VLOOKUP(G$15,$M$1:$O$4,2,0))</f>
        <v>1.375</v>
      </c>
      <c r="AT36" s="257">
        <f t="shared" si="21"/>
        <v>0</v>
      </c>
      <c r="AU36" s="257">
        <f t="shared" si="54"/>
        <v>1.375</v>
      </c>
      <c r="AV36" s="258">
        <f t="shared" si="22"/>
        <v>0.81403472205244864</v>
      </c>
      <c r="AW36" s="257">
        <f t="shared" si="55"/>
        <v>99</v>
      </c>
      <c r="AX36" s="257">
        <f>+IF($R36&gt;H$8,"FIN",(AW36-SUM(AY$25:AY35))*VLOOKUP($R36,$A:$Q,8,0)/VLOOKUP(H$15,$M$1:$O$4,2,0))</f>
        <v>2.4750000000000001</v>
      </c>
      <c r="AY36" s="257">
        <f t="shared" si="23"/>
        <v>0</v>
      </c>
      <c r="AZ36" s="257">
        <f t="shared" si="24"/>
        <v>2.4750000000000001</v>
      </c>
      <c r="BA36" s="258">
        <f t="shared" si="25"/>
        <v>1.4652624996944075</v>
      </c>
      <c r="BB36" s="257">
        <f t="shared" si="56"/>
        <v>99</v>
      </c>
      <c r="BC36" s="257">
        <f>+IF($R36&gt;I$8,"FIN",(BB36-SUM(BD$25:BD35))*VLOOKUP($R36,$A:$Q,9,0)/VLOOKUP(I$15,$M$1:$O$4,2,0))</f>
        <v>1.9057500000000001</v>
      </c>
      <c r="BD36" s="257">
        <f t="shared" si="26"/>
        <v>0</v>
      </c>
      <c r="BE36" s="257">
        <f t="shared" si="57"/>
        <v>1.9057500000000001</v>
      </c>
      <c r="BF36" s="258">
        <f t="shared" si="27"/>
        <v>1.1282521247646937</v>
      </c>
      <c r="BG36" s="257">
        <f t="shared" si="58"/>
        <v>100</v>
      </c>
      <c r="BH36" s="257">
        <f>+IF($R36&gt;J$8,"FIN",(BG36-SUM(BI$25:BI35))*VLOOKUP($R36,$A:$Q,10,0)/VLOOKUP(J$15,$M$1:$O$4,2,0))</f>
        <v>2.875</v>
      </c>
      <c r="BI36" s="257">
        <f t="shared" si="59"/>
        <v>0</v>
      </c>
      <c r="BJ36" s="257">
        <f t="shared" si="28"/>
        <v>2.875</v>
      </c>
      <c r="BK36" s="258">
        <f t="shared" si="29"/>
        <v>1.7020726006551199</v>
      </c>
      <c r="BL36" s="257">
        <f t="shared" si="60"/>
        <v>100</v>
      </c>
      <c r="BM36" s="257">
        <f>+IF($R36&gt;K$8,"FIN",(BL36-SUM(BN$25:BN35))*VLOOKUP($R36,$A:$Q,11,0)/VLOOKUP(K$15,$M$1:$O$4,2,0))</f>
        <v>2.2749999999999999</v>
      </c>
      <c r="BN36" s="257">
        <f t="shared" si="61"/>
        <v>0</v>
      </c>
      <c r="BO36" s="257">
        <f t="shared" si="62"/>
        <v>2.2749999999999999</v>
      </c>
      <c r="BP36" s="258">
        <f t="shared" si="30"/>
        <v>1.3468574492140513</v>
      </c>
      <c r="BQ36" s="257">
        <f t="shared" si="63"/>
        <v>100</v>
      </c>
      <c r="BR36" s="257">
        <f>+IF($R36&gt;L$8,"FIN",(BQ36-SUM(BS$25:BS35))*VLOOKUP($R36,$A:$Q,12,0)/VLOOKUP(L$15,$M$1:$O$4,2,0))</f>
        <v>1.7500000000000002</v>
      </c>
      <c r="BS36" s="257">
        <f t="shared" si="31"/>
        <v>0</v>
      </c>
      <c r="BT36" s="257">
        <f t="shared" si="32"/>
        <v>1.7500000000000002</v>
      </c>
      <c r="BU36" s="258">
        <f t="shared" si="33"/>
        <v>1.0360441917031165</v>
      </c>
      <c r="BV36" s="257">
        <f t="shared" si="64"/>
        <v>100</v>
      </c>
      <c r="BW36" s="257">
        <f>+IF($R36&gt;M$8,"FIN",(BV36-SUM(BX$25:BX35))*VLOOKUP($R36,$A:$Q,13,0)/VLOOKUP(M$15,$M$1:$O$4,2,0))</f>
        <v>1.3125</v>
      </c>
      <c r="BX36" s="257">
        <f t="shared" si="34"/>
        <v>0</v>
      </c>
      <c r="BY36" s="257">
        <f t="shared" si="65"/>
        <v>1.3125</v>
      </c>
      <c r="BZ36" s="258">
        <f t="shared" si="35"/>
        <v>0.77703314377733734</v>
      </c>
      <c r="CA36" s="257">
        <f t="shared" si="66"/>
        <v>99</v>
      </c>
      <c r="CB36" s="257">
        <f>+IF($R36&gt;N$8,"FIN",(CA36-SUM(CC$25:CC35))*VLOOKUP($R36,$A:$Q,14,0)/VLOOKUP(N$15,$M$1:$O$4,2,0))</f>
        <v>2.64825</v>
      </c>
      <c r="CC36" s="257">
        <f t="shared" si="36"/>
        <v>0</v>
      </c>
      <c r="CD36" s="257">
        <f t="shared" si="67"/>
        <v>2.64825</v>
      </c>
      <c r="CE36" s="258">
        <f t="shared" si="38"/>
        <v>1.5678308746730161</v>
      </c>
      <c r="CF36" s="257">
        <f t="shared" si="68"/>
        <v>99</v>
      </c>
      <c r="CG36" s="257">
        <f>+IF($R36&gt;O$8,"FIN",(CF36-SUM(CH$25:CH35))*VLOOKUP($R36,$A:$Q,15,0)/VLOOKUP(O$15,$M$1:$O$4,2,0))</f>
        <v>2.2275</v>
      </c>
      <c r="CH36" s="257">
        <f t="shared" si="39"/>
        <v>0</v>
      </c>
      <c r="CI36" s="257">
        <f t="shared" si="69"/>
        <v>2.2275</v>
      </c>
      <c r="CJ36" s="258">
        <f t="shared" si="40"/>
        <v>1.3187362497249668</v>
      </c>
      <c r="CK36" s="257"/>
      <c r="CL36" s="257"/>
      <c r="CM36" s="257"/>
      <c r="CN36" s="257"/>
      <c r="CO36" s="258"/>
      <c r="CP36" s="4"/>
      <c r="CQ36"/>
      <c r="CR36"/>
      <c r="CS36"/>
    </row>
    <row r="37" spans="1:97" ht="15" x14ac:dyDescent="0.25">
      <c r="A37" s="27">
        <f t="shared" si="43"/>
        <v>46218</v>
      </c>
      <c r="B37" s="256">
        <v>1.4999999999999999E-2</v>
      </c>
      <c r="C37" s="256">
        <v>2.5000000000000001E-3</v>
      </c>
      <c r="D37" s="256">
        <v>3.7499999999999999E-2</v>
      </c>
      <c r="E37" s="256">
        <v>2.4E-2</v>
      </c>
      <c r="F37" s="256">
        <v>0.04</v>
      </c>
      <c r="G37" s="256">
        <v>2.75E-2</v>
      </c>
      <c r="H37" s="256">
        <v>0.05</v>
      </c>
      <c r="I37" s="256">
        <v>3.85E-2</v>
      </c>
      <c r="J37" s="256">
        <v>5.7500000000000002E-2</v>
      </c>
      <c r="K37" s="256">
        <v>4.5499999999999999E-2</v>
      </c>
      <c r="L37" s="256">
        <v>3.5000000000000003E-2</v>
      </c>
      <c r="M37" s="256">
        <v>2.6249999999999999E-2</v>
      </c>
      <c r="N37" s="256">
        <v>5.3499999999999999E-2</v>
      </c>
      <c r="O37" s="286">
        <v>4.4999999999999998E-2</v>
      </c>
      <c r="P37" s="259"/>
      <c r="Q37" s="2">
        <f t="shared" si="44"/>
        <v>2026</v>
      </c>
      <c r="R37" s="27">
        <f t="shared" si="45"/>
        <v>46218</v>
      </c>
      <c r="S37" s="257">
        <f>+S36*IF($R37&gt;T$6,1,(1+#REF!/VLOOKUP(B$15,$M$1:$N$4,2,0))^(VLOOKUP(B$15,$M$1:$N$4,2,0)*#REF!))</f>
        <v>100</v>
      </c>
      <c r="T37" s="257">
        <f>+IF($R37&gt;B$8,"FIN",(S37-SUM($U$25:U36))*VLOOKUP($R37,$A:$Q,2,0)/VLOOKUP(B$15,$M$1:$O$4,2,0))</f>
        <v>0.44999999999999996</v>
      </c>
      <c r="U37" s="257">
        <f t="shared" si="8"/>
        <v>20</v>
      </c>
      <c r="V37" s="257">
        <f t="shared" si="47"/>
        <v>20.45</v>
      </c>
      <c r="W37" s="258">
        <f t="shared" si="9"/>
        <v>11.543491869599743</v>
      </c>
      <c r="X37" s="257">
        <f>+X36*IF($R37&gt;Y$6,1,(1+#REF!/VLOOKUP(C$15,$M$1:$N$4,2,0))^(VLOOKUP(C$15,$M$1:$N$4,2,0)*#REF!))</f>
        <v>100</v>
      </c>
      <c r="Y37" s="257">
        <f>+IF($R37&gt;C$8,"FIN",(X37-SUM($Z$25:Z36))*VLOOKUP($R37,$A:$Q,3,0)/VLOOKUP(C$15,$M$1:$O$4,2,0))</f>
        <v>7.4999999999999997E-2</v>
      </c>
      <c r="Z37" s="257">
        <f t="shared" si="49"/>
        <v>20</v>
      </c>
      <c r="AA37" s="257">
        <f t="shared" si="10"/>
        <v>20.074999999999999</v>
      </c>
      <c r="AB37" s="258">
        <f t="shared" si="11"/>
        <v>11.331814145829576</v>
      </c>
      <c r="AC37" s="257">
        <f>+AC36*IF($R37&gt;AD$6,1,(1+#REF!/VLOOKUP(D$15,$M$1:$N$4,2,0))^(VLOOKUP(D$15,$M$1:$N$4,2,0)*#REF!))</f>
        <v>100</v>
      </c>
      <c r="AD37" s="257">
        <f>+IF($R37&gt;D$8,"FIN",(AC37-SUM($AE$25:AE36))*VLOOKUP($R37,$A:$Q,4,0)/VLOOKUP(D$15,$M$1:$O$4,2,0))</f>
        <v>1.875</v>
      </c>
      <c r="AE37" s="257">
        <f t="shared" si="12"/>
        <v>0</v>
      </c>
      <c r="AF37" s="257">
        <f t="shared" si="72"/>
        <v>1.875</v>
      </c>
      <c r="AG37" s="258">
        <f t="shared" si="14"/>
        <v>1.0583886188508322</v>
      </c>
      <c r="AH37" s="257">
        <f>+AH36*IF($R37&gt;AI$6,1,(1+#REF!/VLOOKUP(E$15,$M$1:$N$4,2,0))^(VLOOKUP(E$15,$M$1:$N$4,2,0)*#REF!))</f>
        <v>100</v>
      </c>
      <c r="AI37" s="257">
        <f>+IF($R37&gt;E$8,"FIN",(AH37-SUM($AJ$25:AJ36))*VLOOKUP($R37,$A:$Q,5,0)/VLOOKUP(E$15,$M$1:$O$4,2,0))</f>
        <v>1.2</v>
      </c>
      <c r="AJ37" s="257">
        <f t="shared" si="15"/>
        <v>0</v>
      </c>
      <c r="AK37" s="257">
        <f t="shared" si="16"/>
        <v>1.2</v>
      </c>
      <c r="AL37" s="258">
        <f t="shared" si="17"/>
        <v>0.67736871606453253</v>
      </c>
      <c r="AM37" s="257">
        <f>+AM36*IF($R37&gt;AN$6,1,(1+#REF!/VLOOKUP(F$15,$M$1:$N$4,2,0))^(VLOOKUP(F$15,$M$1:$N$4,2,0)*#REF!))</f>
        <v>100</v>
      </c>
      <c r="AN37" s="257">
        <f>+IF($R37&gt;F$8,"FIN",(AM37-SUM($AO$25:AO36))*VLOOKUP($R37,$A:$Q,6,0)/VLOOKUP(F$15,$M$1:$O$4,2,0))</f>
        <v>2</v>
      </c>
      <c r="AO37" s="257">
        <f t="shared" si="18"/>
        <v>0</v>
      </c>
      <c r="AP37" s="257">
        <f t="shared" si="19"/>
        <v>2</v>
      </c>
      <c r="AQ37" s="258">
        <f t="shared" si="20"/>
        <v>1.1289478601075544</v>
      </c>
      <c r="AR37" s="257">
        <f>+AR36*IF($R37&gt;AS$6,1,(1+#REF!/VLOOKUP(G$15,$M$1:$N$4,2,0))^(VLOOKUP(G$15,$M$1:$N$4,2,0)*#REF!))</f>
        <v>100</v>
      </c>
      <c r="AS37" s="257">
        <f>+IF($R37&gt;G$8,"FIN",(AR37-SUM(AT$25:AT36))*VLOOKUP($R37,$A:$Q,7,0)/VLOOKUP(G$15,$M$1:$O$4,2,0))</f>
        <v>1.375</v>
      </c>
      <c r="AT37" s="257">
        <f t="shared" si="21"/>
        <v>0</v>
      </c>
      <c r="AU37" s="257">
        <f t="shared" si="54"/>
        <v>1.375</v>
      </c>
      <c r="AV37" s="258">
        <f t="shared" si="22"/>
        <v>0.77615165382394358</v>
      </c>
      <c r="AW37" s="257">
        <f>+AW36*IF($R37&gt;AX$6,1,(1+#REF!/VLOOKUP(H$15,$M$1:$N$4,2,0))^(VLOOKUP(H$15,$M$1:$N$4,2,0)*#REF!))</f>
        <v>99</v>
      </c>
      <c r="AX37" s="257">
        <f>+IF($R37&gt;H$8,"FIN",(AW37-SUM(AY$25:AY36))*VLOOKUP($R37,$A:$Q,8,0)/VLOOKUP(H$15,$M$1:$O$4,2,0))</f>
        <v>2.4750000000000001</v>
      </c>
      <c r="AY37" s="257">
        <f t="shared" si="23"/>
        <v>0</v>
      </c>
      <c r="AZ37" s="257">
        <f t="shared" si="24"/>
        <v>2.4750000000000001</v>
      </c>
      <c r="BA37" s="258">
        <f t="shared" si="25"/>
        <v>1.3970729768830985</v>
      </c>
      <c r="BB37" s="257">
        <f>+BB36*IF($R37&gt;BC$6,1,(1+#REF!/VLOOKUP(I$15,$M$1:$N$4,2,0))^(VLOOKUP(I$15,$M$1:$N$4,2,0)*#REF!))</f>
        <v>99</v>
      </c>
      <c r="BC37" s="257">
        <f>+IF($R37&gt;I$8,"FIN",(BB37-SUM(BD$25:BD36))*VLOOKUP($R37,$A:$Q,9,0)/VLOOKUP(I$15,$M$1:$O$4,2,0))</f>
        <v>1.9057500000000001</v>
      </c>
      <c r="BD37" s="257">
        <f t="shared" si="26"/>
        <v>0</v>
      </c>
      <c r="BE37" s="257">
        <f t="shared" si="57"/>
        <v>1.9057500000000001</v>
      </c>
      <c r="BF37" s="258">
        <f t="shared" si="27"/>
        <v>1.0757461921999858</v>
      </c>
      <c r="BG37" s="257">
        <f>+BG36*IF($R37&gt;BH$6,1,(1+#REF!/VLOOKUP(J$15,$M$1:$N$4,2,0))^(VLOOKUP(J$15,$M$1:$N$4,2,0)*#REF!))</f>
        <v>100</v>
      </c>
      <c r="BH37" s="257">
        <f>+IF($R37&gt;J$8,"FIN",(BG37-SUM(BI$25:BI36))*VLOOKUP($R37,$A:$Q,10,0)/VLOOKUP(J$15,$M$1:$O$4,2,0))</f>
        <v>2.875</v>
      </c>
      <c r="BI37" s="257">
        <f t="shared" si="59"/>
        <v>0</v>
      </c>
      <c r="BJ37" s="257">
        <f t="shared" si="28"/>
        <v>2.875</v>
      </c>
      <c r="BK37" s="258">
        <f t="shared" si="29"/>
        <v>1.6228625489046093</v>
      </c>
      <c r="BL37" s="257">
        <f>+BL36*IF($R37&gt;BM$6,1,(1+#REF!/VLOOKUP(K$15,$M$1:$N$4,2,0))^(VLOOKUP(K$15,$M$1:$N$4,2,0)*#REF!))</f>
        <v>100</v>
      </c>
      <c r="BM37" s="257">
        <f>+IF($R37&gt;K$8,"FIN",(BL37-SUM(BN$25:BN36))*VLOOKUP($R37,$A:$Q,11,0)/VLOOKUP(K$15,$M$1:$O$4,2,0))</f>
        <v>2.2749999999999999</v>
      </c>
      <c r="BN37" s="257">
        <f t="shared" si="61"/>
        <v>0</v>
      </c>
      <c r="BO37" s="257">
        <f t="shared" si="62"/>
        <v>2.2749999999999999</v>
      </c>
      <c r="BP37" s="258">
        <f t="shared" si="30"/>
        <v>1.2841781908723431</v>
      </c>
      <c r="BQ37" s="257">
        <f>+BQ36*IF($R37&gt;BR$6,1,(1+#REF!/VLOOKUP(L$15,$M$1:$N$4,2,0))^(VLOOKUP(L$15,$M$1:$N$4,2,0)*#REF!))</f>
        <v>100</v>
      </c>
      <c r="BR37" s="257">
        <f>+IF($R37&gt;L$8,"FIN",(BQ37-SUM(BS$25:BS36))*VLOOKUP($R37,$A:$Q,12,0)/VLOOKUP(L$15,$M$1:$O$4,2,0))</f>
        <v>1.7500000000000002</v>
      </c>
      <c r="BS37" s="257">
        <f t="shared" si="31"/>
        <v>0</v>
      </c>
      <c r="BT37" s="257">
        <f t="shared" si="32"/>
        <v>1.7500000000000002</v>
      </c>
      <c r="BU37" s="258">
        <f t="shared" si="33"/>
        <v>0.98782937759411016</v>
      </c>
      <c r="BV37" s="257">
        <f>+BV36*IF($R37&gt;BW$6,1,(1+#REF!/VLOOKUP(M$15,$M$1:$N$4,2,0))^(VLOOKUP(M$15,$M$1:$N$4,2,0)*#REF!))</f>
        <v>100</v>
      </c>
      <c r="BW37" s="257">
        <f>+IF($R37&gt;M$8,"FIN",(BV37-SUM(BX$25:BX36))*VLOOKUP($R37,$A:$Q,13,0)/VLOOKUP(M$15,$M$1:$O$4,2,0))</f>
        <v>1.3125</v>
      </c>
      <c r="BX37" s="257">
        <f t="shared" si="34"/>
        <v>0</v>
      </c>
      <c r="BY37" s="257">
        <f t="shared" si="65"/>
        <v>1.3125</v>
      </c>
      <c r="BZ37" s="258">
        <f t="shared" si="35"/>
        <v>0.74087203319558248</v>
      </c>
      <c r="CA37" s="257">
        <f>+CA36*IF($R37&gt;CB$6,1,(1+#REF!/VLOOKUP(N$15,$M$1:$N$4,2,0))^(VLOOKUP(N$15,$M$1:$N$4,2,0)*#REF!))</f>
        <v>99</v>
      </c>
      <c r="CB37" s="257">
        <f>+IF($R37&gt;N$8,"FIN",(CA37-SUM(CC$25:CC36))*VLOOKUP($R37,$A:$Q,14,0)/VLOOKUP(N$15,$M$1:$O$4,2,0))</f>
        <v>2.64825</v>
      </c>
      <c r="CC37" s="257">
        <f t="shared" si="36"/>
        <v>0</v>
      </c>
      <c r="CD37" s="257">
        <f t="shared" si="67"/>
        <v>2.64825</v>
      </c>
      <c r="CE37" s="258">
        <f t="shared" si="38"/>
        <v>1.4948680852649154</v>
      </c>
      <c r="CF37" s="257">
        <f>+CF36*IF($R37&gt;CG$6,1,(1+#REF!/VLOOKUP(O$15,$M$1:$N$4,2,0))^(VLOOKUP(O$15,$M$1:$N$4,2,0)*#REF!))</f>
        <v>99</v>
      </c>
      <c r="CG37" s="257">
        <f>+IF($R37&gt;O$8,"FIN",(CF37-SUM(CH$25:CH36))*VLOOKUP($R37,$A:$Q,15,0)/VLOOKUP(O$15,$M$1:$O$4,2,0))</f>
        <v>2.2275</v>
      </c>
      <c r="CH37" s="257">
        <f t="shared" si="39"/>
        <v>0</v>
      </c>
      <c r="CI37" s="257">
        <f t="shared" si="69"/>
        <v>2.2275</v>
      </c>
      <c r="CJ37" s="258">
        <f t="shared" si="40"/>
        <v>1.2573656791947887</v>
      </c>
      <c r="CK37" s="257"/>
      <c r="CL37" s="257"/>
      <c r="CM37" s="257"/>
      <c r="CN37" s="257"/>
      <c r="CO37" s="258"/>
      <c r="CP37" s="4"/>
      <c r="CQ37"/>
      <c r="CR37"/>
      <c r="CS37"/>
    </row>
    <row r="38" spans="1:97" ht="15" x14ac:dyDescent="0.25">
      <c r="A38" s="27">
        <f t="shared" si="43"/>
        <v>46402</v>
      </c>
      <c r="B38" s="256">
        <v>1.4999999999999999E-2</v>
      </c>
      <c r="C38" s="256">
        <v>2.5000000000000001E-3</v>
      </c>
      <c r="D38" s="256">
        <v>0.04</v>
      </c>
      <c r="E38" s="256">
        <v>0.03</v>
      </c>
      <c r="F38" s="256">
        <v>5.6500000000000002E-2</v>
      </c>
      <c r="G38" s="256">
        <v>4.65E-2</v>
      </c>
      <c r="H38" s="256">
        <v>5.7500000000000002E-2</v>
      </c>
      <c r="I38" s="256">
        <v>4.7500000000000001E-2</v>
      </c>
      <c r="J38" s="256">
        <v>5.7500000000000002E-2</v>
      </c>
      <c r="K38" s="256">
        <v>4.5499999999999999E-2</v>
      </c>
      <c r="L38" s="256">
        <v>3.5000000000000003E-2</v>
      </c>
      <c r="M38" s="256">
        <v>2.6249999999999999E-2</v>
      </c>
      <c r="N38" s="256">
        <v>5.7500000000000002E-2</v>
      </c>
      <c r="O38" s="286">
        <v>4.7500000000000001E-2</v>
      </c>
      <c r="P38" s="259"/>
      <c r="Q38" s="2">
        <f t="shared" si="44"/>
        <v>2027</v>
      </c>
      <c r="R38" s="27">
        <f t="shared" si="45"/>
        <v>46402</v>
      </c>
      <c r="S38" s="257">
        <f>+S37*IF($R38&gt;T$6,1,(1+#REF!/VLOOKUP(B$15,$M$1:$N$4,2,0))^(VLOOKUP(B$15,$M$1:$N$4,2,0)*#REF!))</f>
        <v>100</v>
      </c>
      <c r="T38" s="257">
        <f>+IF($R38&gt;B$8,"FIN",(S38-SUM($U$25:U37))*VLOOKUP($R38,$A:$Q,2,0)/VLOOKUP(B$15,$M$1:$O$4,2,0))</f>
        <v>0.3</v>
      </c>
      <c r="U38" s="257">
        <f t="shared" si="8"/>
        <v>20</v>
      </c>
      <c r="V38" s="257">
        <f t="shared" si="47"/>
        <v>20.3</v>
      </c>
      <c r="W38" s="258">
        <f t="shared" si="9"/>
        <v>10.925556930687408</v>
      </c>
      <c r="X38" s="257">
        <f>+X37*IF($R38&gt;Y$6,1,(1+#REF!/VLOOKUP(C$15,$M$1:$N$4,2,0))^(VLOOKUP(C$15,$M$1:$N$4,2,0)*#REF!))</f>
        <v>100</v>
      </c>
      <c r="Y38" s="257">
        <f>+IF($R38&gt;C$8,"FIN",(X38-SUM($Z$25:Z37))*VLOOKUP($R38,$A:$Q,3,0)/VLOOKUP(C$15,$M$1:$O$4,2,0))</f>
        <v>0.05</v>
      </c>
      <c r="Z38" s="257">
        <f t="shared" si="49"/>
        <v>20</v>
      </c>
      <c r="AA38" s="257">
        <f t="shared" si="10"/>
        <v>20.05</v>
      </c>
      <c r="AB38" s="258">
        <f t="shared" si="11"/>
        <v>10.791005736959731</v>
      </c>
      <c r="AC38" s="257">
        <f>+AC37*IF($R38&gt;AD$6,1,(1+#REF!/VLOOKUP(D$15,$M$1:$N$4,2,0))^(VLOOKUP(D$15,$M$1:$N$4,2,0)*#REF!))</f>
        <v>100</v>
      </c>
      <c r="AD38" s="257">
        <f>+IF($R38&gt;D$8,"FIN",(AC38-SUM($AE$25:AE37))*VLOOKUP($R38,$A:$Q,4,0)/VLOOKUP(D$15,$M$1:$O$4,2,0))</f>
        <v>2</v>
      </c>
      <c r="AE38" s="257">
        <f t="shared" si="12"/>
        <v>0</v>
      </c>
      <c r="AF38" s="257">
        <f t="shared" si="72"/>
        <v>2</v>
      </c>
      <c r="AG38" s="258">
        <f t="shared" si="14"/>
        <v>1.0764095498214195</v>
      </c>
      <c r="AH38" s="257">
        <f>+AH37*IF($R38&gt;AI$6,1,(1+#REF!/VLOOKUP(E$15,$M$1:$N$4,2,0))^(VLOOKUP(E$15,$M$1:$N$4,2,0)*#REF!))</f>
        <v>100</v>
      </c>
      <c r="AI38" s="257">
        <f>+IF($R38&gt;E$8,"FIN",(AH38-SUM($AJ$25:AJ37))*VLOOKUP($R38,$A:$Q,5,0)/VLOOKUP(E$15,$M$1:$O$4,2,0))</f>
        <v>1.5</v>
      </c>
      <c r="AJ38" s="257">
        <f t="shared" si="15"/>
        <v>0</v>
      </c>
      <c r="AK38" s="257">
        <f t="shared" si="16"/>
        <v>1.5</v>
      </c>
      <c r="AL38" s="258">
        <f t="shared" si="17"/>
        <v>0.80730716236606459</v>
      </c>
      <c r="AM38" s="257">
        <f>+AM37*IF($R38&gt;AN$6,1,(1+#REF!/VLOOKUP(F$15,$M$1:$N$4,2,0))^(VLOOKUP(F$15,$M$1:$N$4,2,0)*#REF!))</f>
        <v>100</v>
      </c>
      <c r="AN38" s="257">
        <f>+IF($R38&gt;F$8,"FIN",(AM38-SUM($AO$25:AO37))*VLOOKUP($R38,$A:$Q,6,0)/VLOOKUP(F$15,$M$1:$O$4,2,0))</f>
        <v>2.8250000000000002</v>
      </c>
      <c r="AO38" s="257">
        <f t="shared" si="18"/>
        <v>0</v>
      </c>
      <c r="AP38" s="257">
        <f t="shared" si="19"/>
        <v>2.8250000000000002</v>
      </c>
      <c r="AQ38" s="258">
        <f t="shared" si="20"/>
        <v>1.5204284891227551</v>
      </c>
      <c r="AR38" s="257">
        <f>+AR37*IF($R38&gt;AS$6,1,(1+#REF!/VLOOKUP(G$15,$M$1:$N$4,2,0))^(VLOOKUP(G$15,$M$1:$N$4,2,0)*#REF!))</f>
        <v>100</v>
      </c>
      <c r="AS38" s="257">
        <f>+IF($R38&gt;G$8,"FIN",(AR38-SUM(AT$25:AT37))*VLOOKUP($R38,$A:$Q,7,0)/VLOOKUP(G$15,$M$1:$O$4,2,0))</f>
        <v>2.3250000000000002</v>
      </c>
      <c r="AT38" s="257">
        <f t="shared" si="21"/>
        <v>0</v>
      </c>
      <c r="AU38" s="257">
        <f t="shared" si="54"/>
        <v>2.3250000000000002</v>
      </c>
      <c r="AV38" s="258">
        <f t="shared" si="22"/>
        <v>1.2513261016674002</v>
      </c>
      <c r="AW38" s="257">
        <f>+AW37*IF($R38&gt;AX$6,1,(1+#REF!/VLOOKUP(H$15,$M$1:$N$4,2,0))^(VLOOKUP(H$15,$M$1:$N$4,2,0)*#REF!))</f>
        <v>99</v>
      </c>
      <c r="AX38" s="257">
        <f>+IF($R38&gt;H$8,"FIN",(AW38-SUM(AY$25:AY37))*VLOOKUP($R38,$A:$Q,8,0)/VLOOKUP(H$15,$M$1:$O$4,2,0))</f>
        <v>2.8462499999999999</v>
      </c>
      <c r="AY38" s="257">
        <f t="shared" si="23"/>
        <v>0</v>
      </c>
      <c r="AZ38" s="257">
        <f t="shared" si="24"/>
        <v>2.8462499999999999</v>
      </c>
      <c r="BA38" s="258">
        <f t="shared" si="25"/>
        <v>1.5318653405896077</v>
      </c>
      <c r="BB38" s="257">
        <f>+BB37*IF($R38&gt;BC$6,1,(1+#REF!/VLOOKUP(I$15,$M$1:$N$4,2,0))^(VLOOKUP(I$15,$M$1:$N$4,2,0)*#REF!))</f>
        <v>99</v>
      </c>
      <c r="BC38" s="257">
        <f>+IF($R38&gt;I$8,"FIN",(BB38-SUM(BD$25:BD37))*VLOOKUP($R38,$A:$Q,9,0)/VLOOKUP(I$15,$M$1:$O$4,2,0))</f>
        <v>2.3512499999999998</v>
      </c>
      <c r="BD38" s="257">
        <f t="shared" si="26"/>
        <v>0</v>
      </c>
      <c r="BE38" s="257">
        <f t="shared" si="57"/>
        <v>2.3512499999999998</v>
      </c>
      <c r="BF38" s="258">
        <f t="shared" si="27"/>
        <v>1.2654539770088062</v>
      </c>
      <c r="BG38" s="257">
        <f>+BG37*IF($R38&gt;BH$6,1,(1+#REF!/VLOOKUP(J$15,$M$1:$N$4,2,0))^(VLOOKUP(J$15,$M$1:$N$4,2,0)*#REF!))</f>
        <v>100</v>
      </c>
      <c r="BH38" s="257">
        <f>+IF($R38&gt;J$8,"FIN",(BG38-SUM(BI$25:BI37))*VLOOKUP($R38,$A:$Q,10,0)/VLOOKUP(J$15,$M$1:$O$4,2,0))</f>
        <v>2.875</v>
      </c>
      <c r="BI38" s="257">
        <f t="shared" si="59"/>
        <v>0</v>
      </c>
      <c r="BJ38" s="257">
        <f t="shared" si="28"/>
        <v>2.875</v>
      </c>
      <c r="BK38" s="258">
        <f t="shared" si="29"/>
        <v>1.5473387278682906</v>
      </c>
      <c r="BL38" s="257">
        <f>+BL37*IF($R38&gt;BM$6,1,(1+#REF!/VLOOKUP(K$15,$M$1:$N$4,2,0))^(VLOOKUP(K$15,$M$1:$N$4,2,0)*#REF!))</f>
        <v>100</v>
      </c>
      <c r="BM38" s="257">
        <f>+IF($R38&gt;K$8,"FIN",(BL38-SUM(BN$25:BN37))*VLOOKUP($R38,$A:$Q,11,0)/VLOOKUP(K$15,$M$1:$O$4,2,0))</f>
        <v>2.2749999999999999</v>
      </c>
      <c r="BN38" s="257">
        <f t="shared" si="61"/>
        <v>0</v>
      </c>
      <c r="BO38" s="257">
        <f t="shared" si="62"/>
        <v>2.2749999999999999</v>
      </c>
      <c r="BP38" s="258">
        <f t="shared" si="30"/>
        <v>1.2244158629218647</v>
      </c>
      <c r="BQ38" s="257">
        <f>+BQ37*IF($R38&gt;BR$6,1,(1+#REF!/VLOOKUP(L$15,$M$1:$N$4,2,0))^(VLOOKUP(L$15,$M$1:$N$4,2,0)*#REF!))</f>
        <v>100</v>
      </c>
      <c r="BR38" s="257">
        <f>+IF($R38&gt;L$8,"FIN",(BQ38-SUM(BS$25:BS37))*VLOOKUP($R38,$A:$Q,12,0)/VLOOKUP(L$15,$M$1:$O$4,2,0))</f>
        <v>1.7500000000000002</v>
      </c>
      <c r="BS38" s="257">
        <f t="shared" si="31"/>
        <v>3.3333333333333335</v>
      </c>
      <c r="BT38" s="257">
        <f t="shared" si="32"/>
        <v>5.0833333333333339</v>
      </c>
      <c r="BU38" s="258">
        <f t="shared" si="33"/>
        <v>2.7358742724627749</v>
      </c>
      <c r="BV38" s="257">
        <f>+BV37*IF($R38&gt;BW$6,1,(1+#REF!/VLOOKUP(M$15,$M$1:$N$4,2,0))^(VLOOKUP(M$15,$M$1:$N$4,2,0)*#REF!))</f>
        <v>100</v>
      </c>
      <c r="BW38" s="257">
        <f>+IF($R38&gt;M$8,"FIN",(BV38-SUM(BX$25:BX37))*VLOOKUP($R38,$A:$Q,13,0)/VLOOKUP(M$15,$M$1:$O$4,2,0))</f>
        <v>1.3125</v>
      </c>
      <c r="BX38" s="257">
        <f t="shared" si="34"/>
        <v>3.3333333333333335</v>
      </c>
      <c r="BY38" s="257">
        <f t="shared" si="65"/>
        <v>4.6458333333333339</v>
      </c>
      <c r="BZ38" s="258">
        <f t="shared" si="35"/>
        <v>2.5004096834393392</v>
      </c>
      <c r="CA38" s="257">
        <f>+CA37*IF($R38&gt;CB$6,1,(1+#REF!/VLOOKUP(N$15,$M$1:$N$4,2,0))^(VLOOKUP(N$15,$M$1:$N$4,2,0)*#REF!))</f>
        <v>99</v>
      </c>
      <c r="CB38" s="257">
        <f>+IF($R38&gt;N$8,"FIN",(CA38-SUM(CC$25:CC37))*VLOOKUP($R38,$A:$Q,14,0)/VLOOKUP(N$15,$M$1:$O$4,2,0))</f>
        <v>2.8462499999999999</v>
      </c>
      <c r="CC38" s="257">
        <f t="shared" si="36"/>
        <v>0</v>
      </c>
      <c r="CD38" s="257">
        <f t="shared" si="67"/>
        <v>2.8462499999999999</v>
      </c>
      <c r="CE38" s="258">
        <f t="shared" si="38"/>
        <v>1.5318653405896077</v>
      </c>
      <c r="CF38" s="257">
        <f>+CF37*IF($R38&gt;CG$6,1,(1+#REF!/VLOOKUP(O$15,$M$1:$N$4,2,0))^(VLOOKUP(O$15,$M$1:$N$4,2,0)*#REF!))</f>
        <v>99</v>
      </c>
      <c r="CG38" s="257">
        <f>+IF($R38&gt;O$8,"FIN",(CF38-SUM(CH$25:CH37))*VLOOKUP($R38,$A:$Q,15,0)/VLOOKUP(O$15,$M$1:$O$4,2,0))</f>
        <v>2.3512499999999998</v>
      </c>
      <c r="CH38" s="257">
        <f t="shared" si="39"/>
        <v>0</v>
      </c>
      <c r="CI38" s="257">
        <f t="shared" si="69"/>
        <v>2.3512499999999998</v>
      </c>
      <c r="CJ38" s="258">
        <f t="shared" si="40"/>
        <v>1.2654539770088062</v>
      </c>
      <c r="CK38" s="257"/>
      <c r="CL38" s="257"/>
      <c r="CM38" s="257"/>
      <c r="CN38" s="257"/>
      <c r="CO38" s="258"/>
      <c r="CP38" s="4"/>
      <c r="CQ38"/>
      <c r="CR38"/>
      <c r="CS38"/>
    </row>
    <row r="39" spans="1:97" ht="15" x14ac:dyDescent="0.25">
      <c r="A39" s="27">
        <f t="shared" si="43"/>
        <v>46583</v>
      </c>
      <c r="B39" s="256">
        <v>1.4999999999999999E-2</v>
      </c>
      <c r="C39" s="256">
        <v>2.5000000000000001E-3</v>
      </c>
      <c r="D39" s="256">
        <v>0.04</v>
      </c>
      <c r="E39" s="256">
        <v>0.03</v>
      </c>
      <c r="F39" s="256">
        <v>5.6500000000000002E-2</v>
      </c>
      <c r="G39" s="256">
        <v>4.65E-2</v>
      </c>
      <c r="H39" s="256">
        <v>5.7500000000000002E-2</v>
      </c>
      <c r="I39" s="256">
        <v>4.7500000000000001E-2</v>
      </c>
      <c r="J39" s="256">
        <v>5.7500000000000002E-2</v>
      </c>
      <c r="K39" s="256">
        <v>4.5499999999999999E-2</v>
      </c>
      <c r="L39" s="256">
        <v>3.5000000000000003E-2</v>
      </c>
      <c r="M39" s="256">
        <v>2.6249999999999999E-2</v>
      </c>
      <c r="N39" s="256">
        <v>5.7500000000000002E-2</v>
      </c>
      <c r="O39" s="286">
        <v>4.7500000000000001E-2</v>
      </c>
      <c r="P39" s="259"/>
      <c r="Q39" s="2">
        <f t="shared" si="44"/>
        <v>2027</v>
      </c>
      <c r="R39" s="27">
        <f t="shared" si="45"/>
        <v>46583</v>
      </c>
      <c r="S39" s="257">
        <f>+S38*IF($R39&gt;T$6,1,(1+U20/VLOOKUP(B$15,$M$1:$N$4,2,0))^(VLOOKUP(B$15,$M$1:$N$4,2,0)*T20))</f>
        <v>100</v>
      </c>
      <c r="T39" s="257">
        <f>+IF($R39&gt;B$8,"FIN",(S39-SUM($U$25:U38))*VLOOKUP($R39,$A:$Q,2,0)/VLOOKUP(B$15,$M$1:$O$4,2,0))</f>
        <v>0.15</v>
      </c>
      <c r="U39" s="257">
        <f t="shared" si="8"/>
        <v>20</v>
      </c>
      <c r="V39" s="257">
        <f t="shared" si="47"/>
        <v>20.149999999999999</v>
      </c>
      <c r="W39" s="258">
        <f t="shared" si="9"/>
        <v>10.340136082348733</v>
      </c>
      <c r="X39" s="257">
        <f>+X38*IF($R39&gt;Y$6,1,(1+Z20/VLOOKUP(C$15,$M$1:$N$4,2,0))^(VLOOKUP(C$15,$M$1:$N$4,2,0)*Y20))</f>
        <v>100</v>
      </c>
      <c r="Y39" s="257">
        <f>+IF($R39&gt;C$8,"FIN",(X39-SUM($Z$25:Z38))*VLOOKUP($R39,$A:$Q,3,0)/VLOOKUP(C$15,$M$1:$O$4,2,0))</f>
        <v>2.5000000000000001E-2</v>
      </c>
      <c r="Z39" s="257">
        <f t="shared" si="49"/>
        <v>20</v>
      </c>
      <c r="AA39" s="257">
        <f t="shared" si="10"/>
        <v>20.024999999999999</v>
      </c>
      <c r="AB39" s="258">
        <f t="shared" si="11"/>
        <v>10.275991317569895</v>
      </c>
      <c r="AC39" s="257">
        <f>+AC38*IF($R39&gt;AD$6,1,(1+AE20/VLOOKUP(D$15,$M$1:$N$4,2,0))^(VLOOKUP(D$15,$M$1:$N$4,2,0)*AD20))</f>
        <v>100</v>
      </c>
      <c r="AD39" s="257">
        <f>+IF($R39&gt;D$8,"FIN",(AC39-SUM($AE$25:AE38))*VLOOKUP($R39,$A:$Q,4,0)/VLOOKUP(D$15,$M$1:$O$4,2,0))</f>
        <v>2</v>
      </c>
      <c r="AE39" s="257">
        <f t="shared" si="12"/>
        <v>0</v>
      </c>
      <c r="AF39" s="257">
        <f t="shared" si="72"/>
        <v>2</v>
      </c>
      <c r="AG39" s="258">
        <f t="shared" si="14"/>
        <v>1.0263162364614129</v>
      </c>
      <c r="AH39" s="257">
        <f>+AH38*IF($R39&gt;AI$6,1,(1+AJ20/VLOOKUP(E$15,$M$1:$N$4,2,0))^(VLOOKUP(E$15,$M$1:$N$4,2,0)*AI20))</f>
        <v>100</v>
      </c>
      <c r="AI39" s="257">
        <f>+IF($R39&gt;E$8,"FIN",(AH39-SUM($AJ$25:AJ38))*VLOOKUP($R39,$A:$Q,5,0)/VLOOKUP(E$15,$M$1:$O$4,2,0))</f>
        <v>1.5</v>
      </c>
      <c r="AJ39" s="257">
        <f t="shared" si="15"/>
        <v>0</v>
      </c>
      <c r="AK39" s="257">
        <f t="shared" si="16"/>
        <v>1.5</v>
      </c>
      <c r="AL39" s="258">
        <f t="shared" si="17"/>
        <v>0.76973717734605962</v>
      </c>
      <c r="AM39" s="257">
        <f>+AM38*IF($R39&gt;AN$6,1,(1+AO20/VLOOKUP(F$15,$M$1:$N$4,2,0))^(VLOOKUP(F$15,$M$1:$N$4,2,0)*AN20))</f>
        <v>100</v>
      </c>
      <c r="AN39" s="257">
        <f>+IF($R39&gt;F$8,"FIN",(AM39-SUM($AO$25:AO38))*VLOOKUP($R39,$A:$Q,6,0)/VLOOKUP(F$15,$M$1:$O$4,2,0))</f>
        <v>2.8250000000000002</v>
      </c>
      <c r="AO39" s="257">
        <f t="shared" si="18"/>
        <v>0</v>
      </c>
      <c r="AP39" s="257">
        <f t="shared" si="19"/>
        <v>2.8250000000000002</v>
      </c>
      <c r="AQ39" s="258">
        <f t="shared" si="20"/>
        <v>1.4496716840017458</v>
      </c>
      <c r="AR39" s="257">
        <f>+AR38*IF($R39&gt;AS$6,1,(1+AT20/VLOOKUP(G$15,$M$1:$N$4,2,0))^(VLOOKUP(G$15,$M$1:$N$4,2,0)*AS20))</f>
        <v>100</v>
      </c>
      <c r="AS39" s="257">
        <f>+IF($R39&gt;G$8,"FIN",(AR39-SUM(AT$25:AT38))*VLOOKUP($R39,$A:$Q,7,0)/VLOOKUP(G$15,$M$1:$O$4,2,0))</f>
        <v>2.3250000000000002</v>
      </c>
      <c r="AT39" s="257">
        <f t="shared" si="21"/>
        <v>0</v>
      </c>
      <c r="AU39" s="257">
        <f t="shared" si="54"/>
        <v>2.3250000000000002</v>
      </c>
      <c r="AV39" s="258">
        <f t="shared" si="22"/>
        <v>1.1930926248863927</v>
      </c>
      <c r="AW39" s="257">
        <f>+AW38*IF($R39&gt;AX$6,1,(1+AY20/VLOOKUP(H$15,$M$1:$N$4,2,0))^(VLOOKUP(H$15,$M$1:$N$4,2,0)*AX20))</f>
        <v>99</v>
      </c>
      <c r="AX39" s="257">
        <f>+IF($R39&gt;H$8,"FIN",(AW39-SUM(AY$25:AY38))*VLOOKUP($R39,$A:$Q,8,0)/VLOOKUP(H$15,$M$1:$O$4,2,0))</f>
        <v>2.8462499999999999</v>
      </c>
      <c r="AY39" s="257">
        <f t="shared" si="23"/>
        <v>0</v>
      </c>
      <c r="AZ39" s="257">
        <f t="shared" si="24"/>
        <v>2.8462499999999999</v>
      </c>
      <c r="BA39" s="258">
        <f t="shared" si="25"/>
        <v>1.4605762940141482</v>
      </c>
      <c r="BB39" s="257">
        <f>+BB38*IF($R39&gt;BC$6,1,(1+BD20/VLOOKUP(I$15,$M$1:$N$4,2,0))^(VLOOKUP(I$15,$M$1:$N$4,2,0)*BC20))</f>
        <v>99</v>
      </c>
      <c r="BC39" s="257">
        <f>+IF($R39&gt;I$8,"FIN",(BB39-SUM(BD$25:BD38))*VLOOKUP($R39,$A:$Q,9,0)/VLOOKUP(I$15,$M$1:$O$4,2,0))</f>
        <v>2.3512499999999998</v>
      </c>
      <c r="BD39" s="257">
        <f t="shared" si="26"/>
        <v>0</v>
      </c>
      <c r="BE39" s="257">
        <f t="shared" si="57"/>
        <v>2.3512499999999998</v>
      </c>
      <c r="BF39" s="258">
        <f t="shared" si="27"/>
        <v>1.2065630254899484</v>
      </c>
      <c r="BG39" s="257">
        <f>+BG38*IF($R39&gt;BH$6,1,(1+BI20/VLOOKUP(J$15,$M$1:$N$4,2,0))^(VLOOKUP(J$15,$M$1:$N$4,2,0)*BH20))</f>
        <v>100</v>
      </c>
      <c r="BH39" s="257">
        <f>+IF($R39&gt;J$8,"FIN",(BG39-SUM(BI$25:BI38))*VLOOKUP($R39,$A:$Q,10,0)/VLOOKUP(J$15,$M$1:$O$4,2,0))</f>
        <v>2.875</v>
      </c>
      <c r="BI39" s="257">
        <f t="shared" si="59"/>
        <v>0</v>
      </c>
      <c r="BJ39" s="257">
        <f t="shared" si="28"/>
        <v>2.875</v>
      </c>
      <c r="BK39" s="258">
        <f t="shared" si="29"/>
        <v>1.475329589913281</v>
      </c>
      <c r="BL39" s="257">
        <f>+BL38*IF($R39&gt;BM$6,1,(1+BN20/VLOOKUP(K$15,$M$1:$N$4,2,0))^(VLOOKUP(K$15,$M$1:$N$4,2,0)*BM20))</f>
        <v>100</v>
      </c>
      <c r="BM39" s="257">
        <f>+IF($R39&gt;K$8,"FIN",(BL39-SUM(BN$25:BN38))*VLOOKUP($R39,$A:$Q,11,0)/VLOOKUP(K$15,$M$1:$O$4,2,0))</f>
        <v>2.2749999999999999</v>
      </c>
      <c r="BN39" s="257">
        <f t="shared" si="61"/>
        <v>0</v>
      </c>
      <c r="BO39" s="257">
        <f t="shared" si="62"/>
        <v>2.2749999999999999</v>
      </c>
      <c r="BP39" s="258">
        <f t="shared" si="30"/>
        <v>1.1674347189748571</v>
      </c>
      <c r="BQ39" s="257">
        <f>+BQ38*IF($R39&gt;BR$6,1,(1+BS20/VLOOKUP(L$15,$M$1:$N$4,2,0))^(VLOOKUP(L$15,$M$1:$N$4,2,0)*BR20))</f>
        <v>100</v>
      </c>
      <c r="BR39" s="257">
        <f>+IF($R39&gt;L$8,"FIN",(BQ39-SUM(BS$25:BS38))*VLOOKUP($R39,$A:$Q,12,0)/VLOOKUP(L$15,$M$1:$O$4,2,0))</f>
        <v>1.6916666666666669</v>
      </c>
      <c r="BS39" s="257">
        <f t="shared" si="31"/>
        <v>3.3333333333333335</v>
      </c>
      <c r="BT39" s="257">
        <f t="shared" si="32"/>
        <v>5.0250000000000004</v>
      </c>
      <c r="BU39" s="258">
        <f t="shared" si="33"/>
        <v>2.5786195441093001</v>
      </c>
      <c r="BV39" s="257">
        <f>+BV38*IF($R39&gt;BW$6,1,(1+BX20/VLOOKUP(M$15,$M$1:$N$4,2,0))^(VLOOKUP(M$15,$M$1:$N$4,2,0)*BW20))</f>
        <v>100</v>
      </c>
      <c r="BW39" s="257">
        <f>+IF($R39&gt;M$8,"FIN",(BV39-SUM(BX$25:BX38))*VLOOKUP($R39,$A:$Q,13,0)/VLOOKUP(M$15,$M$1:$O$4,2,0))</f>
        <v>1.26875</v>
      </c>
      <c r="BX39" s="257">
        <f t="shared" si="34"/>
        <v>3.3333333333333335</v>
      </c>
      <c r="BY39" s="257">
        <f t="shared" si="65"/>
        <v>4.6020833333333337</v>
      </c>
      <c r="BZ39" s="258">
        <f t="shared" si="35"/>
        <v>2.3615964232742304</v>
      </c>
      <c r="CA39" s="257">
        <f>+CA38*IF($R39&gt;CB$6,1,(1+CC20/VLOOKUP(N$15,$M$1:$N$4,2,0))^(VLOOKUP(N$15,$M$1:$N$4,2,0)*CB20))</f>
        <v>99</v>
      </c>
      <c r="CB39" s="257">
        <f>+IF($R39&gt;N$8,"FIN",(CA39-SUM(CC$25:CC38))*VLOOKUP($R39,$A:$Q,14,0)/VLOOKUP(N$15,$M$1:$O$4,2,0))</f>
        <v>2.8462499999999999</v>
      </c>
      <c r="CC39" s="257">
        <f t="shared" si="36"/>
        <v>0</v>
      </c>
      <c r="CD39" s="257">
        <f t="shared" si="67"/>
        <v>2.8462499999999999</v>
      </c>
      <c r="CE39" s="258">
        <f t="shared" si="38"/>
        <v>1.4605762940141482</v>
      </c>
      <c r="CF39" s="257">
        <f>+CF38*IF($R39&gt;CG$6,1,(1+CH20/VLOOKUP(O$15,$M$1:$N$4,2,0))^(VLOOKUP(O$15,$M$1:$N$4,2,0)*CG20))</f>
        <v>99</v>
      </c>
      <c r="CG39" s="257">
        <f>+IF($R39&gt;O$8,"FIN",(CF39-SUM(CH$25:CH38))*VLOOKUP($R39,$A:$Q,15,0)/VLOOKUP(O$15,$M$1:$O$4,2,0))</f>
        <v>2.3512499999999998</v>
      </c>
      <c r="CH39" s="257">
        <f t="shared" si="39"/>
        <v>0</v>
      </c>
      <c r="CI39" s="257">
        <f t="shared" si="69"/>
        <v>2.3512499999999998</v>
      </c>
      <c r="CJ39" s="258">
        <f t="shared" si="40"/>
        <v>1.2065630254899484</v>
      </c>
      <c r="CK39" s="257"/>
      <c r="CL39" s="257"/>
      <c r="CM39" s="257"/>
      <c r="CN39" s="257"/>
      <c r="CO39" s="258"/>
      <c r="CP39" s="4"/>
      <c r="CQ39"/>
      <c r="CR39"/>
      <c r="CS39"/>
    </row>
    <row r="40" spans="1:97" ht="15" x14ac:dyDescent="0.25">
      <c r="A40" s="27">
        <f t="shared" si="43"/>
        <v>46767</v>
      </c>
      <c r="B40" s="256"/>
      <c r="C40" s="256"/>
      <c r="D40" s="256">
        <v>0.04</v>
      </c>
      <c r="E40" s="256">
        <v>0.03</v>
      </c>
      <c r="F40" s="256">
        <v>5.6500000000000002E-2</v>
      </c>
      <c r="G40" s="256">
        <v>4.65E-2</v>
      </c>
      <c r="H40" s="256">
        <v>5.7500000000000002E-2</v>
      </c>
      <c r="I40" s="256">
        <v>4.7500000000000001E-2</v>
      </c>
      <c r="J40" s="256">
        <v>5.7500000000000002E-2</v>
      </c>
      <c r="K40" s="256">
        <v>4.5499999999999999E-2</v>
      </c>
      <c r="L40" s="256">
        <v>3.5000000000000003E-2</v>
      </c>
      <c r="M40" s="256">
        <v>2.6249999999999999E-2</v>
      </c>
      <c r="N40" s="256">
        <v>5.7500000000000002E-2</v>
      </c>
      <c r="O40" s="286">
        <v>4.7500000000000001E-2</v>
      </c>
      <c r="P40" s="259"/>
      <c r="Q40" s="2">
        <f t="shared" si="44"/>
        <v>2028</v>
      </c>
      <c r="R40" s="27">
        <f t="shared" si="45"/>
        <v>46767</v>
      </c>
      <c r="S40" s="257"/>
      <c r="T40" s="257"/>
      <c r="U40" s="257"/>
      <c r="V40" s="257"/>
      <c r="W40" s="258"/>
      <c r="X40" s="257"/>
      <c r="Y40" s="257"/>
      <c r="Z40" s="257"/>
      <c r="AA40" s="257"/>
      <c r="AB40" s="258"/>
      <c r="AC40" s="257">
        <f>+AC39*IF($R40&gt;AD$6,1,(1+#REF!/VLOOKUP(D$15,$M$1:$N$4,2,0))^(VLOOKUP(D$15,$M$1:$N$4,2,0)*#REF!))</f>
        <v>100</v>
      </c>
      <c r="AD40" s="257">
        <f>+IF($R40&gt;D$8,"FIN",(AC40-SUM($AE$25:AE39))*VLOOKUP($R40,$A:$Q,4,0)/VLOOKUP(D$15,$M$1:$O$4,2,0))</f>
        <v>2</v>
      </c>
      <c r="AE40" s="257">
        <f t="shared" si="12"/>
        <v>16.666666666666668</v>
      </c>
      <c r="AF40" s="257">
        <f t="shared" si="72"/>
        <v>18.666666666666668</v>
      </c>
      <c r="AG40" s="258">
        <f t="shared" si="14"/>
        <v>9.1331719378787106</v>
      </c>
      <c r="AH40" s="257">
        <f>+AH39*IF($R40&gt;AI$6,1,(1+#REF!/VLOOKUP(E$15,$M$1:$N$4,2,0))^(VLOOKUP(E$15,$M$1:$N$4,2,0)*#REF!))</f>
        <v>100</v>
      </c>
      <c r="AI40" s="257">
        <f>+IF($R40&gt;E$8,"FIN",(AH40-SUM($AJ$25:AJ39))*VLOOKUP($R40,$A:$Q,5,0)/VLOOKUP(E$15,$M$1:$O$4,2,0))</f>
        <v>1.5</v>
      </c>
      <c r="AJ40" s="257">
        <f t="shared" si="15"/>
        <v>16.666666666666668</v>
      </c>
      <c r="AK40" s="257">
        <f t="shared" si="16"/>
        <v>18.166666666666668</v>
      </c>
      <c r="AL40" s="258">
        <f t="shared" si="17"/>
        <v>8.8885334038283883</v>
      </c>
      <c r="AM40" s="257">
        <f>+AM39*IF($R40&gt;AN$6,1,(1+#REF!/VLOOKUP(F$15,$M$1:$N$4,2,0))^(VLOOKUP(F$15,$M$1:$N$4,2,0)*#REF!))</f>
        <v>100</v>
      </c>
      <c r="AN40" s="257">
        <f>+IF($R40&gt;F$8,"FIN",(AM40-SUM($AO$25:AO39))*VLOOKUP($R40,$A:$Q,6,0)/VLOOKUP(F$15,$M$1:$O$4,2,0))</f>
        <v>2.8250000000000002</v>
      </c>
      <c r="AO40" s="257">
        <f t="shared" si="18"/>
        <v>0</v>
      </c>
      <c r="AP40" s="257">
        <f t="shared" si="19"/>
        <v>2.8250000000000002</v>
      </c>
      <c r="AQ40" s="258">
        <f t="shared" si="20"/>
        <v>1.3822077173843226</v>
      </c>
      <c r="AR40" s="257">
        <f>+AR39*IF($R40&gt;AS$6,1,(1+#REF!/VLOOKUP(G$15,$M$1:$N$4,2,0))^(VLOOKUP(G$15,$M$1:$N$4,2,0)*#REF!))</f>
        <v>100</v>
      </c>
      <c r="AS40" s="257">
        <f>+IF($R40&gt;G$8,"FIN",(AR40-SUM(AT$25:AT39))*VLOOKUP($R40,$A:$Q,7,0)/VLOOKUP(G$15,$M$1:$O$4,2,0))</f>
        <v>2.3250000000000002</v>
      </c>
      <c r="AT40" s="257">
        <f t="shared" si="21"/>
        <v>0</v>
      </c>
      <c r="AU40" s="257">
        <f t="shared" si="54"/>
        <v>2.3250000000000002</v>
      </c>
      <c r="AV40" s="258">
        <f t="shared" si="22"/>
        <v>1.137569183334</v>
      </c>
      <c r="AW40" s="257">
        <f>+AW39*IF($R40&gt;AX$6,1,(1+#REF!/VLOOKUP(H$15,$M$1:$N$4,2,0))^(VLOOKUP(H$15,$M$1:$N$4,2,0)*#REF!))</f>
        <v>99</v>
      </c>
      <c r="AX40" s="257">
        <f>+IF($R40&gt;H$8,"FIN",(AW40-SUM(AY$25:AY39))*VLOOKUP($R40,$A:$Q,8,0)/VLOOKUP(H$15,$M$1:$O$4,2,0))</f>
        <v>2.8462499999999999</v>
      </c>
      <c r="AY40" s="257">
        <f t="shared" si="23"/>
        <v>0</v>
      </c>
      <c r="AZ40" s="257">
        <f t="shared" si="24"/>
        <v>2.8462499999999999</v>
      </c>
      <c r="BA40" s="258">
        <f t="shared" si="25"/>
        <v>1.3926048550814611</v>
      </c>
      <c r="BB40" s="257">
        <f>+BB39*IF($R40&gt;BC$6,1,(1+#REF!/VLOOKUP(I$15,$M$1:$N$4,2,0))^(VLOOKUP(I$15,$M$1:$N$4,2,0)*#REF!))</f>
        <v>99</v>
      </c>
      <c r="BC40" s="257">
        <f>+IF($R40&gt;I$8,"FIN",(BB40-SUM(BD$25:BD39))*VLOOKUP($R40,$A:$Q,9,0)/VLOOKUP(I$15,$M$1:$O$4,2,0))</f>
        <v>2.3512499999999998</v>
      </c>
      <c r="BD40" s="257">
        <f t="shared" si="26"/>
        <v>0</v>
      </c>
      <c r="BE40" s="257">
        <f t="shared" si="57"/>
        <v>2.3512499999999998</v>
      </c>
      <c r="BF40" s="258">
        <f t="shared" si="27"/>
        <v>1.1504127063716418</v>
      </c>
      <c r="BG40" s="257">
        <f>+BG39*IF($R40&gt;BH$6,1,(1+#REF!/VLOOKUP(J$15,$M$1:$N$4,2,0))^(VLOOKUP(J$15,$M$1:$N$4,2,0)*#REF!))</f>
        <v>100</v>
      </c>
      <c r="BH40" s="257">
        <f>+IF($R40&gt;J$8,"FIN",(BG40-SUM(BI$25:BI39))*VLOOKUP($R40,$A:$Q,10,0)/VLOOKUP(J$15,$M$1:$O$4,2,0))</f>
        <v>2.875</v>
      </c>
      <c r="BI40" s="257">
        <f t="shared" si="59"/>
        <v>4.5454545454545459</v>
      </c>
      <c r="BJ40" s="257">
        <f t="shared" si="28"/>
        <v>7.4204545454545459</v>
      </c>
      <c r="BK40" s="258">
        <f t="shared" si="29"/>
        <v>3.6306582439741057</v>
      </c>
      <c r="BL40" s="257">
        <f>+BL39*IF($R40&gt;BM$6,1,(1+#REF!/VLOOKUP(K$15,$M$1:$N$4,2,0))^(VLOOKUP(K$15,$M$1:$N$4,2,0)*#REF!))</f>
        <v>100</v>
      </c>
      <c r="BM40" s="257">
        <f>+IF($R40&gt;K$8,"FIN",(BL40-SUM(BN$25:BN39))*VLOOKUP($R40,$A:$Q,11,0)/VLOOKUP(K$15,$M$1:$O$4,2,0))</f>
        <v>2.2749999999999999</v>
      </c>
      <c r="BN40" s="257">
        <f t="shared" si="61"/>
        <v>4.5454545454545459</v>
      </c>
      <c r="BO40" s="257">
        <f t="shared" si="62"/>
        <v>6.8204545454545453</v>
      </c>
      <c r="BP40" s="258">
        <f t="shared" si="30"/>
        <v>3.3370920031137183</v>
      </c>
      <c r="BQ40" s="257">
        <f>+BQ39*IF($R40&gt;BR$6,1,(1+#REF!/VLOOKUP(L$15,$M$1:$N$4,2,0))^(VLOOKUP(L$15,$M$1:$N$4,2,0)*#REF!))</f>
        <v>100</v>
      </c>
      <c r="BR40" s="257">
        <f>+IF($R40&gt;L$8,"FIN",(BQ40-SUM(BS$25:BS39))*VLOOKUP($R40,$A:$Q,12,0)/VLOOKUP(L$15,$M$1:$O$4,2,0))</f>
        <v>1.6333333333333333</v>
      </c>
      <c r="BS40" s="257">
        <f t="shared" si="31"/>
        <v>3.3333333333333335</v>
      </c>
      <c r="BT40" s="257">
        <f t="shared" si="32"/>
        <v>4.9666666666666668</v>
      </c>
      <c r="BU40" s="258">
        <f t="shared" si="33"/>
        <v>2.4300761048998711</v>
      </c>
      <c r="BV40" s="257">
        <f>+BV39*IF($R40&gt;BW$6,1,(1+#REF!/VLOOKUP(M$15,$M$1:$N$4,2,0))^(VLOOKUP(M$15,$M$1:$N$4,2,0)*#REF!))</f>
        <v>100</v>
      </c>
      <c r="BW40" s="257">
        <f>+IF($R40&gt;M$8,"FIN",(BV40-SUM(BX$25:BX39))*VLOOKUP($R40,$A:$Q,13,0)/VLOOKUP(M$15,$M$1:$O$4,2,0))</f>
        <v>1.2249999999999999</v>
      </c>
      <c r="BX40" s="257">
        <f t="shared" si="34"/>
        <v>3.3333333333333335</v>
      </c>
      <c r="BY40" s="257">
        <f t="shared" si="65"/>
        <v>4.5583333333333336</v>
      </c>
      <c r="BZ40" s="258">
        <f t="shared" si="35"/>
        <v>2.2302879687587742</v>
      </c>
      <c r="CA40" s="257">
        <f>+CA39*IF($R40&gt;CB$6,1,(1+#REF!/VLOOKUP(N$15,$M$1:$N$4,2,0))^(VLOOKUP(N$15,$M$1:$N$4,2,0)*#REF!))</f>
        <v>99</v>
      </c>
      <c r="CB40" s="257">
        <f>+IF($R40&gt;N$8,"FIN",(CA40-SUM(CC$25:CC39))*VLOOKUP($R40,$A:$Q,14,0)/VLOOKUP(N$15,$M$1:$O$4,2,0))</f>
        <v>2.8462499999999999</v>
      </c>
      <c r="CC40" s="257">
        <f t="shared" si="36"/>
        <v>2.75</v>
      </c>
      <c r="CD40" s="257">
        <f t="shared" si="67"/>
        <v>5.5962499999999995</v>
      </c>
      <c r="CE40" s="258">
        <f t="shared" si="38"/>
        <v>2.7381167923582352</v>
      </c>
      <c r="CF40" s="257">
        <f>+CF39*IF($R40&gt;CG$6,1,(1+#REF!/VLOOKUP(O$15,$M$1:$N$4,2,0))^(VLOOKUP(O$15,$M$1:$N$4,2,0)*#REF!))</f>
        <v>99</v>
      </c>
      <c r="CG40" s="257">
        <f>+IF($R40&gt;O$8,"FIN",(CF40-SUM(CH$25:CH39))*VLOOKUP($R40,$A:$Q,15,0)/VLOOKUP(O$15,$M$1:$O$4,2,0))</f>
        <v>2.3512499999999998</v>
      </c>
      <c r="CH40" s="257">
        <f t="shared" si="39"/>
        <v>2.75</v>
      </c>
      <c r="CI40" s="257">
        <f t="shared" si="69"/>
        <v>5.1012500000000003</v>
      </c>
      <c r="CJ40" s="258">
        <f t="shared" si="40"/>
        <v>2.4959246436484164</v>
      </c>
      <c r="CK40" s="257"/>
      <c r="CL40" s="257"/>
      <c r="CM40" s="257"/>
      <c r="CN40" s="257"/>
      <c r="CO40" s="258"/>
      <c r="CP40" s="4"/>
      <c r="CQ40"/>
      <c r="CR40"/>
      <c r="CS40"/>
    </row>
    <row r="41" spans="1:97" ht="15" x14ac:dyDescent="0.25">
      <c r="A41" s="27">
        <f t="shared" si="43"/>
        <v>46949</v>
      </c>
      <c r="B41" s="256"/>
      <c r="C41" s="256"/>
      <c r="D41" s="256">
        <v>0.04</v>
      </c>
      <c r="E41" s="256">
        <v>0.03</v>
      </c>
      <c r="F41" s="256">
        <v>5.6500000000000002E-2</v>
      </c>
      <c r="G41" s="256">
        <v>4.65E-2</v>
      </c>
      <c r="H41" s="256">
        <v>5.7500000000000002E-2</v>
      </c>
      <c r="I41" s="256">
        <v>4.7500000000000001E-2</v>
      </c>
      <c r="J41" s="256">
        <v>5.7500000000000002E-2</v>
      </c>
      <c r="K41" s="256">
        <v>4.5499999999999999E-2</v>
      </c>
      <c r="L41" s="256">
        <v>3.5000000000000003E-2</v>
      </c>
      <c r="M41" s="256">
        <v>2.6249999999999999E-2</v>
      </c>
      <c r="N41" s="256">
        <v>5.7500000000000002E-2</v>
      </c>
      <c r="O41" s="286">
        <v>4.7500000000000001E-2</v>
      </c>
      <c r="P41" s="259"/>
      <c r="Q41" s="2">
        <f t="shared" si="44"/>
        <v>2028</v>
      </c>
      <c r="R41" s="27">
        <f t="shared" si="45"/>
        <v>46949</v>
      </c>
      <c r="S41" s="257"/>
      <c r="T41" s="257"/>
      <c r="U41" s="257"/>
      <c r="V41" s="257"/>
      <c r="W41" s="258"/>
      <c r="X41" s="257"/>
      <c r="Y41" s="257"/>
      <c r="Z41" s="257"/>
      <c r="AA41" s="257"/>
      <c r="AB41" s="258"/>
      <c r="AC41" s="257">
        <f t="shared" ref="AC41:AC43" si="73">+AC40*IF($R41&gt;AD$6,1,(1+AE21/VLOOKUP(D$15,$M$1:$N$4,2,0))^(VLOOKUP(D$15,$M$1:$N$4,2,0)*AD21))</f>
        <v>100</v>
      </c>
      <c r="AD41" s="257">
        <f>+IF($R41&gt;D$8,"FIN",(AC41-SUM($AE$25:AE40))*VLOOKUP($R41,$A:$Q,4,0)/VLOOKUP(D$15,$M$1:$O$4,2,0))</f>
        <v>1.6666666666666665</v>
      </c>
      <c r="AE41" s="257">
        <f t="shared" si="12"/>
        <v>16.666666666666668</v>
      </c>
      <c r="AF41" s="257">
        <f t="shared" si="72"/>
        <v>18.333333333333336</v>
      </c>
      <c r="AG41" s="258">
        <f t="shared" si="14"/>
        <v>8.5526353038451095</v>
      </c>
      <c r="AH41" s="257">
        <f t="shared" ref="AH41:AH43" si="74">+AH40*IF($R41&gt;AI$6,1,(1+AJ21/VLOOKUP(E$15,$M$1:$N$4,2,0))^(VLOOKUP(E$15,$M$1:$N$4,2,0)*AI21))</f>
        <v>100</v>
      </c>
      <c r="AI41" s="257">
        <f>+IF($R41&gt;E$8,"FIN",(AH41-SUM($AJ$25:AJ40))*VLOOKUP($R41,$A:$Q,5,0)/VLOOKUP(E$15,$M$1:$O$4,2,0))</f>
        <v>1.2499999999999998</v>
      </c>
      <c r="AJ41" s="257">
        <f t="shared" si="15"/>
        <v>16.666666666666668</v>
      </c>
      <c r="AK41" s="257">
        <f t="shared" si="16"/>
        <v>17.916666666666668</v>
      </c>
      <c r="AL41" s="258">
        <f t="shared" si="17"/>
        <v>8.3582572287577204</v>
      </c>
      <c r="AM41" s="257">
        <f t="shared" ref="AM41:AM51" si="75">+AM40*IF($R41&gt;AN$6,1,(1+AO21/VLOOKUP(F$15,$M$1:$N$4,2,0))^(VLOOKUP(F$15,$M$1:$N$4,2,0)*AN21))</f>
        <v>100</v>
      </c>
      <c r="AN41" s="257">
        <f>+IF($R41&gt;F$8,"FIN",(AM41-SUM($AO$25:AO40))*VLOOKUP($R41,$A:$Q,6,0)/VLOOKUP(F$15,$M$1:$O$4,2,0))</f>
        <v>2.8250000000000002</v>
      </c>
      <c r="AO41" s="257">
        <f t="shared" si="18"/>
        <v>0</v>
      </c>
      <c r="AP41" s="257">
        <f t="shared" si="19"/>
        <v>2.8250000000000002</v>
      </c>
      <c r="AQ41" s="258">
        <f t="shared" si="20"/>
        <v>1.3178833490924964</v>
      </c>
      <c r="AR41" s="257">
        <f t="shared" ref="AR41:AR51" si="76">+AR40*IF($R41&gt;AS$6,1,(1+AT21/VLOOKUP(G$15,$M$1:$N$4,2,0))^(VLOOKUP(G$15,$M$1:$N$4,2,0)*AS21))</f>
        <v>100</v>
      </c>
      <c r="AS41" s="257">
        <f>+IF($R41&gt;G$8,"FIN",(AR41-SUM(AT$25:AT40))*VLOOKUP($R41,$A:$Q,7,0)/VLOOKUP(G$15,$M$1:$O$4,2,0))</f>
        <v>2.3250000000000002</v>
      </c>
      <c r="AT41" s="257">
        <f t="shared" si="21"/>
        <v>0</v>
      </c>
      <c r="AU41" s="257">
        <f t="shared" si="54"/>
        <v>2.3250000000000002</v>
      </c>
      <c r="AV41" s="258">
        <f t="shared" si="22"/>
        <v>1.0846296589876296</v>
      </c>
      <c r="AW41" s="257">
        <f t="shared" ref="AW41:AW57" si="77">+AW40*IF($R41&gt;AX$6,1,(1+AY21/VLOOKUP(H$15,$M$1:$N$4,2,0))^(VLOOKUP(H$15,$M$1:$N$4,2,0)*AX21))</f>
        <v>99</v>
      </c>
      <c r="AX41" s="257">
        <f>+IF($R41&gt;H$8,"FIN",(AW41-SUM(AY$25:AY40))*VLOOKUP($R41,$A:$Q,8,0)/VLOOKUP(H$15,$M$1:$O$4,2,0))</f>
        <v>2.8462499999999999</v>
      </c>
      <c r="AY41" s="257">
        <f t="shared" si="23"/>
        <v>0</v>
      </c>
      <c r="AZ41" s="257">
        <f t="shared" si="24"/>
        <v>2.8462499999999999</v>
      </c>
      <c r="BA41" s="258">
        <f t="shared" si="25"/>
        <v>1.3277966309219531</v>
      </c>
      <c r="BB41" s="257">
        <f t="shared" ref="BB41:BB57" si="78">+BB40*IF($R41&gt;BC$6,1,(1+BD21/VLOOKUP(I$15,$M$1:$N$4,2,0))^(VLOOKUP(I$15,$M$1:$N$4,2,0)*BC21))</f>
        <v>99</v>
      </c>
      <c r="BC41" s="257">
        <f>+IF($R41&gt;I$8,"FIN",(BB41-SUM(BD$25:BD40))*VLOOKUP($R41,$A:$Q,9,0)/VLOOKUP(I$15,$M$1:$O$4,2,0))</f>
        <v>2.3512499999999998</v>
      </c>
      <c r="BD41" s="257">
        <f t="shared" si="26"/>
        <v>0</v>
      </c>
      <c r="BE41" s="257">
        <f t="shared" si="57"/>
        <v>2.3512499999999998</v>
      </c>
      <c r="BF41" s="258">
        <f t="shared" si="27"/>
        <v>1.0968754777181351</v>
      </c>
      <c r="BG41" s="257">
        <f t="shared" ref="BG41:BG59" si="79">+BG40*IF($R41&gt;BH$6,1,(1+BI21/VLOOKUP(J$15,$M$1:$N$4,2,0))^(VLOOKUP(J$15,$M$1:$N$4,2,0)*BH21))</f>
        <v>100</v>
      </c>
      <c r="BH41" s="257">
        <f>+IF($R41&gt;J$8,"FIN",(BG41-SUM(BI$25:BI40))*VLOOKUP($R41,$A:$Q,10,0)/VLOOKUP(J$15,$M$1:$O$4,2,0))</f>
        <v>2.7443181818181821</v>
      </c>
      <c r="BI41" s="257">
        <f t="shared" si="59"/>
        <v>4.5454545454545459</v>
      </c>
      <c r="BJ41" s="257">
        <f t="shared" si="28"/>
        <v>7.2897727272727284</v>
      </c>
      <c r="BK41" s="258">
        <f t="shared" si="29"/>
        <v>3.4007327773243623</v>
      </c>
      <c r="BL41" s="257">
        <f t="shared" ref="BL41:BL43" si="80">+BL40*IF($R41&gt;BM$6,1,(1+BN21/VLOOKUP(K$15,$M$1:$N$4,2,0))^(VLOOKUP(K$15,$M$1:$N$4,2,0)*BM21))</f>
        <v>100</v>
      </c>
      <c r="BM41" s="257">
        <f>+IF($R41&gt;K$8,"FIN",(BL41-SUM(BN$25:BN40))*VLOOKUP($R41,$A:$Q,11,0)/VLOOKUP(K$15,$M$1:$O$4,2,0))</f>
        <v>2.1715909090909089</v>
      </c>
      <c r="BN41" s="257">
        <f t="shared" si="61"/>
        <v>4.5454545454545459</v>
      </c>
      <c r="BO41" s="257">
        <f t="shared" si="62"/>
        <v>6.7170454545454543</v>
      </c>
      <c r="BP41" s="258">
        <f t="shared" si="30"/>
        <v>3.1335512777496963</v>
      </c>
      <c r="BQ41" s="257">
        <f t="shared" ref="BQ41:BQ57" si="81">+BQ40*IF($R41&gt;BR$6,1,(1+BS21/VLOOKUP(L$15,$M$1:$N$4,2,0))^(VLOOKUP(L$15,$M$1:$N$4,2,0)*BR21))</f>
        <v>100</v>
      </c>
      <c r="BR41" s="257">
        <f>+IF($R41&gt;L$8,"FIN",(BQ41-SUM(BS$25:BS40))*VLOOKUP($R41,$A:$Q,12,0)/VLOOKUP(L$15,$M$1:$O$4,2,0))</f>
        <v>1.5750000000000002</v>
      </c>
      <c r="BS41" s="257">
        <f t="shared" si="31"/>
        <v>3.3333333333333335</v>
      </c>
      <c r="BT41" s="257">
        <f t="shared" si="32"/>
        <v>4.9083333333333332</v>
      </c>
      <c r="BU41" s="258">
        <f t="shared" si="33"/>
        <v>2.2897737245294403</v>
      </c>
      <c r="BV41" s="257">
        <f t="shared" ref="BV41:BV57" si="82">+BV40*IF($R41&gt;BW$6,1,(1+BX21/VLOOKUP(M$15,$M$1:$N$4,2,0))^(VLOOKUP(M$15,$M$1:$N$4,2,0)*BW21))</f>
        <v>100</v>
      </c>
      <c r="BW41" s="257">
        <f>+IF($R41&gt;M$8,"FIN",(BV41-SUM(BX$25:BX40))*VLOOKUP($R41,$A:$Q,13,0)/VLOOKUP(M$15,$M$1:$O$4,2,0))</f>
        <v>1.1812499999999999</v>
      </c>
      <c r="BX41" s="257">
        <f t="shared" si="34"/>
        <v>3.3333333333333335</v>
      </c>
      <c r="BY41" s="257">
        <f t="shared" si="65"/>
        <v>4.5145833333333334</v>
      </c>
      <c r="BZ41" s="258">
        <f t="shared" si="35"/>
        <v>2.1060864435718578</v>
      </c>
      <c r="CA41" s="257">
        <f t="shared" ref="CA41:CA59" si="83">+CA40*IF($R41&gt;CB$6,1,(1+CC21/VLOOKUP(N$15,$M$1:$N$4,2,0))^(VLOOKUP(N$15,$M$1:$N$4,2,0)*CB21))</f>
        <v>99</v>
      </c>
      <c r="CB41" s="257">
        <f>+IF($R41&gt;N$8,"FIN",(CA41-SUM(CC$25:CC40))*VLOOKUP($R41,$A:$Q,14,0)/VLOOKUP(N$15,$M$1:$O$4,2,0))</f>
        <v>2.7671874999999999</v>
      </c>
      <c r="CC41" s="257">
        <f t="shared" si="36"/>
        <v>2.75</v>
      </c>
      <c r="CD41" s="257">
        <f t="shared" si="67"/>
        <v>5.5171875000000004</v>
      </c>
      <c r="CE41" s="258">
        <f t="shared" si="38"/>
        <v>2.5738086867508874</v>
      </c>
      <c r="CF41" s="257">
        <f t="shared" ref="CF41:CF59" si="84">+CF40*IF($R41&gt;CG$6,1,(1+CH21/VLOOKUP(O$15,$M$1:$N$4,2,0))^(VLOOKUP(O$15,$M$1:$N$4,2,0)*CG21))</f>
        <v>99</v>
      </c>
      <c r="CG41" s="257">
        <f>+IF($R41&gt;O$8,"FIN",(CF41-SUM(CH$25:CH40))*VLOOKUP($R41,$A:$Q,15,0)/VLOOKUP(O$15,$M$1:$O$4,2,0))</f>
        <v>2.2859375000000002</v>
      </c>
      <c r="CH41" s="257">
        <f t="shared" si="39"/>
        <v>2.75</v>
      </c>
      <c r="CI41" s="257">
        <f t="shared" si="69"/>
        <v>5.0359375000000002</v>
      </c>
      <c r="CJ41" s="258">
        <f t="shared" si="40"/>
        <v>2.3493020100249531</v>
      </c>
      <c r="CK41" s="257"/>
      <c r="CL41" s="257"/>
      <c r="CM41" s="257"/>
      <c r="CN41" s="257"/>
      <c r="CO41" s="258"/>
      <c r="CP41" s="4"/>
      <c r="CQ41"/>
      <c r="CR41"/>
      <c r="CS41"/>
    </row>
    <row r="42" spans="1:97" ht="15" x14ac:dyDescent="0.25">
      <c r="A42" s="27">
        <f t="shared" si="43"/>
        <v>47133</v>
      </c>
      <c r="B42" s="256"/>
      <c r="C42" s="256"/>
      <c r="D42" s="256">
        <v>0.04</v>
      </c>
      <c r="E42" s="256">
        <v>0.03</v>
      </c>
      <c r="F42" s="256">
        <v>5.6500000000000002E-2</v>
      </c>
      <c r="G42" s="256">
        <v>4.65E-2</v>
      </c>
      <c r="H42" s="256">
        <v>5.7500000000000002E-2</v>
      </c>
      <c r="I42" s="256">
        <v>4.7500000000000001E-2</v>
      </c>
      <c r="J42" s="256">
        <v>5.7500000000000002E-2</v>
      </c>
      <c r="K42" s="256">
        <v>4.5499999999999999E-2</v>
      </c>
      <c r="L42" s="256">
        <v>3.5000000000000003E-2</v>
      </c>
      <c r="M42" s="256">
        <v>2.6249999999999999E-2</v>
      </c>
      <c r="N42" s="256">
        <v>5.7500000000000002E-2</v>
      </c>
      <c r="O42" s="286">
        <v>4.7500000000000001E-2</v>
      </c>
      <c r="P42" s="259"/>
      <c r="Q42" s="2">
        <f t="shared" si="44"/>
        <v>2029</v>
      </c>
      <c r="R42" s="27">
        <f t="shared" si="45"/>
        <v>47133</v>
      </c>
      <c r="S42" s="257"/>
      <c r="T42" s="257"/>
      <c r="U42" s="257"/>
      <c r="V42" s="257"/>
      <c r="W42" s="258"/>
      <c r="X42" s="257"/>
      <c r="Y42" s="257"/>
      <c r="Z42" s="257"/>
      <c r="AA42" s="257"/>
      <c r="AB42" s="258"/>
      <c r="AC42" s="257">
        <f t="shared" si="73"/>
        <v>100</v>
      </c>
      <c r="AD42" s="257">
        <f>+IF($R42&gt;D$8,"FIN",(AC42-SUM($AE$25:AE41))*VLOOKUP($R42,$A:$Q,4,0)/VLOOKUP(D$15,$M$1:$O$4,2,0))</f>
        <v>1.3333333333333333</v>
      </c>
      <c r="AE42" s="257">
        <f t="shared" si="12"/>
        <v>16.666666666666668</v>
      </c>
      <c r="AF42" s="257">
        <f t="shared" si="72"/>
        <v>18</v>
      </c>
      <c r="AG42" s="258">
        <f t="shared" si="14"/>
        <v>8.0063520234651016</v>
      </c>
      <c r="AH42" s="257">
        <f t="shared" si="74"/>
        <v>100</v>
      </c>
      <c r="AI42" s="257">
        <f>+IF($R42&gt;E$8,"FIN",(AH42-SUM($AJ$25:AJ41))*VLOOKUP($R42,$A:$Q,5,0)/VLOOKUP(E$15,$M$1:$O$4,2,0))</f>
        <v>0.99999999999999978</v>
      </c>
      <c r="AJ42" s="257">
        <f t="shared" si="15"/>
        <v>16.666666666666668</v>
      </c>
      <c r="AK42" s="257">
        <f t="shared" si="16"/>
        <v>17.666666666666668</v>
      </c>
      <c r="AL42" s="258">
        <f t="shared" si="17"/>
        <v>7.8580862452527853</v>
      </c>
      <c r="AM42" s="257">
        <f t="shared" si="75"/>
        <v>100</v>
      </c>
      <c r="AN42" s="257">
        <f>+IF($R42&gt;F$8,"FIN",(AM42-SUM($AO$25:AO41))*VLOOKUP($R42,$A:$Q,6,0)/VLOOKUP(F$15,$M$1:$O$4,2,0))</f>
        <v>2.8250000000000002</v>
      </c>
      <c r="AO42" s="257">
        <f t="shared" si="18"/>
        <v>0</v>
      </c>
      <c r="AP42" s="257">
        <f t="shared" si="19"/>
        <v>2.8250000000000002</v>
      </c>
      <c r="AQ42" s="258">
        <f t="shared" si="20"/>
        <v>1.256552470349384</v>
      </c>
      <c r="AR42" s="257">
        <f t="shared" si="76"/>
        <v>100</v>
      </c>
      <c r="AS42" s="257">
        <f>+IF($R42&gt;G$8,"FIN",(AR42-SUM(AT$25:AT41))*VLOOKUP($R42,$A:$Q,7,0)/VLOOKUP(G$15,$M$1:$O$4,2,0))</f>
        <v>2.3250000000000002</v>
      </c>
      <c r="AT42" s="257">
        <f t="shared" si="21"/>
        <v>0</v>
      </c>
      <c r="AU42" s="257">
        <f t="shared" si="54"/>
        <v>2.3250000000000002</v>
      </c>
      <c r="AV42" s="258">
        <f t="shared" si="22"/>
        <v>1.034153803030909</v>
      </c>
      <c r="AW42" s="257">
        <f t="shared" si="77"/>
        <v>99</v>
      </c>
      <c r="AX42" s="257">
        <f>+IF($R42&gt;H$8,"FIN",(AW42-SUM(AY$25:AY41))*VLOOKUP($R42,$A:$Q,8,0)/VLOOKUP(H$15,$M$1:$O$4,2,0))</f>
        <v>2.8462499999999999</v>
      </c>
      <c r="AY42" s="257">
        <f t="shared" si="23"/>
        <v>0</v>
      </c>
      <c r="AZ42" s="257">
        <f t="shared" si="24"/>
        <v>2.8462499999999999</v>
      </c>
      <c r="BA42" s="258">
        <f t="shared" si="25"/>
        <v>1.2660044137104192</v>
      </c>
      <c r="BB42" s="257">
        <f t="shared" si="78"/>
        <v>99</v>
      </c>
      <c r="BC42" s="257">
        <f>+IF($R42&gt;I$8,"FIN",(BB42-SUM(BD$25:BD41))*VLOOKUP($R42,$A:$Q,9,0)/VLOOKUP(I$15,$M$1:$O$4,2,0))</f>
        <v>2.3512499999999998</v>
      </c>
      <c r="BD42" s="257">
        <f t="shared" si="26"/>
        <v>0</v>
      </c>
      <c r="BE42" s="257">
        <f t="shared" si="57"/>
        <v>2.3512499999999998</v>
      </c>
      <c r="BF42" s="258">
        <f t="shared" si="27"/>
        <v>1.0458297330651287</v>
      </c>
      <c r="BG42" s="257">
        <f t="shared" si="79"/>
        <v>100</v>
      </c>
      <c r="BH42" s="257">
        <f>+IF($R42&gt;J$8,"FIN",(BG42-SUM(BI$25:BI41))*VLOOKUP($R42,$A:$Q,10,0)/VLOOKUP(J$15,$M$1:$O$4,2,0))</f>
        <v>2.6136363636363638</v>
      </c>
      <c r="BI42" s="257">
        <f t="shared" si="59"/>
        <v>4.5454545454545459</v>
      </c>
      <c r="BJ42" s="257">
        <f t="shared" si="28"/>
        <v>7.1590909090909101</v>
      </c>
      <c r="BK42" s="258">
        <f t="shared" si="29"/>
        <v>3.1843445547872569</v>
      </c>
      <c r="BL42" s="257">
        <f t="shared" si="80"/>
        <v>100</v>
      </c>
      <c r="BM42" s="257">
        <f>+IF($R42&gt;K$8,"FIN",(BL42-SUM(BN$25:BN41))*VLOOKUP($R42,$A:$Q,11,0)/VLOOKUP(K$15,$M$1:$O$4,2,0))</f>
        <v>2.0681818181818179</v>
      </c>
      <c r="BN42" s="257">
        <f t="shared" si="61"/>
        <v>4.5454545454545459</v>
      </c>
      <c r="BO42" s="257">
        <f t="shared" si="62"/>
        <v>6.6136363636363633</v>
      </c>
      <c r="BP42" s="258">
        <f t="shared" si="30"/>
        <v>2.941727826803465</v>
      </c>
      <c r="BQ42" s="257">
        <f t="shared" si="81"/>
        <v>100</v>
      </c>
      <c r="BR42" s="257">
        <f>+IF($R42&gt;L$8,"FIN",(BQ42-SUM(BS$25:BS41))*VLOOKUP($R42,$A:$Q,12,0)/VLOOKUP(L$15,$M$1:$O$4,2,0))</f>
        <v>1.5166666666666668</v>
      </c>
      <c r="BS42" s="257">
        <f t="shared" si="31"/>
        <v>3.3333333333333335</v>
      </c>
      <c r="BT42" s="257">
        <f t="shared" si="32"/>
        <v>4.8500000000000005</v>
      </c>
      <c r="BU42" s="258">
        <f t="shared" si="33"/>
        <v>2.1572670729892081</v>
      </c>
      <c r="BV42" s="257">
        <f t="shared" si="82"/>
        <v>100</v>
      </c>
      <c r="BW42" s="257">
        <f>+IF($R42&gt;M$8,"FIN",(BV42-SUM(BX$25:BX41))*VLOOKUP($R42,$A:$Q,13,0)/VLOOKUP(M$15,$M$1:$O$4,2,0))</f>
        <v>1.1375</v>
      </c>
      <c r="BX42" s="257">
        <f t="shared" si="34"/>
        <v>3.3333333333333335</v>
      </c>
      <c r="BY42" s="257">
        <f t="shared" si="65"/>
        <v>4.4708333333333332</v>
      </c>
      <c r="BZ42" s="258">
        <f t="shared" si="35"/>
        <v>1.9886147502726976</v>
      </c>
      <c r="CA42" s="257">
        <f t="shared" si="83"/>
        <v>99</v>
      </c>
      <c r="CB42" s="257">
        <f>+IF($R42&gt;N$8,"FIN",(CA42-SUM(CC$25:CC41))*VLOOKUP($R42,$A:$Q,14,0)/VLOOKUP(N$15,$M$1:$O$4,2,0))</f>
        <v>2.6881250000000003</v>
      </c>
      <c r="CC42" s="257">
        <f t="shared" si="36"/>
        <v>2.75</v>
      </c>
      <c r="CD42" s="257">
        <f t="shared" si="67"/>
        <v>5.4381250000000003</v>
      </c>
      <c r="CE42" s="258">
        <f t="shared" si="38"/>
        <v>2.4188635054225642</v>
      </c>
      <c r="CF42" s="257">
        <f t="shared" si="84"/>
        <v>99</v>
      </c>
      <c r="CG42" s="257">
        <f>+IF($R42&gt;O$8,"FIN",(CF42-SUM(CH$25:CH41))*VLOOKUP($R42,$A:$Q,15,0)/VLOOKUP(O$15,$M$1:$O$4,2,0))</f>
        <v>2.2206250000000001</v>
      </c>
      <c r="CH42" s="257">
        <f t="shared" si="39"/>
        <v>2.75</v>
      </c>
      <c r="CI42" s="257">
        <f t="shared" si="69"/>
        <v>4.9706250000000001</v>
      </c>
      <c r="CJ42" s="258">
        <f t="shared" si="40"/>
        <v>2.2109207514797902</v>
      </c>
      <c r="CK42" s="257"/>
      <c r="CL42" s="257"/>
      <c r="CM42" s="257"/>
      <c r="CN42" s="257"/>
      <c r="CO42" s="258"/>
      <c r="CP42" s="4"/>
      <c r="CQ42"/>
      <c r="CR42"/>
      <c r="CS42"/>
    </row>
    <row r="43" spans="1:97" ht="15" x14ac:dyDescent="0.25">
      <c r="A43" s="27">
        <f t="shared" si="43"/>
        <v>47314</v>
      </c>
      <c r="B43" s="256"/>
      <c r="C43" s="256"/>
      <c r="D43" s="256">
        <v>0.04</v>
      </c>
      <c r="E43" s="256">
        <v>0.03</v>
      </c>
      <c r="F43" s="256">
        <v>5.6500000000000002E-2</v>
      </c>
      <c r="G43" s="256">
        <v>4.65E-2</v>
      </c>
      <c r="H43" s="256">
        <v>5.7500000000000002E-2</v>
      </c>
      <c r="I43" s="256">
        <v>4.7500000000000001E-2</v>
      </c>
      <c r="J43" s="256">
        <v>5.7500000000000002E-2</v>
      </c>
      <c r="K43" s="256">
        <v>4.5499999999999999E-2</v>
      </c>
      <c r="L43" s="256">
        <v>4.7500000000000001E-2</v>
      </c>
      <c r="M43" s="256">
        <v>4.2500000000000003E-2</v>
      </c>
      <c r="N43" s="256">
        <v>5.7500000000000002E-2</v>
      </c>
      <c r="O43" s="286">
        <v>4.7500000000000001E-2</v>
      </c>
      <c r="P43" s="259"/>
      <c r="Q43" s="2">
        <f t="shared" si="44"/>
        <v>2029</v>
      </c>
      <c r="R43" s="27">
        <f t="shared" si="45"/>
        <v>47314</v>
      </c>
      <c r="S43" s="257"/>
      <c r="T43" s="257"/>
      <c r="U43" s="257"/>
      <c r="V43" s="257"/>
      <c r="W43" s="258"/>
      <c r="X43" s="257"/>
      <c r="Y43" s="257"/>
      <c r="Z43" s="257"/>
      <c r="AA43" s="257"/>
      <c r="AB43" s="258"/>
      <c r="AC43" s="257">
        <f t="shared" si="73"/>
        <v>100</v>
      </c>
      <c r="AD43" s="257">
        <f>+IF($R43&gt;D$8,"FIN",(AC43-SUM($AE$25:AE42))*VLOOKUP($R43,$A:$Q,4,0)/VLOOKUP(D$15,$M$1:$O$4,2,0))</f>
        <v>1</v>
      </c>
      <c r="AE43" s="257">
        <f t="shared" si="12"/>
        <v>16.666666666666668</v>
      </c>
      <c r="AF43" s="257">
        <f t="shared" si="72"/>
        <v>17.666666666666668</v>
      </c>
      <c r="AG43" s="258">
        <f t="shared" si="14"/>
        <v>7.492391257913896</v>
      </c>
      <c r="AH43" s="257">
        <f t="shared" si="74"/>
        <v>100</v>
      </c>
      <c r="AI43" s="257">
        <f>+IF($R43&gt;E$8,"FIN",(AH43-SUM($AJ$25:AJ42))*VLOOKUP($R43,$A:$Q,5,0)/VLOOKUP(E$15,$M$1:$O$4,2,0))</f>
        <v>0.75</v>
      </c>
      <c r="AJ43" s="257">
        <f t="shared" si="15"/>
        <v>16.666666666666668</v>
      </c>
      <c r="AK43" s="257">
        <f t="shared" si="16"/>
        <v>17.416666666666668</v>
      </c>
      <c r="AL43" s="258">
        <f t="shared" si="17"/>
        <v>7.3863668533207747</v>
      </c>
      <c r="AM43" s="257">
        <f t="shared" si="75"/>
        <v>100</v>
      </c>
      <c r="AN43" s="257">
        <f>+IF($R43&gt;F$8,"FIN",(AM43-SUM($AO$25:AO42))*VLOOKUP($R43,$A:$Q,6,0)/VLOOKUP(F$15,$M$1:$O$4,2,0))</f>
        <v>2.8250000000000002</v>
      </c>
      <c r="AO43" s="257">
        <f t="shared" si="18"/>
        <v>0</v>
      </c>
      <c r="AP43" s="257">
        <f t="shared" si="19"/>
        <v>2.8250000000000002</v>
      </c>
      <c r="AQ43" s="258">
        <f t="shared" si="20"/>
        <v>1.1980757719022692</v>
      </c>
      <c r="AR43" s="257">
        <f t="shared" si="76"/>
        <v>100</v>
      </c>
      <c r="AS43" s="257">
        <f>+IF($R43&gt;G$8,"FIN",(AR43-SUM(AT$25:AT42))*VLOOKUP($R43,$A:$Q,7,0)/VLOOKUP(G$15,$M$1:$O$4,2,0))</f>
        <v>2.3250000000000002</v>
      </c>
      <c r="AT43" s="257">
        <f t="shared" si="21"/>
        <v>0</v>
      </c>
      <c r="AU43" s="257">
        <f t="shared" si="54"/>
        <v>2.3250000000000002</v>
      </c>
      <c r="AV43" s="258">
        <f t="shared" si="22"/>
        <v>0.98602696271602686</v>
      </c>
      <c r="AW43" s="257">
        <f t="shared" si="77"/>
        <v>99</v>
      </c>
      <c r="AX43" s="257">
        <f>+IF($R43&gt;H$8,"FIN",(AW43-SUM(AY$25:AY42))*VLOOKUP($R43,$A:$Q,8,0)/VLOOKUP(H$15,$M$1:$O$4,2,0))</f>
        <v>2.8462499999999999</v>
      </c>
      <c r="AY43" s="257">
        <f t="shared" si="23"/>
        <v>0</v>
      </c>
      <c r="AZ43" s="257">
        <f t="shared" si="24"/>
        <v>2.8462499999999999</v>
      </c>
      <c r="BA43" s="258">
        <f t="shared" si="25"/>
        <v>1.2070878462926844</v>
      </c>
      <c r="BB43" s="257">
        <f t="shared" si="78"/>
        <v>99</v>
      </c>
      <c r="BC43" s="257">
        <f>+IF($R43&gt;I$8,"FIN",(BB43-SUM(BD$25:BD42))*VLOOKUP($R43,$A:$Q,9,0)/VLOOKUP(I$15,$M$1:$O$4,2,0))</f>
        <v>2.3512499999999998</v>
      </c>
      <c r="BD43" s="257">
        <f t="shared" si="26"/>
        <v>0</v>
      </c>
      <c r="BE43" s="257">
        <f t="shared" si="57"/>
        <v>2.3512499999999998</v>
      </c>
      <c r="BF43" s="258">
        <f t="shared" si="27"/>
        <v>0.99715952519830453</v>
      </c>
      <c r="BG43" s="257">
        <f t="shared" si="79"/>
        <v>100</v>
      </c>
      <c r="BH43" s="257">
        <f>+IF($R43&gt;J$8,"FIN",(BG43-SUM(BI$25:BI42))*VLOOKUP($R43,$A:$Q,10,0)/VLOOKUP(J$15,$M$1:$O$4,2,0))</f>
        <v>2.4829545454545454</v>
      </c>
      <c r="BI43" s="257">
        <f t="shared" si="59"/>
        <v>4.5454545454545459</v>
      </c>
      <c r="BJ43" s="257">
        <f t="shared" si="28"/>
        <v>7.0284090909090917</v>
      </c>
      <c r="BK43" s="258">
        <f t="shared" si="29"/>
        <v>2.9807315564020658</v>
      </c>
      <c r="BL43" s="257">
        <f t="shared" si="80"/>
        <v>100</v>
      </c>
      <c r="BM43" s="257">
        <f>+IF($R43&gt;K$8,"FIN",(BL43-SUM(BN$25:BN42))*VLOOKUP($R43,$A:$Q,11,0)/VLOOKUP(K$15,$M$1:$O$4,2,0))</f>
        <v>1.9647727272727271</v>
      </c>
      <c r="BN43" s="257">
        <f t="shared" si="61"/>
        <v>4.5454545454545459</v>
      </c>
      <c r="BO43" s="257">
        <f t="shared" si="62"/>
        <v>6.5102272727272732</v>
      </c>
      <c r="BP43" s="258">
        <f t="shared" si="30"/>
        <v>2.7609718814272326</v>
      </c>
      <c r="BQ43" s="257">
        <f t="shared" si="81"/>
        <v>100</v>
      </c>
      <c r="BR43" s="257">
        <f>+IF($R43&gt;L$8,"FIN",(BQ43-SUM(BS$25:BS42))*VLOOKUP($R43,$A:$Q,12,0)/VLOOKUP(L$15,$M$1:$O$4,2,0))</f>
        <v>1.9791666666666665</v>
      </c>
      <c r="BS43" s="257">
        <f t="shared" si="31"/>
        <v>3.3333333333333335</v>
      </c>
      <c r="BT43" s="257">
        <f t="shared" si="32"/>
        <v>5.3125</v>
      </c>
      <c r="BU43" s="258">
        <f t="shared" si="33"/>
        <v>2.2530185976038246</v>
      </c>
      <c r="BV43" s="257">
        <f t="shared" si="82"/>
        <v>100</v>
      </c>
      <c r="BW43" s="257">
        <f>+IF($R43&gt;M$8,"FIN",(BV43-SUM(BX$25:BX42))*VLOOKUP($R43,$A:$Q,13,0)/VLOOKUP(M$15,$M$1:$O$4,2,0))</f>
        <v>1.7708333333333333</v>
      </c>
      <c r="BX43" s="257">
        <f t="shared" si="34"/>
        <v>3.3333333333333335</v>
      </c>
      <c r="BY43" s="257">
        <f t="shared" si="65"/>
        <v>5.104166666666667</v>
      </c>
      <c r="BZ43" s="258">
        <f t="shared" si="35"/>
        <v>2.1646649271095573</v>
      </c>
      <c r="CA43" s="257">
        <f t="shared" si="83"/>
        <v>99</v>
      </c>
      <c r="CB43" s="257">
        <f>+IF($R43&gt;N$8,"FIN",(CA43-SUM(CC$25:CC42))*VLOOKUP($R43,$A:$Q,14,0)/VLOOKUP(N$15,$M$1:$O$4,2,0))</f>
        <v>2.6090625000000003</v>
      </c>
      <c r="CC43" s="257">
        <f t="shared" si="36"/>
        <v>2.75</v>
      </c>
      <c r="CD43" s="257">
        <f t="shared" si="67"/>
        <v>5.3590625000000003</v>
      </c>
      <c r="CE43" s="258">
        <f t="shared" si="38"/>
        <v>2.2727656429592935</v>
      </c>
      <c r="CF43" s="257">
        <f t="shared" si="84"/>
        <v>99</v>
      </c>
      <c r="CG43" s="257">
        <f>+IF($R43&gt;O$8,"FIN",(CF43-SUM(CH$25:CH42))*VLOOKUP($R43,$A:$Q,15,0)/VLOOKUP(O$15,$M$1:$O$4,2,0))</f>
        <v>2.1553125</v>
      </c>
      <c r="CH43" s="257">
        <f t="shared" si="39"/>
        <v>2.75</v>
      </c>
      <c r="CI43" s="257">
        <f t="shared" si="69"/>
        <v>4.9053125</v>
      </c>
      <c r="CJ43" s="258">
        <f t="shared" si="40"/>
        <v>2.0803313486227788</v>
      </c>
      <c r="CK43" s="257"/>
      <c r="CL43" s="257"/>
      <c r="CM43" s="257"/>
      <c r="CN43" s="257"/>
      <c r="CO43" s="258"/>
      <c r="CP43" s="4"/>
      <c r="CQ43"/>
      <c r="CR43"/>
      <c r="CS43"/>
    </row>
    <row r="44" spans="1:97" ht="15" x14ac:dyDescent="0.25">
      <c r="A44" s="27">
        <f t="shared" si="43"/>
        <v>47498</v>
      </c>
      <c r="B44" s="256"/>
      <c r="C44" s="256"/>
      <c r="D44" s="256">
        <v>0.04</v>
      </c>
      <c r="E44" s="256">
        <v>0.03</v>
      </c>
      <c r="F44" s="256">
        <v>5.6500000000000002E-2</v>
      </c>
      <c r="G44" s="256">
        <v>4.65E-2</v>
      </c>
      <c r="H44" s="256">
        <v>5.7500000000000002E-2</v>
      </c>
      <c r="I44" s="256">
        <v>4.7500000000000001E-2</v>
      </c>
      <c r="J44" s="256">
        <v>5.7500000000000002E-2</v>
      </c>
      <c r="K44" s="256">
        <v>4.5499999999999999E-2</v>
      </c>
      <c r="L44" s="256">
        <v>4.7500000000000001E-2</v>
      </c>
      <c r="M44" s="256">
        <v>4.2500000000000003E-2</v>
      </c>
      <c r="N44" s="256">
        <v>5.7500000000000002E-2</v>
      </c>
      <c r="O44" s="286">
        <v>4.7500000000000001E-2</v>
      </c>
      <c r="P44" s="259"/>
      <c r="Q44" s="2">
        <f t="shared" si="44"/>
        <v>2030</v>
      </c>
      <c r="R44" s="27">
        <f t="shared" si="45"/>
        <v>47498</v>
      </c>
      <c r="S44" s="257"/>
      <c r="T44" s="257"/>
      <c r="U44" s="257"/>
      <c r="V44" s="257"/>
      <c r="W44" s="258"/>
      <c r="X44" s="257"/>
      <c r="Y44" s="257"/>
      <c r="Z44" s="257"/>
      <c r="AA44" s="257"/>
      <c r="AB44" s="258"/>
      <c r="AC44" s="260">
        <v>100</v>
      </c>
      <c r="AD44" s="257">
        <f>+IF($R44&gt;D$8,"FIN",(AC44-SUM($AE$25:AE43))*VLOOKUP($R44,$A:$Q,4,0)/VLOOKUP(D$15,$M$1:$O$4,2,0))</f>
        <v>0.66666666666666663</v>
      </c>
      <c r="AE44" s="257">
        <f t="shared" si="12"/>
        <v>16.666666666666668</v>
      </c>
      <c r="AF44" s="257">
        <f t="shared" si="72"/>
        <v>17.333333333333336</v>
      </c>
      <c r="AG44" s="258">
        <f t="shared" si="14"/>
        <v>7.0089276973095176</v>
      </c>
      <c r="AH44" s="260">
        <v>100</v>
      </c>
      <c r="AI44" s="257">
        <f>+IF($R44&gt;E$8,"FIN",(AH44-SUM($AJ$25:AJ43))*VLOOKUP($R44,$A:$Q,5,0)/VLOOKUP(E$15,$M$1:$O$4,2,0))</f>
        <v>0.49999999999999989</v>
      </c>
      <c r="AJ44" s="257">
        <f t="shared" si="15"/>
        <v>16.666666666666668</v>
      </c>
      <c r="AK44" s="257">
        <f t="shared" si="16"/>
        <v>17.166666666666668</v>
      </c>
      <c r="AL44" s="258">
        <f t="shared" si="17"/>
        <v>6.9415341617584643</v>
      </c>
      <c r="AM44" s="260">
        <v>100</v>
      </c>
      <c r="AN44" s="257">
        <f>+IF($R44&gt;F$8,"FIN",(AM44-SUM($AO$25:AO43))*VLOOKUP($R44,$A:$Q,6,0)/VLOOKUP(F$15,$M$1:$O$4,2,0))</f>
        <v>2.8250000000000002</v>
      </c>
      <c r="AO44" s="257">
        <f t="shared" si="18"/>
        <v>0</v>
      </c>
      <c r="AP44" s="257">
        <f t="shared" si="19"/>
        <v>2.8250000000000002</v>
      </c>
      <c r="AQ44" s="258">
        <f t="shared" si="20"/>
        <v>1.1423204275903491</v>
      </c>
      <c r="AR44" s="260">
        <v>100</v>
      </c>
      <c r="AS44" s="257">
        <f>+IF($R44&gt;G$8,"FIN",(AR44-SUM(AT$25:AT43))*VLOOKUP($R44,$A:$Q,7,0)/VLOOKUP(G$15,$M$1:$O$4,2,0))</f>
        <v>2.3250000000000002</v>
      </c>
      <c r="AT44" s="257">
        <f t="shared" si="21"/>
        <v>0</v>
      </c>
      <c r="AU44" s="257">
        <f t="shared" si="54"/>
        <v>2.3250000000000002</v>
      </c>
      <c r="AV44" s="258">
        <f t="shared" si="22"/>
        <v>0.94013982093719006</v>
      </c>
      <c r="AW44" s="260">
        <v>99</v>
      </c>
      <c r="AX44" s="257">
        <f>+IF($R44&gt;H$8,"FIN",(AW44-SUM(AY$25:AY43))*VLOOKUP($R44,$A:$Q,8,0)/VLOOKUP(H$15,$M$1:$O$4,2,0))</f>
        <v>2.8462499999999999</v>
      </c>
      <c r="AY44" s="257">
        <f t="shared" si="23"/>
        <v>0</v>
      </c>
      <c r="AZ44" s="257">
        <f t="shared" si="24"/>
        <v>2.8462499999999999</v>
      </c>
      <c r="BA44" s="258">
        <f t="shared" si="25"/>
        <v>1.1509131033731084</v>
      </c>
      <c r="BB44" s="260">
        <v>99</v>
      </c>
      <c r="BC44" s="257">
        <f>+IF($R44&gt;I$8,"FIN",(BB44-SUM(BD$25:BD43))*VLOOKUP($R44,$A:$Q,9,0)/VLOOKUP(I$15,$M$1:$O$4,2,0))</f>
        <v>2.3512499999999998</v>
      </c>
      <c r="BD44" s="257">
        <f t="shared" si="26"/>
        <v>0</v>
      </c>
      <c r="BE44" s="257">
        <f t="shared" si="57"/>
        <v>2.3512499999999998</v>
      </c>
      <c r="BF44" s="258">
        <f t="shared" si="27"/>
        <v>0.95075430278648076</v>
      </c>
      <c r="BG44" s="260">
        <v>100</v>
      </c>
      <c r="BH44" s="257">
        <f>+IF($R44&gt;J$8,"FIN",(BG44-SUM(BI$25:BI43))*VLOOKUP($R44,$A:$Q,10,0)/VLOOKUP(J$15,$M$1:$O$4,2,0))</f>
        <v>2.3522727272727271</v>
      </c>
      <c r="BI44" s="257">
        <f t="shared" si="59"/>
        <v>4.5454545454545459</v>
      </c>
      <c r="BJ44" s="257">
        <f t="shared" si="28"/>
        <v>6.8977272727272734</v>
      </c>
      <c r="BK44" s="258">
        <f t="shared" si="29"/>
        <v>2.789173369056082</v>
      </c>
      <c r="BL44" s="260">
        <v>100</v>
      </c>
      <c r="BM44" s="257">
        <f>+IF($R44&gt;K$8,"FIN",(BL44-SUM(BN$25:BN43))*VLOOKUP($R44,$A:$Q,11,0)/VLOOKUP(K$15,$M$1:$O$4,2,0))</f>
        <v>1.8613636363636361</v>
      </c>
      <c r="BN44" s="257">
        <f t="shared" si="61"/>
        <v>4.5454545454545459</v>
      </c>
      <c r="BO44" s="257">
        <f t="shared" si="62"/>
        <v>6.4068181818181822</v>
      </c>
      <c r="BP44" s="258">
        <f t="shared" si="30"/>
        <v>2.5906687734329803</v>
      </c>
      <c r="BQ44" s="260">
        <v>100</v>
      </c>
      <c r="BR44" s="257">
        <f>+IF($R44&gt;L$8,"FIN",(BQ44-SUM(BS$25:BS43))*VLOOKUP($R44,$A:$Q,12,0)/VLOOKUP(L$15,$M$1:$O$4,2,0))</f>
        <v>1.9</v>
      </c>
      <c r="BS44" s="257">
        <f t="shared" si="31"/>
        <v>3.3333333333333335</v>
      </c>
      <c r="BT44" s="257">
        <f t="shared" si="32"/>
        <v>5.2333333333333334</v>
      </c>
      <c r="BU44" s="258">
        <f t="shared" si="33"/>
        <v>2.1161570163030659</v>
      </c>
      <c r="BV44" s="260">
        <v>100</v>
      </c>
      <c r="BW44" s="257">
        <f>+IF($R44&gt;M$8,"FIN",(BV44-SUM(BX$25:BX43))*VLOOKUP($R44,$A:$Q,13,0)/VLOOKUP(M$15,$M$1:$O$4,2,0))</f>
        <v>1.7000000000000002</v>
      </c>
      <c r="BX44" s="257">
        <f t="shared" si="34"/>
        <v>3.3333333333333335</v>
      </c>
      <c r="BY44" s="257">
        <f t="shared" si="65"/>
        <v>5.0333333333333332</v>
      </c>
      <c r="BZ44" s="258">
        <f t="shared" si="35"/>
        <v>2.035284773641802</v>
      </c>
      <c r="CA44" s="260">
        <v>99</v>
      </c>
      <c r="CB44" s="257">
        <f>+IF($R44&gt;N$8,"FIN",(CA44-SUM(CC$25:CC43))*VLOOKUP($R44,$A:$Q,14,0)/VLOOKUP(N$15,$M$1:$O$4,2,0))</f>
        <v>2.5300000000000002</v>
      </c>
      <c r="CC44" s="257">
        <f t="shared" si="36"/>
        <v>2.75</v>
      </c>
      <c r="CD44" s="257">
        <f t="shared" si="67"/>
        <v>5.28</v>
      </c>
      <c r="CE44" s="258">
        <f t="shared" si="38"/>
        <v>2.1350272062573605</v>
      </c>
      <c r="CF44" s="260">
        <v>99</v>
      </c>
      <c r="CG44" s="257">
        <f>+IF($R44&gt;O$8,"FIN",(CF44-SUM(CH$25:CH43))*VLOOKUP($R44,$A:$Q,15,0)/VLOOKUP(O$15,$M$1:$O$4,2,0))</f>
        <v>2.09</v>
      </c>
      <c r="CH44" s="257">
        <f t="shared" si="39"/>
        <v>2.75</v>
      </c>
      <c r="CI44" s="257">
        <f t="shared" si="69"/>
        <v>4.84</v>
      </c>
      <c r="CJ44" s="258">
        <f t="shared" si="40"/>
        <v>1.9571082724025803</v>
      </c>
      <c r="CK44" s="257"/>
      <c r="CL44" s="257"/>
      <c r="CM44" s="257"/>
      <c r="CN44" s="257"/>
      <c r="CO44" s="258"/>
      <c r="CP44" s="4"/>
      <c r="CQ44"/>
      <c r="CR44"/>
      <c r="CS44"/>
    </row>
    <row r="45" spans="1:97" ht="15" x14ac:dyDescent="0.25">
      <c r="A45" s="27">
        <f t="shared" si="43"/>
        <v>47679</v>
      </c>
      <c r="B45" s="256"/>
      <c r="C45" s="256"/>
      <c r="D45" s="256">
        <v>0.04</v>
      </c>
      <c r="E45" s="256">
        <v>0.03</v>
      </c>
      <c r="F45" s="256">
        <v>5.6500000000000002E-2</v>
      </c>
      <c r="G45" s="256">
        <v>4.65E-2</v>
      </c>
      <c r="H45" s="256">
        <v>5.7500000000000002E-2</v>
      </c>
      <c r="I45" s="256">
        <v>4.7500000000000001E-2</v>
      </c>
      <c r="J45" s="256">
        <v>5.7500000000000002E-2</v>
      </c>
      <c r="K45" s="256">
        <v>4.5499999999999999E-2</v>
      </c>
      <c r="L45" s="256">
        <v>4.7500000000000001E-2</v>
      </c>
      <c r="M45" s="256">
        <v>4.2500000000000003E-2</v>
      </c>
      <c r="N45" s="256">
        <v>5.7500000000000002E-2</v>
      </c>
      <c r="O45" s="286">
        <v>4.7500000000000001E-2</v>
      </c>
      <c r="P45" s="259"/>
      <c r="Q45" s="2">
        <f t="shared" si="44"/>
        <v>2030</v>
      </c>
      <c r="R45" s="27">
        <f t="shared" si="45"/>
        <v>47679</v>
      </c>
      <c r="S45" s="257"/>
      <c r="T45" s="257"/>
      <c r="U45" s="257"/>
      <c r="V45" s="257"/>
      <c r="W45" s="258"/>
      <c r="X45" s="257"/>
      <c r="Y45" s="257"/>
      <c r="Z45" s="257"/>
      <c r="AA45" s="257"/>
      <c r="AB45" s="258"/>
      <c r="AC45" s="260">
        <v>100</v>
      </c>
      <c r="AD45" s="257">
        <f>+IF($R45&gt;D$8,"FIN",(AC45-SUM($AE$25:AE44))*VLOOKUP($R45,$A:$Q,4,0)/VLOOKUP(D$15,$M$1:$O$4,2,0))</f>
        <v>0.33333333333333315</v>
      </c>
      <c r="AE45" s="257">
        <f t="shared" si="12"/>
        <v>16.666666666666668</v>
      </c>
      <c r="AF45" s="257">
        <f t="shared" si="72"/>
        <v>17</v>
      </c>
      <c r="AG45" s="258">
        <f t="shared" si="14"/>
        <v>6.5542359203020348</v>
      </c>
      <c r="AH45" s="260">
        <v>100</v>
      </c>
      <c r="AI45" s="257">
        <f>+IF($R45&gt;E$8,"FIN",(AH45-SUM($AJ$25:AJ44))*VLOOKUP($R45,$A:$Q,5,0)/VLOOKUP(E$15,$M$1:$O$4,2,0))</f>
        <v>0.24999999999999986</v>
      </c>
      <c r="AJ45" s="257">
        <f t="shared" si="15"/>
        <v>16.666666666666668</v>
      </c>
      <c r="AK45" s="257">
        <f t="shared" si="16"/>
        <v>16.916666666666668</v>
      </c>
      <c r="AL45" s="258">
        <f t="shared" si="17"/>
        <v>6.5221073128495748</v>
      </c>
      <c r="AM45" s="257">
        <f t="shared" si="75"/>
        <v>100</v>
      </c>
      <c r="AN45" s="257">
        <f>+IF($R45&gt;F$8,"FIN",(AM45-SUM($AO$25:AO44))*VLOOKUP($R45,$A:$Q,6,0)/VLOOKUP(F$15,$M$1:$O$4,2,0))</f>
        <v>2.8250000000000002</v>
      </c>
      <c r="AO45" s="257">
        <f t="shared" si="18"/>
        <v>0</v>
      </c>
      <c r="AP45" s="257">
        <f t="shared" si="19"/>
        <v>2.8250000000000002</v>
      </c>
      <c r="AQ45" s="258">
        <f t="shared" si="20"/>
        <v>1.0891597926384264</v>
      </c>
      <c r="AR45" s="257">
        <f t="shared" si="76"/>
        <v>100</v>
      </c>
      <c r="AS45" s="257">
        <f>+IF($R45&gt;G$8,"FIN",(AR45-SUM(AT$25:AT44))*VLOOKUP($R45,$A:$Q,7,0)/VLOOKUP(G$15,$M$1:$O$4,2,0))</f>
        <v>2.3250000000000002</v>
      </c>
      <c r="AT45" s="257">
        <f t="shared" si="21"/>
        <v>0</v>
      </c>
      <c r="AU45" s="257">
        <f t="shared" si="54"/>
        <v>2.3250000000000002</v>
      </c>
      <c r="AV45" s="258">
        <f t="shared" si="22"/>
        <v>0.89638814792366073</v>
      </c>
      <c r="AW45" s="257">
        <f t="shared" si="77"/>
        <v>99</v>
      </c>
      <c r="AX45" s="257">
        <f>+IF($R45&gt;H$8,"FIN",(AW45-SUM(AY$25:AY44))*VLOOKUP($R45,$A:$Q,8,0)/VLOOKUP(H$15,$M$1:$O$4,2,0))</f>
        <v>2.8462499999999999</v>
      </c>
      <c r="AY45" s="257">
        <f t="shared" si="23"/>
        <v>0</v>
      </c>
      <c r="AZ45" s="257">
        <f t="shared" si="24"/>
        <v>2.8462499999999999</v>
      </c>
      <c r="BA45" s="258">
        <f t="shared" si="25"/>
        <v>1.0973525875388039</v>
      </c>
      <c r="BB45" s="257">
        <f t="shared" si="78"/>
        <v>99</v>
      </c>
      <c r="BC45" s="257">
        <f>+IF($R45&gt;I$8,"FIN",(BB45-SUM(BD$25:BD44))*VLOOKUP($R45,$A:$Q,9,0)/VLOOKUP(I$15,$M$1:$O$4,2,0))</f>
        <v>2.3512499999999998</v>
      </c>
      <c r="BD45" s="257">
        <f t="shared" si="26"/>
        <v>0</v>
      </c>
      <c r="BE45" s="257">
        <f t="shared" si="57"/>
        <v>2.3512499999999998</v>
      </c>
      <c r="BF45" s="258">
        <f t="shared" si="27"/>
        <v>0.90650865927118585</v>
      </c>
      <c r="BG45" s="257">
        <f t="shared" si="79"/>
        <v>100</v>
      </c>
      <c r="BH45" s="257">
        <f>+IF($R45&gt;J$8,"FIN",(BG45-SUM(BI$25:BI44))*VLOOKUP($R45,$A:$Q,10,0)/VLOOKUP(J$15,$M$1:$O$4,2,0))</f>
        <v>2.2215909090909092</v>
      </c>
      <c r="BI45" s="257">
        <f t="shared" si="59"/>
        <v>4.5454545454545459</v>
      </c>
      <c r="BJ45" s="257">
        <f t="shared" si="28"/>
        <v>6.767045454545455</v>
      </c>
      <c r="BK45" s="258">
        <f t="shared" si="29"/>
        <v>2.6089889642646136</v>
      </c>
      <c r="BL45" s="257">
        <f t="shared" ref="BL45:BL59" si="85">+BL44*IF($R45&gt;BM$6,1,(1+BN25/VLOOKUP(O$15,$M$1:$N$4,2,0))^(VLOOKUP(O$15,$M$1:$N$4,2,0)*BM25))</f>
        <v>100</v>
      </c>
      <c r="BM45" s="257">
        <f>+IF($R45&gt;K$8,"FIN",(BL45-SUM(BN$25:BN44))*VLOOKUP($R45,$A:$Q,11,0)/VLOOKUP(K$15,$M$1:$O$4,2,0))</f>
        <v>1.7579545454545453</v>
      </c>
      <c r="BN45" s="257">
        <f t="shared" si="61"/>
        <v>4.5454545454545459</v>
      </c>
      <c r="BO45" s="257">
        <f t="shared" si="62"/>
        <v>6.3034090909090912</v>
      </c>
      <c r="BP45" s="258">
        <f t="shared" si="30"/>
        <v>2.4302370755291034</v>
      </c>
      <c r="BQ45" s="257">
        <f t="shared" si="81"/>
        <v>100</v>
      </c>
      <c r="BR45" s="257">
        <f>+IF($R45&gt;L$8,"FIN",(BQ45-SUM(BS$25:BS44))*VLOOKUP($R45,$A:$Q,12,0)/VLOOKUP(L$15,$M$1:$O$4,2,0))</f>
        <v>1.8208333333333335</v>
      </c>
      <c r="BS45" s="257">
        <f t="shared" si="31"/>
        <v>3.3333333333333335</v>
      </c>
      <c r="BT45" s="257">
        <f t="shared" si="32"/>
        <v>5.1541666666666668</v>
      </c>
      <c r="BU45" s="258">
        <f t="shared" si="33"/>
        <v>1.9871543709347101</v>
      </c>
      <c r="BV45" s="257">
        <f t="shared" si="82"/>
        <v>100</v>
      </c>
      <c r="BW45" s="257">
        <f>+IF($R45&gt;M$8,"FIN",(BV45-SUM(BX$25:BX44))*VLOOKUP($R45,$A:$Q,13,0)/VLOOKUP(M$15,$M$1:$O$4,2,0))</f>
        <v>1.6291666666666669</v>
      </c>
      <c r="BX45" s="257">
        <f t="shared" si="34"/>
        <v>3.3333333333333335</v>
      </c>
      <c r="BY45" s="257">
        <f t="shared" si="65"/>
        <v>4.9625000000000004</v>
      </c>
      <c r="BZ45" s="258">
        <f t="shared" si="35"/>
        <v>1.91325857379405</v>
      </c>
      <c r="CA45" s="257">
        <f t="shared" si="83"/>
        <v>99</v>
      </c>
      <c r="CB45" s="257">
        <f>+IF($R45&gt;N$8,"FIN",(CA45-SUM(CC$25:CC44))*VLOOKUP($R45,$A:$Q,14,0)/VLOOKUP(N$15,$M$1:$O$4,2,0))</f>
        <v>2.4509375000000002</v>
      </c>
      <c r="CC45" s="257">
        <f t="shared" si="36"/>
        <v>2.75</v>
      </c>
      <c r="CD45" s="257">
        <f t="shared" si="67"/>
        <v>5.2009375000000002</v>
      </c>
      <c r="CE45" s="258">
        <f t="shared" si="38"/>
        <v>2.0051865518674039</v>
      </c>
      <c r="CF45" s="257">
        <f t="shared" si="84"/>
        <v>99</v>
      </c>
      <c r="CG45" s="257">
        <f>+IF($R45&gt;O$8,"FIN",(CF45-SUM(CH$25:CH44))*VLOOKUP($R45,$A:$Q,15,0)/VLOOKUP(O$15,$M$1:$O$4,2,0))</f>
        <v>2.0246875000000002</v>
      </c>
      <c r="CH45" s="257">
        <f t="shared" si="39"/>
        <v>2.75</v>
      </c>
      <c r="CI45" s="257">
        <f t="shared" si="69"/>
        <v>4.7746875000000006</v>
      </c>
      <c r="CJ45" s="258">
        <f t="shared" si="40"/>
        <v>1.8408487247480663</v>
      </c>
      <c r="CK45" s="257"/>
      <c r="CL45" s="257"/>
      <c r="CM45" s="257"/>
      <c r="CN45" s="257"/>
      <c r="CO45" s="258"/>
      <c r="CP45" s="4"/>
      <c r="CQ45"/>
      <c r="CR45"/>
      <c r="CS45"/>
    </row>
    <row r="46" spans="1:97" ht="15" x14ac:dyDescent="0.25">
      <c r="A46" s="27">
        <f t="shared" si="43"/>
        <v>47863</v>
      </c>
      <c r="B46" s="256"/>
      <c r="C46" s="256"/>
      <c r="D46" s="256"/>
      <c r="E46" s="256"/>
      <c r="F46" s="256">
        <v>5.6500000000000002E-2</v>
      </c>
      <c r="G46" s="256">
        <v>4.65E-2</v>
      </c>
      <c r="H46" s="256">
        <v>5.7500000000000002E-2</v>
      </c>
      <c r="I46" s="256">
        <v>4.7500000000000001E-2</v>
      </c>
      <c r="J46" s="256">
        <v>5.7500000000000002E-2</v>
      </c>
      <c r="K46" s="256">
        <v>4.5499999999999999E-2</v>
      </c>
      <c r="L46" s="256">
        <v>4.7500000000000001E-2</v>
      </c>
      <c r="M46" s="256">
        <v>4.2500000000000003E-2</v>
      </c>
      <c r="N46" s="256">
        <v>5.7500000000000002E-2</v>
      </c>
      <c r="O46" s="286">
        <v>4.7500000000000001E-2</v>
      </c>
      <c r="P46" s="259"/>
      <c r="Q46" s="2">
        <f t="shared" si="44"/>
        <v>2031</v>
      </c>
      <c r="R46" s="27">
        <f t="shared" si="45"/>
        <v>47863</v>
      </c>
      <c r="S46" s="257"/>
      <c r="T46" s="257"/>
      <c r="U46" s="257"/>
      <c r="V46" s="257"/>
      <c r="W46" s="258"/>
      <c r="X46" s="257"/>
      <c r="Y46" s="257"/>
      <c r="Z46" s="257"/>
      <c r="AA46" s="257"/>
      <c r="AB46" s="258"/>
      <c r="AC46" s="257"/>
      <c r="AD46" s="257"/>
      <c r="AE46" s="257"/>
      <c r="AF46" s="257"/>
      <c r="AG46" s="258"/>
      <c r="AH46" s="257"/>
      <c r="AI46" s="257"/>
      <c r="AJ46" s="257"/>
      <c r="AK46" s="257"/>
      <c r="AL46" s="258"/>
      <c r="AM46" s="257">
        <f t="shared" si="75"/>
        <v>100</v>
      </c>
      <c r="AN46" s="257">
        <f>+IF($R46&gt;F$8,"FIN",(AM46-SUM($AO$25:AO45))*VLOOKUP($R46,$A:$Q,6,0)/VLOOKUP(F$15,$M$1:$O$4,2,0))</f>
        <v>2.8250000000000002</v>
      </c>
      <c r="AO46" s="257">
        <f t="shared" si="18"/>
        <v>16.666666666666668</v>
      </c>
      <c r="AP46" s="257">
        <f t="shared" si="19"/>
        <v>19.491666666666667</v>
      </c>
      <c r="AQ46" s="258">
        <f t="shared" si="20"/>
        <v>7.1651581660869565</v>
      </c>
      <c r="AR46" s="257">
        <f t="shared" si="76"/>
        <v>100</v>
      </c>
      <c r="AS46" s="257">
        <f>+IF($R46&gt;G$8,"FIN",(AR46-SUM(AT$25:AT45))*VLOOKUP($R46,$A:$Q,7,0)/VLOOKUP(G$15,$M$1:$O$4,2,0))</f>
        <v>2.3250000000000002</v>
      </c>
      <c r="AT46" s="257">
        <f t="shared" si="21"/>
        <v>16.666666666666668</v>
      </c>
      <c r="AU46" s="257">
        <f t="shared" si="54"/>
        <v>18.991666666666667</v>
      </c>
      <c r="AV46" s="258">
        <f t="shared" si="22"/>
        <v>6.981357614584085</v>
      </c>
      <c r="AW46" s="257">
        <f t="shared" si="77"/>
        <v>99</v>
      </c>
      <c r="AX46" s="257">
        <f>+IF($R46&gt;H$8,"FIN",(AW46-SUM(AY$25:AY45))*VLOOKUP($R46,$A:$Q,8,0)/VLOOKUP(H$15,$M$1:$O$4,2,0))</f>
        <v>2.8462499999999999</v>
      </c>
      <c r="AY46" s="257">
        <f t="shared" si="23"/>
        <v>0</v>
      </c>
      <c r="AZ46" s="257">
        <f t="shared" si="24"/>
        <v>2.8462499999999999</v>
      </c>
      <c r="BA46" s="258">
        <f t="shared" si="25"/>
        <v>1.0462846394300984</v>
      </c>
      <c r="BB46" s="257">
        <f t="shared" si="78"/>
        <v>99</v>
      </c>
      <c r="BC46" s="257">
        <f>+IF($R46&gt;I$8,"FIN",(BB46-SUM(BD$25:BD45))*VLOOKUP($R46,$A:$Q,9,0)/VLOOKUP(I$15,$M$1:$O$4,2,0))</f>
        <v>2.3512499999999998</v>
      </c>
      <c r="BD46" s="257">
        <f t="shared" si="26"/>
        <v>0</v>
      </c>
      <c r="BE46" s="257">
        <f t="shared" si="57"/>
        <v>2.3512499999999998</v>
      </c>
      <c r="BF46" s="258">
        <f t="shared" si="27"/>
        <v>0.86432209344225508</v>
      </c>
      <c r="BG46" s="257">
        <f t="shared" si="79"/>
        <v>100</v>
      </c>
      <c r="BH46" s="257">
        <f>+IF($R46&gt;J$8,"FIN",(BG46-SUM(BI$25:BI45))*VLOOKUP($R46,$A:$Q,10,0)/VLOOKUP(J$15,$M$1:$O$4,2,0))</f>
        <v>2.0909090909090908</v>
      </c>
      <c r="BI46" s="257">
        <f t="shared" si="59"/>
        <v>4.5454545454545459</v>
      </c>
      <c r="BJ46" s="257">
        <f t="shared" si="28"/>
        <v>6.6363636363636367</v>
      </c>
      <c r="BK46" s="258">
        <f t="shared" si="29"/>
        <v>2.439534592674482</v>
      </c>
      <c r="BL46" s="257">
        <f t="shared" si="85"/>
        <v>100</v>
      </c>
      <c r="BM46" s="257">
        <f>+IF($R46&gt;K$8,"FIN",(BL46-SUM(BN$25:BN45))*VLOOKUP($R46,$A:$Q,11,0)/VLOOKUP(K$15,$M$1:$O$4,2,0))</f>
        <v>1.6545454545454543</v>
      </c>
      <c r="BN46" s="257">
        <f t="shared" si="61"/>
        <v>4.5454545454545459</v>
      </c>
      <c r="BO46" s="257">
        <f t="shared" si="62"/>
        <v>6.2</v>
      </c>
      <c r="BP46" s="258">
        <f t="shared" si="30"/>
        <v>2.2791268386356118</v>
      </c>
      <c r="BQ46" s="257">
        <f t="shared" si="81"/>
        <v>100</v>
      </c>
      <c r="BR46" s="257">
        <f>+IF($R46&gt;L$8,"FIN",(BQ46-SUM(BS$25:BS45))*VLOOKUP($R46,$A:$Q,12,0)/VLOOKUP(L$15,$M$1:$O$4,2,0))</f>
        <v>1.7416666666666669</v>
      </c>
      <c r="BS46" s="257">
        <f t="shared" si="31"/>
        <v>3.3333333333333335</v>
      </c>
      <c r="BT46" s="257">
        <f t="shared" si="32"/>
        <v>5.0750000000000002</v>
      </c>
      <c r="BU46" s="258">
        <f t="shared" si="33"/>
        <v>1.8655755977541499</v>
      </c>
      <c r="BV46" s="257">
        <f t="shared" si="82"/>
        <v>100</v>
      </c>
      <c r="BW46" s="257">
        <f>+IF($R46&gt;M$8,"FIN",(BV46-SUM(BX$25:BX45))*VLOOKUP($R46,$A:$Q,13,0)/VLOOKUP(M$15,$M$1:$O$4,2,0))</f>
        <v>1.5583333333333336</v>
      </c>
      <c r="BX46" s="257">
        <f t="shared" si="34"/>
        <v>3.3333333333333335</v>
      </c>
      <c r="BY46" s="257">
        <f t="shared" si="65"/>
        <v>4.8916666666666675</v>
      </c>
      <c r="BZ46" s="258">
        <f t="shared" si="35"/>
        <v>1.7981820622030973</v>
      </c>
      <c r="CA46" s="257">
        <f t="shared" si="83"/>
        <v>99</v>
      </c>
      <c r="CB46" s="257">
        <f>+IF($R46&gt;N$8,"FIN",(CA46-SUM(CC$25:CC45))*VLOOKUP($R46,$A:$Q,14,0)/VLOOKUP(N$15,$M$1:$O$4,2,0))</f>
        <v>2.3718750000000002</v>
      </c>
      <c r="CC46" s="257">
        <f t="shared" si="36"/>
        <v>2.75</v>
      </c>
      <c r="CD46" s="257">
        <f t="shared" si="67"/>
        <v>5.1218750000000002</v>
      </c>
      <c r="CE46" s="258">
        <f t="shared" si="38"/>
        <v>1.8828068994575442</v>
      </c>
      <c r="CF46" s="257">
        <f t="shared" si="84"/>
        <v>99</v>
      </c>
      <c r="CG46" s="257">
        <f>+IF($R46&gt;O$8,"FIN",(CF46-SUM(CH$25:CH45))*VLOOKUP($R46,$A:$Q,15,0)/VLOOKUP(O$15,$M$1:$O$4,2,0))</f>
        <v>1.9593750000000001</v>
      </c>
      <c r="CH46" s="257">
        <f t="shared" si="39"/>
        <v>2.75</v>
      </c>
      <c r="CI46" s="257">
        <f t="shared" si="69"/>
        <v>4.7093749999999996</v>
      </c>
      <c r="CJ46" s="258">
        <f t="shared" si="40"/>
        <v>1.7311714444676747</v>
      </c>
      <c r="CK46" s="257"/>
      <c r="CL46" s="257"/>
      <c r="CM46" s="257"/>
      <c r="CN46" s="257"/>
      <c r="CO46" s="258"/>
      <c r="CP46" s="4"/>
      <c r="CQ46"/>
      <c r="CR46"/>
      <c r="CS46"/>
    </row>
    <row r="47" spans="1:97" ht="15" x14ac:dyDescent="0.25">
      <c r="A47" s="27">
        <f t="shared" si="43"/>
        <v>48044</v>
      </c>
      <c r="B47" s="256"/>
      <c r="C47" s="256"/>
      <c r="D47" s="256"/>
      <c r="E47" s="256"/>
      <c r="F47" s="256">
        <v>5.6500000000000002E-2</v>
      </c>
      <c r="G47" s="256">
        <v>4.65E-2</v>
      </c>
      <c r="H47" s="256">
        <v>5.7500000000000002E-2</v>
      </c>
      <c r="I47" s="256">
        <v>4.7500000000000001E-2</v>
      </c>
      <c r="J47" s="256">
        <v>5.7500000000000002E-2</v>
      </c>
      <c r="K47" s="256">
        <v>4.5499999999999999E-2</v>
      </c>
      <c r="L47" s="256">
        <v>4.7500000000000001E-2</v>
      </c>
      <c r="M47" s="256">
        <v>4.2500000000000003E-2</v>
      </c>
      <c r="N47" s="256">
        <v>5.7500000000000002E-2</v>
      </c>
      <c r="O47" s="286">
        <v>4.7500000000000001E-2</v>
      </c>
      <c r="P47" s="259"/>
      <c r="Q47" s="2">
        <f t="shared" si="44"/>
        <v>2031</v>
      </c>
      <c r="R47" s="27">
        <f t="shared" si="45"/>
        <v>48044</v>
      </c>
      <c r="S47" s="257"/>
      <c r="T47" s="257"/>
      <c r="U47" s="257"/>
      <c r="V47" s="257"/>
      <c r="W47" s="258"/>
      <c r="X47" s="257"/>
      <c r="Y47" s="257"/>
      <c r="Z47" s="257"/>
      <c r="AA47" s="257"/>
      <c r="AB47" s="258"/>
      <c r="AC47" s="257"/>
      <c r="AD47" s="257"/>
      <c r="AE47" s="257"/>
      <c r="AF47" s="257"/>
      <c r="AG47" s="258"/>
      <c r="AH47" s="257"/>
      <c r="AI47" s="257"/>
      <c r="AJ47" s="257"/>
      <c r="AK47" s="257"/>
      <c r="AL47" s="258"/>
      <c r="AM47" s="257">
        <f t="shared" si="75"/>
        <v>100</v>
      </c>
      <c r="AN47" s="257">
        <f>+IF($R47&gt;F$8,"FIN",(AM47-SUM($AO$25:AO46))*VLOOKUP($R47,$A:$Q,6,0)/VLOOKUP(F$15,$M$1:$O$4,2,0))</f>
        <v>2.3541666666666665</v>
      </c>
      <c r="AO47" s="257">
        <f t="shared" si="18"/>
        <v>16.666666666666668</v>
      </c>
      <c r="AP47" s="257">
        <f t="shared" si="19"/>
        <v>19.020833333333336</v>
      </c>
      <c r="AQ47" s="258">
        <f t="shared" si="20"/>
        <v>6.6666860463856485</v>
      </c>
      <c r="AR47" s="257">
        <f t="shared" si="76"/>
        <v>100</v>
      </c>
      <c r="AS47" s="257">
        <f>+IF($R47&gt;G$8,"FIN",(AR47-SUM(AT$25:AT46))*VLOOKUP($R47,$A:$Q,7,0)/VLOOKUP(G$15,$M$1:$O$4,2,0))</f>
        <v>1.9374999999999998</v>
      </c>
      <c r="AT47" s="257">
        <f t="shared" si="21"/>
        <v>16.666666666666668</v>
      </c>
      <c r="AU47" s="257">
        <f t="shared" si="54"/>
        <v>18.604166666666668</v>
      </c>
      <c r="AV47" s="258">
        <f t="shared" si="22"/>
        <v>6.5206469216017346</v>
      </c>
      <c r="AW47" s="257">
        <f t="shared" si="77"/>
        <v>99</v>
      </c>
      <c r="AX47" s="257">
        <f>+IF($R47&gt;H$8,"FIN",(AW47-SUM(AY$25:AY46))*VLOOKUP($R47,$A:$Q,8,0)/VLOOKUP(H$15,$M$1:$O$4,2,0))</f>
        <v>2.8462499999999999</v>
      </c>
      <c r="AY47" s="257">
        <f t="shared" si="23"/>
        <v>0</v>
      </c>
      <c r="AZ47" s="257">
        <f t="shared" si="24"/>
        <v>2.8462499999999999</v>
      </c>
      <c r="BA47" s="258">
        <f t="shared" si="25"/>
        <v>0.99759326139891247</v>
      </c>
      <c r="BB47" s="257">
        <f t="shared" si="78"/>
        <v>99</v>
      </c>
      <c r="BC47" s="257">
        <f>+IF($R47&gt;I$8,"FIN",(BB47-SUM(BD$25:BD46))*VLOOKUP($R47,$A:$Q,9,0)/VLOOKUP(I$15,$M$1:$O$4,2,0))</f>
        <v>2.3512499999999998</v>
      </c>
      <c r="BD47" s="257">
        <f t="shared" si="26"/>
        <v>0</v>
      </c>
      <c r="BE47" s="257">
        <f t="shared" si="57"/>
        <v>2.3512499999999998</v>
      </c>
      <c r="BF47" s="258">
        <f t="shared" si="27"/>
        <v>0.82409878115562329</v>
      </c>
      <c r="BG47" s="257">
        <f t="shared" si="79"/>
        <v>100</v>
      </c>
      <c r="BH47" s="257">
        <f>+IF($R47&gt;J$8,"FIN",(BG47-SUM(BI$25:BI46))*VLOOKUP($R47,$A:$Q,10,0)/VLOOKUP(J$15,$M$1:$O$4,2,0))</f>
        <v>1.9602272727272725</v>
      </c>
      <c r="BI47" s="257">
        <f t="shared" si="59"/>
        <v>4.5454545454545459</v>
      </c>
      <c r="BJ47" s="257">
        <f t="shared" si="28"/>
        <v>6.5056818181818183</v>
      </c>
      <c r="BK47" s="258">
        <f t="shared" si="29"/>
        <v>2.2802017892397393</v>
      </c>
      <c r="BL47" s="257">
        <f t="shared" si="85"/>
        <v>100</v>
      </c>
      <c r="BM47" s="257">
        <f>+IF($R47&gt;K$8,"FIN",(BL47-SUM(BN$25:BN46))*VLOOKUP($R47,$A:$Q,11,0)/VLOOKUP(K$15,$M$1:$O$4,2,0))</f>
        <v>1.5511363636363633</v>
      </c>
      <c r="BN47" s="257">
        <f t="shared" si="61"/>
        <v>4.5454545454545459</v>
      </c>
      <c r="BO47" s="257">
        <f t="shared" si="62"/>
        <v>6.0965909090909092</v>
      </c>
      <c r="BP47" s="258">
        <f t="shared" si="30"/>
        <v>2.1368179212700786</v>
      </c>
      <c r="BQ47" s="257">
        <f t="shared" si="81"/>
        <v>100</v>
      </c>
      <c r="BR47" s="257">
        <f>+IF($R47&gt;L$8,"FIN",(BQ47-SUM(BS$25:BS46))*VLOOKUP($R47,$A:$Q,12,0)/VLOOKUP(L$15,$M$1:$O$4,2,0))</f>
        <v>1.6625000000000001</v>
      </c>
      <c r="BS47" s="257">
        <f t="shared" si="31"/>
        <v>3.3333333333333335</v>
      </c>
      <c r="BT47" s="257">
        <f t="shared" si="32"/>
        <v>4.9958333333333336</v>
      </c>
      <c r="BU47" s="258">
        <f t="shared" si="33"/>
        <v>1.751009106159122</v>
      </c>
      <c r="BV47" s="257">
        <f t="shared" si="82"/>
        <v>100</v>
      </c>
      <c r="BW47" s="257">
        <f>+IF($R47&gt;M$8,"FIN",(BV47-SUM(BX$25:BX46))*VLOOKUP($R47,$A:$Q,13,0)/VLOOKUP(M$15,$M$1:$O$4,2,0))</f>
        <v>1.4875</v>
      </c>
      <c r="BX47" s="257">
        <f t="shared" si="34"/>
        <v>3.3333333333333335</v>
      </c>
      <c r="BY47" s="257">
        <f t="shared" si="65"/>
        <v>4.8208333333333337</v>
      </c>
      <c r="BZ47" s="258">
        <f t="shared" si="35"/>
        <v>1.6896726737498784</v>
      </c>
      <c r="CA47" s="257">
        <f t="shared" si="83"/>
        <v>99</v>
      </c>
      <c r="CB47" s="257">
        <f>+IF($R47&gt;N$8,"FIN",(CA47-SUM(CC$25:CC46))*VLOOKUP($R47,$A:$Q,14,0)/VLOOKUP(N$15,$M$1:$O$4,2,0))</f>
        <v>2.2928125000000001</v>
      </c>
      <c r="CC47" s="257">
        <f t="shared" si="36"/>
        <v>2.75</v>
      </c>
      <c r="CD47" s="257">
        <f t="shared" si="67"/>
        <v>5.0428125000000001</v>
      </c>
      <c r="CE47" s="258">
        <f t="shared" si="38"/>
        <v>1.7674750174785081</v>
      </c>
      <c r="CF47" s="257">
        <f t="shared" si="84"/>
        <v>99</v>
      </c>
      <c r="CG47" s="257">
        <f>+IF($R47&gt;O$8,"FIN",(CF47-SUM(CH$25:CH46))*VLOOKUP($R47,$A:$Q,15,0)/VLOOKUP(O$15,$M$1:$O$4,2,0))</f>
        <v>1.8940625</v>
      </c>
      <c r="CH47" s="257">
        <f t="shared" si="39"/>
        <v>2.75</v>
      </c>
      <c r="CI47" s="257">
        <f t="shared" si="69"/>
        <v>4.6440625000000004</v>
      </c>
      <c r="CJ47" s="258">
        <f t="shared" si="40"/>
        <v>1.6277155750603032</v>
      </c>
      <c r="CK47" s="257"/>
      <c r="CL47" s="257"/>
      <c r="CM47" s="257"/>
      <c r="CN47" s="257"/>
      <c r="CO47" s="258"/>
      <c r="CP47" s="4"/>
      <c r="CQ47"/>
      <c r="CR47"/>
      <c r="CS47"/>
    </row>
    <row r="48" spans="1:97" ht="15" x14ac:dyDescent="0.25">
      <c r="A48" s="27">
        <f t="shared" si="43"/>
        <v>48228</v>
      </c>
      <c r="B48" s="256"/>
      <c r="C48" s="256"/>
      <c r="D48" s="256"/>
      <c r="E48" s="256"/>
      <c r="F48" s="256">
        <v>5.6500000000000002E-2</v>
      </c>
      <c r="G48" s="256">
        <v>4.65E-2</v>
      </c>
      <c r="H48" s="256">
        <v>5.7500000000000002E-2</v>
      </c>
      <c r="I48" s="256">
        <v>4.7500000000000001E-2</v>
      </c>
      <c r="J48" s="256">
        <v>5.7500000000000002E-2</v>
      </c>
      <c r="K48" s="256">
        <v>4.5499999999999999E-2</v>
      </c>
      <c r="L48" s="256">
        <v>4.7500000000000001E-2</v>
      </c>
      <c r="M48" s="256">
        <v>4.2500000000000003E-2</v>
      </c>
      <c r="N48" s="256">
        <v>5.7500000000000002E-2</v>
      </c>
      <c r="O48" s="286">
        <v>4.7500000000000001E-2</v>
      </c>
      <c r="P48" s="259"/>
      <c r="Q48" s="2">
        <f t="shared" si="44"/>
        <v>2032</v>
      </c>
      <c r="R48" s="27">
        <f t="shared" si="45"/>
        <v>48228</v>
      </c>
      <c r="S48" s="257"/>
      <c r="T48" s="257"/>
      <c r="U48" s="257"/>
      <c r="V48" s="257"/>
      <c r="W48" s="258"/>
      <c r="X48" s="257"/>
      <c r="Y48" s="257"/>
      <c r="Z48" s="257"/>
      <c r="AA48" s="257"/>
      <c r="AB48" s="258"/>
      <c r="AC48" s="257"/>
      <c r="AD48" s="257"/>
      <c r="AE48" s="257"/>
      <c r="AF48" s="257"/>
      <c r="AG48" s="258"/>
      <c r="AH48" s="257"/>
      <c r="AI48" s="257"/>
      <c r="AJ48" s="257"/>
      <c r="AK48" s="257"/>
      <c r="AL48" s="258"/>
      <c r="AM48" s="257">
        <f t="shared" si="75"/>
        <v>100</v>
      </c>
      <c r="AN48" s="257">
        <f>+IF($R48&gt;F$8,"FIN",(AM48-SUM($AO$25:AO47))*VLOOKUP($R48,$A:$Q,6,0)/VLOOKUP(F$15,$M$1:$O$4,2,0))</f>
        <v>1.8833333333333331</v>
      </c>
      <c r="AO48" s="257">
        <f t="shared" si="18"/>
        <v>16.666666666666668</v>
      </c>
      <c r="AP48" s="257">
        <f t="shared" si="19"/>
        <v>18.55</v>
      </c>
      <c r="AQ48" s="258">
        <f t="shared" si="20"/>
        <v>6.199091327960498</v>
      </c>
      <c r="AR48" s="257">
        <f t="shared" si="76"/>
        <v>100</v>
      </c>
      <c r="AS48" s="257">
        <f>+IF($R48&gt;G$8,"FIN",(AR48-SUM(AT$25:AT47))*VLOOKUP($R48,$A:$Q,7,0)/VLOOKUP(G$15,$M$1:$O$4,2,0))</f>
        <v>1.5499999999999998</v>
      </c>
      <c r="AT48" s="257">
        <f t="shared" si="21"/>
        <v>16.666666666666668</v>
      </c>
      <c r="AU48" s="257">
        <f t="shared" si="54"/>
        <v>18.216666666666669</v>
      </c>
      <c r="AV48" s="258">
        <f t="shared" si="22"/>
        <v>6.0876970543223941</v>
      </c>
      <c r="AW48" s="257">
        <f t="shared" si="77"/>
        <v>99</v>
      </c>
      <c r="AX48" s="257">
        <f>+IF($R48&gt;H$8,"FIN",(AW48-SUM(AY$25:AY47))*VLOOKUP($R48,$A:$Q,8,0)/VLOOKUP(H$15,$M$1:$O$4,2,0))</f>
        <v>2.8462499999999999</v>
      </c>
      <c r="AY48" s="257">
        <f t="shared" si="23"/>
        <v>0</v>
      </c>
      <c r="AZ48" s="257">
        <f t="shared" si="24"/>
        <v>2.8462499999999999</v>
      </c>
      <c r="BA48" s="258">
        <f t="shared" si="25"/>
        <v>0.95116785402736204</v>
      </c>
      <c r="BB48" s="257">
        <f t="shared" si="78"/>
        <v>99</v>
      </c>
      <c r="BC48" s="257">
        <f>+IF($R48&gt;I$8,"FIN",(BB48-SUM(BD$25:BD47))*VLOOKUP($R48,$A:$Q,9,0)/VLOOKUP(I$15,$M$1:$O$4,2,0))</f>
        <v>2.3512499999999998</v>
      </c>
      <c r="BD48" s="257">
        <f t="shared" si="26"/>
        <v>0</v>
      </c>
      <c r="BE48" s="257">
        <f t="shared" si="57"/>
        <v>2.3512499999999998</v>
      </c>
      <c r="BF48" s="258">
        <f t="shared" si="27"/>
        <v>0.78574735767477732</v>
      </c>
      <c r="BG48" s="257">
        <f t="shared" si="79"/>
        <v>100</v>
      </c>
      <c r="BH48" s="257">
        <f>+IF($R48&gt;J$8,"FIN",(BG48-SUM(BI$25:BI47))*VLOOKUP($R48,$A:$Q,10,0)/VLOOKUP(J$15,$M$1:$O$4,2,0))</f>
        <v>1.8295454545454546</v>
      </c>
      <c r="BI48" s="257">
        <f t="shared" si="59"/>
        <v>4.5454545454545459</v>
      </c>
      <c r="BJ48" s="257">
        <f t="shared" si="28"/>
        <v>6.375</v>
      </c>
      <c r="BK48" s="258">
        <f t="shared" si="29"/>
        <v>2.1304154833287425</v>
      </c>
      <c r="BL48" s="257">
        <f t="shared" si="85"/>
        <v>100</v>
      </c>
      <c r="BM48" s="257">
        <f>+IF($R48&gt;K$8,"FIN",(BL48-SUM(BN$25:BN47))*VLOOKUP($R48,$A:$Q,11,0)/VLOOKUP(K$15,$M$1:$O$4,2,0))</f>
        <v>1.4477272727272725</v>
      </c>
      <c r="BN48" s="257">
        <f t="shared" si="61"/>
        <v>4.5454545454545459</v>
      </c>
      <c r="BO48" s="257">
        <f t="shared" si="62"/>
        <v>5.9931818181818182</v>
      </c>
      <c r="BP48" s="258">
        <f t="shared" si="30"/>
        <v>2.0028184062523686</v>
      </c>
      <c r="BQ48" s="257">
        <f t="shared" si="81"/>
        <v>100</v>
      </c>
      <c r="BR48" s="257">
        <f>+IF($R48&gt;L$8,"FIN",(BQ48-SUM(BS$25:BS47))*VLOOKUP($R48,$A:$Q,12,0)/VLOOKUP(L$15,$M$1:$O$4,2,0))</f>
        <v>1.5833333333333335</v>
      </c>
      <c r="BS48" s="257">
        <f t="shared" si="31"/>
        <v>3.3333333333333335</v>
      </c>
      <c r="BT48" s="257">
        <f t="shared" si="32"/>
        <v>4.916666666666667</v>
      </c>
      <c r="BU48" s="258">
        <f t="shared" si="33"/>
        <v>1.6430655361620368</v>
      </c>
      <c r="BV48" s="257">
        <f t="shared" si="82"/>
        <v>100</v>
      </c>
      <c r="BW48" s="257">
        <f>+IF($R48&gt;M$8,"FIN",(BV48-SUM(BX$25:BX47))*VLOOKUP($R48,$A:$Q,13,0)/VLOOKUP(M$15,$M$1:$O$4,2,0))</f>
        <v>1.416666666666667</v>
      </c>
      <c r="BX48" s="257">
        <f t="shared" si="34"/>
        <v>3.3333333333333335</v>
      </c>
      <c r="BY48" s="257">
        <f t="shared" si="65"/>
        <v>4.75</v>
      </c>
      <c r="BZ48" s="258">
        <f t="shared" si="35"/>
        <v>1.5873683993429846</v>
      </c>
      <c r="CA48" s="257">
        <f t="shared" si="83"/>
        <v>99</v>
      </c>
      <c r="CB48" s="257">
        <f>+IF($R48&gt;N$8,"FIN",(CA48-SUM(CC$25:CC47))*VLOOKUP($R48,$A:$Q,14,0)/VLOOKUP(N$15,$M$1:$O$4,2,0))</f>
        <v>2.2137500000000001</v>
      </c>
      <c r="CC48" s="257">
        <f t="shared" si="36"/>
        <v>2.75</v>
      </c>
      <c r="CD48" s="257">
        <f t="shared" si="67"/>
        <v>4.9637500000000001</v>
      </c>
      <c r="CE48" s="258">
        <f t="shared" si="38"/>
        <v>1.6587999773134188</v>
      </c>
      <c r="CF48" s="257">
        <f t="shared" si="84"/>
        <v>99</v>
      </c>
      <c r="CG48" s="257">
        <f>+IF($R48&gt;O$8,"FIN",(CF48-SUM(CH$25:CH47))*VLOOKUP($R48,$A:$Q,15,0)/VLOOKUP(O$15,$M$1:$O$4,2,0))</f>
        <v>1.8287500000000001</v>
      </c>
      <c r="CH48" s="257">
        <f t="shared" si="39"/>
        <v>2.75</v>
      </c>
      <c r="CI48" s="257">
        <f t="shared" si="69"/>
        <v>4.5787500000000003</v>
      </c>
      <c r="CJ48" s="258">
        <f t="shared" si="40"/>
        <v>1.5301395912614086</v>
      </c>
      <c r="CK48" s="257"/>
      <c r="CL48" s="257"/>
      <c r="CM48" s="257"/>
      <c r="CN48" s="257"/>
      <c r="CO48" s="258"/>
      <c r="CP48" s="4"/>
      <c r="CQ48"/>
      <c r="CR48"/>
      <c r="CS48"/>
    </row>
    <row r="49" spans="1:97" ht="15" x14ac:dyDescent="0.25">
      <c r="A49" s="27">
        <f t="shared" si="43"/>
        <v>48410</v>
      </c>
      <c r="B49" s="256"/>
      <c r="C49" s="256"/>
      <c r="D49" s="256"/>
      <c r="E49" s="256"/>
      <c r="F49" s="256">
        <v>5.6500000000000002E-2</v>
      </c>
      <c r="G49" s="256">
        <v>4.65E-2</v>
      </c>
      <c r="H49" s="256">
        <v>5.7500000000000002E-2</v>
      </c>
      <c r="I49" s="256">
        <v>4.7500000000000001E-2</v>
      </c>
      <c r="J49" s="256">
        <v>5.7500000000000002E-2</v>
      </c>
      <c r="K49" s="256">
        <v>4.5499999999999999E-2</v>
      </c>
      <c r="L49" s="256">
        <v>4.7500000000000001E-2</v>
      </c>
      <c r="M49" s="256">
        <v>4.2500000000000003E-2</v>
      </c>
      <c r="N49" s="256">
        <v>5.7500000000000002E-2</v>
      </c>
      <c r="O49" s="286">
        <v>4.7500000000000001E-2</v>
      </c>
      <c r="P49" s="259"/>
      <c r="Q49" s="2">
        <f t="shared" si="44"/>
        <v>2032</v>
      </c>
      <c r="R49" s="27">
        <f t="shared" si="45"/>
        <v>48410</v>
      </c>
      <c r="S49" s="257"/>
      <c r="T49" s="257"/>
      <c r="U49" s="257"/>
      <c r="V49" s="257"/>
      <c r="W49" s="258"/>
      <c r="X49" s="257"/>
      <c r="Y49" s="257"/>
      <c r="Z49" s="257"/>
      <c r="AA49" s="257"/>
      <c r="AB49" s="258"/>
      <c r="AC49" s="257"/>
      <c r="AD49" s="257"/>
      <c r="AE49" s="257"/>
      <c r="AF49" s="257"/>
      <c r="AG49" s="258"/>
      <c r="AH49" s="257"/>
      <c r="AI49" s="257"/>
      <c r="AJ49" s="257"/>
      <c r="AK49" s="257"/>
      <c r="AL49" s="258"/>
      <c r="AM49" s="257">
        <f t="shared" si="75"/>
        <v>100</v>
      </c>
      <c r="AN49" s="257">
        <f>+IF($R49&gt;F$8,"FIN",(AM49-SUM($AO$25:AO48))*VLOOKUP($R49,$A:$Q,6,0)/VLOOKUP(F$15,$M$1:$O$4,2,0))</f>
        <v>1.4125000000000001</v>
      </c>
      <c r="AO49" s="257">
        <f t="shared" si="18"/>
        <v>16.666666666666668</v>
      </c>
      <c r="AP49" s="257">
        <f t="shared" si="19"/>
        <v>18.079166666666669</v>
      </c>
      <c r="AQ49" s="258">
        <f t="shared" si="20"/>
        <v>5.7605796585218219</v>
      </c>
      <c r="AR49" s="257">
        <f t="shared" si="76"/>
        <v>100</v>
      </c>
      <c r="AS49" s="257">
        <f>+IF($R49&gt;G$8,"FIN",(AR49-SUM(AT$25:AT48))*VLOOKUP($R49,$A:$Q,7,0)/VLOOKUP(G$15,$M$1:$O$4,2,0))</f>
        <v>1.1625000000000001</v>
      </c>
      <c r="AT49" s="257">
        <f t="shared" si="21"/>
        <v>16.666666666666668</v>
      </c>
      <c r="AU49" s="257">
        <f t="shared" si="54"/>
        <v>17.829166666666669</v>
      </c>
      <c r="AV49" s="258">
        <f t="shared" si="22"/>
        <v>5.6809219540942326</v>
      </c>
      <c r="AW49" s="257">
        <f t="shared" si="77"/>
        <v>99</v>
      </c>
      <c r="AX49" s="257">
        <f>+IF($R49&gt;H$8,"FIN",(AW49-SUM(AY$25:AY48))*VLOOKUP($R49,$A:$Q,8,0)/VLOOKUP(H$15,$M$1:$O$4,2,0))</f>
        <v>2.8462499999999999</v>
      </c>
      <c r="AY49" s="257">
        <f t="shared" si="23"/>
        <v>0</v>
      </c>
      <c r="AZ49" s="257">
        <f t="shared" si="24"/>
        <v>2.8462499999999999</v>
      </c>
      <c r="BA49" s="258">
        <f t="shared" si="25"/>
        <v>0.90690296490810229</v>
      </c>
      <c r="BB49" s="257">
        <f t="shared" si="78"/>
        <v>99</v>
      </c>
      <c r="BC49" s="257">
        <f>+IF($R49&gt;I$8,"FIN",(BB49-SUM(BD$25:BD48))*VLOOKUP($R49,$A:$Q,9,0)/VLOOKUP(I$15,$M$1:$O$4,2,0))</f>
        <v>2.3512499999999998</v>
      </c>
      <c r="BD49" s="257">
        <f t="shared" si="26"/>
        <v>0</v>
      </c>
      <c r="BE49" s="257">
        <f t="shared" si="57"/>
        <v>2.3512499999999998</v>
      </c>
      <c r="BF49" s="258">
        <f t="shared" si="27"/>
        <v>0.7491807101414758</v>
      </c>
      <c r="BG49" s="257">
        <f t="shared" si="79"/>
        <v>100</v>
      </c>
      <c r="BH49" s="257">
        <f>+IF($R49&gt;J$8,"FIN",(BG49-SUM(BI$25:BI48))*VLOOKUP($R49,$A:$Q,10,0)/VLOOKUP(J$15,$M$1:$O$4,2,0))</f>
        <v>1.6988636363636362</v>
      </c>
      <c r="BI49" s="257">
        <f t="shared" si="59"/>
        <v>4.5454545454545459</v>
      </c>
      <c r="BJ49" s="257">
        <f t="shared" si="28"/>
        <v>6.2443181818181817</v>
      </c>
      <c r="BK49" s="258">
        <f t="shared" si="29"/>
        <v>1.989632208316374</v>
      </c>
      <c r="BL49" s="257">
        <f t="shared" si="85"/>
        <v>100</v>
      </c>
      <c r="BM49" s="257">
        <f>+IF($R49&gt;K$8,"FIN",(BL49-SUM(BN$25:BN48))*VLOOKUP($R49,$A:$Q,11,0)/VLOOKUP(K$15,$M$1:$O$4,2,0))</f>
        <v>1.3443181818181817</v>
      </c>
      <c r="BN49" s="257">
        <f t="shared" si="61"/>
        <v>4.5454545454545459</v>
      </c>
      <c r="BO49" s="257">
        <f t="shared" si="62"/>
        <v>5.889772727272728</v>
      </c>
      <c r="BP49" s="258">
        <f t="shared" si="30"/>
        <v>1.8766631002190661</v>
      </c>
      <c r="BQ49" s="257">
        <f t="shared" si="81"/>
        <v>100</v>
      </c>
      <c r="BR49" s="257">
        <f>+IF($R49&gt;L$8,"FIN",(BQ49-SUM(BS$25:BS48))*VLOOKUP($R49,$A:$Q,12,0)/VLOOKUP(L$15,$M$1:$O$4,2,0))</f>
        <v>1.5041666666666667</v>
      </c>
      <c r="BS49" s="257">
        <f t="shared" si="31"/>
        <v>3.3333333333333335</v>
      </c>
      <c r="BT49" s="257">
        <f t="shared" si="32"/>
        <v>4.8375000000000004</v>
      </c>
      <c r="BU49" s="258">
        <f t="shared" si="33"/>
        <v>1.54137658067385</v>
      </c>
      <c r="BV49" s="257">
        <f t="shared" si="82"/>
        <v>100</v>
      </c>
      <c r="BW49" s="257">
        <f>+IF($R49&gt;M$8,"FIN",(BV49-SUM(BX$25:BX48))*VLOOKUP($R49,$A:$Q,13,0)/VLOOKUP(M$15,$M$1:$O$4,2,0))</f>
        <v>1.3458333333333334</v>
      </c>
      <c r="BX49" s="257">
        <f t="shared" si="34"/>
        <v>3.3333333333333335</v>
      </c>
      <c r="BY49" s="257">
        <f t="shared" si="65"/>
        <v>4.6791666666666671</v>
      </c>
      <c r="BZ49" s="258">
        <f t="shared" si="35"/>
        <v>1.4909267012030436</v>
      </c>
      <c r="CA49" s="257">
        <f t="shared" si="83"/>
        <v>99</v>
      </c>
      <c r="CB49" s="257">
        <f>+IF($R49&gt;N$8,"FIN",(CA49-SUM(CC$25:CC48))*VLOOKUP($R49,$A:$Q,14,0)/VLOOKUP(N$15,$M$1:$O$4,2,0))</f>
        <v>2.1346875000000001</v>
      </c>
      <c r="CC49" s="257">
        <f t="shared" si="36"/>
        <v>2.75</v>
      </c>
      <c r="CD49" s="257">
        <f t="shared" si="67"/>
        <v>4.8846875000000001</v>
      </c>
      <c r="CE49" s="258">
        <f t="shared" si="38"/>
        <v>1.5564119723845573</v>
      </c>
      <c r="CF49" s="257">
        <f t="shared" si="84"/>
        <v>99</v>
      </c>
      <c r="CG49" s="257">
        <f>+IF($R49&gt;O$8,"FIN",(CF49-SUM(CH$25:CH48))*VLOOKUP($R49,$A:$Q,15,0)/VLOOKUP(O$15,$M$1:$O$4,2,0))</f>
        <v>1.7634375</v>
      </c>
      <c r="CH49" s="257">
        <f t="shared" si="39"/>
        <v>2.75</v>
      </c>
      <c r="CI49" s="257">
        <f t="shared" si="69"/>
        <v>4.5134375000000002</v>
      </c>
      <c r="CJ49" s="258">
        <f t="shared" si="40"/>
        <v>1.4381202813095875</v>
      </c>
      <c r="CK49" s="257"/>
      <c r="CL49" s="257"/>
      <c r="CM49" s="257"/>
      <c r="CN49" s="257"/>
      <c r="CO49" s="258"/>
      <c r="CP49" s="4"/>
      <c r="CQ49"/>
      <c r="CR49"/>
      <c r="CS49"/>
    </row>
    <row r="50" spans="1:97" ht="15" x14ac:dyDescent="0.25">
      <c r="A50" s="27">
        <f t="shared" si="43"/>
        <v>48594</v>
      </c>
      <c r="B50" s="256"/>
      <c r="C50" s="256"/>
      <c r="D50" s="256"/>
      <c r="E50" s="256"/>
      <c r="F50" s="256">
        <v>5.6500000000000002E-2</v>
      </c>
      <c r="G50" s="256">
        <v>4.65E-2</v>
      </c>
      <c r="H50" s="256">
        <v>5.7500000000000002E-2</v>
      </c>
      <c r="I50" s="256">
        <v>4.7500000000000001E-2</v>
      </c>
      <c r="J50" s="256">
        <v>5.7500000000000002E-2</v>
      </c>
      <c r="K50" s="256">
        <v>4.5499999999999999E-2</v>
      </c>
      <c r="L50" s="256">
        <v>4.7500000000000001E-2</v>
      </c>
      <c r="M50" s="256">
        <v>4.2500000000000003E-2</v>
      </c>
      <c r="N50" s="256">
        <v>5.7500000000000002E-2</v>
      </c>
      <c r="O50" s="286">
        <v>4.7500000000000001E-2</v>
      </c>
      <c r="P50" s="259"/>
      <c r="Q50" s="2">
        <f t="shared" si="44"/>
        <v>2033</v>
      </c>
      <c r="R50" s="27">
        <f t="shared" si="45"/>
        <v>48594</v>
      </c>
      <c r="S50" s="257"/>
      <c r="T50" s="257"/>
      <c r="U50" s="257"/>
      <c r="V50" s="257"/>
      <c r="W50" s="258"/>
      <c r="X50" s="257"/>
      <c r="Y50" s="257"/>
      <c r="Z50" s="257"/>
      <c r="AA50" s="257"/>
      <c r="AB50" s="258"/>
      <c r="AC50" s="257"/>
      <c r="AD50" s="257"/>
      <c r="AE50" s="257"/>
      <c r="AF50" s="257"/>
      <c r="AG50" s="258"/>
      <c r="AH50" s="257"/>
      <c r="AI50" s="257"/>
      <c r="AJ50" s="257"/>
      <c r="AK50" s="257"/>
      <c r="AL50" s="258"/>
      <c r="AM50" s="257">
        <f t="shared" si="75"/>
        <v>100</v>
      </c>
      <c r="AN50" s="257">
        <f>+IF($R50&gt;F$8,"FIN",(AM50-SUM($AO$25:AO49))*VLOOKUP($R50,$A:$Q,6,0)/VLOOKUP(F$15,$M$1:$O$4,2,0))</f>
        <v>0.94166666666666654</v>
      </c>
      <c r="AO50" s="257">
        <f t="shared" si="18"/>
        <v>16.666666666666668</v>
      </c>
      <c r="AP50" s="257">
        <f t="shared" si="19"/>
        <v>17.608333333333334</v>
      </c>
      <c r="AQ50" s="258">
        <f t="shared" si="20"/>
        <v>5.3494568226662311</v>
      </c>
      <c r="AR50" s="257">
        <f t="shared" si="76"/>
        <v>100</v>
      </c>
      <c r="AS50" s="257">
        <f>+IF($R50&gt;G$8,"FIN",(AR50-SUM(AT$25:AT49))*VLOOKUP($R50,$A:$Q,7,0)/VLOOKUP(G$15,$M$1:$O$4,2,0))</f>
        <v>0.77499999999999991</v>
      </c>
      <c r="AT50" s="257">
        <f t="shared" si="21"/>
        <v>16.666666666666668</v>
      </c>
      <c r="AU50" s="257">
        <f t="shared" si="54"/>
        <v>17.441666666666666</v>
      </c>
      <c r="AV50" s="258">
        <f t="shared" si="22"/>
        <v>5.2988230619216372</v>
      </c>
      <c r="AW50" s="257">
        <f t="shared" si="77"/>
        <v>99</v>
      </c>
      <c r="AX50" s="257">
        <f>+IF($R50&gt;H$8,"FIN",(AW50-SUM(AY$25:AY49))*VLOOKUP($R50,$A:$Q,8,0)/VLOOKUP(H$15,$M$1:$O$4,2,0))</f>
        <v>2.8462499999999999</v>
      </c>
      <c r="AY50" s="257">
        <f t="shared" si="23"/>
        <v>0</v>
      </c>
      <c r="AZ50" s="257">
        <f t="shared" si="24"/>
        <v>2.8462499999999999</v>
      </c>
      <c r="BA50" s="258">
        <f t="shared" si="25"/>
        <v>0.86469804911578374</v>
      </c>
      <c r="BB50" s="257">
        <f t="shared" si="78"/>
        <v>99</v>
      </c>
      <c r="BC50" s="257">
        <f>+IF($R50&gt;I$8,"FIN",(BB50-SUM(BD$25:BD49))*VLOOKUP($R50,$A:$Q,9,0)/VLOOKUP(I$15,$M$1:$O$4,2,0))</f>
        <v>2.3512499999999998</v>
      </c>
      <c r="BD50" s="257">
        <f t="shared" si="26"/>
        <v>0</v>
      </c>
      <c r="BE50" s="257">
        <f t="shared" si="57"/>
        <v>2.3512499999999998</v>
      </c>
      <c r="BF50" s="258">
        <f t="shared" si="27"/>
        <v>0.71431577970434301</v>
      </c>
      <c r="BG50" s="257">
        <f t="shared" si="79"/>
        <v>100</v>
      </c>
      <c r="BH50" s="257">
        <f>+IF($R50&gt;J$8,"FIN",(BG50-SUM(BI$25:BI49))*VLOOKUP($R50,$A:$Q,10,0)/VLOOKUP(J$15,$M$1:$O$4,2,0))</f>
        <v>1.5681818181818181</v>
      </c>
      <c r="BI50" s="257">
        <f t="shared" si="59"/>
        <v>4.5454545454545459</v>
      </c>
      <c r="BJ50" s="257">
        <f t="shared" si="28"/>
        <v>6.1136363636363642</v>
      </c>
      <c r="BK50" s="258">
        <f t="shared" si="29"/>
        <v>1.8573384054948365</v>
      </c>
      <c r="BL50" s="257">
        <f t="shared" si="85"/>
        <v>100</v>
      </c>
      <c r="BM50" s="257">
        <f>+IF($R50&gt;K$8,"FIN",(BL50-SUM(BN$25:BN49))*VLOOKUP($R50,$A:$Q,11,0)/VLOOKUP(K$15,$M$1:$O$4,2,0))</f>
        <v>1.2409090909090907</v>
      </c>
      <c r="BN50" s="257">
        <f t="shared" si="61"/>
        <v>4.5454545454545459</v>
      </c>
      <c r="BO50" s="257">
        <f t="shared" si="62"/>
        <v>5.786363636363637</v>
      </c>
      <c r="BP50" s="258">
        <f t="shared" si="30"/>
        <v>1.7579121116690906</v>
      </c>
      <c r="BQ50" s="257">
        <f t="shared" si="81"/>
        <v>100</v>
      </c>
      <c r="BR50" s="257">
        <f>+IF($R50&gt;L$8,"FIN",(BQ50-SUM(BS$25:BS49))*VLOOKUP($R50,$A:$Q,12,0)/VLOOKUP(L$15,$M$1:$O$4,2,0))</f>
        <v>1.425</v>
      </c>
      <c r="BS50" s="257">
        <f t="shared" si="31"/>
        <v>3.3333333333333335</v>
      </c>
      <c r="BT50" s="257">
        <f t="shared" si="32"/>
        <v>4.7583333333333337</v>
      </c>
      <c r="BU50" s="258">
        <f t="shared" si="33"/>
        <v>1.4455938692581249</v>
      </c>
      <c r="BV50" s="257">
        <f t="shared" si="82"/>
        <v>100</v>
      </c>
      <c r="BW50" s="257">
        <f>+IF($R50&gt;M$8,"FIN",(BV50-SUM(BX$25:BX49))*VLOOKUP($R50,$A:$Q,13,0)/VLOOKUP(M$15,$M$1:$O$4,2,0))</f>
        <v>1.2750000000000001</v>
      </c>
      <c r="BX50" s="257">
        <f t="shared" si="34"/>
        <v>3.3333333333333335</v>
      </c>
      <c r="BY50" s="257">
        <f t="shared" si="65"/>
        <v>4.6083333333333334</v>
      </c>
      <c r="BZ50" s="258">
        <f t="shared" si="35"/>
        <v>1.4000234845879913</v>
      </c>
      <c r="CA50" s="257">
        <f t="shared" si="83"/>
        <v>99</v>
      </c>
      <c r="CB50" s="257">
        <f>+IF($R50&gt;N$8,"FIN",(CA50-SUM(CC$25:CC49))*VLOOKUP($R50,$A:$Q,14,0)/VLOOKUP(N$15,$M$1:$O$4,2,0))</f>
        <v>2.055625</v>
      </c>
      <c r="CC50" s="257">
        <f t="shared" si="36"/>
        <v>2.75</v>
      </c>
      <c r="CD50" s="257">
        <f t="shared" si="67"/>
        <v>4.805625</v>
      </c>
      <c r="CE50" s="258">
        <f t="shared" si="38"/>
        <v>1.459961198869403</v>
      </c>
      <c r="CF50" s="257">
        <f t="shared" si="84"/>
        <v>99</v>
      </c>
      <c r="CG50" s="257">
        <f>+IF($R50&gt;O$8,"FIN",(CF50-SUM(CH$25:CH49))*VLOOKUP($R50,$A:$Q,15,0)/VLOOKUP(O$15,$M$1:$O$4,2,0))</f>
        <v>1.6981250000000001</v>
      </c>
      <c r="CH50" s="257">
        <f t="shared" si="39"/>
        <v>2.75</v>
      </c>
      <c r="CI50" s="257">
        <f t="shared" si="69"/>
        <v>4.4481250000000001</v>
      </c>
      <c r="CJ50" s="258">
        <f t="shared" si="40"/>
        <v>1.3513517820722514</v>
      </c>
      <c r="CK50" s="257"/>
      <c r="CL50" s="257"/>
      <c r="CM50" s="257"/>
      <c r="CN50" s="257"/>
      <c r="CO50" s="258"/>
      <c r="CP50" s="4"/>
      <c r="CQ50"/>
      <c r="CR50"/>
      <c r="CS50"/>
    </row>
    <row r="51" spans="1:97" ht="15" x14ac:dyDescent="0.25">
      <c r="A51" s="27">
        <f t="shared" si="43"/>
        <v>48775</v>
      </c>
      <c r="B51" s="256"/>
      <c r="C51" s="256"/>
      <c r="D51" s="256"/>
      <c r="E51" s="256"/>
      <c r="F51" s="256">
        <v>5.6500000000000002E-2</v>
      </c>
      <c r="G51" s="256">
        <v>4.65E-2</v>
      </c>
      <c r="H51" s="256">
        <v>5.7500000000000002E-2</v>
      </c>
      <c r="I51" s="256">
        <v>4.7500000000000001E-2</v>
      </c>
      <c r="J51" s="256">
        <v>5.7500000000000002E-2</v>
      </c>
      <c r="K51" s="256">
        <v>4.5499999999999999E-2</v>
      </c>
      <c r="L51" s="256">
        <v>4.7500000000000001E-2</v>
      </c>
      <c r="M51" s="256">
        <v>4.2500000000000003E-2</v>
      </c>
      <c r="N51" s="256">
        <v>5.7500000000000002E-2</v>
      </c>
      <c r="O51" s="286">
        <v>4.7500000000000001E-2</v>
      </c>
      <c r="P51" s="259"/>
      <c r="Q51" s="2">
        <f t="shared" si="44"/>
        <v>2033</v>
      </c>
      <c r="R51" s="27">
        <f t="shared" si="45"/>
        <v>48775</v>
      </c>
      <c r="S51" s="257"/>
      <c r="T51" s="257"/>
      <c r="U51" s="257"/>
      <c r="V51" s="257"/>
      <c r="W51" s="258"/>
      <c r="X51" s="257"/>
      <c r="Y51" s="257"/>
      <c r="Z51" s="257"/>
      <c r="AA51" s="257"/>
      <c r="AB51" s="258"/>
      <c r="AC51" s="257"/>
      <c r="AD51" s="257"/>
      <c r="AE51" s="257"/>
      <c r="AF51" s="257"/>
      <c r="AG51" s="258"/>
      <c r="AH51" s="257"/>
      <c r="AI51" s="257"/>
      <c r="AJ51" s="257"/>
      <c r="AK51" s="257"/>
      <c r="AL51" s="258"/>
      <c r="AM51" s="257">
        <f t="shared" si="75"/>
        <v>100</v>
      </c>
      <c r="AN51" s="257">
        <f>+IF($R51&gt;F$8,"FIN",(AM51-SUM($AO$25:AO50))*VLOOKUP($R51,$A:$Q,6,0)/VLOOKUP(F$15,$M$1:$O$4,2,0))</f>
        <v>0.4708333333333331</v>
      </c>
      <c r="AO51" s="257">
        <f t="shared" si="18"/>
        <v>16.666666666666668</v>
      </c>
      <c r="AP51" s="257">
        <f t="shared" si="19"/>
        <v>17.137499999999999</v>
      </c>
      <c r="AQ51" s="258">
        <f t="shared" si="20"/>
        <v>4.9641233077374869</v>
      </c>
      <c r="AR51" s="257">
        <f t="shared" si="76"/>
        <v>100</v>
      </c>
      <c r="AS51" s="257">
        <f>+IF($R51&gt;G$8,"FIN",(AR51-SUM(AT$25:AT50))*VLOOKUP($R51,$A:$Q,7,0)/VLOOKUP(G$15,$M$1:$O$4,2,0))</f>
        <v>0.38749999999999979</v>
      </c>
      <c r="AT51" s="257">
        <f t="shared" si="21"/>
        <v>16.666666666666668</v>
      </c>
      <c r="AU51" s="257">
        <f t="shared" si="54"/>
        <v>17.054166666666667</v>
      </c>
      <c r="AV51" s="258">
        <f t="shared" si="22"/>
        <v>4.9399846094260962</v>
      </c>
      <c r="AW51" s="257">
        <f t="shared" si="77"/>
        <v>99</v>
      </c>
      <c r="AX51" s="257">
        <f>+IF($R51&gt;H$8,"FIN",(AW51-SUM(AY$25:AY50))*VLOOKUP($R51,$A:$Q,8,0)/VLOOKUP(H$15,$M$1:$O$4,2,0))</f>
        <v>2.8462499999999999</v>
      </c>
      <c r="AY51" s="257">
        <f t="shared" si="23"/>
        <v>0</v>
      </c>
      <c r="AZ51" s="257">
        <f t="shared" si="24"/>
        <v>2.8462499999999999</v>
      </c>
      <c r="BA51" s="258">
        <f t="shared" si="25"/>
        <v>0.8244572408255475</v>
      </c>
      <c r="BB51" s="257">
        <f t="shared" si="78"/>
        <v>99</v>
      </c>
      <c r="BC51" s="257">
        <f>+IF($R51&gt;I$8,"FIN",(BB51-SUM(BD$25:BD50))*VLOOKUP($R51,$A:$Q,9,0)/VLOOKUP(I$15,$M$1:$O$4,2,0))</f>
        <v>2.3512499999999998</v>
      </c>
      <c r="BD51" s="257">
        <f t="shared" si="26"/>
        <v>0</v>
      </c>
      <c r="BE51" s="257">
        <f t="shared" si="57"/>
        <v>2.3512499999999998</v>
      </c>
      <c r="BF51" s="258">
        <f t="shared" si="27"/>
        <v>0.68107337285588709</v>
      </c>
      <c r="BG51" s="257">
        <f t="shared" si="79"/>
        <v>100</v>
      </c>
      <c r="BH51" s="257">
        <f>+IF($R51&gt;J$8,"FIN",(BG51-SUM(BI$25:BI50))*VLOOKUP($R51,$A:$Q,10,0)/VLOOKUP(J$15,$M$1:$O$4,2,0))</f>
        <v>1.4374999999999998</v>
      </c>
      <c r="BI51" s="257">
        <f t="shared" si="59"/>
        <v>4.5454545454545459</v>
      </c>
      <c r="BJ51" s="257">
        <f t="shared" si="28"/>
        <v>5.9829545454545459</v>
      </c>
      <c r="BK51" s="258">
        <f t="shared" si="29"/>
        <v>1.7330488174018877</v>
      </c>
      <c r="BL51" s="257">
        <f t="shared" si="85"/>
        <v>100</v>
      </c>
      <c r="BM51" s="257">
        <f>+IF($R51&gt;K$8,"FIN",(BL51-SUM(BN$25:BN50))*VLOOKUP($R51,$A:$Q,11,0)/VLOOKUP(K$15,$M$1:$O$4,2,0))</f>
        <v>1.1374999999999997</v>
      </c>
      <c r="BN51" s="257">
        <f t="shared" si="61"/>
        <v>4.5454545454545459</v>
      </c>
      <c r="BO51" s="257">
        <f t="shared" si="62"/>
        <v>5.682954545454546</v>
      </c>
      <c r="BP51" s="258">
        <f t="shared" si="30"/>
        <v>1.6461495034808815</v>
      </c>
      <c r="BQ51" s="257">
        <f t="shared" si="81"/>
        <v>100</v>
      </c>
      <c r="BR51" s="257">
        <f>+IF($R51&gt;L$8,"FIN",(BQ51-SUM(BS$25:BS50))*VLOOKUP($R51,$A:$Q,12,0)/VLOOKUP(L$15,$M$1:$O$4,2,0))</f>
        <v>1.3458333333333332</v>
      </c>
      <c r="BS51" s="257">
        <f t="shared" si="31"/>
        <v>3.3333333333333335</v>
      </c>
      <c r="BT51" s="257">
        <f t="shared" si="32"/>
        <v>4.6791666666666671</v>
      </c>
      <c r="BU51" s="258">
        <f t="shared" si="33"/>
        <v>1.3553879101845849</v>
      </c>
      <c r="BV51" s="257">
        <f t="shared" si="82"/>
        <v>100</v>
      </c>
      <c r="BW51" s="257">
        <f>+IF($R51&gt;M$8,"FIN",(BV51-SUM(BX$25:BX50))*VLOOKUP($R51,$A:$Q,13,0)/VLOOKUP(M$15,$M$1:$O$4,2,0))</f>
        <v>1.2041666666666666</v>
      </c>
      <c r="BX51" s="257">
        <f t="shared" si="34"/>
        <v>3.3333333333333335</v>
      </c>
      <c r="BY51" s="257">
        <f t="shared" si="65"/>
        <v>4.5374999999999996</v>
      </c>
      <c r="BZ51" s="258">
        <f t="shared" si="35"/>
        <v>1.3143521230552206</v>
      </c>
      <c r="CA51" s="257">
        <f t="shared" si="83"/>
        <v>99</v>
      </c>
      <c r="CB51" s="257">
        <f>+IF($R51&gt;N$8,"FIN",(CA51-SUM(CC$25:CC50))*VLOOKUP($R51,$A:$Q,14,0)/VLOOKUP(N$15,$M$1:$O$4,2,0))</f>
        <v>1.9765625</v>
      </c>
      <c r="CC51" s="257">
        <f t="shared" si="36"/>
        <v>2.75</v>
      </c>
      <c r="CD51" s="257">
        <f t="shared" si="67"/>
        <v>4.7265625</v>
      </c>
      <c r="CE51" s="258">
        <f t="shared" si="38"/>
        <v>1.3691167948491882</v>
      </c>
      <c r="CF51" s="257">
        <f t="shared" si="84"/>
        <v>99</v>
      </c>
      <c r="CG51" s="257">
        <f>+IF($R51&gt;O$8,"FIN",(CF51-SUM(CH$25:CH50))*VLOOKUP($R51,$A:$Q,15,0)/VLOOKUP(O$15,$M$1:$O$4,2,0))</f>
        <v>1.6328125</v>
      </c>
      <c r="CH51" s="257">
        <f t="shared" si="39"/>
        <v>2.75</v>
      </c>
      <c r="CI51" s="257">
        <f t="shared" si="69"/>
        <v>4.3828125</v>
      </c>
      <c r="CJ51" s="258">
        <f t="shared" si="40"/>
        <v>1.2695446643147019</v>
      </c>
      <c r="CK51" s="257"/>
      <c r="CL51" s="257"/>
      <c r="CM51" s="257"/>
      <c r="CN51" s="257"/>
      <c r="CO51" s="258"/>
      <c r="CP51" s="4"/>
      <c r="CQ51"/>
      <c r="CR51"/>
      <c r="CS51"/>
    </row>
    <row r="52" spans="1:97" ht="15" x14ac:dyDescent="0.25">
      <c r="A52" s="27">
        <f t="shared" si="43"/>
        <v>48959</v>
      </c>
      <c r="B52" s="256"/>
      <c r="C52" s="256"/>
      <c r="D52" s="256"/>
      <c r="E52" s="256"/>
      <c r="F52" s="256"/>
      <c r="G52" s="256"/>
      <c r="H52" s="256">
        <v>5.7500000000000002E-2</v>
      </c>
      <c r="I52" s="256">
        <v>4.7500000000000001E-2</v>
      </c>
      <c r="J52" s="256">
        <v>5.7500000000000002E-2</v>
      </c>
      <c r="K52" s="256">
        <v>4.5499999999999999E-2</v>
      </c>
      <c r="L52" s="256">
        <v>4.7500000000000001E-2</v>
      </c>
      <c r="M52" s="256">
        <v>4.2500000000000003E-2</v>
      </c>
      <c r="N52" s="256">
        <v>5.7500000000000002E-2</v>
      </c>
      <c r="O52" s="286">
        <v>4.7500000000000001E-2</v>
      </c>
      <c r="P52" s="259"/>
      <c r="Q52" s="2">
        <f t="shared" si="44"/>
        <v>2034</v>
      </c>
      <c r="R52" s="27">
        <f t="shared" si="45"/>
        <v>48959</v>
      </c>
      <c r="S52" s="257"/>
      <c r="T52" s="257"/>
      <c r="U52" s="257"/>
      <c r="V52" s="257"/>
      <c r="W52" s="258"/>
      <c r="X52" s="257"/>
      <c r="Y52" s="257"/>
      <c r="Z52" s="257"/>
      <c r="AA52" s="257"/>
      <c r="AB52" s="258"/>
      <c r="AC52" s="257"/>
      <c r="AD52" s="257"/>
      <c r="AE52" s="257"/>
      <c r="AF52" s="257"/>
      <c r="AG52" s="258"/>
      <c r="AH52" s="257"/>
      <c r="AI52" s="257"/>
      <c r="AJ52" s="257"/>
      <c r="AK52" s="257"/>
      <c r="AL52" s="258"/>
      <c r="AM52" s="257"/>
      <c r="AN52" s="257"/>
      <c r="AO52" s="257"/>
      <c r="AP52" s="257"/>
      <c r="AQ52" s="258"/>
      <c r="AR52" s="257"/>
      <c r="AS52" s="257"/>
      <c r="AT52" s="257"/>
      <c r="AU52" s="257"/>
      <c r="AV52" s="258"/>
      <c r="AW52" s="257">
        <f t="shared" si="77"/>
        <v>99</v>
      </c>
      <c r="AX52" s="257">
        <f>+IF($R52&gt;H$8,"FIN",(AW52-SUM(AY$25:AY51))*VLOOKUP($R52,$A:$Q,8,0)/VLOOKUP(H$15,$M$1:$O$4,2,0))</f>
        <v>2.8462499999999999</v>
      </c>
      <c r="AY52" s="257">
        <f t="shared" si="23"/>
        <v>16.5</v>
      </c>
      <c r="AZ52" s="257">
        <f t="shared" si="24"/>
        <v>19.346250000000001</v>
      </c>
      <c r="BA52" s="258">
        <f t="shared" si="25"/>
        <v>5.3431276025731558</v>
      </c>
      <c r="BB52" s="257">
        <f t="shared" si="78"/>
        <v>99</v>
      </c>
      <c r="BC52" s="257">
        <f>+IF($R52&gt;I$8,"FIN",(BB52-SUM(BD$25:BD51))*VLOOKUP($R52,$A:$Q,9,0)/VLOOKUP(I$15,$M$1:$O$4,2,0))</f>
        <v>2.3512499999999998</v>
      </c>
      <c r="BD52" s="257">
        <f t="shared" si="26"/>
        <v>16.5</v>
      </c>
      <c r="BE52" s="257">
        <f t="shared" si="57"/>
        <v>18.85125</v>
      </c>
      <c r="BF52" s="258">
        <f t="shared" si="27"/>
        <v>5.2064164485627549</v>
      </c>
      <c r="BG52" s="257">
        <f t="shared" si="79"/>
        <v>100</v>
      </c>
      <c r="BH52" s="257">
        <f>+IF($R52&gt;J$8,"FIN",(BG52-SUM(BI$25:BI51))*VLOOKUP($R52,$A:$Q,10,0)/VLOOKUP(J$15,$M$1:$O$4,2,0))</f>
        <v>1.3068181818181817</v>
      </c>
      <c r="BI52" s="257">
        <f t="shared" si="59"/>
        <v>4.5454545454545459</v>
      </c>
      <c r="BJ52" s="257">
        <f t="shared" si="28"/>
        <v>5.8522727272727275</v>
      </c>
      <c r="BK52" s="258">
        <f t="shared" si="29"/>
        <v>1.6163049659172704</v>
      </c>
      <c r="BL52" s="257">
        <f t="shared" si="85"/>
        <v>100</v>
      </c>
      <c r="BM52" s="257">
        <f>+IF($R52&gt;K$8,"FIN",(BL52-SUM(BN$25:BN51))*VLOOKUP($R52,$A:$Q,11,0)/VLOOKUP(K$15,$M$1:$O$4,2,0))</f>
        <v>1.0340909090909089</v>
      </c>
      <c r="BN52" s="257">
        <f t="shared" si="61"/>
        <v>4.5454545454545459</v>
      </c>
      <c r="BO52" s="257">
        <f t="shared" si="62"/>
        <v>5.579545454545455</v>
      </c>
      <c r="BP52" s="258">
        <f t="shared" si="30"/>
        <v>1.5409820160492811</v>
      </c>
      <c r="BQ52" s="257">
        <f t="shared" si="81"/>
        <v>100</v>
      </c>
      <c r="BR52" s="257">
        <f>+IF($R52&gt;L$8,"FIN",(BQ52-SUM(BS$25:BS51))*VLOOKUP($R52,$A:$Q,12,0)/VLOOKUP(L$15,$M$1:$O$4,2,0))</f>
        <v>1.2666666666666666</v>
      </c>
      <c r="BS52" s="257">
        <f t="shared" si="31"/>
        <v>3.3333333333333335</v>
      </c>
      <c r="BT52" s="257">
        <f t="shared" si="32"/>
        <v>4.5999999999999996</v>
      </c>
      <c r="BU52" s="258">
        <f t="shared" si="33"/>
        <v>1.2704470877734193</v>
      </c>
      <c r="BV52" s="257">
        <f t="shared" si="82"/>
        <v>100</v>
      </c>
      <c r="BW52" s="257">
        <f>+IF($R52&gt;M$8,"FIN",(BV52-SUM(BX$25:BX51))*VLOOKUP($R52,$A:$Q,13,0)/VLOOKUP(M$15,$M$1:$O$4,2,0))</f>
        <v>1.1333333333333333</v>
      </c>
      <c r="BX52" s="257">
        <f t="shared" si="34"/>
        <v>3.3333333333333335</v>
      </c>
      <c r="BY52" s="257">
        <f t="shared" si="65"/>
        <v>4.4666666666666668</v>
      </c>
      <c r="BZ52" s="258">
        <f t="shared" si="35"/>
        <v>1.2336225345046248</v>
      </c>
      <c r="CA52" s="257">
        <f t="shared" si="83"/>
        <v>99</v>
      </c>
      <c r="CB52" s="257">
        <f>+IF($R52&gt;N$8,"FIN",(CA52-SUM(CC$25:CC51))*VLOOKUP($R52,$A:$Q,14,0)/VLOOKUP(N$15,$M$1:$O$4,2,0))</f>
        <v>1.8975000000000002</v>
      </c>
      <c r="CC52" s="257">
        <f t="shared" si="36"/>
        <v>2.75</v>
      </c>
      <c r="CD52" s="257">
        <f t="shared" si="67"/>
        <v>4.6475</v>
      </c>
      <c r="CE52" s="258">
        <f t="shared" si="38"/>
        <v>1.2835658348754275</v>
      </c>
      <c r="CF52" s="257">
        <f t="shared" si="84"/>
        <v>99</v>
      </c>
      <c r="CG52" s="257">
        <f>+IF($R52&gt;O$8,"FIN",(CF52-SUM(CH$25:CH51))*VLOOKUP($R52,$A:$Q,15,0)/VLOOKUP(O$15,$M$1:$O$4,2,0))</f>
        <v>1.5675000000000001</v>
      </c>
      <c r="CH52" s="257">
        <f t="shared" si="39"/>
        <v>2.75</v>
      </c>
      <c r="CI52" s="257">
        <f t="shared" si="69"/>
        <v>4.3174999999999999</v>
      </c>
      <c r="CJ52" s="258">
        <f t="shared" si="40"/>
        <v>1.1924250655351605</v>
      </c>
      <c r="CK52" s="257"/>
      <c r="CL52" s="257"/>
      <c r="CM52" s="257"/>
      <c r="CN52" s="257"/>
      <c r="CO52" s="258"/>
      <c r="CP52" s="4"/>
      <c r="CQ52"/>
      <c r="CR52"/>
      <c r="CS52"/>
    </row>
    <row r="53" spans="1:97" ht="15" x14ac:dyDescent="0.25">
      <c r="A53" s="27">
        <f t="shared" si="43"/>
        <v>49140</v>
      </c>
      <c r="B53" s="256"/>
      <c r="C53" s="256"/>
      <c r="D53" s="256"/>
      <c r="E53" s="256"/>
      <c r="F53" s="256"/>
      <c r="G53" s="256"/>
      <c r="H53" s="256">
        <v>5.7500000000000002E-2</v>
      </c>
      <c r="I53" s="256">
        <v>4.7500000000000001E-2</v>
      </c>
      <c r="J53" s="256">
        <v>5.7500000000000002E-2</v>
      </c>
      <c r="K53" s="256">
        <v>4.5499999999999999E-2</v>
      </c>
      <c r="L53" s="256">
        <v>4.7500000000000001E-2</v>
      </c>
      <c r="M53" s="256">
        <v>4.2500000000000003E-2</v>
      </c>
      <c r="N53" s="256">
        <v>5.7500000000000002E-2</v>
      </c>
      <c r="O53" s="286">
        <v>4.7500000000000001E-2</v>
      </c>
      <c r="P53" s="259"/>
      <c r="Q53" s="2">
        <f t="shared" si="44"/>
        <v>2034</v>
      </c>
      <c r="R53" s="27">
        <f t="shared" si="45"/>
        <v>49140</v>
      </c>
      <c r="S53" s="257"/>
      <c r="T53" s="257"/>
      <c r="U53" s="257"/>
      <c r="V53" s="257"/>
      <c r="W53" s="258"/>
      <c r="X53" s="257"/>
      <c r="Y53" s="257"/>
      <c r="Z53" s="257"/>
      <c r="AA53" s="257"/>
      <c r="AB53" s="258"/>
      <c r="AC53" s="257"/>
      <c r="AD53" s="257"/>
      <c r="AE53" s="257"/>
      <c r="AF53" s="257"/>
      <c r="AG53" s="258"/>
      <c r="AH53" s="257"/>
      <c r="AI53" s="257"/>
      <c r="AJ53" s="257"/>
      <c r="AK53" s="257"/>
      <c r="AL53" s="258"/>
      <c r="AM53" s="257"/>
      <c r="AN53" s="257"/>
      <c r="AO53" s="257"/>
      <c r="AP53" s="257"/>
      <c r="AQ53" s="258"/>
      <c r="AR53" s="257"/>
      <c r="AS53" s="257"/>
      <c r="AT53" s="257"/>
      <c r="AU53" s="257"/>
      <c r="AV53" s="258"/>
      <c r="AW53" s="257">
        <f t="shared" si="77"/>
        <v>99</v>
      </c>
      <c r="AX53" s="257">
        <f>+IF($R53&gt;H$8,"FIN",(AW53-SUM(AY$25:AY52))*VLOOKUP($R53,$A:$Q,8,0)/VLOOKUP(H$15,$M$1:$O$4,2,0))</f>
        <v>2.3718750000000002</v>
      </c>
      <c r="AY53" s="257">
        <f t="shared" si="23"/>
        <v>16.5</v>
      </c>
      <c r="AZ53" s="257">
        <f t="shared" si="24"/>
        <v>18.871874999999999</v>
      </c>
      <c r="BA53" s="258">
        <f t="shared" si="25"/>
        <v>4.9695545148575482</v>
      </c>
      <c r="BB53" s="257">
        <f t="shared" si="78"/>
        <v>99</v>
      </c>
      <c r="BC53" s="257">
        <f>+IF($R53&gt;I$8,"FIN",(BB53-SUM(BD$25:BD52))*VLOOKUP($R53,$A:$Q,9,0)/VLOOKUP(I$15,$M$1:$O$4,2,0))</f>
        <v>1.9593750000000001</v>
      </c>
      <c r="BD53" s="257">
        <f t="shared" si="26"/>
        <v>16.5</v>
      </c>
      <c r="BE53" s="257">
        <f t="shared" si="57"/>
        <v>18.459375000000001</v>
      </c>
      <c r="BF53" s="258">
        <f t="shared" si="27"/>
        <v>4.8609303724562913</v>
      </c>
      <c r="BG53" s="257">
        <f t="shared" si="79"/>
        <v>100</v>
      </c>
      <c r="BH53" s="257">
        <f>+IF($R53&gt;J$8,"FIN",(BG53-SUM(BI$25:BI52))*VLOOKUP($R53,$A:$Q,10,0)/VLOOKUP(J$15,$M$1:$O$4,2,0))</f>
        <v>1.1761363636363633</v>
      </c>
      <c r="BI53" s="257">
        <f t="shared" si="59"/>
        <v>4.5454545454545459</v>
      </c>
      <c r="BJ53" s="257">
        <f t="shared" si="28"/>
        <v>5.7215909090909092</v>
      </c>
      <c r="BK53" s="258">
        <f t="shared" si="29"/>
        <v>1.5066737107171722</v>
      </c>
      <c r="BL53" s="257">
        <f t="shared" si="85"/>
        <v>100</v>
      </c>
      <c r="BM53" s="257">
        <f>+IF($R53&gt;K$8,"FIN",(BL53-SUM(BN$25:BN52))*VLOOKUP($R53,$A:$Q,11,0)/VLOOKUP(K$15,$M$1:$O$4,2,0))</f>
        <v>0.93068181818181794</v>
      </c>
      <c r="BN53" s="257">
        <f t="shared" si="61"/>
        <v>4.5454545454545459</v>
      </c>
      <c r="BO53" s="257">
        <f t="shared" si="62"/>
        <v>5.476136363636364</v>
      </c>
      <c r="BP53" s="258">
        <f t="shared" si="30"/>
        <v>1.4420378573874981</v>
      </c>
      <c r="BQ53" s="257">
        <f t="shared" si="81"/>
        <v>100</v>
      </c>
      <c r="BR53" s="257">
        <f>+IF($R53&gt;L$8,"FIN",(BQ53-SUM(BS$25:BS52))*VLOOKUP($R53,$A:$Q,12,0)/VLOOKUP(L$15,$M$1:$O$4,2,0))</f>
        <v>1.1874999999999998</v>
      </c>
      <c r="BS53" s="257">
        <f t="shared" si="31"/>
        <v>3.3333333333333335</v>
      </c>
      <c r="BT53" s="257">
        <f t="shared" si="32"/>
        <v>4.520833333333333</v>
      </c>
      <c r="BU53" s="258">
        <f t="shared" si="33"/>
        <v>1.1904767121754021</v>
      </c>
      <c r="BV53" s="257">
        <f t="shared" si="82"/>
        <v>100</v>
      </c>
      <c r="BW53" s="257">
        <f>+IF($R53&gt;M$8,"FIN",(BV53-SUM(BX$25:BX52))*VLOOKUP($R53,$A:$Q,13,0)/VLOOKUP(M$15,$M$1:$O$4,2,0))</f>
        <v>1.0625</v>
      </c>
      <c r="BX53" s="257">
        <f t="shared" si="34"/>
        <v>3.3333333333333335</v>
      </c>
      <c r="BY53" s="257">
        <f t="shared" si="65"/>
        <v>4.3958333333333339</v>
      </c>
      <c r="BZ53" s="258">
        <f t="shared" si="35"/>
        <v>1.1575603053871424</v>
      </c>
      <c r="CA53" s="257">
        <f t="shared" si="83"/>
        <v>99</v>
      </c>
      <c r="CB53" s="257">
        <f>+IF($R53&gt;N$8,"FIN",(CA53-SUM(CC$25:CC52))*VLOOKUP($R53,$A:$Q,14,0)/VLOOKUP(N$15,$M$1:$O$4,2,0))</f>
        <v>1.8184375000000002</v>
      </c>
      <c r="CC53" s="257">
        <f t="shared" si="36"/>
        <v>2.75</v>
      </c>
      <c r="CD53" s="257">
        <f t="shared" si="67"/>
        <v>4.5684374999999999</v>
      </c>
      <c r="CE53" s="258">
        <f t="shared" si="38"/>
        <v>1.2030123770939312</v>
      </c>
      <c r="CF53" s="257">
        <f t="shared" si="84"/>
        <v>99</v>
      </c>
      <c r="CG53" s="257">
        <f>+IF($R53&gt;O$8,"FIN",(CF53-SUM(CH$25:CH52))*VLOOKUP($R53,$A:$Q,15,0)/VLOOKUP(O$15,$M$1:$O$4,2,0))</f>
        <v>1.5021875</v>
      </c>
      <c r="CH53" s="257">
        <f t="shared" si="39"/>
        <v>2.75</v>
      </c>
      <c r="CI53" s="257">
        <f t="shared" si="69"/>
        <v>4.2521874999999998</v>
      </c>
      <c r="CJ53" s="258">
        <f t="shared" si="40"/>
        <v>1.1197338679196334</v>
      </c>
      <c r="CK53" s="257"/>
      <c r="CL53" s="257"/>
      <c r="CM53" s="257"/>
      <c r="CN53" s="257"/>
      <c r="CO53" s="258"/>
      <c r="CP53" s="4"/>
      <c r="CQ53"/>
      <c r="CR53"/>
      <c r="CS53"/>
    </row>
    <row r="54" spans="1:97" ht="15" x14ac:dyDescent="0.25">
      <c r="A54" s="27">
        <f t="shared" si="43"/>
        <v>49324</v>
      </c>
      <c r="B54" s="256"/>
      <c r="C54" s="256"/>
      <c r="D54" s="256"/>
      <c r="E54" s="256"/>
      <c r="F54" s="256"/>
      <c r="G54" s="256"/>
      <c r="H54" s="256">
        <v>5.7500000000000002E-2</v>
      </c>
      <c r="I54" s="256">
        <v>4.7500000000000001E-2</v>
      </c>
      <c r="J54" s="256">
        <v>5.7500000000000002E-2</v>
      </c>
      <c r="K54" s="256">
        <v>4.5499999999999999E-2</v>
      </c>
      <c r="L54" s="256">
        <v>4.7500000000000001E-2</v>
      </c>
      <c r="M54" s="256">
        <v>4.2500000000000003E-2</v>
      </c>
      <c r="N54" s="256">
        <v>5.7500000000000002E-2</v>
      </c>
      <c r="O54" s="286">
        <v>4.7500000000000001E-2</v>
      </c>
      <c r="P54" s="259"/>
      <c r="Q54" s="2">
        <f t="shared" si="44"/>
        <v>2035</v>
      </c>
      <c r="R54" s="27">
        <f t="shared" si="45"/>
        <v>49324</v>
      </c>
      <c r="S54" s="257"/>
      <c r="T54" s="257"/>
      <c r="U54" s="257"/>
      <c r="V54" s="257"/>
      <c r="W54" s="258"/>
      <c r="X54" s="257"/>
      <c r="Y54" s="257"/>
      <c r="Z54" s="257"/>
      <c r="AA54" s="257"/>
      <c r="AB54" s="258"/>
      <c r="AC54" s="257"/>
      <c r="AD54" s="257"/>
      <c r="AE54" s="257"/>
      <c r="AF54" s="257"/>
      <c r="AG54" s="258"/>
      <c r="AH54" s="257"/>
      <c r="AI54" s="257"/>
      <c r="AJ54" s="257"/>
      <c r="AK54" s="257"/>
      <c r="AL54" s="258"/>
      <c r="AM54" s="257"/>
      <c r="AN54" s="257"/>
      <c r="AO54" s="257"/>
      <c r="AP54" s="257"/>
      <c r="AQ54" s="258"/>
      <c r="AR54" s="257"/>
      <c r="AS54" s="257"/>
      <c r="AT54" s="257"/>
      <c r="AU54" s="257"/>
      <c r="AV54" s="258"/>
      <c r="AW54" s="257">
        <f t="shared" si="77"/>
        <v>99</v>
      </c>
      <c r="AX54" s="257">
        <f>+IF($R54&gt;H$8,"FIN",(AW54-SUM(AY$25:AY53))*VLOOKUP($R54,$A:$Q,8,0)/VLOOKUP(H$15,$M$1:$O$4,2,0))</f>
        <v>1.8975000000000002</v>
      </c>
      <c r="AY54" s="257">
        <f t="shared" si="23"/>
        <v>16.5</v>
      </c>
      <c r="AZ54" s="257">
        <f t="shared" si="24"/>
        <v>18.397500000000001</v>
      </c>
      <c r="BA54" s="258">
        <f t="shared" si="25"/>
        <v>4.6191799006544434</v>
      </c>
      <c r="BB54" s="257">
        <f t="shared" si="78"/>
        <v>99</v>
      </c>
      <c r="BC54" s="257">
        <f>+IF($R54&gt;I$8,"FIN",(BB54-SUM(BD$25:BD53))*VLOOKUP($R54,$A:$Q,9,0)/VLOOKUP(I$15,$M$1:$O$4,2,0))</f>
        <v>1.5675000000000001</v>
      </c>
      <c r="BD54" s="257">
        <f t="shared" si="26"/>
        <v>16.5</v>
      </c>
      <c r="BE54" s="257">
        <f t="shared" si="57"/>
        <v>18.067499999999999</v>
      </c>
      <c r="BF54" s="258">
        <f t="shared" si="27"/>
        <v>4.536324655799655</v>
      </c>
      <c r="BG54" s="257">
        <f t="shared" si="79"/>
        <v>100</v>
      </c>
      <c r="BH54" s="257">
        <f>+IF($R54&gt;J$8,"FIN",(BG54-SUM(BI$25:BI53))*VLOOKUP($R54,$A:$Q,10,0)/VLOOKUP(J$15,$M$1:$O$4,2,0))</f>
        <v>1.0454545454545452</v>
      </c>
      <c r="BI54" s="257">
        <f t="shared" si="59"/>
        <v>4.5454545454545459</v>
      </c>
      <c r="BJ54" s="257">
        <f t="shared" si="28"/>
        <v>5.5909090909090908</v>
      </c>
      <c r="BK54" s="258">
        <f t="shared" si="29"/>
        <v>1.4037458839034367</v>
      </c>
      <c r="BL54" s="257">
        <f t="shared" si="85"/>
        <v>100</v>
      </c>
      <c r="BM54" s="257">
        <f>+IF($R54&gt;K$8,"FIN",(BL54-SUM(BN$25:BN53))*VLOOKUP($R54,$A:$Q,11,0)/VLOOKUP(K$15,$M$1:$O$4,2,0))</f>
        <v>0.82727272727272705</v>
      </c>
      <c r="BN54" s="257">
        <f t="shared" si="61"/>
        <v>4.5454545454545459</v>
      </c>
      <c r="BO54" s="257">
        <f t="shared" si="62"/>
        <v>5.372727272727273</v>
      </c>
      <c r="BP54" s="258">
        <f t="shared" si="30"/>
        <v>1.3489655567267174</v>
      </c>
      <c r="BQ54" s="257">
        <f t="shared" si="81"/>
        <v>100</v>
      </c>
      <c r="BR54" s="257">
        <f>+IF($R54&gt;L$8,"FIN",(BQ54-SUM(BS$25:BS53))*VLOOKUP($R54,$A:$Q,12,0)/VLOOKUP(L$15,$M$1:$O$4,2,0))</f>
        <v>1.1083333333333332</v>
      </c>
      <c r="BS54" s="257">
        <f t="shared" si="31"/>
        <v>3.3333333333333335</v>
      </c>
      <c r="BT54" s="257">
        <f t="shared" si="32"/>
        <v>4.4416666666666664</v>
      </c>
      <c r="BU54" s="258">
        <f t="shared" si="33"/>
        <v>1.1151981188788413</v>
      </c>
      <c r="BV54" s="257">
        <f t="shared" si="82"/>
        <v>100</v>
      </c>
      <c r="BW54" s="257">
        <f>+IF($R54&gt;M$8,"FIN",(BV54-SUM(BX$25:BX53))*VLOOKUP($R54,$A:$Q,13,0)/VLOOKUP(M$15,$M$1:$O$4,2,0))</f>
        <v>0.99166666666666659</v>
      </c>
      <c r="BX54" s="257">
        <f t="shared" si="34"/>
        <v>3.3333333333333335</v>
      </c>
      <c r="BY54" s="257">
        <f t="shared" si="65"/>
        <v>4.3250000000000002</v>
      </c>
      <c r="BZ54" s="258">
        <f t="shared" si="35"/>
        <v>1.0859058605968457</v>
      </c>
      <c r="CA54" s="257">
        <f t="shared" si="83"/>
        <v>99</v>
      </c>
      <c r="CB54" s="257">
        <f>+IF($R54&gt;N$8,"FIN",(CA54-SUM(CC$25:CC53))*VLOOKUP($R54,$A:$Q,14,0)/VLOOKUP(N$15,$M$1:$O$4,2,0))</f>
        <v>1.7393750000000001</v>
      </c>
      <c r="CC54" s="257">
        <f t="shared" si="36"/>
        <v>2.75</v>
      </c>
      <c r="CD54" s="257">
        <f t="shared" si="67"/>
        <v>4.4893749999999999</v>
      </c>
      <c r="CE54" s="258">
        <f t="shared" si="38"/>
        <v>1.1271765602120147</v>
      </c>
      <c r="CF54" s="257">
        <f t="shared" si="84"/>
        <v>99</v>
      </c>
      <c r="CG54" s="257">
        <f>+IF($R54&gt;O$8,"FIN",(CF54-SUM(CH$25:CH53))*VLOOKUP($R54,$A:$Q,15,0)/VLOOKUP(O$15,$M$1:$O$4,2,0))</f>
        <v>1.4368750000000001</v>
      </c>
      <c r="CH54" s="257">
        <f t="shared" si="39"/>
        <v>2.75</v>
      </c>
      <c r="CI54" s="257">
        <f t="shared" si="69"/>
        <v>4.1868750000000006</v>
      </c>
      <c r="CJ54" s="258">
        <f t="shared" si="40"/>
        <v>1.0512259190951256</v>
      </c>
      <c r="CK54" s="257"/>
      <c r="CL54" s="257"/>
      <c r="CM54" s="257"/>
      <c r="CN54" s="257"/>
      <c r="CO54" s="258"/>
      <c r="CP54" s="4"/>
      <c r="CQ54"/>
      <c r="CR54"/>
      <c r="CS54"/>
    </row>
    <row r="55" spans="1:97" ht="15" x14ac:dyDescent="0.25">
      <c r="A55" s="27">
        <f t="shared" si="43"/>
        <v>49505</v>
      </c>
      <c r="B55" s="256"/>
      <c r="C55" s="256"/>
      <c r="D55" s="256"/>
      <c r="E55" s="256"/>
      <c r="F55" s="256"/>
      <c r="G55" s="256"/>
      <c r="H55" s="256">
        <v>5.7500000000000002E-2</v>
      </c>
      <c r="I55" s="256">
        <v>4.7500000000000001E-2</v>
      </c>
      <c r="J55" s="256">
        <v>5.7500000000000002E-2</v>
      </c>
      <c r="K55" s="256">
        <v>4.5499999999999999E-2</v>
      </c>
      <c r="L55" s="256">
        <v>4.7500000000000001E-2</v>
      </c>
      <c r="M55" s="256">
        <v>4.2500000000000003E-2</v>
      </c>
      <c r="N55" s="256">
        <v>5.7500000000000002E-2</v>
      </c>
      <c r="O55" s="286">
        <v>4.7500000000000001E-2</v>
      </c>
      <c r="P55" s="259"/>
      <c r="Q55" s="2">
        <f t="shared" si="44"/>
        <v>2035</v>
      </c>
      <c r="R55" s="27">
        <f t="shared" si="45"/>
        <v>49505</v>
      </c>
      <c r="S55" s="257"/>
      <c r="T55" s="257"/>
      <c r="U55" s="257"/>
      <c r="V55" s="257"/>
      <c r="W55" s="258"/>
      <c r="X55" s="257"/>
      <c r="Y55" s="257"/>
      <c r="Z55" s="257"/>
      <c r="AA55" s="257"/>
      <c r="AB55" s="258"/>
      <c r="AC55" s="257"/>
      <c r="AD55" s="257"/>
      <c r="AE55" s="257"/>
      <c r="AF55" s="257"/>
      <c r="AG55" s="258"/>
      <c r="AH55" s="257"/>
      <c r="AI55" s="257"/>
      <c r="AJ55" s="257"/>
      <c r="AK55" s="257"/>
      <c r="AL55" s="258"/>
      <c r="AM55" s="257"/>
      <c r="AN55" s="257"/>
      <c r="AO55" s="257"/>
      <c r="AP55" s="257"/>
      <c r="AQ55" s="258"/>
      <c r="AR55" s="257"/>
      <c r="AS55" s="257"/>
      <c r="AT55" s="257"/>
      <c r="AU55" s="257"/>
      <c r="AV55" s="258"/>
      <c r="AW55" s="257">
        <f t="shared" si="77"/>
        <v>99</v>
      </c>
      <c r="AX55" s="257">
        <f>+IF($R55&gt;H$8,"FIN",(AW55-SUM(AY$25:AY54))*VLOOKUP($R55,$A:$Q,8,0)/VLOOKUP(H$15,$M$1:$O$4,2,0))</f>
        <v>1.423125</v>
      </c>
      <c r="AY55" s="257">
        <f t="shared" si="23"/>
        <v>16.5</v>
      </c>
      <c r="AZ55" s="257">
        <f t="shared" si="24"/>
        <v>17.923124999999999</v>
      </c>
      <c r="BA55" s="258">
        <f t="shared" si="25"/>
        <v>4.2906536248496865</v>
      </c>
      <c r="BB55" s="257">
        <f t="shared" si="78"/>
        <v>99</v>
      </c>
      <c r="BC55" s="257">
        <f>+IF($R55&gt;I$8,"FIN",(BB55-SUM(BD$25:BD54))*VLOOKUP($R55,$A:$Q,9,0)/VLOOKUP(I$15,$M$1:$O$4,2,0))</f>
        <v>1.1756249999999999</v>
      </c>
      <c r="BD55" s="257">
        <f t="shared" si="26"/>
        <v>16.5</v>
      </c>
      <c r="BE55" s="257">
        <f t="shared" si="57"/>
        <v>17.675625</v>
      </c>
      <c r="BF55" s="258">
        <f t="shared" si="27"/>
        <v>4.231404092630819</v>
      </c>
      <c r="BG55" s="257">
        <f t="shared" si="79"/>
        <v>100</v>
      </c>
      <c r="BH55" s="257">
        <f>+IF($R55&gt;J$8,"FIN",(BG55-SUM(BI$25:BI54))*VLOOKUP($R55,$A:$Q,10,0)/VLOOKUP(J$15,$M$1:$O$4,2,0))</f>
        <v>0.91477272727272718</v>
      </c>
      <c r="BI55" s="257">
        <f t="shared" si="59"/>
        <v>4.5454545454545459</v>
      </c>
      <c r="BJ55" s="257">
        <f t="shared" si="28"/>
        <v>5.4602272727272734</v>
      </c>
      <c r="BK55" s="258">
        <f t="shared" si="29"/>
        <v>1.3071349968395798</v>
      </c>
      <c r="BL55" s="257">
        <f t="shared" si="85"/>
        <v>100</v>
      </c>
      <c r="BM55" s="257">
        <f>+IF($R55&gt;K$8,"FIN",(BL55-SUM(BN$25:BN54))*VLOOKUP($R55,$A:$Q,11,0)/VLOOKUP(K$15,$M$1:$O$4,2,0))</f>
        <v>0.72386363636363626</v>
      </c>
      <c r="BN55" s="257">
        <f t="shared" si="61"/>
        <v>4.5454545454545459</v>
      </c>
      <c r="BO55" s="257">
        <f t="shared" si="62"/>
        <v>5.269318181818182</v>
      </c>
      <c r="BP55" s="258">
        <f t="shared" si="30"/>
        <v>1.2614328783236486</v>
      </c>
      <c r="BQ55" s="257">
        <f t="shared" si="81"/>
        <v>100</v>
      </c>
      <c r="BR55" s="257">
        <f>+IF($R55&gt;L$8,"FIN",(BQ55-SUM(BS$25:BS54))*VLOOKUP($R55,$A:$Q,12,0)/VLOOKUP(L$15,$M$1:$O$4,2,0))</f>
        <v>1.0291666666666663</v>
      </c>
      <c r="BS55" s="257">
        <f t="shared" si="31"/>
        <v>3.3333333333333335</v>
      </c>
      <c r="BT55" s="257">
        <f t="shared" si="32"/>
        <v>4.3624999999999998</v>
      </c>
      <c r="BU55" s="258">
        <f t="shared" si="33"/>
        <v>1.0443478153729753</v>
      </c>
      <c r="BV55" s="257">
        <f t="shared" si="82"/>
        <v>100</v>
      </c>
      <c r="BW55" s="257">
        <f>+IF($R55&gt;M$8,"FIN",(BV55-SUM(BX$25:BX54))*VLOOKUP($R55,$A:$Q,13,0)/VLOOKUP(M$15,$M$1:$O$4,2,0))</f>
        <v>0.92083333333333317</v>
      </c>
      <c r="BX55" s="257">
        <f t="shared" si="34"/>
        <v>3.3333333333333335</v>
      </c>
      <c r="BY55" s="257">
        <f t="shared" si="65"/>
        <v>4.2541666666666664</v>
      </c>
      <c r="BZ55" s="258">
        <f t="shared" si="35"/>
        <v>1.0184136766913159</v>
      </c>
      <c r="CA55" s="257">
        <f t="shared" si="83"/>
        <v>99</v>
      </c>
      <c r="CB55" s="257">
        <f>+IF($R55&gt;N$8,"FIN",(CA55-SUM(CC$25:CC54))*VLOOKUP($R55,$A:$Q,14,0)/VLOOKUP(N$15,$M$1:$O$4,2,0))</f>
        <v>1.6603125000000001</v>
      </c>
      <c r="CC55" s="257">
        <f t="shared" si="36"/>
        <v>2.75</v>
      </c>
      <c r="CD55" s="257">
        <f t="shared" si="67"/>
        <v>4.4103124999999999</v>
      </c>
      <c r="CE55" s="258">
        <f t="shared" si="38"/>
        <v>1.0557937477334385</v>
      </c>
      <c r="CF55" s="257">
        <f t="shared" si="84"/>
        <v>99</v>
      </c>
      <c r="CG55" s="257">
        <f>+IF($R55&gt;O$8,"FIN",(CF55-SUM(CH$25:CH54))*VLOOKUP($R55,$A:$Q,15,0)/VLOOKUP(O$15,$M$1:$O$4,2,0))</f>
        <v>1.3715625</v>
      </c>
      <c r="CH55" s="257">
        <f t="shared" si="39"/>
        <v>2.75</v>
      </c>
      <c r="CI55" s="257">
        <f t="shared" si="69"/>
        <v>4.1215624999999996</v>
      </c>
      <c r="CJ55" s="258">
        <f t="shared" si="40"/>
        <v>0.9866692934780924</v>
      </c>
      <c r="CK55" s="257"/>
      <c r="CL55" s="257"/>
      <c r="CM55" s="257"/>
      <c r="CN55" s="257"/>
      <c r="CO55" s="258"/>
      <c r="CP55" s="4"/>
      <c r="CQ55"/>
      <c r="CR55"/>
      <c r="CS55"/>
    </row>
    <row r="56" spans="1:97" ht="15" x14ac:dyDescent="0.25">
      <c r="A56" s="27">
        <f t="shared" si="43"/>
        <v>49689</v>
      </c>
      <c r="B56" s="256"/>
      <c r="C56" s="256"/>
      <c r="D56" s="256"/>
      <c r="E56" s="256"/>
      <c r="F56" s="256"/>
      <c r="G56" s="256"/>
      <c r="H56" s="256">
        <v>5.7500000000000002E-2</v>
      </c>
      <c r="I56" s="256">
        <v>4.7500000000000001E-2</v>
      </c>
      <c r="J56" s="256">
        <v>5.7500000000000002E-2</v>
      </c>
      <c r="K56" s="256">
        <v>4.5499999999999999E-2</v>
      </c>
      <c r="L56" s="256">
        <v>4.7500000000000001E-2</v>
      </c>
      <c r="M56" s="256">
        <v>4.2500000000000003E-2</v>
      </c>
      <c r="N56" s="256">
        <v>5.7500000000000002E-2</v>
      </c>
      <c r="O56" s="286">
        <v>4.7500000000000001E-2</v>
      </c>
      <c r="P56" s="259"/>
      <c r="Q56" s="2">
        <f t="shared" si="44"/>
        <v>2036</v>
      </c>
      <c r="R56" s="27">
        <f t="shared" si="45"/>
        <v>49689</v>
      </c>
      <c r="S56" s="257"/>
      <c r="T56" s="257"/>
      <c r="U56" s="257"/>
      <c r="V56" s="257"/>
      <c r="W56" s="258"/>
      <c r="X56" s="257"/>
      <c r="Y56" s="257"/>
      <c r="Z56" s="257"/>
      <c r="AA56" s="257"/>
      <c r="AB56" s="258"/>
      <c r="AC56" s="257"/>
      <c r="AD56" s="257"/>
      <c r="AE56" s="257"/>
      <c r="AF56" s="257"/>
      <c r="AG56" s="258"/>
      <c r="AH56" s="257"/>
      <c r="AI56" s="257"/>
      <c r="AJ56" s="257"/>
      <c r="AK56" s="257"/>
      <c r="AL56" s="258"/>
      <c r="AM56" s="257"/>
      <c r="AN56" s="257"/>
      <c r="AO56" s="257"/>
      <c r="AP56" s="257"/>
      <c r="AQ56" s="258"/>
      <c r="AR56" s="257"/>
      <c r="AS56" s="257"/>
      <c r="AT56" s="257"/>
      <c r="AU56" s="257"/>
      <c r="AV56" s="258"/>
      <c r="AW56" s="257">
        <f t="shared" si="77"/>
        <v>99</v>
      </c>
      <c r="AX56" s="257">
        <f>+IF($R56&gt;H$8,"FIN",(AW56-SUM(AY$25:AY55))*VLOOKUP($R56,$A:$Q,8,0)/VLOOKUP(H$15,$M$1:$O$4,2,0))</f>
        <v>0.94875000000000009</v>
      </c>
      <c r="AY56" s="257">
        <f t="shared" si="23"/>
        <v>16.5</v>
      </c>
      <c r="AZ56" s="257">
        <f t="shared" si="24"/>
        <v>17.44875</v>
      </c>
      <c r="BA56" s="258">
        <f t="shared" si="25"/>
        <v>3.9827009742699335</v>
      </c>
      <c r="BB56" s="257">
        <f t="shared" si="78"/>
        <v>99</v>
      </c>
      <c r="BC56" s="257">
        <f>+IF($R56&gt;I$8,"FIN",(BB56-SUM(BD$25:BD55))*VLOOKUP($R56,$A:$Q,9,0)/VLOOKUP(I$15,$M$1:$O$4,2,0))</f>
        <v>0.78375000000000006</v>
      </c>
      <c r="BD56" s="257">
        <f t="shared" si="26"/>
        <v>16.5</v>
      </c>
      <c r="BE56" s="257">
        <f t="shared" si="57"/>
        <v>17.283750000000001</v>
      </c>
      <c r="BF56" s="258">
        <f t="shared" si="27"/>
        <v>3.9450394993359392</v>
      </c>
      <c r="BG56" s="257">
        <f t="shared" si="79"/>
        <v>100</v>
      </c>
      <c r="BH56" s="257">
        <f>+IF($R56&gt;J$8,"FIN",(BG56-SUM(BI$25:BI55))*VLOOKUP($R56,$A:$Q,10,0)/VLOOKUP(J$15,$M$1:$O$4,2,0))</f>
        <v>0.78409090909090895</v>
      </c>
      <c r="BI56" s="257">
        <f t="shared" si="59"/>
        <v>4.5454545454545459</v>
      </c>
      <c r="BJ56" s="257">
        <f t="shared" si="28"/>
        <v>5.329545454545455</v>
      </c>
      <c r="BK56" s="258">
        <f t="shared" si="29"/>
        <v>1.2164760154299923</v>
      </c>
      <c r="BL56" s="257">
        <f t="shared" si="85"/>
        <v>100</v>
      </c>
      <c r="BM56" s="257">
        <f>+IF($R56&gt;K$8,"FIN",(BL56-SUM(BN$25:BN55))*VLOOKUP($R56,$A:$Q,11,0)/VLOOKUP(K$15,$M$1:$O$4,2,0))</f>
        <v>0.62045454545454526</v>
      </c>
      <c r="BN56" s="257">
        <f t="shared" si="61"/>
        <v>4.5454545454545459</v>
      </c>
      <c r="BO56" s="257">
        <f t="shared" si="62"/>
        <v>5.165909090909091</v>
      </c>
      <c r="BP56" s="258">
        <f t="shared" si="30"/>
        <v>1.1791257923549563</v>
      </c>
      <c r="BQ56" s="257">
        <f t="shared" si="81"/>
        <v>100</v>
      </c>
      <c r="BR56" s="257">
        <f>+IF($R56&gt;L$8,"FIN",(BQ56-SUM(BS$25:BS55))*VLOOKUP($R56,$A:$Q,12,0)/VLOOKUP(L$15,$M$1:$O$4,2,0))</f>
        <v>0.94999999999999962</v>
      </c>
      <c r="BS56" s="257">
        <f t="shared" si="31"/>
        <v>3.3333333333333335</v>
      </c>
      <c r="BT56" s="257">
        <f t="shared" si="32"/>
        <v>4.2833333333333332</v>
      </c>
      <c r="BU56" s="258">
        <f t="shared" si="33"/>
        <v>0.97767667252895185</v>
      </c>
      <c r="BV56" s="257">
        <f t="shared" si="82"/>
        <v>100</v>
      </c>
      <c r="BW56" s="257">
        <f>+IF($R56&gt;M$8,"FIN",(BV56-SUM(BX$25:BX55))*VLOOKUP($R56,$A:$Q,13,0)/VLOOKUP(M$15,$M$1:$O$4,2,0))</f>
        <v>0.84999999999999976</v>
      </c>
      <c r="BX56" s="257">
        <f t="shared" si="34"/>
        <v>3.3333333333333335</v>
      </c>
      <c r="BY56" s="257">
        <f t="shared" si="65"/>
        <v>4.1833333333333336</v>
      </c>
      <c r="BZ56" s="258">
        <f t="shared" si="35"/>
        <v>0.95485153620531882</v>
      </c>
      <c r="CA56" s="257">
        <f t="shared" si="83"/>
        <v>99</v>
      </c>
      <c r="CB56" s="257">
        <f>+IF($R56&gt;N$8,"FIN",(CA56-SUM(CC$25:CC55))*VLOOKUP($R56,$A:$Q,14,0)/VLOOKUP(N$15,$M$1:$O$4,2,0))</f>
        <v>1.58125</v>
      </c>
      <c r="CC56" s="257">
        <f t="shared" si="36"/>
        <v>2.75</v>
      </c>
      <c r="CD56" s="257">
        <f t="shared" si="67"/>
        <v>4.3312499999999998</v>
      </c>
      <c r="CE56" s="258">
        <f t="shared" si="38"/>
        <v>0.98861371701735934</v>
      </c>
      <c r="CF56" s="257">
        <f t="shared" si="84"/>
        <v>99</v>
      </c>
      <c r="CG56" s="257">
        <f>+IF($R56&gt;O$8,"FIN",(CF56-SUM(CH$25:CH55))*VLOOKUP($R56,$A:$Q,15,0)/VLOOKUP(O$15,$M$1:$O$4,2,0))</f>
        <v>1.3062499999999999</v>
      </c>
      <c r="CH56" s="257">
        <f t="shared" si="39"/>
        <v>2.75</v>
      </c>
      <c r="CI56" s="257">
        <f t="shared" si="69"/>
        <v>4.0562500000000004</v>
      </c>
      <c r="CJ56" s="258">
        <f t="shared" si="40"/>
        <v>0.92584459212736836</v>
      </c>
      <c r="CK56" s="257"/>
      <c r="CL56" s="257"/>
      <c r="CM56" s="257"/>
      <c r="CN56" s="257"/>
      <c r="CO56" s="258"/>
      <c r="CP56" s="4"/>
      <c r="CQ56"/>
      <c r="CR56"/>
      <c r="CS56"/>
    </row>
    <row r="57" spans="1:97" ht="15" x14ac:dyDescent="0.25">
      <c r="A57" s="27">
        <f t="shared" si="43"/>
        <v>49871</v>
      </c>
      <c r="B57" s="256"/>
      <c r="C57" s="256"/>
      <c r="D57" s="256"/>
      <c r="E57" s="256"/>
      <c r="F57" s="256"/>
      <c r="G57" s="256"/>
      <c r="H57" s="256">
        <v>5.7500000000000002E-2</v>
      </c>
      <c r="I57" s="256">
        <v>4.7500000000000001E-2</v>
      </c>
      <c r="J57" s="256">
        <v>5.7500000000000002E-2</v>
      </c>
      <c r="K57" s="256">
        <v>4.5499999999999999E-2</v>
      </c>
      <c r="L57" s="256">
        <v>4.7500000000000001E-2</v>
      </c>
      <c r="M57" s="256">
        <v>4.2500000000000003E-2</v>
      </c>
      <c r="N57" s="256">
        <v>5.7500000000000002E-2</v>
      </c>
      <c r="O57" s="286">
        <v>4.7500000000000001E-2</v>
      </c>
      <c r="P57" s="259"/>
      <c r="Q57" s="2">
        <f t="shared" si="44"/>
        <v>2036</v>
      </c>
      <c r="R57" s="27">
        <f t="shared" si="45"/>
        <v>49871</v>
      </c>
      <c r="S57" s="261"/>
      <c r="T57" s="257"/>
      <c r="U57" s="257"/>
      <c r="V57" s="257"/>
      <c r="W57" s="258"/>
      <c r="X57" s="261"/>
      <c r="Y57" s="257"/>
      <c r="Z57" s="257"/>
      <c r="AA57" s="257"/>
      <c r="AB57" s="258"/>
      <c r="AC57" s="261"/>
      <c r="AD57" s="257"/>
      <c r="AE57" s="257"/>
      <c r="AF57" s="257"/>
      <c r="AG57" s="258"/>
      <c r="AH57" s="261"/>
      <c r="AI57" s="257"/>
      <c r="AJ57" s="257"/>
      <c r="AK57" s="257"/>
      <c r="AL57" s="258"/>
      <c r="AM57" s="257"/>
      <c r="AN57" s="257"/>
      <c r="AO57" s="257"/>
      <c r="AP57" s="257"/>
      <c r="AQ57" s="258"/>
      <c r="AR57" s="257"/>
      <c r="AS57" s="257"/>
      <c r="AT57" s="257"/>
      <c r="AU57" s="257"/>
      <c r="AV57" s="258"/>
      <c r="AW57" s="257">
        <f t="shared" si="77"/>
        <v>99</v>
      </c>
      <c r="AX57" s="257">
        <f>+IF($R57&gt;H$8,"FIN",(AW57-SUM(AY$25:AY56))*VLOOKUP($R57,$A:$Q,8,0)/VLOOKUP(H$15,$M$1:$O$4,2,0))</f>
        <v>0.47437500000000005</v>
      </c>
      <c r="AY57" s="257">
        <f t="shared" si="23"/>
        <v>16.5</v>
      </c>
      <c r="AZ57" s="257">
        <f t="shared" si="24"/>
        <v>16.974374999999998</v>
      </c>
      <c r="BA57" s="258">
        <f t="shared" si="25"/>
        <v>3.6941185618279024</v>
      </c>
      <c r="BB57" s="257">
        <f t="shared" si="78"/>
        <v>99</v>
      </c>
      <c r="BC57" s="257">
        <f>+IF($R57&gt;I$8,"FIN",(BB57-SUM(BD$25:BD56))*VLOOKUP($R57,$A:$Q,9,0)/VLOOKUP(I$15,$M$1:$O$4,2,0))</f>
        <v>0.39187500000000003</v>
      </c>
      <c r="BD57" s="257">
        <f t="shared" si="26"/>
        <v>16.5</v>
      </c>
      <c r="BE57" s="257">
        <f t="shared" si="57"/>
        <v>16.891874999999999</v>
      </c>
      <c r="BF57" s="258">
        <f t="shared" si="27"/>
        <v>3.6761641581252151</v>
      </c>
      <c r="BG57" s="257">
        <f t="shared" si="79"/>
        <v>100</v>
      </c>
      <c r="BH57" s="257">
        <f>+IF($R57&gt;J$8,"FIN",(BG57-SUM(BI$25:BI56))*VLOOKUP($R57,$A:$Q,10,0)/VLOOKUP(J$15,$M$1:$O$4,2,0))</f>
        <v>0.65340909090909072</v>
      </c>
      <c r="BI57" s="257">
        <f t="shared" si="59"/>
        <v>4.5454545454545459</v>
      </c>
      <c r="BJ57" s="257">
        <f t="shared" si="28"/>
        <v>5.1988636363636367</v>
      </c>
      <c r="BK57" s="258">
        <f t="shared" si="29"/>
        <v>1.1314242002726473</v>
      </c>
      <c r="BL57" s="257">
        <f t="shared" si="85"/>
        <v>100</v>
      </c>
      <c r="BM57" s="257">
        <f>+IF($R57&gt;K$8,"FIN",(BL57-SUM(BN$25:BN56))*VLOOKUP($R57,$A:$Q,11,0)/VLOOKUP(K$15,$M$1:$O$4,2,0))</f>
        <v>0.51704545454545436</v>
      </c>
      <c r="BN57" s="257">
        <f t="shared" si="61"/>
        <v>4.5454545454545459</v>
      </c>
      <c r="BO57" s="257">
        <f t="shared" si="62"/>
        <v>5.0625</v>
      </c>
      <c r="BP57" s="258">
        <f t="shared" si="30"/>
        <v>1.1017474999376269</v>
      </c>
      <c r="BQ57" s="257">
        <f t="shared" si="81"/>
        <v>100</v>
      </c>
      <c r="BR57" s="257">
        <f>+IF($R57&gt;L$8,"FIN",(BQ57-SUM(BS$25:BS56))*VLOOKUP($R57,$A:$Q,12,0)/VLOOKUP(L$15,$M$1:$O$4,2,0))</f>
        <v>0.8708333333333329</v>
      </c>
      <c r="BS57" s="257">
        <f t="shared" si="31"/>
        <v>3.3333333333333335</v>
      </c>
      <c r="BT57" s="257">
        <f t="shared" si="32"/>
        <v>4.2041666666666666</v>
      </c>
      <c r="BU57" s="258">
        <f t="shared" si="33"/>
        <v>0.91494915838441615</v>
      </c>
      <c r="BV57" s="257">
        <f t="shared" si="82"/>
        <v>100</v>
      </c>
      <c r="BW57" s="257">
        <f>+IF($R57&gt;M$8,"FIN",(BV57-SUM(BX$25:BX56))*VLOOKUP($R57,$A:$Q,13,0)/VLOOKUP(M$15,$M$1:$O$4,2,0))</f>
        <v>0.77916666666666634</v>
      </c>
      <c r="BX57" s="257">
        <f t="shared" si="34"/>
        <v>3.3333333333333335</v>
      </c>
      <c r="BY57" s="257">
        <f t="shared" si="65"/>
        <v>4.1124999999999998</v>
      </c>
      <c r="BZ57" s="258">
        <f t="shared" si="35"/>
        <v>0.89499982093698582</v>
      </c>
      <c r="CA57" s="257">
        <f t="shared" si="83"/>
        <v>99</v>
      </c>
      <c r="CB57" s="257">
        <f>+IF($R57&gt;N$8,"FIN",(CA57-SUM(CC$25:CC56))*VLOOKUP($R57,$A:$Q,14,0)/VLOOKUP(N$15,$M$1:$O$4,2,0))</f>
        <v>1.5021875</v>
      </c>
      <c r="CC57" s="257">
        <f t="shared" si="36"/>
        <v>2.75</v>
      </c>
      <c r="CD57" s="257">
        <f t="shared" si="67"/>
        <v>4.2521874999999998</v>
      </c>
      <c r="CE57" s="258">
        <f t="shared" ref="CE57:CE75" si="86">CD57/(1+$B$5)^(YEARFRAC($R$25,$R57))</f>
        <v>0.92539989084267216</v>
      </c>
      <c r="CF57" s="257">
        <f t="shared" si="84"/>
        <v>99</v>
      </c>
      <c r="CG57" s="257">
        <f>+IF($R57&gt;O$8,"FIN",(CF57-SUM(CH$25:CH56))*VLOOKUP($R57,$A:$Q,15,0)/VLOOKUP(O$15,$M$1:$O$4,2,0))</f>
        <v>1.2409375</v>
      </c>
      <c r="CH57" s="257">
        <f t="shared" si="39"/>
        <v>2.75</v>
      </c>
      <c r="CI57" s="257">
        <f t="shared" si="69"/>
        <v>3.9909375000000002</v>
      </c>
      <c r="CJ57" s="258">
        <f t="shared" ref="CJ57:CJ75" si="87">CI57/(1+$B$5)^(YEARFRAC($R$25,$R57))</f>
        <v>0.86854427911749599</v>
      </c>
      <c r="CK57" s="257"/>
      <c r="CL57" s="257"/>
      <c r="CM57" s="257"/>
      <c r="CN57" s="257"/>
      <c r="CO57" s="258"/>
      <c r="CP57" s="4"/>
      <c r="CQ57"/>
      <c r="CR57"/>
      <c r="CS57"/>
    </row>
    <row r="58" spans="1:97" ht="15" x14ac:dyDescent="0.25">
      <c r="A58" s="27">
        <f t="shared" si="43"/>
        <v>50055</v>
      </c>
      <c r="B58" s="256"/>
      <c r="C58" s="256"/>
      <c r="D58" s="256"/>
      <c r="E58" s="256"/>
      <c r="F58" s="256"/>
      <c r="G58" s="256"/>
      <c r="H58" s="256"/>
      <c r="I58" s="256"/>
      <c r="J58" s="256">
        <v>5.7500000000000002E-2</v>
      </c>
      <c r="K58" s="256">
        <v>4.5499999999999999E-2</v>
      </c>
      <c r="L58" s="256">
        <v>4.7500000000000001E-2</v>
      </c>
      <c r="M58" s="256">
        <v>4.2500000000000003E-2</v>
      </c>
      <c r="N58" s="256">
        <v>5.7500000000000002E-2</v>
      </c>
      <c r="O58" s="286">
        <v>4.7500000000000001E-2</v>
      </c>
      <c r="P58" s="259"/>
      <c r="Q58" s="2">
        <f t="shared" si="44"/>
        <v>2037</v>
      </c>
      <c r="R58" s="27">
        <f t="shared" si="45"/>
        <v>50055</v>
      </c>
      <c r="S58" s="261"/>
      <c r="T58" s="257"/>
      <c r="U58" s="257"/>
      <c r="V58" s="257"/>
      <c r="W58" s="258"/>
      <c r="X58" s="261"/>
      <c r="Y58" s="257"/>
      <c r="Z58" s="257"/>
      <c r="AA58" s="257"/>
      <c r="AB58" s="258"/>
      <c r="AC58" s="261"/>
      <c r="AD58" s="257"/>
      <c r="AE58" s="257"/>
      <c r="AF58" s="257"/>
      <c r="AG58" s="258"/>
      <c r="AH58" s="261"/>
      <c r="AI58" s="257"/>
      <c r="AJ58" s="257"/>
      <c r="AK58" s="257"/>
      <c r="AL58" s="258"/>
      <c r="AM58" s="257"/>
      <c r="AN58" s="257"/>
      <c r="AO58" s="257"/>
      <c r="AP58" s="257"/>
      <c r="AQ58" s="258"/>
      <c r="AR58" s="257"/>
      <c r="AS58" s="257"/>
      <c r="AT58" s="257"/>
      <c r="AU58" s="257"/>
      <c r="AV58" s="258"/>
      <c r="AW58" s="257"/>
      <c r="AX58" s="257"/>
      <c r="AY58" s="257"/>
      <c r="AZ58" s="257"/>
      <c r="BA58" s="258"/>
      <c r="BB58" s="257"/>
      <c r="BC58" s="257"/>
      <c r="BD58" s="257"/>
      <c r="BE58" s="257"/>
      <c r="BF58" s="258"/>
      <c r="BG58" s="257">
        <f t="shared" si="79"/>
        <v>100</v>
      </c>
      <c r="BH58" s="257">
        <f>+IF($R58&gt;J$8,"FIN",(BG58-SUM(BI$25:BI57))*VLOOKUP($R58,$A:$Q,10,0)/VLOOKUP(J$15,$M$1:$O$4,2,0))</f>
        <v>0.52272727272727249</v>
      </c>
      <c r="BI58" s="257">
        <f t="shared" si="59"/>
        <v>4.5454545454545459</v>
      </c>
      <c r="BJ58" s="257">
        <f t="shared" si="28"/>
        <v>5.0681818181818183</v>
      </c>
      <c r="BK58" s="258">
        <f t="shared" si="29"/>
        <v>1.0516540082996251</v>
      </c>
      <c r="BL58" s="257">
        <f t="shared" si="85"/>
        <v>100</v>
      </c>
      <c r="BM58" s="257">
        <f>+IF($R58&gt;K$8,"FIN",(BL58-SUM(BN$25:BN57))*VLOOKUP($R58,$A:$Q,11,0)/VLOOKUP(K$15,$M$1:$O$4,2,0))</f>
        <v>0.41363636363636341</v>
      </c>
      <c r="BN58" s="257">
        <f t="shared" si="61"/>
        <v>4.5454545454545459</v>
      </c>
      <c r="BO58" s="257">
        <f t="shared" si="62"/>
        <v>4.959090909090909</v>
      </c>
      <c r="BP58" s="258">
        <f t="shared" si="30"/>
        <v>1.0290175094662699</v>
      </c>
      <c r="BQ58" s="260">
        <v>100</v>
      </c>
      <c r="BR58" s="257">
        <f>+IF($R58&gt;L$8,"FIN",(BQ58-SUM(BS$25:BS57))*VLOOKUP($R58,$A:$Q,12,0)/VLOOKUP(L$15,$M$1:$O$4,2,0))</f>
        <v>0.79166666666666619</v>
      </c>
      <c r="BS58" s="257">
        <f t="shared" si="31"/>
        <v>3.3333333333333335</v>
      </c>
      <c r="BT58" s="257">
        <f t="shared" si="32"/>
        <v>4.125</v>
      </c>
      <c r="BU58" s="258">
        <f t="shared" si="33"/>
        <v>0.8559426121362419</v>
      </c>
      <c r="BV58" s="260">
        <v>100</v>
      </c>
      <c r="BW58" s="257">
        <f>+IF($R58&gt;M$8,"FIN",(BV58-SUM(BX$25:BX57))*VLOOKUP($R58,$A:$Q,13,0)/VLOOKUP(M$15,$M$1:$O$4,2,0))</f>
        <v>0.70833333333333293</v>
      </c>
      <c r="BX58" s="257">
        <f t="shared" si="34"/>
        <v>3.3333333333333335</v>
      </c>
      <c r="BY58" s="257">
        <f t="shared" si="65"/>
        <v>4.0416666666666661</v>
      </c>
      <c r="BZ58" s="258">
        <f t="shared" si="35"/>
        <v>0.83865084219409547</v>
      </c>
      <c r="CA58" s="257">
        <f t="shared" si="83"/>
        <v>99</v>
      </c>
      <c r="CB58" s="257">
        <f>+IF($R58&gt;N$8,"FIN",(CA58-SUM(CC$25:CC57))*VLOOKUP($R58,$A:$Q,14,0)/VLOOKUP(N$15,$M$1:$O$4,2,0))</f>
        <v>1.423125</v>
      </c>
      <c r="CC58" s="257">
        <f t="shared" si="36"/>
        <v>2.75</v>
      </c>
      <c r="CD58" s="257">
        <f t="shared" si="67"/>
        <v>4.1731249999999998</v>
      </c>
      <c r="CE58" s="258">
        <f t="shared" si="86"/>
        <v>0.86592860927783133</v>
      </c>
      <c r="CF58" s="257">
        <f t="shared" si="84"/>
        <v>99</v>
      </c>
      <c r="CG58" s="257">
        <f>+IF($R58&gt;O$8,"FIN",(CF58-SUM(CH$25:CH57))*VLOOKUP($R58,$A:$Q,15,0)/VLOOKUP(O$15,$M$1:$O$4,2,0))</f>
        <v>1.1756249999999999</v>
      </c>
      <c r="CH58" s="257">
        <f t="shared" si="39"/>
        <v>2.75</v>
      </c>
      <c r="CI58" s="257">
        <f t="shared" si="69"/>
        <v>3.9256250000000001</v>
      </c>
      <c r="CJ58" s="258">
        <f t="shared" si="87"/>
        <v>0.81457205254965692</v>
      </c>
      <c r="CK58" s="257"/>
      <c r="CL58" s="257"/>
      <c r="CM58" s="257"/>
      <c r="CN58" s="257"/>
      <c r="CO58" s="258"/>
      <c r="CP58" s="4"/>
      <c r="CQ58"/>
      <c r="CR58"/>
      <c r="CS58"/>
    </row>
    <row r="59" spans="1:97" ht="15" x14ac:dyDescent="0.25">
      <c r="A59" s="27">
        <f t="shared" si="43"/>
        <v>50236</v>
      </c>
      <c r="B59" s="256"/>
      <c r="C59" s="256"/>
      <c r="D59" s="256"/>
      <c r="E59" s="256"/>
      <c r="F59" s="256"/>
      <c r="G59" s="256"/>
      <c r="H59" s="256"/>
      <c r="I59" s="256"/>
      <c r="J59" s="256">
        <v>5.7500000000000002E-2</v>
      </c>
      <c r="K59" s="256">
        <v>4.5499999999999999E-2</v>
      </c>
      <c r="L59" s="256">
        <v>4.7500000000000001E-2</v>
      </c>
      <c r="M59" s="256">
        <v>4.2500000000000003E-2</v>
      </c>
      <c r="N59" s="256">
        <v>5.7500000000000002E-2</v>
      </c>
      <c r="O59" s="286">
        <v>4.7500000000000001E-2</v>
      </c>
      <c r="P59" s="259"/>
      <c r="Q59" s="2">
        <f t="shared" si="44"/>
        <v>2037</v>
      </c>
      <c r="R59" s="27">
        <f t="shared" si="45"/>
        <v>50236</v>
      </c>
      <c r="S59" s="261"/>
      <c r="T59" s="257"/>
      <c r="U59" s="257"/>
      <c r="V59" s="257"/>
      <c r="W59" s="258"/>
      <c r="X59" s="261"/>
      <c r="Y59" s="257"/>
      <c r="Z59" s="257"/>
      <c r="AA59" s="257"/>
      <c r="AB59" s="258"/>
      <c r="AC59" s="261"/>
      <c r="AD59" s="257"/>
      <c r="AE59" s="257"/>
      <c r="AF59" s="257"/>
      <c r="AG59" s="258"/>
      <c r="AH59" s="261"/>
      <c r="AI59" s="257"/>
      <c r="AJ59" s="257"/>
      <c r="AK59" s="257"/>
      <c r="AL59" s="258"/>
      <c r="AM59" s="261"/>
      <c r="AN59" s="257"/>
      <c r="AO59" s="257"/>
      <c r="AP59" s="257"/>
      <c r="AQ59" s="258"/>
      <c r="AR59" s="261"/>
      <c r="AS59" s="257"/>
      <c r="AT59" s="257"/>
      <c r="AU59" s="257"/>
      <c r="AV59" s="258"/>
      <c r="AW59" s="257"/>
      <c r="AX59" s="257"/>
      <c r="AY59" s="257"/>
      <c r="AZ59" s="257"/>
      <c r="BA59" s="258"/>
      <c r="BB59" s="257"/>
      <c r="BC59" s="257"/>
      <c r="BD59" s="257"/>
      <c r="BE59" s="257"/>
      <c r="BF59" s="258"/>
      <c r="BG59" s="257">
        <f t="shared" si="79"/>
        <v>100</v>
      </c>
      <c r="BH59" s="257">
        <f>+IF($R59&gt;J$8,"FIN",(BG59-SUM(BI$25:BI58))*VLOOKUP($R59,$A:$Q,10,0)/VLOOKUP(J$15,$M$1:$O$4,2,0))</f>
        <v>0.39204545454545425</v>
      </c>
      <c r="BI59" s="257">
        <f t="shared" si="59"/>
        <v>4.5454545454545459</v>
      </c>
      <c r="BJ59" s="257">
        <f t="shared" si="28"/>
        <v>4.9375</v>
      </c>
      <c r="BK59" s="258">
        <f t="shared" si="29"/>
        <v>0.97685805269441672</v>
      </c>
      <c r="BL59" s="257">
        <f t="shared" si="85"/>
        <v>100</v>
      </c>
      <c r="BM59" s="257">
        <f>+IF($R59&gt;K$8,"FIN",(BL59-SUM(BN$25:BN58))*VLOOKUP($R59,$A:$Q,11,0)/VLOOKUP(K$15,$M$1:$O$4,2,0))</f>
        <v>0.31022727272727246</v>
      </c>
      <c r="BN59" s="257">
        <f t="shared" si="61"/>
        <v>4.5454545454545459</v>
      </c>
      <c r="BO59" s="257">
        <f t="shared" si="62"/>
        <v>4.855681818181818</v>
      </c>
      <c r="BP59" s="258">
        <f t="shared" si="30"/>
        <v>0.96067076160258746</v>
      </c>
      <c r="BQ59" s="260">
        <v>100</v>
      </c>
      <c r="BR59" s="257">
        <f>+IF($R59&gt;L$8,"FIN",(BQ59-SUM(BS$25:BS58))*VLOOKUP($R59,$A:$Q,12,0)/VLOOKUP(L$15,$M$1:$O$4,2,0))</f>
        <v>0.71249999999999969</v>
      </c>
      <c r="BS59" s="257">
        <f t="shared" si="31"/>
        <v>3.3333333333333335</v>
      </c>
      <c r="BT59" s="257">
        <f t="shared" si="32"/>
        <v>4.0458333333333334</v>
      </c>
      <c r="BU59" s="258">
        <f t="shared" si="33"/>
        <v>0.80044655625846295</v>
      </c>
      <c r="BV59" s="260">
        <v>100</v>
      </c>
      <c r="BW59" s="257">
        <f>+IF($R59&gt;M$8,"FIN",(BV59-SUM(BX$25:BX58))*VLOOKUP($R59,$A:$Q,13,0)/VLOOKUP(M$15,$M$1:$O$4,2,0))</f>
        <v>0.63749999999999973</v>
      </c>
      <c r="BX59" s="257">
        <f t="shared" si="34"/>
        <v>3.3333333333333335</v>
      </c>
      <c r="BY59" s="257">
        <f t="shared" si="65"/>
        <v>3.9708333333333332</v>
      </c>
      <c r="BZ59" s="258">
        <f t="shared" si="35"/>
        <v>0.78560820609095283</v>
      </c>
      <c r="CA59" s="257">
        <f t="shared" si="83"/>
        <v>99</v>
      </c>
      <c r="CB59" s="257">
        <f>+IF($R59&gt;N$8,"FIN",(CA59-SUM(CC$25:CC58))*VLOOKUP($R59,$A:$Q,14,0)/VLOOKUP(N$15,$M$1:$O$4,2,0))</f>
        <v>1.3440625000000002</v>
      </c>
      <c r="CC59" s="257">
        <f t="shared" si="36"/>
        <v>2.75</v>
      </c>
      <c r="CD59" s="257">
        <f t="shared" si="67"/>
        <v>4.0940624999999997</v>
      </c>
      <c r="CE59" s="258">
        <f t="shared" si="86"/>
        <v>0.80998843976895896</v>
      </c>
      <c r="CF59" s="257">
        <f t="shared" si="84"/>
        <v>99</v>
      </c>
      <c r="CG59" s="257">
        <f>+IF($R59&gt;O$8,"FIN",(CF59-SUM(CH$25:CH58))*VLOOKUP($R59,$A:$Q,15,0)/VLOOKUP(O$15,$M$1:$O$4,2,0))</f>
        <v>1.1103125</v>
      </c>
      <c r="CH59" s="257">
        <f t="shared" si="39"/>
        <v>2.75</v>
      </c>
      <c r="CI59" s="257">
        <f t="shared" si="69"/>
        <v>3.8603125</v>
      </c>
      <c r="CJ59" s="258">
        <f t="shared" si="87"/>
        <v>0.76374224841355254</v>
      </c>
      <c r="CK59" s="257"/>
      <c r="CL59" s="257"/>
      <c r="CM59" s="257"/>
      <c r="CN59" s="257"/>
      <c r="CO59" s="258"/>
      <c r="CP59" s="4"/>
      <c r="CQ59"/>
      <c r="CR59"/>
      <c r="CS59"/>
    </row>
    <row r="60" spans="1:97" ht="15" x14ac:dyDescent="0.25">
      <c r="A60" s="27">
        <f t="shared" si="43"/>
        <v>50420</v>
      </c>
      <c r="B60" s="256"/>
      <c r="C60" s="256"/>
      <c r="D60" s="256"/>
      <c r="E60" s="256"/>
      <c r="F60" s="256"/>
      <c r="G60" s="256"/>
      <c r="H60" s="256"/>
      <c r="I60" s="256"/>
      <c r="J60" s="256">
        <v>5.7500000000000002E-2</v>
      </c>
      <c r="K60" s="256">
        <v>4.5499999999999999E-2</v>
      </c>
      <c r="L60" s="256">
        <v>4.7500000000000001E-2</v>
      </c>
      <c r="M60" s="256">
        <v>4.2500000000000003E-2</v>
      </c>
      <c r="N60" s="256">
        <v>5.7500000000000002E-2</v>
      </c>
      <c r="O60" s="286">
        <v>4.7500000000000001E-2</v>
      </c>
      <c r="P60" s="259"/>
      <c r="Q60" s="2">
        <f t="shared" si="44"/>
        <v>2038</v>
      </c>
      <c r="R60" s="27">
        <f t="shared" si="45"/>
        <v>50420</v>
      </c>
      <c r="S60" s="261"/>
      <c r="T60" s="257"/>
      <c r="U60" s="257"/>
      <c r="V60" s="257"/>
      <c r="W60" s="262"/>
      <c r="X60" s="261"/>
      <c r="Y60" s="257"/>
      <c r="Z60" s="257"/>
      <c r="AA60" s="257"/>
      <c r="AB60" s="262"/>
      <c r="AC60" s="261"/>
      <c r="AD60" s="257"/>
      <c r="AE60" s="257"/>
      <c r="AF60" s="257"/>
      <c r="AG60" s="262"/>
      <c r="AH60" s="261"/>
      <c r="AI60" s="257"/>
      <c r="AJ60" s="257"/>
      <c r="AK60" s="257"/>
      <c r="AL60" s="262"/>
      <c r="AM60" s="261"/>
      <c r="AN60" s="257"/>
      <c r="AO60" s="257"/>
      <c r="AP60" s="257"/>
      <c r="AQ60" s="262"/>
      <c r="AR60" s="261"/>
      <c r="AS60" s="257"/>
      <c r="AT60" s="257"/>
      <c r="AU60" s="257"/>
      <c r="AV60" s="262"/>
      <c r="AW60" s="257"/>
      <c r="AX60" s="257"/>
      <c r="AY60" s="257"/>
      <c r="AZ60" s="257"/>
      <c r="BA60" s="258"/>
      <c r="BB60" s="257"/>
      <c r="BC60" s="257"/>
      <c r="BD60" s="257"/>
      <c r="BE60" s="257"/>
      <c r="BF60" s="258"/>
      <c r="BG60" s="260">
        <v>100</v>
      </c>
      <c r="BH60" s="257">
        <f>+IF($R60&gt;J$8,"FIN",(BG60-SUM(BI$25:BI59))*VLOOKUP($R60,$A:$Q,10,0)/VLOOKUP(J$15,$M$1:$O$4,2,0))</f>
        <v>0.26136363636363602</v>
      </c>
      <c r="BI60" s="257">
        <f t="shared" si="59"/>
        <v>4.5454545454545459</v>
      </c>
      <c r="BJ60" s="257">
        <f t="shared" si="28"/>
        <v>4.8068181818181817</v>
      </c>
      <c r="BK60" s="258">
        <f t="shared" si="29"/>
        <v>0.90674611804064675</v>
      </c>
      <c r="BL60" s="260">
        <v>100</v>
      </c>
      <c r="BM60" s="257">
        <f>+IF($R60&gt;K$8,"FIN",(BL60-SUM(BN$25:BN59))*VLOOKUP($R60,$A:$Q,11,0)/VLOOKUP(K$15,$M$1:$O$4,2,0))</f>
        <v>0.20681818181818154</v>
      </c>
      <c r="BN60" s="257">
        <f t="shared" si="61"/>
        <v>4.5454545454545459</v>
      </c>
      <c r="BO60" s="257">
        <f t="shared" si="62"/>
        <v>4.752272727272727</v>
      </c>
      <c r="BP60" s="258">
        <f t="shared" si="30"/>
        <v>0.89645680038912168</v>
      </c>
      <c r="BQ60" s="260">
        <v>100</v>
      </c>
      <c r="BR60" s="257">
        <f>+IF($R60&gt;L$8,"FIN",(BQ60-SUM(BS$25:BS59))*VLOOKUP($R60,$A:$Q,12,0)/VLOOKUP(L$15,$M$1:$O$4,2,0))</f>
        <v>0.63333333333333308</v>
      </c>
      <c r="BS60" s="257">
        <f t="shared" si="31"/>
        <v>3.3333333333333335</v>
      </c>
      <c r="BT60" s="257">
        <f t="shared" si="32"/>
        <v>3.9666666666666668</v>
      </c>
      <c r="BU60" s="258">
        <f t="shared" si="33"/>
        <v>0.74826204476923985</v>
      </c>
      <c r="BV60" s="260">
        <v>100</v>
      </c>
      <c r="BW60" s="257">
        <f>+IF($R60&gt;M$8,"FIN",(BV60-SUM(BX$25:BX59))*VLOOKUP($R60,$A:$Q,13,0)/VLOOKUP(M$15,$M$1:$O$4,2,0))</f>
        <v>0.56666666666666654</v>
      </c>
      <c r="BX60" s="257">
        <f t="shared" si="34"/>
        <v>3.3333333333333335</v>
      </c>
      <c r="BY60" s="257">
        <f t="shared" si="65"/>
        <v>3.9</v>
      </c>
      <c r="BZ60" s="258">
        <f t="shared" si="35"/>
        <v>0.7356862120840425</v>
      </c>
      <c r="CA60" s="260">
        <v>99</v>
      </c>
      <c r="CB60" s="257">
        <f>+IF($R60&gt;N$8,"FIN",(CA60-SUM(CC$25:CC59))*VLOOKUP($R60,$A:$Q,14,0)/VLOOKUP(N$15,$M$1:$O$4,2,0))</f>
        <v>1.2650000000000001</v>
      </c>
      <c r="CC60" s="257">
        <f t="shared" si="36"/>
        <v>2.75</v>
      </c>
      <c r="CD60" s="257">
        <f t="shared" si="67"/>
        <v>4.0150000000000006</v>
      </c>
      <c r="CE60" s="258">
        <f t="shared" si="86"/>
        <v>0.75737952346600801</v>
      </c>
      <c r="CF60" s="260">
        <v>99</v>
      </c>
      <c r="CG60" s="257">
        <f>+IF($R60&gt;O$8,"FIN",(CF60-SUM(CH$25:CH59))*VLOOKUP($R60,$A:$Q,15,0)/VLOOKUP(O$15,$M$1:$O$4,2,0))</f>
        <v>1.0449999999999999</v>
      </c>
      <c r="CH60" s="257">
        <f t="shared" si="39"/>
        <v>2.75</v>
      </c>
      <c r="CI60" s="257">
        <f t="shared" si="69"/>
        <v>3.7949999999999999</v>
      </c>
      <c r="CJ60" s="258">
        <f t="shared" si="87"/>
        <v>0.71587927560485676</v>
      </c>
      <c r="CK60" s="257"/>
      <c r="CL60" s="257"/>
      <c r="CM60" s="257"/>
      <c r="CN60" s="257"/>
      <c r="CO60" s="258"/>
      <c r="CP60" s="4"/>
      <c r="CQ60"/>
      <c r="CR60"/>
      <c r="CS60"/>
    </row>
    <row r="61" spans="1:97" ht="15" x14ac:dyDescent="0.25">
      <c r="A61" s="27">
        <f t="shared" si="43"/>
        <v>50601</v>
      </c>
      <c r="B61" s="256"/>
      <c r="C61" s="256"/>
      <c r="D61" s="256"/>
      <c r="E61" s="256"/>
      <c r="F61" s="256"/>
      <c r="G61" s="256"/>
      <c r="H61" s="256"/>
      <c r="I61" s="256"/>
      <c r="J61" s="256">
        <v>5.7500000000000002E-2</v>
      </c>
      <c r="K61" s="256">
        <v>4.5499999999999999E-2</v>
      </c>
      <c r="L61" s="256">
        <v>4.7500000000000001E-2</v>
      </c>
      <c r="M61" s="256">
        <v>4.2500000000000003E-2</v>
      </c>
      <c r="N61" s="256">
        <v>5.7500000000000002E-2</v>
      </c>
      <c r="O61" s="286">
        <v>4.7500000000000001E-2</v>
      </c>
      <c r="P61" s="259"/>
      <c r="Q61" s="2">
        <f t="shared" si="44"/>
        <v>2038</v>
      </c>
      <c r="R61" s="27">
        <f t="shared" si="45"/>
        <v>50601</v>
      </c>
      <c r="S61" s="261"/>
      <c r="T61" s="257"/>
      <c r="U61" s="257"/>
      <c r="V61" s="257"/>
      <c r="W61" s="262"/>
      <c r="X61" s="261"/>
      <c r="Y61" s="257"/>
      <c r="Z61" s="257"/>
      <c r="AA61" s="257"/>
      <c r="AB61" s="262"/>
      <c r="AC61" s="261"/>
      <c r="AD61" s="257"/>
      <c r="AE61" s="257"/>
      <c r="AF61" s="257"/>
      <c r="AG61" s="262"/>
      <c r="AH61" s="261"/>
      <c r="AI61" s="257"/>
      <c r="AJ61" s="257"/>
      <c r="AK61" s="257"/>
      <c r="AL61" s="262"/>
      <c r="AM61" s="261"/>
      <c r="AN61" s="257"/>
      <c r="AO61" s="257"/>
      <c r="AP61" s="257"/>
      <c r="AQ61" s="262"/>
      <c r="AR61" s="261"/>
      <c r="AS61" s="257"/>
      <c r="AT61" s="257"/>
      <c r="AU61" s="257"/>
      <c r="AV61" s="262"/>
      <c r="AW61" s="257"/>
      <c r="AX61" s="257"/>
      <c r="AY61" s="257"/>
      <c r="AZ61" s="257"/>
      <c r="BA61" s="258"/>
      <c r="BB61" s="257"/>
      <c r="BC61" s="257"/>
      <c r="BD61" s="257"/>
      <c r="BE61" s="257"/>
      <c r="BF61" s="258"/>
      <c r="BG61" s="260">
        <v>100</v>
      </c>
      <c r="BH61" s="257">
        <f>+IF($R61&gt;J$8,"FIN",(BG61-SUM(BI$25:BI60))*VLOOKUP($R61,$A:$Q,10,0)/VLOOKUP(J$15,$M$1:$O$4,2,0))</f>
        <v>0.13068181818181782</v>
      </c>
      <c r="BI61" s="257">
        <f t="shared" si="59"/>
        <v>4.5454545454545459</v>
      </c>
      <c r="BJ61" s="257">
        <f t="shared" si="28"/>
        <v>4.6761363636363633</v>
      </c>
      <c r="BK61" s="258">
        <f t="shared" si="29"/>
        <v>0.84104422781410693</v>
      </c>
      <c r="BL61" s="260">
        <v>100</v>
      </c>
      <c r="BM61" s="257">
        <f>+IF($R61&gt;K$8,"FIN",(BL61-SUM(BN$25:BN60))*VLOOKUP($R61,$A:$Q,11,0)/VLOOKUP(K$15,$M$1:$O$4,2,0))</f>
        <v>0.10340909090909062</v>
      </c>
      <c r="BN61" s="257">
        <f t="shared" si="61"/>
        <v>4.5454545454545459</v>
      </c>
      <c r="BO61" s="257">
        <f t="shared" si="62"/>
        <v>4.6488636363636369</v>
      </c>
      <c r="BP61" s="258">
        <f t="shared" si="30"/>
        <v>0.83613898808931042</v>
      </c>
      <c r="BQ61" s="260">
        <v>100</v>
      </c>
      <c r="BR61" s="257">
        <f>+IF($R61&gt;L$8,"FIN",(BQ61-SUM(BS$25:BS60))*VLOOKUP($R61,$A:$Q,12,0)/VLOOKUP(L$15,$M$1:$O$4,2,0))</f>
        <v>0.55416666666666659</v>
      </c>
      <c r="BS61" s="257">
        <f t="shared" si="31"/>
        <v>3.3333333333333335</v>
      </c>
      <c r="BT61" s="257">
        <f t="shared" si="32"/>
        <v>3.8875000000000002</v>
      </c>
      <c r="BU61" s="258">
        <f t="shared" si="33"/>
        <v>0.6992010457720681</v>
      </c>
      <c r="BV61" s="260">
        <v>100</v>
      </c>
      <c r="BW61" s="257">
        <f>+IF($R61&gt;M$8,"FIN",(BV61-SUM(BX$25:BX60))*VLOOKUP($R61,$A:$Q,13,0)/VLOOKUP(M$15,$M$1:$O$4,2,0))</f>
        <v>0.49583333333333329</v>
      </c>
      <c r="BX61" s="257">
        <f t="shared" si="34"/>
        <v>3.3333333333333335</v>
      </c>
      <c r="BY61" s="257">
        <f t="shared" si="65"/>
        <v>3.8291666666666666</v>
      </c>
      <c r="BZ61" s="258">
        <f t="shared" si="35"/>
        <v>0.68870928302736389</v>
      </c>
      <c r="CA61" s="260">
        <v>99</v>
      </c>
      <c r="CB61" s="257">
        <f>+IF($R61&gt;N$8,"FIN",(CA61-SUM(CC$25:CC60))*VLOOKUP($R61,$A:$Q,14,0)/VLOOKUP(N$15,$M$1:$O$4,2,0))</f>
        <v>1.1859375000000001</v>
      </c>
      <c r="CC61" s="257">
        <f t="shared" si="36"/>
        <v>2.75</v>
      </c>
      <c r="CD61" s="257">
        <f t="shared" si="67"/>
        <v>3.9359375000000001</v>
      </c>
      <c r="CE61" s="258">
        <f t="shared" si="86"/>
        <v>0.70791295590829562</v>
      </c>
      <c r="CF61" s="260">
        <v>99</v>
      </c>
      <c r="CG61" s="257">
        <f>+IF($R61&gt;O$8,"FIN",(CF61-SUM(CH$25:CH60))*VLOOKUP($R61,$A:$Q,15,0)/VLOOKUP(O$15,$M$1:$O$4,2,0))</f>
        <v>0.97968750000000004</v>
      </c>
      <c r="CH61" s="257">
        <f t="shared" si="39"/>
        <v>2.75</v>
      </c>
      <c r="CI61" s="257">
        <f t="shared" si="69"/>
        <v>3.7296874999999998</v>
      </c>
      <c r="CJ61" s="258">
        <f t="shared" si="87"/>
        <v>0.67081708048952027</v>
      </c>
      <c r="CK61" s="257"/>
      <c r="CL61" s="257"/>
      <c r="CM61" s="257"/>
      <c r="CN61" s="257"/>
      <c r="CO61" s="258"/>
      <c r="CP61" s="236"/>
      <c r="CQ61"/>
      <c r="CR61"/>
      <c r="CS61"/>
    </row>
    <row r="62" spans="1:97" ht="15" x14ac:dyDescent="0.25">
      <c r="A62" s="27">
        <f t="shared" si="43"/>
        <v>50785</v>
      </c>
      <c r="B62" s="263"/>
      <c r="C62" s="263"/>
      <c r="D62" s="263"/>
      <c r="E62" s="263"/>
      <c r="F62" s="263"/>
      <c r="G62" s="263"/>
      <c r="H62" s="256"/>
      <c r="I62" s="256"/>
      <c r="J62" s="256"/>
      <c r="K62" s="256"/>
      <c r="L62" s="256">
        <v>4.7500000000000001E-2</v>
      </c>
      <c r="M62" s="256">
        <v>4.2500000000000003E-2</v>
      </c>
      <c r="N62" s="256">
        <v>5.7500000000000002E-2</v>
      </c>
      <c r="O62" s="286">
        <v>4.7500000000000001E-2</v>
      </c>
      <c r="P62" s="259"/>
      <c r="Q62" s="2">
        <f t="shared" si="44"/>
        <v>2039</v>
      </c>
      <c r="R62" s="27">
        <f t="shared" si="45"/>
        <v>50785</v>
      </c>
      <c r="S62" s="261"/>
      <c r="T62" s="257"/>
      <c r="U62" s="257"/>
      <c r="V62" s="257"/>
      <c r="W62" s="262"/>
      <c r="X62" s="261"/>
      <c r="Y62" s="257"/>
      <c r="Z62" s="257"/>
      <c r="AA62" s="257"/>
      <c r="AB62" s="262"/>
      <c r="AC62" s="261"/>
      <c r="AD62" s="257"/>
      <c r="AE62" s="257"/>
      <c r="AF62" s="257"/>
      <c r="AG62" s="262"/>
      <c r="AH62" s="261"/>
      <c r="AI62" s="257"/>
      <c r="AJ62" s="257"/>
      <c r="AK62" s="257"/>
      <c r="AL62" s="262"/>
      <c r="AM62" s="261"/>
      <c r="AN62" s="257"/>
      <c r="AO62" s="257"/>
      <c r="AP62" s="257"/>
      <c r="AQ62" s="262"/>
      <c r="AR62" s="261"/>
      <c r="AS62" s="257"/>
      <c r="AT62" s="257"/>
      <c r="AU62" s="257"/>
      <c r="AV62" s="262"/>
      <c r="AW62" s="257"/>
      <c r="AX62" s="257"/>
      <c r="AY62" s="257"/>
      <c r="AZ62" s="257"/>
      <c r="BA62" s="258"/>
      <c r="BB62" s="257"/>
      <c r="BC62" s="257"/>
      <c r="BD62" s="257"/>
      <c r="BE62" s="257"/>
      <c r="BF62" s="258"/>
      <c r="BG62" s="257"/>
      <c r="BH62" s="257"/>
      <c r="BI62" s="257"/>
      <c r="BJ62" s="257"/>
      <c r="BK62" s="258"/>
      <c r="BL62" s="257"/>
      <c r="BM62" s="257"/>
      <c r="BN62" s="257"/>
      <c r="BO62" s="257"/>
      <c r="BP62" s="258"/>
      <c r="BQ62" s="260">
        <v>100</v>
      </c>
      <c r="BR62" s="257">
        <f>+IF($R62&gt;L$8,"FIN",(BQ62-SUM(BS$25:BS61))*VLOOKUP($R62,$A:$Q,12,0)/VLOOKUP(L$15,$M$1:$O$4,2,0))</f>
        <v>0.47499999999999998</v>
      </c>
      <c r="BS62" s="257">
        <f t="shared" si="31"/>
        <v>3.3333333333333335</v>
      </c>
      <c r="BT62" s="257">
        <f t="shared" si="32"/>
        <v>3.8083333333333336</v>
      </c>
      <c r="BU62" s="258">
        <f t="shared" si="33"/>
        <v>0.65308585649263295</v>
      </c>
      <c r="BV62" s="260">
        <v>100</v>
      </c>
      <c r="BW62" s="257">
        <f>+IF($R62&gt;M$8,"FIN",(BV62-SUM(BX$25:BX61))*VLOOKUP($R62,$A:$Q,13,0)/VLOOKUP(M$15,$M$1:$O$4,2,0))</f>
        <v>0.42500000000000004</v>
      </c>
      <c r="BX62" s="257">
        <f t="shared" si="34"/>
        <v>3.3333333333333335</v>
      </c>
      <c r="BY62" s="257">
        <f t="shared" si="65"/>
        <v>3.7583333333333337</v>
      </c>
      <c r="BZ62" s="258">
        <f t="shared" si="35"/>
        <v>0.64451142511636206</v>
      </c>
      <c r="CA62" s="260">
        <v>99</v>
      </c>
      <c r="CB62" s="257">
        <f>+IF($R62&gt;N$8,"FIN",(CA62-SUM(CC$25:CC61))*VLOOKUP($R62,$A:$Q,14,0)/VLOOKUP(N$15,$M$1:$O$4,2,0))</f>
        <v>1.1068750000000001</v>
      </c>
      <c r="CC62" s="257">
        <f t="shared" si="36"/>
        <v>2.75</v>
      </c>
      <c r="CD62" s="257">
        <f t="shared" si="67"/>
        <v>3.8568750000000001</v>
      </c>
      <c r="CE62" s="258">
        <f t="shared" si="86"/>
        <v>0.66141020028709585</v>
      </c>
      <c r="CF62" s="260">
        <v>99</v>
      </c>
      <c r="CG62" s="257">
        <f>+IF($R62&gt;O$8,"FIN",(CF62-SUM(CH$25:CH61))*VLOOKUP($R62,$A:$Q,15,0)/VLOOKUP(O$15,$M$1:$O$4,2,0))</f>
        <v>0.91437500000000005</v>
      </c>
      <c r="CH62" s="257">
        <f t="shared" si="39"/>
        <v>2.75</v>
      </c>
      <c r="CI62" s="257">
        <f t="shared" si="69"/>
        <v>3.6643750000000002</v>
      </c>
      <c r="CJ62" s="258">
        <f t="shared" si="87"/>
        <v>0.62839863948845298</v>
      </c>
      <c r="CK62" s="257"/>
      <c r="CL62" s="257"/>
      <c r="CM62" s="257"/>
      <c r="CN62" s="257"/>
      <c r="CO62" s="258"/>
      <c r="CP62" s="4"/>
      <c r="CQ62"/>
      <c r="CR62"/>
      <c r="CS62"/>
    </row>
    <row r="63" spans="1:97" ht="15" x14ac:dyDescent="0.25">
      <c r="A63" s="27">
        <f t="shared" si="43"/>
        <v>50966</v>
      </c>
      <c r="B63" s="263"/>
      <c r="C63" s="263"/>
      <c r="D63" s="263"/>
      <c r="E63" s="263"/>
      <c r="F63" s="263"/>
      <c r="G63" s="263"/>
      <c r="H63" s="256"/>
      <c r="I63" s="256"/>
      <c r="J63" s="256"/>
      <c r="K63" s="256"/>
      <c r="L63" s="256">
        <v>4.7500000000000001E-2</v>
      </c>
      <c r="M63" s="256">
        <v>4.2500000000000003E-2</v>
      </c>
      <c r="N63" s="256">
        <v>5.7500000000000002E-2</v>
      </c>
      <c r="O63" s="286">
        <v>4.7500000000000001E-2</v>
      </c>
      <c r="P63" s="259"/>
      <c r="Q63" s="2">
        <f t="shared" si="44"/>
        <v>2039</v>
      </c>
      <c r="R63" s="27">
        <f t="shared" si="45"/>
        <v>50966</v>
      </c>
      <c r="S63" s="261"/>
      <c r="T63" s="257"/>
      <c r="U63" s="257"/>
      <c r="V63" s="257"/>
      <c r="W63" s="262"/>
      <c r="X63" s="261"/>
      <c r="Y63" s="257"/>
      <c r="Z63" s="257"/>
      <c r="AA63" s="257"/>
      <c r="AB63" s="262"/>
      <c r="AC63" s="261"/>
      <c r="AD63" s="257"/>
      <c r="AE63" s="257"/>
      <c r="AF63" s="257"/>
      <c r="AG63" s="262"/>
      <c r="AH63" s="261"/>
      <c r="AI63" s="257"/>
      <c r="AJ63" s="257"/>
      <c r="AK63" s="257"/>
      <c r="AL63" s="262"/>
      <c r="AM63" s="261"/>
      <c r="AN63" s="257"/>
      <c r="AO63" s="257"/>
      <c r="AP63" s="257"/>
      <c r="AQ63" s="262"/>
      <c r="AR63" s="261"/>
      <c r="AS63" s="257"/>
      <c r="AT63" s="257"/>
      <c r="AU63" s="257"/>
      <c r="AV63" s="262"/>
      <c r="AW63" s="257"/>
      <c r="AX63" s="257"/>
      <c r="AY63" s="257"/>
      <c r="AZ63" s="257"/>
      <c r="BA63" s="258"/>
      <c r="BB63" s="257"/>
      <c r="BC63" s="257"/>
      <c r="BD63" s="257"/>
      <c r="BE63" s="257"/>
      <c r="BF63" s="258"/>
      <c r="BG63" s="257"/>
      <c r="BH63" s="257"/>
      <c r="BI63" s="257"/>
      <c r="BJ63" s="257"/>
      <c r="BK63" s="258"/>
      <c r="BL63" s="257"/>
      <c r="BM63" s="257"/>
      <c r="BN63" s="257"/>
      <c r="BO63" s="257"/>
      <c r="BP63" s="258"/>
      <c r="BQ63" s="260">
        <v>100</v>
      </c>
      <c r="BR63" s="257">
        <f>+IF($R63&gt;L$8,"FIN",(BQ63-SUM(BS$25:BS62))*VLOOKUP($R63,$A:$Q,12,0)/VLOOKUP(L$15,$M$1:$O$4,2,0))</f>
        <v>0.39583333333333343</v>
      </c>
      <c r="BS63" s="257">
        <f t="shared" si="31"/>
        <v>3.3333333333333335</v>
      </c>
      <c r="BT63" s="257">
        <f t="shared" si="32"/>
        <v>3.729166666666667</v>
      </c>
      <c r="BU63" s="258">
        <f t="shared" si="33"/>
        <v>0.60974854912403864</v>
      </c>
      <c r="BV63" s="260">
        <v>100</v>
      </c>
      <c r="BW63" s="257">
        <f>+IF($R63&gt;M$8,"FIN",(BV63-SUM(BX$25:BX62))*VLOOKUP($R63,$A:$Q,13,0)/VLOOKUP(M$15,$M$1:$O$4,2,0))</f>
        <v>0.3541666666666668</v>
      </c>
      <c r="BX63" s="257">
        <f t="shared" si="34"/>
        <v>3.3333333333333335</v>
      </c>
      <c r="BY63" s="257">
        <f t="shared" si="65"/>
        <v>3.6875000000000004</v>
      </c>
      <c r="BZ63" s="258">
        <f t="shared" si="35"/>
        <v>0.60293571617293207</v>
      </c>
      <c r="CA63" s="260">
        <v>99</v>
      </c>
      <c r="CB63" s="257">
        <f>+IF($R63&gt;N$8,"FIN",(CA63-SUM(CC$25:CC62))*VLOOKUP($R63,$A:$Q,14,0)/VLOOKUP(N$15,$M$1:$O$4,2,0))</f>
        <v>1.0278125</v>
      </c>
      <c r="CC63" s="257">
        <f t="shared" si="36"/>
        <v>2.75</v>
      </c>
      <c r="CD63" s="257">
        <f t="shared" si="67"/>
        <v>3.7778125</v>
      </c>
      <c r="CE63" s="258">
        <f t="shared" si="86"/>
        <v>0.61770253159445554</v>
      </c>
      <c r="CF63" s="260">
        <v>99</v>
      </c>
      <c r="CG63" s="257">
        <f>+IF($R63&gt;O$8,"FIN",(CF63-SUM(CH$25:CH62))*VLOOKUP($R63,$A:$Q,15,0)/VLOOKUP(O$15,$M$1:$O$4,2,0))</f>
        <v>0.84906250000000005</v>
      </c>
      <c r="CH63" s="257">
        <f t="shared" si="39"/>
        <v>2.75</v>
      </c>
      <c r="CI63" s="257">
        <f t="shared" si="69"/>
        <v>3.5990625000000001</v>
      </c>
      <c r="CJ63" s="258">
        <f t="shared" si="87"/>
        <v>0.58847547823420832</v>
      </c>
      <c r="CK63" s="257"/>
      <c r="CL63" s="257"/>
      <c r="CM63" s="257"/>
      <c r="CN63" s="257"/>
      <c r="CO63" s="258"/>
      <c r="CP63" s="4"/>
      <c r="CQ63"/>
      <c r="CR63"/>
      <c r="CS63"/>
    </row>
    <row r="64" spans="1:97" ht="15" x14ac:dyDescent="0.25">
      <c r="A64" s="27">
        <f t="shared" si="43"/>
        <v>51150</v>
      </c>
      <c r="B64" s="263"/>
      <c r="C64" s="263"/>
      <c r="D64" s="263"/>
      <c r="E64" s="263"/>
      <c r="F64" s="263"/>
      <c r="G64" s="263"/>
      <c r="H64" s="256"/>
      <c r="I64" s="256"/>
      <c r="J64" s="256"/>
      <c r="K64" s="256"/>
      <c r="L64" s="256">
        <v>4.7500000000000001E-2</v>
      </c>
      <c r="M64" s="256">
        <v>4.2500000000000003E-2</v>
      </c>
      <c r="N64" s="256">
        <v>5.7500000000000002E-2</v>
      </c>
      <c r="O64" s="286">
        <v>4.7500000000000001E-2</v>
      </c>
      <c r="P64" s="259"/>
      <c r="Q64" s="2">
        <f t="shared" si="44"/>
        <v>2040</v>
      </c>
      <c r="R64" s="27">
        <f t="shared" si="45"/>
        <v>51150</v>
      </c>
      <c r="S64" s="261"/>
      <c r="T64" s="257"/>
      <c r="U64" s="257"/>
      <c r="V64" s="257"/>
      <c r="W64" s="262"/>
      <c r="X64" s="261"/>
      <c r="Y64" s="257"/>
      <c r="Z64" s="257"/>
      <c r="AA64" s="257"/>
      <c r="AB64" s="262"/>
      <c r="AC64" s="261"/>
      <c r="AD64" s="257"/>
      <c r="AE64" s="257"/>
      <c r="AF64" s="257"/>
      <c r="AG64" s="262"/>
      <c r="AH64" s="261"/>
      <c r="AI64" s="257"/>
      <c r="AJ64" s="257"/>
      <c r="AK64" s="257"/>
      <c r="AL64" s="262"/>
      <c r="AM64" s="261"/>
      <c r="AN64" s="257"/>
      <c r="AO64" s="257"/>
      <c r="AP64" s="257"/>
      <c r="AQ64" s="262"/>
      <c r="AR64" s="261"/>
      <c r="AS64" s="257"/>
      <c r="AT64" s="257"/>
      <c r="AU64" s="257"/>
      <c r="AV64" s="262"/>
      <c r="AW64" s="257"/>
      <c r="AX64" s="257"/>
      <c r="AY64" s="257"/>
      <c r="AZ64" s="257"/>
      <c r="BA64" s="258"/>
      <c r="BB64" s="257"/>
      <c r="BC64" s="257"/>
      <c r="BD64" s="257"/>
      <c r="BE64" s="257"/>
      <c r="BF64" s="258"/>
      <c r="BG64" s="257"/>
      <c r="BH64" s="257"/>
      <c r="BI64" s="257"/>
      <c r="BJ64" s="257"/>
      <c r="BK64" s="258"/>
      <c r="BL64" s="257"/>
      <c r="BM64" s="257"/>
      <c r="BN64" s="257"/>
      <c r="BO64" s="257"/>
      <c r="BP64" s="258"/>
      <c r="BQ64" s="260">
        <v>100</v>
      </c>
      <c r="BR64" s="257">
        <f>+IF($R64&gt;L$8,"FIN",(BQ64-SUM(BS$25:BS63))*VLOOKUP($R64,$A:$Q,12,0)/VLOOKUP(L$15,$M$1:$O$4,2,0))</f>
        <v>0.31666666666666687</v>
      </c>
      <c r="BS64" s="257">
        <f t="shared" si="31"/>
        <v>3.3333333333333335</v>
      </c>
      <c r="BT64" s="257">
        <f t="shared" si="32"/>
        <v>3.6500000000000004</v>
      </c>
      <c r="BU64" s="258">
        <f t="shared" si="33"/>
        <v>0.56903044587979545</v>
      </c>
      <c r="BV64" s="260">
        <v>100</v>
      </c>
      <c r="BW64" s="257">
        <f>+IF($R64&gt;M$8,"FIN",(BV64-SUM(BX$25:BX63))*VLOOKUP($R64,$A:$Q,13,0)/VLOOKUP(M$15,$M$1:$O$4,2,0))</f>
        <v>0.28333333333333355</v>
      </c>
      <c r="BX64" s="257">
        <f t="shared" si="34"/>
        <v>3.3333333333333335</v>
      </c>
      <c r="BY64" s="257">
        <f t="shared" si="65"/>
        <v>3.6166666666666671</v>
      </c>
      <c r="BZ64" s="258">
        <f t="shared" si="35"/>
        <v>0.56383382080326772</v>
      </c>
      <c r="CA64" s="260">
        <v>99</v>
      </c>
      <c r="CB64" s="257">
        <f>+IF($R64&gt;N$8,"FIN",(CA64-SUM(CC$25:CC63))*VLOOKUP($R64,$A:$Q,14,0)/VLOOKUP(N$15,$M$1:$O$4,2,0))</f>
        <v>0.94875000000000009</v>
      </c>
      <c r="CC64" s="257">
        <f t="shared" si="36"/>
        <v>2.75</v>
      </c>
      <c r="CD64" s="257">
        <f t="shared" si="67"/>
        <v>3.69875</v>
      </c>
      <c r="CE64" s="258">
        <f t="shared" si="86"/>
        <v>0.57663051005421739</v>
      </c>
      <c r="CF64" s="260">
        <v>99</v>
      </c>
      <c r="CG64" s="257">
        <f>+IF($R64&gt;O$8,"FIN",(CF64-SUM(CH$25:CH63))*VLOOKUP($R64,$A:$Q,15,0)/VLOOKUP(O$15,$M$1:$O$4,2,0))</f>
        <v>0.78375000000000006</v>
      </c>
      <c r="CH64" s="257">
        <f t="shared" si="39"/>
        <v>2.75</v>
      </c>
      <c r="CI64" s="257">
        <f t="shared" si="69"/>
        <v>3.5337499999999999</v>
      </c>
      <c r="CJ64" s="258">
        <f t="shared" si="87"/>
        <v>0.5509072159254047</v>
      </c>
      <c r="CK64" s="257"/>
      <c r="CL64" s="257"/>
      <c r="CM64" s="257"/>
      <c r="CN64" s="257"/>
      <c r="CO64" s="258"/>
      <c r="CP64" s="4"/>
      <c r="CQ64"/>
      <c r="CR64"/>
      <c r="CS64"/>
    </row>
    <row r="65" spans="1:97" ht="15" x14ac:dyDescent="0.25">
      <c r="A65" s="27">
        <f t="shared" si="43"/>
        <v>51332</v>
      </c>
      <c r="B65" s="263"/>
      <c r="C65" s="263"/>
      <c r="D65" s="263"/>
      <c r="E65" s="263"/>
      <c r="F65" s="263"/>
      <c r="G65" s="263"/>
      <c r="H65" s="256"/>
      <c r="I65" s="256"/>
      <c r="J65" s="256"/>
      <c r="K65" s="256"/>
      <c r="L65" s="256">
        <v>4.7500000000000001E-2</v>
      </c>
      <c r="M65" s="256">
        <v>4.2500000000000003E-2</v>
      </c>
      <c r="N65" s="256">
        <v>5.7500000000000002E-2</v>
      </c>
      <c r="O65" s="286">
        <v>4.7500000000000001E-2</v>
      </c>
      <c r="P65" s="259"/>
      <c r="Q65" s="2">
        <f t="shared" si="44"/>
        <v>2040</v>
      </c>
      <c r="R65" s="27">
        <f t="shared" si="45"/>
        <v>51332</v>
      </c>
      <c r="S65" s="261"/>
      <c r="T65" s="257"/>
      <c r="U65" s="257"/>
      <c r="V65" s="257"/>
      <c r="W65" s="262"/>
      <c r="X65" s="261"/>
      <c r="Y65" s="257"/>
      <c r="Z65" s="257"/>
      <c r="AA65" s="257"/>
      <c r="AB65" s="262"/>
      <c r="AC65" s="261"/>
      <c r="AD65" s="257"/>
      <c r="AE65" s="257"/>
      <c r="AF65" s="257"/>
      <c r="AG65" s="262"/>
      <c r="AH65" s="261"/>
      <c r="AI65" s="257"/>
      <c r="AJ65" s="257"/>
      <c r="AK65" s="257"/>
      <c r="AL65" s="262"/>
      <c r="AM65" s="261"/>
      <c r="AN65" s="257"/>
      <c r="AO65" s="257"/>
      <c r="AP65" s="257"/>
      <c r="AQ65" s="262"/>
      <c r="AR65" s="261"/>
      <c r="AS65" s="257"/>
      <c r="AT65" s="257"/>
      <c r="AU65" s="257"/>
      <c r="AV65" s="262"/>
      <c r="AW65" s="261"/>
      <c r="AX65" s="257"/>
      <c r="AY65" s="257"/>
      <c r="AZ65" s="257"/>
      <c r="BA65" s="258"/>
      <c r="BB65" s="257"/>
      <c r="BC65" s="257"/>
      <c r="BD65" s="257"/>
      <c r="BE65" s="257"/>
      <c r="BF65" s="258"/>
      <c r="BG65" s="261"/>
      <c r="BH65" s="257"/>
      <c r="BI65" s="257"/>
      <c r="BJ65" s="257"/>
      <c r="BK65" s="258"/>
      <c r="BL65" s="257"/>
      <c r="BM65" s="257"/>
      <c r="BN65" s="257"/>
      <c r="BO65" s="257"/>
      <c r="BP65" s="258"/>
      <c r="BQ65" s="260">
        <v>100</v>
      </c>
      <c r="BR65" s="257">
        <f>+IF($R65&gt;L$8,"FIN",(BQ65-SUM(BS$25:BS64))*VLOOKUP($R65,$A:$Q,12,0)/VLOOKUP(L$15,$M$1:$O$4,2,0))</f>
        <v>0.23750000000000035</v>
      </c>
      <c r="BS65" s="257">
        <f t="shared" si="31"/>
        <v>3.3333333333333335</v>
      </c>
      <c r="BT65" s="257">
        <f t="shared" si="32"/>
        <v>3.5708333333333337</v>
      </c>
      <c r="BU65" s="258">
        <f t="shared" si="33"/>
        <v>0.53078162173621246</v>
      </c>
      <c r="BV65" s="260">
        <v>100</v>
      </c>
      <c r="BW65" s="257">
        <f>+IF($R65&gt;M$8,"FIN",(BV65-SUM(BX$25:BX64))*VLOOKUP($R65,$A:$Q,13,0)/VLOOKUP(M$15,$M$1:$O$4,2,0))</f>
        <v>0.21250000000000033</v>
      </c>
      <c r="BX65" s="257">
        <f t="shared" si="34"/>
        <v>3.3333333333333335</v>
      </c>
      <c r="BY65" s="257">
        <f t="shared" si="65"/>
        <v>3.5458333333333338</v>
      </c>
      <c r="BZ65" s="258">
        <f t="shared" si="35"/>
        <v>0.52706553103560883</v>
      </c>
      <c r="CA65" s="260">
        <v>99</v>
      </c>
      <c r="CB65" s="257">
        <f>+IF($R65&gt;N$8,"FIN",(CA65-SUM(CC$25:CC64))*VLOOKUP($R65,$A:$Q,14,0)/VLOOKUP(N$15,$M$1:$O$4,2,0))</f>
        <v>0.86968750000000006</v>
      </c>
      <c r="CC65" s="257">
        <f t="shared" si="36"/>
        <v>2.75</v>
      </c>
      <c r="CD65" s="257">
        <f t="shared" si="67"/>
        <v>3.6196874999999999</v>
      </c>
      <c r="CE65" s="258">
        <f t="shared" si="86"/>
        <v>0.53804348231364185</v>
      </c>
      <c r="CF65" s="260">
        <v>99</v>
      </c>
      <c r="CG65" s="257">
        <f>+IF($R65&gt;O$8,"FIN",(CF65-SUM(CH$25:CH64))*VLOOKUP($R65,$A:$Q,15,0)/VLOOKUP(O$15,$M$1:$O$4,2,0))</f>
        <v>0.71843750000000006</v>
      </c>
      <c r="CH65" s="257">
        <f t="shared" si="39"/>
        <v>2.75</v>
      </c>
      <c r="CI65" s="257">
        <f t="shared" si="69"/>
        <v>3.4684375000000003</v>
      </c>
      <c r="CJ65" s="258">
        <f t="shared" si="87"/>
        <v>0.51556113357499023</v>
      </c>
      <c r="CK65" s="257"/>
      <c r="CL65" s="257"/>
      <c r="CM65" s="257"/>
      <c r="CN65" s="257"/>
      <c r="CO65" s="258"/>
      <c r="CP65" s="4"/>
      <c r="CQ65"/>
      <c r="CR65"/>
      <c r="CS65"/>
    </row>
    <row r="66" spans="1:97" ht="15" x14ac:dyDescent="0.25">
      <c r="A66" s="27">
        <f t="shared" si="43"/>
        <v>51516</v>
      </c>
      <c r="B66" s="263"/>
      <c r="C66" s="263"/>
      <c r="D66" s="263"/>
      <c r="E66" s="263"/>
      <c r="F66" s="263"/>
      <c r="G66" s="263"/>
      <c r="H66" s="263"/>
      <c r="I66" s="256"/>
      <c r="J66" s="256"/>
      <c r="K66" s="256"/>
      <c r="L66" s="256">
        <v>4.7500000000000001E-2</v>
      </c>
      <c r="M66" s="256">
        <v>4.2500000000000003E-2</v>
      </c>
      <c r="N66" s="256">
        <v>5.7500000000000002E-2</v>
      </c>
      <c r="O66" s="286">
        <v>4.7500000000000001E-2</v>
      </c>
      <c r="P66" s="259"/>
      <c r="Q66" s="2">
        <f t="shared" si="44"/>
        <v>2041</v>
      </c>
      <c r="R66" s="27">
        <f t="shared" si="45"/>
        <v>51516</v>
      </c>
      <c r="S66" s="261"/>
      <c r="T66" s="257"/>
      <c r="U66" s="257"/>
      <c r="V66" s="257"/>
      <c r="W66" s="262"/>
      <c r="X66" s="261"/>
      <c r="Y66" s="257"/>
      <c r="Z66" s="257"/>
      <c r="AA66" s="257"/>
      <c r="AB66" s="262"/>
      <c r="AC66" s="261"/>
      <c r="AD66" s="257"/>
      <c r="AE66" s="257"/>
      <c r="AF66" s="257"/>
      <c r="AG66" s="262"/>
      <c r="AH66" s="261"/>
      <c r="AI66" s="257"/>
      <c r="AJ66" s="257"/>
      <c r="AK66" s="257"/>
      <c r="AL66" s="262"/>
      <c r="AM66" s="261"/>
      <c r="AN66" s="257"/>
      <c r="AO66" s="257"/>
      <c r="AP66" s="257"/>
      <c r="AQ66" s="262"/>
      <c r="AR66" s="261"/>
      <c r="AS66" s="257"/>
      <c r="AT66" s="257"/>
      <c r="AU66" s="257"/>
      <c r="AV66" s="262"/>
      <c r="AW66" s="261"/>
      <c r="AX66" s="257"/>
      <c r="AY66" s="257"/>
      <c r="AZ66" s="257"/>
      <c r="BA66" s="262"/>
      <c r="BB66" s="261"/>
      <c r="BC66" s="257"/>
      <c r="BD66" s="257"/>
      <c r="BE66" s="257"/>
      <c r="BF66" s="262"/>
      <c r="BG66" s="261"/>
      <c r="BH66" s="257"/>
      <c r="BI66" s="257"/>
      <c r="BJ66" s="257"/>
      <c r="BK66" s="258"/>
      <c r="BL66" s="261"/>
      <c r="BM66" s="257"/>
      <c r="BN66" s="257"/>
      <c r="BO66" s="257"/>
      <c r="BP66" s="262"/>
      <c r="BQ66" s="260">
        <v>100</v>
      </c>
      <c r="BR66" s="257">
        <f>+IF($R66&gt;L$8,"FIN",(BQ66-SUM(BS$25:BS65))*VLOOKUP($R66,$A:$Q,12,0)/VLOOKUP(L$15,$M$1:$O$4,2,0))</f>
        <v>0.1583333333333338</v>
      </c>
      <c r="BS66" s="257">
        <f t="shared" si="31"/>
        <v>3.3333333333333335</v>
      </c>
      <c r="BT66" s="257">
        <f t="shared" si="32"/>
        <v>3.4916666666666671</v>
      </c>
      <c r="BU66" s="258">
        <f t="shared" si="33"/>
        <v>0.49486043342389857</v>
      </c>
      <c r="BV66" s="260">
        <v>100</v>
      </c>
      <c r="BW66" s="257">
        <f>+IF($R66&gt;M$8,"FIN",(BV66-SUM(BX$25:BX65))*VLOOKUP($R66,$A:$Q,13,0)/VLOOKUP(M$15,$M$1:$O$4,2,0))</f>
        <v>0.14166666666666708</v>
      </c>
      <c r="BX66" s="257">
        <f t="shared" si="34"/>
        <v>3.3333333333333335</v>
      </c>
      <c r="BY66" s="257">
        <f t="shared" si="65"/>
        <v>3.4750000000000005</v>
      </c>
      <c r="BZ66" s="258">
        <f t="shared" si="35"/>
        <v>0.49249833111638591</v>
      </c>
      <c r="CA66" s="260">
        <v>99</v>
      </c>
      <c r="CB66" s="257">
        <f>+IF($R66&gt;N$8,"FIN",(CA66-SUM(CC$25:CC65))*VLOOKUP($R66,$A:$Q,14,0)/VLOOKUP(N$15,$M$1:$O$4,2,0))</f>
        <v>0.79062500000000002</v>
      </c>
      <c r="CC66" s="257">
        <f t="shared" si="36"/>
        <v>2.75</v>
      </c>
      <c r="CD66" s="257">
        <f t="shared" si="67"/>
        <v>3.5406249999999999</v>
      </c>
      <c r="CE66" s="258">
        <f t="shared" si="86"/>
        <v>0.50179910895221691</v>
      </c>
      <c r="CF66" s="260">
        <v>99</v>
      </c>
      <c r="CG66" s="257">
        <f>+IF($R66&gt;O$8,"FIN",(CF66-SUM(CH$25:CH65))*VLOOKUP($R66,$A:$Q,15,0)/VLOOKUP(O$15,$M$1:$O$4,2,0))</f>
        <v>0.65312499999999996</v>
      </c>
      <c r="CH66" s="257">
        <f t="shared" si="39"/>
        <v>2.75</v>
      </c>
      <c r="CI66" s="257">
        <f t="shared" si="69"/>
        <v>3.4031250000000002</v>
      </c>
      <c r="CJ66" s="258">
        <f t="shared" si="87"/>
        <v>0.48231176491523764</v>
      </c>
      <c r="CK66" s="257"/>
      <c r="CL66" s="257"/>
      <c r="CM66" s="257"/>
      <c r="CN66" s="257"/>
      <c r="CO66" s="258"/>
      <c r="CP66" s="4"/>
      <c r="CQ66"/>
      <c r="CR66"/>
      <c r="CS66"/>
    </row>
    <row r="67" spans="1:97" ht="15" x14ac:dyDescent="0.25">
      <c r="A67" s="27">
        <f t="shared" si="43"/>
        <v>51697</v>
      </c>
      <c r="B67" s="263"/>
      <c r="C67" s="263"/>
      <c r="D67" s="263"/>
      <c r="E67" s="263"/>
      <c r="F67" s="263"/>
      <c r="G67" s="263"/>
      <c r="H67" s="263"/>
      <c r="I67" s="256"/>
      <c r="J67" s="256"/>
      <c r="K67" s="256"/>
      <c r="L67" s="256">
        <v>4.7500000000000001E-2</v>
      </c>
      <c r="M67" s="256">
        <v>4.2500000000000003E-2</v>
      </c>
      <c r="N67" s="256">
        <v>5.7500000000000002E-2</v>
      </c>
      <c r="O67" s="286">
        <v>4.7500000000000001E-2</v>
      </c>
      <c r="P67" s="259"/>
      <c r="Q67" s="2">
        <f t="shared" si="44"/>
        <v>2041</v>
      </c>
      <c r="R67" s="27">
        <f t="shared" si="45"/>
        <v>51697</v>
      </c>
      <c r="S67" s="261"/>
      <c r="T67" s="257"/>
      <c r="U67" s="257"/>
      <c r="V67" s="257"/>
      <c r="W67" s="262"/>
      <c r="X67" s="261"/>
      <c r="Y67" s="257"/>
      <c r="Z67" s="257"/>
      <c r="AA67" s="257"/>
      <c r="AB67" s="262"/>
      <c r="AC67" s="261"/>
      <c r="AD67" s="257"/>
      <c r="AE67" s="257"/>
      <c r="AF67" s="257"/>
      <c r="AG67" s="262"/>
      <c r="AH67" s="261"/>
      <c r="AI67" s="257"/>
      <c r="AJ67" s="257"/>
      <c r="AK67" s="257"/>
      <c r="AL67" s="262"/>
      <c r="AM67" s="261"/>
      <c r="AN67" s="257"/>
      <c r="AO67" s="257"/>
      <c r="AP67" s="257"/>
      <c r="AQ67" s="262"/>
      <c r="AR67" s="261"/>
      <c r="AS67" s="257"/>
      <c r="AT67" s="257"/>
      <c r="AU67" s="257"/>
      <c r="AV67" s="262"/>
      <c r="AW67" s="261"/>
      <c r="AX67" s="257"/>
      <c r="AY67" s="257"/>
      <c r="AZ67" s="257"/>
      <c r="BA67" s="262"/>
      <c r="BB67" s="261"/>
      <c r="BC67" s="257"/>
      <c r="BD67" s="257"/>
      <c r="BE67" s="257"/>
      <c r="BF67" s="262"/>
      <c r="BG67" s="261"/>
      <c r="BH67" s="257"/>
      <c r="BI67" s="257"/>
      <c r="BJ67" s="257"/>
      <c r="BK67" s="258"/>
      <c r="BL67" s="261"/>
      <c r="BM67" s="257"/>
      <c r="BN67" s="257"/>
      <c r="BO67" s="257"/>
      <c r="BP67" s="262"/>
      <c r="BQ67" s="260">
        <v>100</v>
      </c>
      <c r="BR67" s="257">
        <f>+IF($R67&gt;L$8,"FIN",(BQ67-SUM(BS$25:BS66))*VLOOKUP($R67,$A:$Q,12,0)/VLOOKUP(L$15,$M$1:$O$4,2,0))</f>
        <v>7.9166666666667232E-2</v>
      </c>
      <c r="BS67" s="257">
        <f t="shared" si="31"/>
        <v>3.3333333333333335</v>
      </c>
      <c r="BT67" s="257">
        <f t="shared" si="32"/>
        <v>3.4125000000000005</v>
      </c>
      <c r="BU67" s="258">
        <f t="shared" si="33"/>
        <v>0.4611330733021724</v>
      </c>
      <c r="BV67" s="260">
        <v>100</v>
      </c>
      <c r="BW67" s="257">
        <f>+IF($R67&gt;M$8,"FIN",(BV67-SUM(BX$25:BX66))*VLOOKUP($R67,$A:$Q,13,0)/VLOOKUP(M$15,$M$1:$O$4,2,0))</f>
        <v>7.0833333333333845E-2</v>
      </c>
      <c r="BX67" s="257">
        <f t="shared" si="34"/>
        <v>3.3333333333333335</v>
      </c>
      <c r="BY67" s="257">
        <f t="shared" si="65"/>
        <v>3.4041666666666672</v>
      </c>
      <c r="BZ67" s="258">
        <f t="shared" si="35"/>
        <v>0.46000698521108041</v>
      </c>
      <c r="CA67" s="260">
        <v>99</v>
      </c>
      <c r="CB67" s="257">
        <f>+IF($R67&gt;N$8,"FIN",(CA67-SUM(CC$25:CC66))*VLOOKUP($R67,$A:$Q,14,0)/VLOOKUP(N$15,$M$1:$O$4,2,0))</f>
        <v>0.71156249999999999</v>
      </c>
      <c r="CC67" s="257">
        <f t="shared" si="36"/>
        <v>2.75</v>
      </c>
      <c r="CD67" s="257">
        <f t="shared" si="67"/>
        <v>3.4615624999999999</v>
      </c>
      <c r="CE67" s="258">
        <f t="shared" si="86"/>
        <v>0.46776291693847649</v>
      </c>
      <c r="CF67" s="260">
        <v>99</v>
      </c>
      <c r="CG67" s="257">
        <f>+IF($R67&gt;O$8,"FIN",(CF67-SUM(CH$25:CH66))*VLOOKUP($R67,$A:$Q,15,0)/VLOOKUP(O$15,$M$1:$O$4,2,0))</f>
        <v>0.58781249999999996</v>
      </c>
      <c r="CH67" s="257">
        <f t="shared" si="39"/>
        <v>2.75</v>
      </c>
      <c r="CI67" s="257">
        <f t="shared" si="69"/>
        <v>3.3378125000000001</v>
      </c>
      <c r="CJ67" s="258">
        <f t="shared" si="87"/>
        <v>0.45104050878576035</v>
      </c>
      <c r="CK67" s="257"/>
      <c r="CL67" s="257"/>
      <c r="CM67" s="257"/>
      <c r="CN67" s="257"/>
      <c r="CO67" s="258"/>
      <c r="CP67" s="4"/>
      <c r="CQ67"/>
      <c r="CR67"/>
      <c r="CS67"/>
    </row>
    <row r="68" spans="1:97" ht="15" x14ac:dyDescent="0.25">
      <c r="A68" s="27">
        <f t="shared" si="43"/>
        <v>51881</v>
      </c>
      <c r="B68" s="263"/>
      <c r="C68" s="263"/>
      <c r="D68" s="263"/>
      <c r="E68" s="263"/>
      <c r="F68" s="263"/>
      <c r="G68" s="263"/>
      <c r="H68" s="263"/>
      <c r="I68" s="256"/>
      <c r="J68" s="256"/>
      <c r="K68" s="256"/>
      <c r="L68" s="256"/>
      <c r="M68" s="256"/>
      <c r="N68" s="256">
        <v>5.7500000000000002E-2</v>
      </c>
      <c r="O68" s="286">
        <v>4.7500000000000001E-2</v>
      </c>
      <c r="P68" s="259"/>
      <c r="Q68" s="2">
        <f t="shared" si="44"/>
        <v>2042</v>
      </c>
      <c r="R68" s="27">
        <f t="shared" si="45"/>
        <v>51881</v>
      </c>
      <c r="S68" s="261"/>
      <c r="T68" s="257"/>
      <c r="U68" s="257"/>
      <c r="V68" s="257"/>
      <c r="W68" s="262"/>
      <c r="X68" s="261"/>
      <c r="Y68" s="257"/>
      <c r="Z68" s="257"/>
      <c r="AA68" s="257"/>
      <c r="AB68" s="262"/>
      <c r="AC68" s="261"/>
      <c r="AD68" s="257"/>
      <c r="AE68" s="257"/>
      <c r="AF68" s="257"/>
      <c r="AG68" s="262"/>
      <c r="AH68" s="261"/>
      <c r="AI68" s="257"/>
      <c r="AJ68" s="257"/>
      <c r="AK68" s="257"/>
      <c r="AL68" s="262"/>
      <c r="AM68" s="261"/>
      <c r="AN68" s="257"/>
      <c r="AO68" s="257"/>
      <c r="AP68" s="257"/>
      <c r="AQ68" s="262"/>
      <c r="AR68" s="261"/>
      <c r="AS68" s="257"/>
      <c r="AT68" s="257"/>
      <c r="AU68" s="257"/>
      <c r="AV68" s="262"/>
      <c r="AW68" s="261"/>
      <c r="AX68" s="257"/>
      <c r="AY68" s="257"/>
      <c r="AZ68" s="257"/>
      <c r="BA68" s="262"/>
      <c r="BB68" s="261"/>
      <c r="BC68" s="257"/>
      <c r="BD68" s="257"/>
      <c r="BE68" s="257"/>
      <c r="BF68" s="262"/>
      <c r="BG68" s="261"/>
      <c r="BH68" s="257"/>
      <c r="BI68" s="257"/>
      <c r="BJ68" s="257"/>
      <c r="BK68" s="258"/>
      <c r="BL68" s="261"/>
      <c r="BM68" s="257"/>
      <c r="BN68" s="257"/>
      <c r="BO68" s="257"/>
      <c r="BP68" s="262"/>
      <c r="BQ68" s="257"/>
      <c r="BR68" s="257"/>
      <c r="BS68" s="257"/>
      <c r="BT68" s="257"/>
      <c r="BU68" s="258"/>
      <c r="BV68" s="257"/>
      <c r="BW68" s="257"/>
      <c r="BX68" s="257"/>
      <c r="BY68" s="257"/>
      <c r="BZ68" s="258"/>
      <c r="CA68" s="260">
        <v>99</v>
      </c>
      <c r="CB68" s="257">
        <f>+IF($R68&gt;N$8,"FIN",(CA68-SUM(CC$25:CC67))*VLOOKUP($R68,$A:$Q,14,0)/VLOOKUP(N$15,$M$1:$O$4,2,0))</f>
        <v>0.63250000000000006</v>
      </c>
      <c r="CC68" s="257">
        <f t="shared" si="36"/>
        <v>2.75</v>
      </c>
      <c r="CD68" s="257">
        <f t="shared" si="67"/>
        <v>3.3825000000000003</v>
      </c>
      <c r="CE68" s="258">
        <f t="shared" si="86"/>
        <v>0.43580787573608243</v>
      </c>
      <c r="CF68" s="260">
        <v>99</v>
      </c>
      <c r="CG68" s="257">
        <f>+IF($R68&gt;O$8,"FIN",(CF68-SUM(CH$25:CH67))*VLOOKUP($R68,$A:$Q,15,0)/VLOOKUP(O$15,$M$1:$O$4,2,0))</f>
        <v>0.52249999999999996</v>
      </c>
      <c r="CH68" s="257">
        <f t="shared" si="39"/>
        <v>2.75</v>
      </c>
      <c r="CI68" s="257">
        <f t="shared" si="69"/>
        <v>3.2725</v>
      </c>
      <c r="CJ68" s="258">
        <f t="shared" si="87"/>
        <v>0.42163526189100653</v>
      </c>
      <c r="CK68" s="257"/>
      <c r="CL68" s="257"/>
      <c r="CM68" s="257"/>
      <c r="CN68" s="257"/>
      <c r="CO68" s="258"/>
      <c r="CP68" s="4"/>
      <c r="CQ68"/>
      <c r="CR68"/>
      <c r="CS68"/>
    </row>
    <row r="69" spans="1:97" ht="15" x14ac:dyDescent="0.25">
      <c r="A69" s="27">
        <f t="shared" si="43"/>
        <v>52062</v>
      </c>
      <c r="B69" s="263"/>
      <c r="C69" s="263"/>
      <c r="D69" s="263"/>
      <c r="E69" s="263"/>
      <c r="F69" s="263"/>
      <c r="G69" s="263"/>
      <c r="H69" s="263"/>
      <c r="I69" s="256"/>
      <c r="J69" s="256"/>
      <c r="K69" s="256"/>
      <c r="L69" s="256"/>
      <c r="M69" s="256"/>
      <c r="N69" s="256">
        <v>5.7500000000000002E-2</v>
      </c>
      <c r="O69" s="286">
        <v>4.7500000000000001E-2</v>
      </c>
      <c r="P69" s="259"/>
      <c r="Q69" s="2">
        <f t="shared" si="44"/>
        <v>2042</v>
      </c>
      <c r="R69" s="27">
        <f t="shared" si="45"/>
        <v>52062</v>
      </c>
      <c r="S69" s="261"/>
      <c r="T69" s="257"/>
      <c r="U69" s="257"/>
      <c r="V69" s="257"/>
      <c r="W69" s="262"/>
      <c r="X69" s="261"/>
      <c r="Y69" s="257"/>
      <c r="Z69" s="257"/>
      <c r="AA69" s="257"/>
      <c r="AB69" s="262"/>
      <c r="AC69" s="261"/>
      <c r="AD69" s="257"/>
      <c r="AE69" s="257"/>
      <c r="AF69" s="257"/>
      <c r="AG69" s="262"/>
      <c r="AH69" s="261"/>
      <c r="AI69" s="257"/>
      <c r="AJ69" s="257"/>
      <c r="AK69" s="257"/>
      <c r="AL69" s="262"/>
      <c r="AM69" s="261"/>
      <c r="AN69" s="257"/>
      <c r="AO69" s="257"/>
      <c r="AP69" s="257"/>
      <c r="AQ69" s="262"/>
      <c r="AR69" s="261"/>
      <c r="AS69" s="257"/>
      <c r="AT69" s="257"/>
      <c r="AU69" s="257"/>
      <c r="AV69" s="262"/>
      <c r="AW69" s="261"/>
      <c r="AX69" s="257"/>
      <c r="AY69" s="257"/>
      <c r="AZ69" s="257"/>
      <c r="BA69" s="262"/>
      <c r="BB69" s="261"/>
      <c r="BC69" s="257"/>
      <c r="BD69" s="257"/>
      <c r="BE69" s="257"/>
      <c r="BF69" s="262"/>
      <c r="BG69" s="261"/>
      <c r="BH69" s="257"/>
      <c r="BI69" s="257"/>
      <c r="BJ69" s="257"/>
      <c r="BK69" s="258"/>
      <c r="BL69" s="261"/>
      <c r="BM69" s="257"/>
      <c r="BN69" s="257"/>
      <c r="BO69" s="257"/>
      <c r="BP69" s="262"/>
      <c r="BQ69" s="257"/>
      <c r="BR69" s="257"/>
      <c r="BS69" s="257"/>
      <c r="BT69" s="257"/>
      <c r="BU69" s="258"/>
      <c r="BV69" s="257"/>
      <c r="BW69" s="257"/>
      <c r="BX69" s="257"/>
      <c r="BY69" s="257"/>
      <c r="BZ69" s="258"/>
      <c r="CA69" s="260">
        <v>99</v>
      </c>
      <c r="CB69" s="257">
        <f>+IF($R69&gt;N$8,"FIN",(CA69-SUM(CC$25:CC68))*VLOOKUP($R69,$A:$Q,14,0)/VLOOKUP(N$15,$M$1:$O$4,2,0))</f>
        <v>0.55343750000000003</v>
      </c>
      <c r="CC69" s="257">
        <f t="shared" si="36"/>
        <v>2.75</v>
      </c>
      <c r="CD69" s="257">
        <f t="shared" si="67"/>
        <v>3.3034375000000002</v>
      </c>
      <c r="CE69" s="258">
        <f t="shared" si="86"/>
        <v>0.40581399582727801</v>
      </c>
      <c r="CF69" s="260">
        <v>99</v>
      </c>
      <c r="CG69" s="257">
        <f>+IF($R69&gt;O$8,"FIN",(CF69-SUM(CH$25:CH68))*VLOOKUP($R69,$A:$Q,15,0)/VLOOKUP(O$15,$M$1:$O$4,2,0))</f>
        <v>0.45718750000000002</v>
      </c>
      <c r="CH69" s="257">
        <f t="shared" si="39"/>
        <v>2.75</v>
      </c>
      <c r="CI69" s="257">
        <f t="shared" si="69"/>
        <v>3.2071874999999999</v>
      </c>
      <c r="CJ69" s="258">
        <f t="shared" si="87"/>
        <v>0.393990070870812</v>
      </c>
      <c r="CK69" s="257"/>
      <c r="CL69" s="257"/>
      <c r="CM69" s="257"/>
      <c r="CN69" s="257"/>
      <c r="CO69" s="258"/>
      <c r="CP69" s="4"/>
      <c r="CQ69"/>
      <c r="CR69"/>
      <c r="CS69"/>
    </row>
    <row r="70" spans="1:97" ht="15" x14ac:dyDescent="0.25">
      <c r="A70" s="27">
        <f t="shared" si="43"/>
        <v>52246</v>
      </c>
      <c r="B70" s="263"/>
      <c r="C70" s="263"/>
      <c r="D70" s="263"/>
      <c r="E70" s="263"/>
      <c r="F70" s="263"/>
      <c r="G70" s="263"/>
      <c r="H70" s="263"/>
      <c r="I70" s="256"/>
      <c r="J70" s="256"/>
      <c r="K70" s="256"/>
      <c r="L70" s="256"/>
      <c r="M70" s="256"/>
      <c r="N70" s="256">
        <v>5.7500000000000002E-2</v>
      </c>
      <c r="O70" s="286">
        <v>4.7500000000000001E-2</v>
      </c>
      <c r="P70" s="259"/>
      <c r="Q70" s="2">
        <f t="shared" si="44"/>
        <v>2043</v>
      </c>
      <c r="R70" s="27">
        <f t="shared" si="45"/>
        <v>52246</v>
      </c>
      <c r="S70" s="261"/>
      <c r="T70" s="257"/>
      <c r="U70" s="257"/>
      <c r="V70" s="257"/>
      <c r="W70" s="262"/>
      <c r="X70" s="261"/>
      <c r="Y70" s="257"/>
      <c r="Z70" s="257"/>
      <c r="AA70" s="257"/>
      <c r="AB70" s="262"/>
      <c r="AC70" s="261"/>
      <c r="AD70" s="257"/>
      <c r="AE70" s="257"/>
      <c r="AF70" s="257"/>
      <c r="AG70" s="262"/>
      <c r="AH70" s="261"/>
      <c r="AI70" s="257"/>
      <c r="AJ70" s="257"/>
      <c r="AK70" s="257"/>
      <c r="AL70" s="262"/>
      <c r="AM70" s="261"/>
      <c r="AN70" s="257"/>
      <c r="AO70" s="257"/>
      <c r="AP70" s="257"/>
      <c r="AQ70" s="262"/>
      <c r="AR70" s="261"/>
      <c r="AS70" s="257"/>
      <c r="AT70" s="257"/>
      <c r="AU70" s="257"/>
      <c r="AV70" s="262"/>
      <c r="AW70" s="261"/>
      <c r="AX70" s="257"/>
      <c r="AY70" s="257"/>
      <c r="AZ70" s="257"/>
      <c r="BA70" s="262"/>
      <c r="BB70" s="261"/>
      <c r="BC70" s="257"/>
      <c r="BD70" s="257"/>
      <c r="BE70" s="257"/>
      <c r="BF70" s="262"/>
      <c r="BG70" s="261"/>
      <c r="BH70" s="257"/>
      <c r="BI70" s="257"/>
      <c r="BJ70" s="257"/>
      <c r="BK70" s="258"/>
      <c r="BL70" s="261"/>
      <c r="BM70" s="257"/>
      <c r="BN70" s="257"/>
      <c r="BO70" s="257"/>
      <c r="BP70" s="262"/>
      <c r="BQ70" s="257"/>
      <c r="BR70" s="257"/>
      <c r="BS70" s="257"/>
      <c r="BT70" s="257"/>
      <c r="BU70" s="258"/>
      <c r="BV70" s="257"/>
      <c r="BW70" s="257"/>
      <c r="BX70" s="257"/>
      <c r="BY70" s="257"/>
      <c r="BZ70" s="258"/>
      <c r="CA70" s="260">
        <v>99</v>
      </c>
      <c r="CB70" s="257">
        <f>+IF($R70&gt;N$8,"FIN",(CA70-SUM(CC$25:CC69))*VLOOKUP($R70,$A:$Q,14,0)/VLOOKUP(N$15,$M$1:$O$4,2,0))</f>
        <v>0.47437500000000005</v>
      </c>
      <c r="CC70" s="257">
        <f t="shared" si="36"/>
        <v>2.75</v>
      </c>
      <c r="CD70" s="257">
        <f t="shared" si="67"/>
        <v>3.2243750000000002</v>
      </c>
      <c r="CE70" s="258">
        <f t="shared" si="86"/>
        <v>0.37766794848525992</v>
      </c>
      <c r="CF70" s="260">
        <v>99</v>
      </c>
      <c r="CG70" s="257">
        <f>+IF($R70&gt;O$8,"FIN",(CF70-SUM(CH$25:CH69))*VLOOKUP($R70,$A:$Q,15,0)/VLOOKUP(O$15,$M$1:$O$4,2,0))</f>
        <v>0.39187500000000003</v>
      </c>
      <c r="CH70" s="257">
        <f t="shared" si="39"/>
        <v>2.75</v>
      </c>
      <c r="CI70" s="257">
        <f t="shared" si="69"/>
        <v>3.1418750000000002</v>
      </c>
      <c r="CJ70" s="258">
        <f t="shared" si="87"/>
        <v>0.36800480268179914</v>
      </c>
      <c r="CK70" s="257"/>
      <c r="CL70" s="257"/>
      <c r="CM70" s="257"/>
      <c r="CN70" s="257"/>
      <c r="CO70" s="258"/>
      <c r="CP70" s="4"/>
      <c r="CQ70"/>
      <c r="CR70"/>
      <c r="CS70"/>
    </row>
    <row r="71" spans="1:97" ht="15" x14ac:dyDescent="0.25">
      <c r="A71" s="27">
        <f t="shared" si="43"/>
        <v>52427</v>
      </c>
      <c r="B71" s="263"/>
      <c r="C71" s="263"/>
      <c r="D71" s="263"/>
      <c r="E71" s="263"/>
      <c r="F71" s="263"/>
      <c r="G71" s="263"/>
      <c r="H71" s="263"/>
      <c r="I71" s="256"/>
      <c r="J71" s="256"/>
      <c r="K71" s="256"/>
      <c r="L71" s="256"/>
      <c r="M71" s="256"/>
      <c r="N71" s="256">
        <v>5.7500000000000002E-2</v>
      </c>
      <c r="O71" s="286">
        <v>4.7500000000000001E-2</v>
      </c>
      <c r="P71" s="259"/>
      <c r="Q71" s="2">
        <f t="shared" si="44"/>
        <v>2043</v>
      </c>
      <c r="R71" s="27">
        <f t="shared" si="45"/>
        <v>52427</v>
      </c>
      <c r="S71" s="261"/>
      <c r="T71" s="257"/>
      <c r="U71" s="257"/>
      <c r="V71" s="257"/>
      <c r="W71" s="262"/>
      <c r="X71" s="261"/>
      <c r="Y71" s="257"/>
      <c r="Z71" s="257"/>
      <c r="AA71" s="257"/>
      <c r="AB71" s="262"/>
      <c r="AC71" s="261"/>
      <c r="AD71" s="257"/>
      <c r="AE71" s="257"/>
      <c r="AF71" s="257"/>
      <c r="AG71" s="262"/>
      <c r="AH71" s="261"/>
      <c r="AI71" s="257"/>
      <c r="AJ71" s="257"/>
      <c r="AK71" s="257"/>
      <c r="AL71" s="262"/>
      <c r="AM71" s="261"/>
      <c r="AN71" s="257"/>
      <c r="AO71" s="257"/>
      <c r="AP71" s="257"/>
      <c r="AQ71" s="262"/>
      <c r="AR71" s="261"/>
      <c r="AS71" s="257"/>
      <c r="AT71" s="257"/>
      <c r="AU71" s="257"/>
      <c r="AV71" s="262"/>
      <c r="AW71" s="261"/>
      <c r="AX71" s="257"/>
      <c r="AY71" s="257"/>
      <c r="AZ71" s="257"/>
      <c r="BA71" s="262"/>
      <c r="BB71" s="261"/>
      <c r="BC71" s="257"/>
      <c r="BD71" s="257"/>
      <c r="BE71" s="257"/>
      <c r="BF71" s="262"/>
      <c r="BG71" s="261"/>
      <c r="BH71" s="257"/>
      <c r="BI71" s="257"/>
      <c r="BJ71" s="257"/>
      <c r="BK71" s="258"/>
      <c r="BL71" s="261"/>
      <c r="BM71" s="257"/>
      <c r="BN71" s="257"/>
      <c r="BO71" s="257"/>
      <c r="BP71" s="262"/>
      <c r="BQ71" s="257"/>
      <c r="BR71" s="257"/>
      <c r="BS71" s="257"/>
      <c r="BT71" s="257"/>
      <c r="BU71" s="258"/>
      <c r="BV71" s="257"/>
      <c r="BW71" s="257"/>
      <c r="BX71" s="257"/>
      <c r="BY71" s="257"/>
      <c r="BZ71" s="258"/>
      <c r="CA71" s="260">
        <v>99</v>
      </c>
      <c r="CB71" s="257">
        <f>+IF($R71&gt;N$8,"FIN",(CA71-SUM(CC$25:CC70))*VLOOKUP($R71,$A:$Q,14,0)/VLOOKUP(N$15,$M$1:$O$4,2,0))</f>
        <v>0.39531250000000001</v>
      </c>
      <c r="CC71" s="257">
        <f t="shared" si="36"/>
        <v>2.75</v>
      </c>
      <c r="CD71" s="257">
        <f t="shared" si="67"/>
        <v>3.1453125000000002</v>
      </c>
      <c r="CE71" s="258">
        <f t="shared" si="86"/>
        <v>0.35126270568721912</v>
      </c>
      <c r="CF71" s="260">
        <v>99</v>
      </c>
      <c r="CG71" s="257">
        <f>+IF($R71&gt;O$8,"FIN",(CF71-SUM(CH$25:CH70))*VLOOKUP($R71,$A:$Q,15,0)/VLOOKUP(O$15,$M$1:$O$4,2,0))</f>
        <v>0.32656249999999998</v>
      </c>
      <c r="CH71" s="257">
        <f t="shared" si="39"/>
        <v>2.75</v>
      </c>
      <c r="CI71" s="257">
        <f t="shared" si="69"/>
        <v>3.0765625000000001</v>
      </c>
      <c r="CJ71" s="258">
        <f t="shared" si="87"/>
        <v>0.34358483233886461</v>
      </c>
      <c r="CK71" s="257"/>
      <c r="CL71" s="257"/>
      <c r="CM71" s="257"/>
      <c r="CN71" s="257"/>
      <c r="CO71" s="258"/>
      <c r="CP71" s="4"/>
      <c r="CQ71"/>
      <c r="CR71"/>
      <c r="CS71"/>
    </row>
    <row r="72" spans="1:97" ht="15" x14ac:dyDescent="0.25">
      <c r="A72" s="27">
        <f t="shared" si="43"/>
        <v>52611</v>
      </c>
      <c r="B72" s="263"/>
      <c r="C72" s="263"/>
      <c r="D72" s="263"/>
      <c r="E72" s="263"/>
      <c r="F72" s="263"/>
      <c r="G72" s="263"/>
      <c r="H72" s="263"/>
      <c r="I72" s="256"/>
      <c r="J72" s="256"/>
      <c r="K72" s="256"/>
      <c r="L72" s="256"/>
      <c r="M72" s="256"/>
      <c r="N72" s="256">
        <v>5.7500000000000002E-2</v>
      </c>
      <c r="O72" s="286">
        <v>4.7500000000000001E-2</v>
      </c>
      <c r="P72" s="259"/>
      <c r="Q72" s="2">
        <f t="shared" si="44"/>
        <v>2044</v>
      </c>
      <c r="R72" s="27">
        <f t="shared" si="45"/>
        <v>52611</v>
      </c>
      <c r="S72" s="261"/>
      <c r="T72" s="257"/>
      <c r="U72" s="257"/>
      <c r="V72" s="257"/>
      <c r="W72" s="262"/>
      <c r="X72" s="261"/>
      <c r="Y72" s="257"/>
      <c r="Z72" s="257"/>
      <c r="AA72" s="257"/>
      <c r="AB72" s="262"/>
      <c r="AC72" s="261"/>
      <c r="AD72" s="257"/>
      <c r="AE72" s="257"/>
      <c r="AF72" s="257"/>
      <c r="AG72" s="262"/>
      <c r="AH72" s="261"/>
      <c r="AI72" s="257"/>
      <c r="AJ72" s="257"/>
      <c r="AK72" s="257"/>
      <c r="AL72" s="262"/>
      <c r="AM72" s="261"/>
      <c r="AN72" s="257"/>
      <c r="AO72" s="257"/>
      <c r="AP72" s="257"/>
      <c r="AQ72" s="262"/>
      <c r="AR72" s="261"/>
      <c r="AS72" s="257"/>
      <c r="AT72" s="257"/>
      <c r="AU72" s="257"/>
      <c r="AV72" s="262"/>
      <c r="AW72" s="261"/>
      <c r="AX72" s="257"/>
      <c r="AY72" s="257"/>
      <c r="AZ72" s="257"/>
      <c r="BA72" s="262"/>
      <c r="BB72" s="261"/>
      <c r="BC72" s="257"/>
      <c r="BD72" s="257"/>
      <c r="BE72" s="257"/>
      <c r="BF72" s="262"/>
      <c r="BG72" s="261"/>
      <c r="BH72" s="257"/>
      <c r="BI72" s="257"/>
      <c r="BJ72" s="257"/>
      <c r="BK72" s="258"/>
      <c r="BL72" s="261"/>
      <c r="BM72" s="257"/>
      <c r="BN72" s="257"/>
      <c r="BO72" s="257"/>
      <c r="BP72" s="262"/>
      <c r="BQ72" s="257"/>
      <c r="BR72" s="257"/>
      <c r="BS72" s="257"/>
      <c r="BT72" s="257"/>
      <c r="BU72" s="258"/>
      <c r="BV72" s="257"/>
      <c r="BW72" s="257"/>
      <c r="BX72" s="257"/>
      <c r="BY72" s="257"/>
      <c r="BZ72" s="258"/>
      <c r="CA72" s="260">
        <v>99</v>
      </c>
      <c r="CB72" s="257">
        <f>+IF($R72&gt;N$8,"FIN",(CA72-SUM(CC$25:CC71))*VLOOKUP($R72,$A:$Q,14,0)/VLOOKUP(N$15,$M$1:$O$4,2,0))</f>
        <v>0.31625000000000003</v>
      </c>
      <c r="CC72" s="257">
        <f t="shared" si="36"/>
        <v>2.75</v>
      </c>
      <c r="CD72" s="257">
        <f t="shared" si="67"/>
        <v>3.0662500000000001</v>
      </c>
      <c r="CE72" s="258">
        <f t="shared" si="86"/>
        <v>0.32649719911693331</v>
      </c>
      <c r="CF72" s="260">
        <v>99</v>
      </c>
      <c r="CG72" s="257">
        <f>+IF($R72&gt;O$8,"FIN",(CF72-SUM(CH$25:CH71))*VLOOKUP($R72,$A:$Q,15,0)/VLOOKUP(O$15,$M$1:$O$4,2,0))</f>
        <v>0.26124999999999998</v>
      </c>
      <c r="CH72" s="257">
        <f t="shared" si="39"/>
        <v>2.75</v>
      </c>
      <c r="CI72" s="257">
        <f t="shared" si="69"/>
        <v>3.01125</v>
      </c>
      <c r="CJ72" s="258">
        <f t="shared" si="87"/>
        <v>0.32064074711483581</v>
      </c>
      <c r="CK72" s="257"/>
      <c r="CL72" s="257"/>
      <c r="CM72" s="257"/>
      <c r="CN72" s="257"/>
      <c r="CO72" s="258"/>
      <c r="CP72" s="4"/>
      <c r="CQ72"/>
      <c r="CR72"/>
      <c r="CS72"/>
    </row>
    <row r="73" spans="1:97" ht="15" x14ac:dyDescent="0.25">
      <c r="A73" s="27">
        <f t="shared" si="43"/>
        <v>52793</v>
      </c>
      <c r="B73" s="263"/>
      <c r="C73" s="263"/>
      <c r="D73" s="263"/>
      <c r="E73" s="263"/>
      <c r="F73" s="263"/>
      <c r="G73" s="263"/>
      <c r="H73" s="263"/>
      <c r="I73" s="256"/>
      <c r="J73" s="256"/>
      <c r="K73" s="256"/>
      <c r="L73" s="263"/>
      <c r="M73" s="263"/>
      <c r="N73" s="256">
        <v>5.7500000000000002E-2</v>
      </c>
      <c r="O73" s="286">
        <v>4.7500000000000001E-2</v>
      </c>
      <c r="P73" s="259"/>
      <c r="Q73" s="2">
        <f t="shared" si="44"/>
        <v>2044</v>
      </c>
      <c r="R73" s="27">
        <f t="shared" si="45"/>
        <v>52793</v>
      </c>
      <c r="S73" s="261"/>
      <c r="T73" s="257"/>
      <c r="U73" s="257"/>
      <c r="V73" s="257"/>
      <c r="W73" s="262"/>
      <c r="X73" s="261"/>
      <c r="Y73" s="257"/>
      <c r="Z73" s="257"/>
      <c r="AA73" s="257"/>
      <c r="AB73" s="262"/>
      <c r="AC73" s="261"/>
      <c r="AD73" s="257"/>
      <c r="AE73" s="257"/>
      <c r="AF73" s="257"/>
      <c r="AG73" s="262"/>
      <c r="AH73" s="261"/>
      <c r="AI73" s="257"/>
      <c r="AJ73" s="257"/>
      <c r="AK73" s="257"/>
      <c r="AL73" s="262"/>
      <c r="AM73" s="261"/>
      <c r="AN73" s="257"/>
      <c r="AO73" s="257"/>
      <c r="AP73" s="257"/>
      <c r="AQ73" s="262"/>
      <c r="AR73" s="261"/>
      <c r="AS73" s="257"/>
      <c r="AT73" s="257"/>
      <c r="AU73" s="257"/>
      <c r="AV73" s="262"/>
      <c r="AW73" s="261"/>
      <c r="AX73" s="257"/>
      <c r="AY73" s="257"/>
      <c r="AZ73" s="257"/>
      <c r="BA73" s="262"/>
      <c r="BB73" s="261"/>
      <c r="BC73" s="257"/>
      <c r="BD73" s="257"/>
      <c r="BE73" s="257"/>
      <c r="BF73" s="262"/>
      <c r="BG73" s="261"/>
      <c r="BH73" s="257"/>
      <c r="BI73" s="257"/>
      <c r="BJ73" s="257"/>
      <c r="BK73" s="258"/>
      <c r="BL73" s="261"/>
      <c r="BM73" s="257"/>
      <c r="BN73" s="257"/>
      <c r="BO73" s="257"/>
      <c r="BP73" s="262"/>
      <c r="BQ73" s="261"/>
      <c r="BR73" s="257"/>
      <c r="BS73" s="257"/>
      <c r="BT73" s="257"/>
      <c r="BU73" s="258"/>
      <c r="BV73" s="257"/>
      <c r="BW73" s="257"/>
      <c r="BX73" s="257"/>
      <c r="BY73" s="257"/>
      <c r="BZ73" s="258"/>
      <c r="CA73" s="260">
        <v>99</v>
      </c>
      <c r="CB73" s="257">
        <f>+IF($R73&gt;N$8,"FIN",(CA73-SUM(CC$25:CC72))*VLOOKUP($R73,$A:$Q,14,0)/VLOOKUP(N$15,$M$1:$O$4,2,0))</f>
        <v>0.23718750000000002</v>
      </c>
      <c r="CC73" s="257">
        <f t="shared" si="36"/>
        <v>2.75</v>
      </c>
      <c r="CD73" s="257">
        <f t="shared" si="67"/>
        <v>2.9871875000000001</v>
      </c>
      <c r="CE73" s="258">
        <f t="shared" si="86"/>
        <v>0.30327599726000343</v>
      </c>
      <c r="CF73" s="260">
        <v>99</v>
      </c>
      <c r="CG73" s="257">
        <f>+IF($R73&gt;O$8,"FIN",(CF73-SUM(CH$25:CH72))*VLOOKUP($R73,$A:$Q,15,0)/VLOOKUP(O$15,$M$1:$O$4,2,0))</f>
        <v>0.19593750000000001</v>
      </c>
      <c r="CH73" s="257">
        <f t="shared" si="39"/>
        <v>2.75</v>
      </c>
      <c r="CI73" s="257">
        <f t="shared" si="69"/>
        <v>2.9459374999999999</v>
      </c>
      <c r="CJ73" s="258">
        <f t="shared" si="87"/>
        <v>0.29908806634271917</v>
      </c>
      <c r="CK73" s="257"/>
      <c r="CL73" s="257"/>
      <c r="CM73" s="257"/>
      <c r="CN73" s="257"/>
      <c r="CO73" s="258"/>
      <c r="CP73" s="4"/>
      <c r="CQ73"/>
      <c r="CR73"/>
      <c r="CS73"/>
    </row>
    <row r="74" spans="1:97" ht="15" x14ac:dyDescent="0.25">
      <c r="A74" s="27">
        <f t="shared" si="43"/>
        <v>52977</v>
      </c>
      <c r="B74" s="263"/>
      <c r="C74" s="263"/>
      <c r="D74" s="263"/>
      <c r="E74" s="263"/>
      <c r="F74" s="263"/>
      <c r="G74" s="263"/>
      <c r="H74" s="263"/>
      <c r="I74" s="256"/>
      <c r="J74" s="256"/>
      <c r="K74" s="256"/>
      <c r="L74" s="263"/>
      <c r="M74" s="263"/>
      <c r="N74" s="256">
        <v>5.7500000000000002E-2</v>
      </c>
      <c r="O74" s="286">
        <v>4.7500000000000001E-2</v>
      </c>
      <c r="P74" s="259"/>
      <c r="Q74" s="2">
        <f t="shared" si="44"/>
        <v>2045</v>
      </c>
      <c r="R74" s="27">
        <f t="shared" si="45"/>
        <v>52977</v>
      </c>
      <c r="S74" s="261"/>
      <c r="T74" s="257"/>
      <c r="U74" s="257"/>
      <c r="V74" s="257"/>
      <c r="W74" s="262"/>
      <c r="X74" s="261"/>
      <c r="Y74" s="257"/>
      <c r="Z74" s="257"/>
      <c r="AA74" s="257"/>
      <c r="AB74" s="262"/>
      <c r="AC74" s="261"/>
      <c r="AD74" s="257"/>
      <c r="AE74" s="257"/>
      <c r="AF74" s="257"/>
      <c r="AG74" s="262"/>
      <c r="AH74" s="261"/>
      <c r="AI74" s="257"/>
      <c r="AJ74" s="257"/>
      <c r="AK74" s="257"/>
      <c r="AL74" s="262"/>
      <c r="AM74" s="261"/>
      <c r="AN74" s="257"/>
      <c r="AO74" s="257"/>
      <c r="AP74" s="257"/>
      <c r="AQ74" s="262"/>
      <c r="AR74" s="261"/>
      <c r="AS74" s="257"/>
      <c r="AT74" s="257"/>
      <c r="AU74" s="257"/>
      <c r="AV74" s="262"/>
      <c r="AW74" s="261"/>
      <c r="AX74" s="257"/>
      <c r="AY74" s="257"/>
      <c r="AZ74" s="257"/>
      <c r="BA74" s="262"/>
      <c r="BB74" s="261"/>
      <c r="BC74" s="257"/>
      <c r="BD74" s="257"/>
      <c r="BE74" s="257"/>
      <c r="BF74" s="262"/>
      <c r="BG74" s="261"/>
      <c r="BH74" s="257"/>
      <c r="BI74" s="257"/>
      <c r="BJ74" s="257"/>
      <c r="BK74" s="258"/>
      <c r="BL74" s="261"/>
      <c r="BM74" s="257"/>
      <c r="BN74" s="257"/>
      <c r="BO74" s="257"/>
      <c r="BP74" s="262"/>
      <c r="BQ74" s="261"/>
      <c r="BR74" s="257"/>
      <c r="BS74" s="257"/>
      <c r="BT74" s="257"/>
      <c r="BU74" s="262"/>
      <c r="BV74" s="261"/>
      <c r="BW74" s="257"/>
      <c r="BX74" s="257"/>
      <c r="BY74" s="257"/>
      <c r="BZ74" s="262"/>
      <c r="CA74" s="260">
        <v>99</v>
      </c>
      <c r="CB74" s="257">
        <f>+IF($R74&gt;N$8,"FIN",(CA74-SUM(CC$25:CC73))*VLOOKUP($R74,$A:$Q,14,0)/VLOOKUP(N$15,$M$1:$O$4,2,0))</f>
        <v>0.15812500000000002</v>
      </c>
      <c r="CC74" s="257">
        <f t="shared" si="36"/>
        <v>2.75</v>
      </c>
      <c r="CD74" s="257">
        <f t="shared" si="67"/>
        <v>2.9081250000000001</v>
      </c>
      <c r="CE74" s="258">
        <f t="shared" si="86"/>
        <v>0.28150899964627557</v>
      </c>
      <c r="CF74" s="260">
        <v>99</v>
      </c>
      <c r="CG74" s="257">
        <f>+IF($R74&gt;O$8,"FIN",(CF74-SUM(CH$25:CH73))*VLOOKUP($R74,$A:$Q,15,0)/VLOOKUP(O$15,$M$1:$O$4,2,0))</f>
        <v>0.13062499999999999</v>
      </c>
      <c r="CH74" s="257">
        <f t="shared" si="39"/>
        <v>2.75</v>
      </c>
      <c r="CI74" s="257">
        <f t="shared" si="69"/>
        <v>2.8806250000000002</v>
      </c>
      <c r="CJ74" s="258">
        <f t="shared" si="87"/>
        <v>0.27884697600895852</v>
      </c>
      <c r="CK74" s="257"/>
      <c r="CL74" s="257"/>
      <c r="CM74" s="257"/>
      <c r="CN74" s="257"/>
      <c r="CO74" s="258"/>
      <c r="CP74" s="4"/>
      <c r="CQ74"/>
      <c r="CR74"/>
      <c r="CS74"/>
    </row>
    <row r="75" spans="1:97" ht="15" x14ac:dyDescent="0.25">
      <c r="A75" s="27">
        <f t="shared" si="43"/>
        <v>53158</v>
      </c>
      <c r="B75" s="263"/>
      <c r="C75" s="263"/>
      <c r="D75" s="263"/>
      <c r="E75" s="263"/>
      <c r="F75" s="263"/>
      <c r="G75" s="263"/>
      <c r="H75" s="263"/>
      <c r="I75" s="256"/>
      <c r="J75" s="256"/>
      <c r="K75" s="256"/>
      <c r="L75" s="263"/>
      <c r="M75" s="263"/>
      <c r="N75" s="256">
        <v>5.7500000000000002E-2</v>
      </c>
      <c r="O75" s="286">
        <v>4.7500000000000001E-2</v>
      </c>
      <c r="P75" s="259"/>
      <c r="Q75" s="2">
        <f t="shared" si="44"/>
        <v>2045</v>
      </c>
      <c r="R75" s="27">
        <f t="shared" si="45"/>
        <v>53158</v>
      </c>
      <c r="S75" s="261"/>
      <c r="T75" s="257"/>
      <c r="U75" s="257"/>
      <c r="V75" s="257"/>
      <c r="W75" s="262"/>
      <c r="X75" s="261"/>
      <c r="Y75" s="257"/>
      <c r="Z75" s="257"/>
      <c r="AA75" s="257"/>
      <c r="AB75" s="262"/>
      <c r="AC75" s="261"/>
      <c r="AD75" s="257"/>
      <c r="AE75" s="257"/>
      <c r="AF75" s="257"/>
      <c r="AG75" s="262"/>
      <c r="AH75" s="261"/>
      <c r="AI75" s="257"/>
      <c r="AJ75" s="257"/>
      <c r="AK75" s="257"/>
      <c r="AL75" s="262"/>
      <c r="AM75" s="261"/>
      <c r="AN75" s="257"/>
      <c r="AO75" s="257"/>
      <c r="AP75" s="257"/>
      <c r="AQ75" s="262"/>
      <c r="AR75" s="261"/>
      <c r="AS75" s="257"/>
      <c r="AT75" s="257"/>
      <c r="AU75" s="257"/>
      <c r="AV75" s="262"/>
      <c r="AW75" s="261"/>
      <c r="AX75" s="257"/>
      <c r="AY75" s="257"/>
      <c r="AZ75" s="257"/>
      <c r="BA75" s="262"/>
      <c r="BB75" s="261"/>
      <c r="BC75" s="257"/>
      <c r="BD75" s="257"/>
      <c r="BE75" s="257"/>
      <c r="BF75" s="262"/>
      <c r="BG75" s="261"/>
      <c r="BH75" s="257"/>
      <c r="BI75" s="257"/>
      <c r="BJ75" s="257"/>
      <c r="BK75" s="258"/>
      <c r="BL75" s="261"/>
      <c r="BM75" s="257"/>
      <c r="BN75" s="257"/>
      <c r="BO75" s="257"/>
      <c r="BP75" s="262"/>
      <c r="BQ75" s="261"/>
      <c r="BR75" s="257"/>
      <c r="BS75" s="257"/>
      <c r="BT75" s="257"/>
      <c r="BU75" s="262"/>
      <c r="BV75" s="261"/>
      <c r="BW75" s="257"/>
      <c r="BX75" s="257"/>
      <c r="BY75" s="257"/>
      <c r="BZ75" s="262"/>
      <c r="CA75" s="260">
        <v>99</v>
      </c>
      <c r="CB75" s="257">
        <f>+IF($R75&gt;N$8,"FIN",(CA75-SUM(CC$25:CC74))*VLOOKUP($R75,$A:$Q,14,0)/VLOOKUP(N$15,$M$1:$O$4,2,0))</f>
        <v>7.9062500000000008E-2</v>
      </c>
      <c r="CC75" s="257">
        <f t="shared" si="36"/>
        <v>2.75</v>
      </c>
      <c r="CD75" s="257">
        <f t="shared" si="67"/>
        <v>2.8290625</v>
      </c>
      <c r="CE75" s="258">
        <f t="shared" si="86"/>
        <v>0.26111114734280028</v>
      </c>
      <c r="CF75" s="260">
        <v>99</v>
      </c>
      <c r="CG75" s="257">
        <f>+IF($R75&gt;O$8,"FIN",(CF75-SUM(CH$25:CH74))*VLOOKUP($R75,$A:$Q,15,0)/VLOOKUP(O$15,$M$1:$O$4,2,0))</f>
        <v>6.5312499999999996E-2</v>
      </c>
      <c r="CH75" s="257">
        <f t="shared" si="39"/>
        <v>2.75</v>
      </c>
      <c r="CI75" s="257">
        <f t="shared" si="69"/>
        <v>2.8153125000000001</v>
      </c>
      <c r="CJ75" s="258">
        <f t="shared" si="87"/>
        <v>0.25984207736786563</v>
      </c>
      <c r="CK75" s="257"/>
      <c r="CL75" s="257"/>
      <c r="CM75" s="257"/>
      <c r="CN75" s="257"/>
      <c r="CO75" s="258"/>
      <c r="CP75" s="4"/>
      <c r="CQ75"/>
      <c r="CR75"/>
      <c r="CS75"/>
    </row>
    <row r="76" spans="1:97" ht="15" x14ac:dyDescent="0.25">
      <c r="A76" s="27">
        <f t="shared" si="43"/>
        <v>53342</v>
      </c>
      <c r="B76" s="263"/>
      <c r="C76" s="263"/>
      <c r="D76" s="263"/>
      <c r="E76" s="263"/>
      <c r="F76" s="263"/>
      <c r="G76" s="263"/>
      <c r="H76" s="263"/>
      <c r="I76" s="256"/>
      <c r="J76" s="256"/>
      <c r="K76" s="256"/>
      <c r="L76" s="263"/>
      <c r="M76" s="263"/>
      <c r="N76" s="256"/>
      <c r="O76" s="286"/>
      <c r="P76" s="259"/>
      <c r="Q76" s="2">
        <f t="shared" si="44"/>
        <v>2046</v>
      </c>
      <c r="R76" s="27">
        <f t="shared" si="45"/>
        <v>53342</v>
      </c>
      <c r="S76" s="261"/>
      <c r="T76" s="257"/>
      <c r="U76" s="257"/>
      <c r="V76" s="257"/>
      <c r="W76" s="262"/>
      <c r="X76" s="261"/>
      <c r="Y76" s="257"/>
      <c r="Z76" s="257"/>
      <c r="AA76" s="257"/>
      <c r="AB76" s="262"/>
      <c r="AC76" s="261"/>
      <c r="AD76" s="257"/>
      <c r="AE76" s="257"/>
      <c r="AF76" s="257"/>
      <c r="AG76" s="262"/>
      <c r="AH76" s="261"/>
      <c r="AI76" s="257"/>
      <c r="AJ76" s="257"/>
      <c r="AK76" s="257"/>
      <c r="AL76" s="262"/>
      <c r="AM76" s="261"/>
      <c r="AN76" s="257"/>
      <c r="AO76" s="257"/>
      <c r="AP76" s="257"/>
      <c r="AQ76" s="262"/>
      <c r="AR76" s="261"/>
      <c r="AS76" s="257"/>
      <c r="AT76" s="257"/>
      <c r="AU76" s="257"/>
      <c r="AV76" s="262"/>
      <c r="AW76" s="261"/>
      <c r="AX76" s="257"/>
      <c r="AY76" s="257"/>
      <c r="AZ76" s="257"/>
      <c r="BA76" s="262"/>
      <c r="BB76" s="261"/>
      <c r="BC76" s="257"/>
      <c r="BD76" s="257"/>
      <c r="BE76" s="257"/>
      <c r="BF76" s="262"/>
      <c r="BG76" s="261"/>
      <c r="BH76" s="257"/>
      <c r="BI76" s="257"/>
      <c r="BJ76" s="257"/>
      <c r="BK76" s="258"/>
      <c r="BL76" s="261"/>
      <c r="BM76" s="257"/>
      <c r="BN76" s="257"/>
      <c r="BO76" s="257"/>
      <c r="BP76" s="262"/>
      <c r="BQ76" s="261"/>
      <c r="BR76" s="257"/>
      <c r="BS76" s="257"/>
      <c r="BT76" s="257"/>
      <c r="BU76" s="262"/>
      <c r="BV76" s="261"/>
      <c r="BW76" s="257"/>
      <c r="BX76" s="257"/>
      <c r="BY76" s="257"/>
      <c r="BZ76" s="262"/>
      <c r="CA76" s="257"/>
      <c r="CB76" s="257"/>
      <c r="CC76" s="257"/>
      <c r="CD76" s="257"/>
      <c r="CE76" s="258"/>
      <c r="CF76" s="257"/>
      <c r="CG76" s="257"/>
      <c r="CH76" s="257"/>
      <c r="CI76" s="257"/>
      <c r="CJ76" s="258"/>
      <c r="CK76" s="257"/>
      <c r="CL76" s="257"/>
      <c r="CM76" s="257"/>
      <c r="CN76" s="257"/>
      <c r="CO76" s="258"/>
      <c r="CP76" s="4"/>
      <c r="CQ76"/>
      <c r="CR76"/>
      <c r="CS76"/>
    </row>
    <row r="77" spans="1:97" ht="15" x14ac:dyDescent="0.25">
      <c r="A77" s="27">
        <f t="shared" si="43"/>
        <v>53523</v>
      </c>
      <c r="B77" s="263"/>
      <c r="C77" s="263"/>
      <c r="D77" s="263"/>
      <c r="E77" s="263"/>
      <c r="F77" s="263"/>
      <c r="G77" s="263"/>
      <c r="H77" s="263"/>
      <c r="I77" s="256"/>
      <c r="J77" s="256"/>
      <c r="K77" s="256"/>
      <c r="L77" s="263"/>
      <c r="M77" s="263"/>
      <c r="N77" s="256"/>
      <c r="O77" s="286"/>
      <c r="P77" s="259"/>
      <c r="Q77" s="2">
        <f t="shared" si="44"/>
        <v>2046</v>
      </c>
      <c r="R77" s="27">
        <f t="shared" si="45"/>
        <v>53523</v>
      </c>
      <c r="S77" s="261"/>
      <c r="T77" s="257"/>
      <c r="U77" s="257"/>
      <c r="V77" s="257"/>
      <c r="W77" s="262"/>
      <c r="X77" s="261"/>
      <c r="Y77" s="257"/>
      <c r="Z77" s="257"/>
      <c r="AA77" s="257"/>
      <c r="AB77" s="262"/>
      <c r="AC77" s="261"/>
      <c r="AD77" s="257"/>
      <c r="AE77" s="257"/>
      <c r="AF77" s="257"/>
      <c r="AG77" s="262"/>
      <c r="AH77" s="261"/>
      <c r="AI77" s="257"/>
      <c r="AJ77" s="257"/>
      <c r="AK77" s="257"/>
      <c r="AL77" s="262"/>
      <c r="AM77" s="261"/>
      <c r="AN77" s="257"/>
      <c r="AO77" s="257"/>
      <c r="AP77" s="257"/>
      <c r="AQ77" s="262"/>
      <c r="AR77" s="261"/>
      <c r="AS77" s="257"/>
      <c r="AT77" s="257"/>
      <c r="AU77" s="257"/>
      <c r="AV77" s="262"/>
      <c r="AW77" s="261"/>
      <c r="AX77" s="257"/>
      <c r="AY77" s="257"/>
      <c r="AZ77" s="257"/>
      <c r="BA77" s="262"/>
      <c r="BB77" s="261"/>
      <c r="BC77" s="257"/>
      <c r="BD77" s="257"/>
      <c r="BE77" s="257"/>
      <c r="BF77" s="262"/>
      <c r="BG77" s="261"/>
      <c r="BH77" s="257"/>
      <c r="BI77" s="257"/>
      <c r="BJ77" s="257"/>
      <c r="BK77" s="258"/>
      <c r="BL77" s="261"/>
      <c r="BM77" s="257"/>
      <c r="BN77" s="257"/>
      <c r="BO77" s="257"/>
      <c r="BP77" s="262"/>
      <c r="BQ77" s="261"/>
      <c r="BR77" s="257"/>
      <c r="BS77" s="257"/>
      <c r="BT77" s="257"/>
      <c r="BU77" s="262"/>
      <c r="BV77" s="261"/>
      <c r="BW77" s="257"/>
      <c r="BX77" s="257"/>
      <c r="BY77" s="257"/>
      <c r="BZ77" s="262"/>
      <c r="CA77" s="257"/>
      <c r="CB77" s="257"/>
      <c r="CC77" s="257"/>
      <c r="CD77" s="257"/>
      <c r="CE77" s="258"/>
      <c r="CF77" s="257"/>
      <c r="CG77" s="257"/>
      <c r="CH77" s="257"/>
      <c r="CI77" s="257"/>
      <c r="CJ77" s="258"/>
      <c r="CK77" s="257"/>
      <c r="CL77" s="257"/>
      <c r="CM77" s="257"/>
      <c r="CN77" s="257"/>
      <c r="CO77" s="258"/>
      <c r="CP77" s="4"/>
      <c r="CQ77"/>
      <c r="CR77"/>
      <c r="CS77"/>
    </row>
    <row r="78" spans="1:97" ht="15" x14ac:dyDescent="0.25">
      <c r="A78" s="27">
        <f t="shared" si="43"/>
        <v>53707</v>
      </c>
      <c r="B78" s="263"/>
      <c r="C78" s="263"/>
      <c r="D78" s="263"/>
      <c r="E78" s="263"/>
      <c r="F78" s="263"/>
      <c r="G78" s="263"/>
      <c r="H78" s="263"/>
      <c r="I78" s="256"/>
      <c r="J78" s="256"/>
      <c r="K78" s="256"/>
      <c r="L78" s="263"/>
      <c r="M78" s="263"/>
      <c r="N78" s="256"/>
      <c r="O78" s="286"/>
      <c r="P78" s="259"/>
      <c r="Q78" s="2">
        <f t="shared" si="44"/>
        <v>2047</v>
      </c>
      <c r="R78" s="27">
        <f t="shared" si="45"/>
        <v>53707</v>
      </c>
      <c r="S78" s="261"/>
      <c r="T78" s="257"/>
      <c r="U78" s="257"/>
      <c r="V78" s="257"/>
      <c r="W78" s="262"/>
      <c r="X78" s="261"/>
      <c r="Y78" s="257"/>
      <c r="Z78" s="257"/>
      <c r="AA78" s="257"/>
      <c r="AB78" s="262"/>
      <c r="AC78" s="261"/>
      <c r="AD78" s="257"/>
      <c r="AE78" s="257"/>
      <c r="AF78" s="257"/>
      <c r="AG78" s="262"/>
      <c r="AH78" s="261"/>
      <c r="AI78" s="257"/>
      <c r="AJ78" s="257"/>
      <c r="AK78" s="257"/>
      <c r="AL78" s="262"/>
      <c r="AM78" s="261"/>
      <c r="AN78" s="257"/>
      <c r="AO78" s="257"/>
      <c r="AP78" s="257"/>
      <c r="AQ78" s="262"/>
      <c r="AR78" s="261"/>
      <c r="AS78" s="257"/>
      <c r="AT78" s="257"/>
      <c r="AU78" s="257"/>
      <c r="AV78" s="262"/>
      <c r="AW78" s="261"/>
      <c r="AX78" s="257"/>
      <c r="AY78" s="257"/>
      <c r="AZ78" s="257"/>
      <c r="BA78" s="262"/>
      <c r="BB78" s="261"/>
      <c r="BC78" s="257"/>
      <c r="BD78" s="257"/>
      <c r="BE78" s="257"/>
      <c r="BF78" s="262"/>
      <c r="BG78" s="261"/>
      <c r="BH78" s="257"/>
      <c r="BI78" s="257"/>
      <c r="BJ78" s="257"/>
      <c r="BK78" s="258"/>
      <c r="BL78" s="261"/>
      <c r="BM78" s="257"/>
      <c r="BN78" s="257"/>
      <c r="BO78" s="257"/>
      <c r="BP78" s="262"/>
      <c r="BQ78" s="261"/>
      <c r="BR78" s="257"/>
      <c r="BS78" s="257"/>
      <c r="BT78" s="257"/>
      <c r="BU78" s="262"/>
      <c r="BV78" s="261"/>
      <c r="BW78" s="257"/>
      <c r="BX78" s="257"/>
      <c r="BY78" s="257"/>
      <c r="BZ78" s="262"/>
      <c r="CA78" s="257"/>
      <c r="CB78" s="257"/>
      <c r="CC78" s="257"/>
      <c r="CD78" s="257"/>
      <c r="CE78" s="258"/>
      <c r="CF78" s="257"/>
      <c r="CG78" s="257"/>
      <c r="CH78" s="257"/>
      <c r="CI78" s="257"/>
      <c r="CJ78" s="258"/>
      <c r="CK78" s="257"/>
      <c r="CL78" s="257"/>
      <c r="CM78" s="257"/>
      <c r="CN78" s="257"/>
      <c r="CO78" s="258"/>
      <c r="CP78" s="4"/>
      <c r="CQ78"/>
      <c r="CR78"/>
      <c r="CS78"/>
    </row>
    <row r="79" spans="1:97" ht="15" x14ac:dyDescent="0.25">
      <c r="A79" s="27">
        <f t="shared" si="43"/>
        <v>53888</v>
      </c>
      <c r="B79" s="263"/>
      <c r="C79" s="263"/>
      <c r="D79" s="263"/>
      <c r="E79" s="263"/>
      <c r="F79" s="263"/>
      <c r="G79" s="263"/>
      <c r="H79" s="263"/>
      <c r="I79" s="256"/>
      <c r="J79" s="256"/>
      <c r="K79" s="256"/>
      <c r="L79" s="263"/>
      <c r="M79" s="263"/>
      <c r="N79" s="256"/>
      <c r="O79" s="286"/>
      <c r="P79" s="259"/>
      <c r="Q79" s="2">
        <f t="shared" si="44"/>
        <v>2047</v>
      </c>
      <c r="R79" s="27">
        <f t="shared" si="45"/>
        <v>53888</v>
      </c>
      <c r="S79" s="261"/>
      <c r="T79" s="257"/>
      <c r="U79" s="257"/>
      <c r="V79" s="257"/>
      <c r="W79" s="262"/>
      <c r="X79" s="261"/>
      <c r="Y79" s="257"/>
      <c r="Z79" s="257"/>
      <c r="AA79" s="257"/>
      <c r="AB79" s="262"/>
      <c r="AC79" s="261"/>
      <c r="AD79" s="257"/>
      <c r="AE79" s="257"/>
      <c r="AF79" s="257"/>
      <c r="AG79" s="262"/>
      <c r="AH79" s="261"/>
      <c r="AI79" s="257"/>
      <c r="AJ79" s="257"/>
      <c r="AK79" s="257"/>
      <c r="AL79" s="262"/>
      <c r="AM79" s="261"/>
      <c r="AN79" s="257"/>
      <c r="AO79" s="257"/>
      <c r="AP79" s="257"/>
      <c r="AQ79" s="262"/>
      <c r="AR79" s="261"/>
      <c r="AS79" s="257"/>
      <c r="AT79" s="257"/>
      <c r="AU79" s="257"/>
      <c r="AV79" s="262"/>
      <c r="AW79" s="261"/>
      <c r="AX79" s="257"/>
      <c r="AY79" s="257"/>
      <c r="AZ79" s="257"/>
      <c r="BA79" s="262"/>
      <c r="BB79" s="261"/>
      <c r="BC79" s="257"/>
      <c r="BD79" s="257"/>
      <c r="BE79" s="257"/>
      <c r="BF79" s="262"/>
      <c r="BG79" s="261"/>
      <c r="BH79" s="257"/>
      <c r="BI79" s="257"/>
      <c r="BJ79" s="257"/>
      <c r="BK79" s="258"/>
      <c r="BL79" s="261"/>
      <c r="BM79" s="257"/>
      <c r="BN79" s="257"/>
      <c r="BO79" s="257"/>
      <c r="BP79" s="262"/>
      <c r="BQ79" s="261"/>
      <c r="BR79" s="257"/>
      <c r="BS79" s="257"/>
      <c r="BT79" s="257"/>
      <c r="BU79" s="262"/>
      <c r="BV79" s="261"/>
      <c r="BW79" s="257"/>
      <c r="BX79" s="257"/>
      <c r="BY79" s="257"/>
      <c r="BZ79" s="262"/>
      <c r="CA79" s="257"/>
      <c r="CB79" s="257"/>
      <c r="CC79" s="257"/>
      <c r="CD79" s="257"/>
      <c r="CE79" s="258"/>
      <c r="CF79" s="257"/>
      <c r="CG79" s="257"/>
      <c r="CH79" s="257"/>
      <c r="CI79" s="257"/>
      <c r="CJ79" s="258"/>
      <c r="CK79" s="257"/>
      <c r="CL79" s="257"/>
      <c r="CM79" s="257"/>
      <c r="CN79" s="257"/>
      <c r="CO79" s="258"/>
      <c r="CP79" s="4"/>
      <c r="CQ79"/>
      <c r="CR79"/>
      <c r="CS79"/>
    </row>
    <row r="80" spans="1:97" ht="15" x14ac:dyDescent="0.25">
      <c r="A80" s="251">
        <f t="shared" si="43"/>
        <v>54072</v>
      </c>
      <c r="B80" s="264"/>
      <c r="C80" s="264"/>
      <c r="D80" s="264"/>
      <c r="E80" s="264"/>
      <c r="F80" s="264"/>
      <c r="G80" s="264"/>
      <c r="H80" s="264"/>
      <c r="I80" s="265"/>
      <c r="J80" s="265"/>
      <c r="K80" s="265"/>
      <c r="L80" s="264"/>
      <c r="M80" s="264"/>
      <c r="N80" s="265"/>
      <c r="O80" s="265"/>
      <c r="P80" s="266"/>
      <c r="Q80" s="2">
        <f t="shared" si="44"/>
        <v>2048</v>
      </c>
      <c r="R80" s="27">
        <f t="shared" si="45"/>
        <v>54072</v>
      </c>
      <c r="S80" s="261"/>
      <c r="T80" s="257"/>
      <c r="U80" s="257"/>
      <c r="V80" s="257"/>
      <c r="W80" s="262"/>
      <c r="X80" s="261"/>
      <c r="Y80" s="257"/>
      <c r="Z80" s="257"/>
      <c r="AA80" s="257"/>
      <c r="AB80" s="262"/>
      <c r="AC80" s="261"/>
      <c r="AD80" s="257"/>
      <c r="AE80" s="257"/>
      <c r="AF80" s="257"/>
      <c r="AG80" s="262"/>
      <c r="AH80" s="261"/>
      <c r="AI80" s="257"/>
      <c r="AJ80" s="257"/>
      <c r="AK80" s="257"/>
      <c r="AL80" s="262"/>
      <c r="AM80" s="261"/>
      <c r="AN80" s="257"/>
      <c r="AO80" s="257"/>
      <c r="AP80" s="257"/>
      <c r="AQ80" s="262"/>
      <c r="AR80" s="261"/>
      <c r="AS80" s="257"/>
      <c r="AT80" s="257"/>
      <c r="AU80" s="257"/>
      <c r="AV80" s="262"/>
      <c r="AW80" s="261"/>
      <c r="AX80" s="257"/>
      <c r="AY80" s="257"/>
      <c r="AZ80" s="257"/>
      <c r="BA80" s="262"/>
      <c r="BB80" s="261"/>
      <c r="BC80" s="257"/>
      <c r="BD80" s="257"/>
      <c r="BE80" s="257"/>
      <c r="BF80" s="262"/>
      <c r="BG80" s="261"/>
      <c r="BH80" s="257"/>
      <c r="BI80" s="257"/>
      <c r="BJ80" s="257"/>
      <c r="BK80" s="258"/>
      <c r="BL80" s="261"/>
      <c r="BM80" s="257"/>
      <c r="BN80" s="257"/>
      <c r="BO80" s="257"/>
      <c r="BP80" s="262"/>
      <c r="BQ80" s="261"/>
      <c r="BR80" s="257"/>
      <c r="BS80" s="257"/>
      <c r="BT80" s="257"/>
      <c r="BU80" s="262"/>
      <c r="BV80" s="261"/>
      <c r="BW80" s="257"/>
      <c r="BX80" s="257"/>
      <c r="BY80" s="257"/>
      <c r="BZ80" s="262"/>
      <c r="CA80" s="257"/>
      <c r="CB80" s="257"/>
      <c r="CC80" s="257"/>
      <c r="CD80" s="257"/>
      <c r="CE80" s="258"/>
      <c r="CF80" s="257"/>
      <c r="CG80" s="257"/>
      <c r="CH80" s="257"/>
      <c r="CI80" s="257"/>
      <c r="CJ80" s="258"/>
      <c r="CK80" s="257"/>
      <c r="CL80" s="257"/>
      <c r="CM80" s="257"/>
      <c r="CN80" s="257"/>
      <c r="CO80" s="258"/>
      <c r="CP80" s="4"/>
      <c r="CQ80"/>
      <c r="CR80"/>
      <c r="CS80"/>
    </row>
    <row r="81" spans="1:97" ht="15" x14ac:dyDescent="0.25">
      <c r="A81" s="3"/>
      <c r="R81" s="251"/>
      <c r="S81" s="261"/>
      <c r="T81" s="261"/>
      <c r="U81" s="261"/>
      <c r="V81" s="261"/>
      <c r="W81" s="262"/>
      <c r="X81" s="261"/>
      <c r="Y81" s="261"/>
      <c r="Z81" s="261"/>
      <c r="AA81" s="261"/>
      <c r="AB81" s="262"/>
      <c r="AC81" s="261"/>
      <c r="AD81" s="261"/>
      <c r="AE81" s="261"/>
      <c r="AF81" s="261"/>
      <c r="AG81" s="262"/>
      <c r="AH81" s="261"/>
      <c r="AI81" s="261"/>
      <c r="AJ81" s="261"/>
      <c r="AK81" s="261"/>
      <c r="AL81" s="262"/>
      <c r="AM81" s="261"/>
      <c r="AN81" s="261"/>
      <c r="AO81" s="261"/>
      <c r="AP81" s="261"/>
      <c r="AQ81" s="262"/>
      <c r="AR81" s="261"/>
      <c r="AS81" s="261"/>
      <c r="AT81" s="261"/>
      <c r="AU81" s="261"/>
      <c r="AV81" s="262"/>
      <c r="AW81" s="261"/>
      <c r="AX81" s="261"/>
      <c r="AY81" s="261"/>
      <c r="AZ81" s="261"/>
      <c r="BA81" s="262"/>
      <c r="BB81" s="261"/>
      <c r="BC81" s="261"/>
      <c r="BD81" s="261"/>
      <c r="BE81" s="261"/>
      <c r="BF81" s="262"/>
      <c r="BG81" s="261"/>
      <c r="BH81" s="261"/>
      <c r="BI81" s="261"/>
      <c r="BJ81" s="261"/>
      <c r="BK81" s="262"/>
      <c r="BL81" s="261"/>
      <c r="BM81" s="261"/>
      <c r="BN81" s="261"/>
      <c r="BO81" s="261"/>
      <c r="BP81" s="262"/>
      <c r="BQ81" s="261"/>
      <c r="BR81" s="261"/>
      <c r="BS81" s="257"/>
      <c r="BT81" s="257"/>
      <c r="BU81" s="262"/>
      <c r="BV81" s="261"/>
      <c r="BW81" s="261"/>
      <c r="BX81" s="261"/>
      <c r="BY81" s="261"/>
      <c r="BZ81" s="262"/>
      <c r="CA81" s="261"/>
      <c r="CB81" s="257"/>
      <c r="CC81" s="261"/>
      <c r="CD81" s="261"/>
      <c r="CE81" s="262"/>
      <c r="CF81" s="261"/>
      <c r="CG81" s="261"/>
      <c r="CH81" s="261"/>
      <c r="CI81" s="261"/>
      <c r="CJ81" s="262"/>
      <c r="CK81" s="261"/>
      <c r="CL81" s="257"/>
      <c r="CM81" s="261"/>
      <c r="CN81" s="261"/>
      <c r="CO81" s="262"/>
      <c r="CP81" s="4"/>
      <c r="CQ81"/>
      <c r="CR81"/>
      <c r="CS81"/>
    </row>
    <row r="82" spans="1:97" ht="15" x14ac:dyDescent="0.25">
      <c r="R82" s="56" t="s">
        <v>45</v>
      </c>
      <c r="S82" s="58"/>
      <c r="T82" s="58">
        <f t="shared" ref="T82:U82" si="88">+SUM(T25:T81)</f>
        <v>6.75</v>
      </c>
      <c r="U82" s="58">
        <f t="shared" si="88"/>
        <v>100</v>
      </c>
      <c r="V82" s="58"/>
      <c r="W82" s="59">
        <f t="shared" ref="W82:Z82" si="89">+SUM(W25:W81)</f>
        <v>61.355115063241328</v>
      </c>
      <c r="X82" s="58"/>
      <c r="Y82" s="58">
        <f t="shared" si="89"/>
        <v>1</v>
      </c>
      <c r="Z82" s="58">
        <f t="shared" si="89"/>
        <v>100</v>
      </c>
      <c r="AA82" s="58"/>
      <c r="AB82" s="59">
        <f t="shared" ref="AB82" si="90">+SUM(AB25:AB81)</f>
        <v>57.281866895780063</v>
      </c>
      <c r="AC82" s="58"/>
      <c r="AD82" s="58">
        <f t="shared" ref="AD82:CJ82" si="91">+SUM(AD25:AD81)</f>
        <v>25.6</v>
      </c>
      <c r="AE82" s="58">
        <f t="shared" si="91"/>
        <v>100.00000000000001</v>
      </c>
      <c r="AF82" s="58"/>
      <c r="AG82" s="59">
        <f t="shared" si="91"/>
        <v>58.985598324195792</v>
      </c>
      <c r="AH82" s="58"/>
      <c r="AI82" s="58">
        <f t="shared" si="91"/>
        <v>17.100000000000001</v>
      </c>
      <c r="AJ82" s="58">
        <f t="shared" si="91"/>
        <v>100.00000000000001</v>
      </c>
      <c r="AK82" s="58"/>
      <c r="AL82" s="59">
        <f t="shared" si="91"/>
        <v>53.607900135921518</v>
      </c>
      <c r="AM82" s="58"/>
      <c r="AN82" s="58">
        <f t="shared" si="91"/>
        <v>47.787500000000009</v>
      </c>
      <c r="AO82" s="58">
        <f t="shared" si="91"/>
        <v>100.00000000000001</v>
      </c>
      <c r="AP82" s="58"/>
      <c r="AQ82" s="59">
        <f t="shared" si="91"/>
        <v>57.063287586198477</v>
      </c>
      <c r="AR82" s="58"/>
      <c r="AS82" s="58">
        <f t="shared" si="91"/>
        <v>36.287499999999994</v>
      </c>
      <c r="AT82" s="58">
        <f t="shared" si="91"/>
        <v>100.00000000000001</v>
      </c>
      <c r="AU82" s="58"/>
      <c r="AV82" s="59">
        <f t="shared" si="91"/>
        <v>50.529607074850226</v>
      </c>
      <c r="AW82" s="58"/>
      <c r="AX82" s="58">
        <f t="shared" si="91"/>
        <v>67.728374999999986</v>
      </c>
      <c r="AY82" s="58">
        <f t="shared" si="91"/>
        <v>99</v>
      </c>
      <c r="AZ82" s="58"/>
      <c r="BA82" s="59">
        <f t="shared" si="91"/>
        <v>55.21745947831176</v>
      </c>
      <c r="BB82" s="58"/>
      <c r="BC82" s="58">
        <f t="shared" si="91"/>
        <v>53.447624999999995</v>
      </c>
      <c r="BD82" s="58">
        <f t="shared" si="91"/>
        <v>99</v>
      </c>
      <c r="BE82" s="58"/>
      <c r="BF82" s="59">
        <f t="shared" si="91"/>
        <v>47.974823234334643</v>
      </c>
      <c r="BG82" s="58"/>
      <c r="BH82" s="58">
        <f t="shared" ref="BH82:BI82" si="92">+SUM(BH25:BH81)</f>
        <v>60.3125</v>
      </c>
      <c r="BI82" s="58">
        <f t="shared" si="92"/>
        <v>100.00000000000001</v>
      </c>
      <c r="BJ82" s="58"/>
      <c r="BK82" s="59">
        <f t="shared" ref="BK82" si="93">+SUM(BK25:BK81)</f>
        <v>60.741198590638483</v>
      </c>
      <c r="BL82" s="58"/>
      <c r="BM82" s="58">
        <f t="shared" ref="BM82:BN82" si="94">+SUM(BM25:BM81)</f>
        <v>47.712499999999984</v>
      </c>
      <c r="BN82" s="58">
        <f t="shared" si="94"/>
        <v>100.00000000000001</v>
      </c>
      <c r="BO82" s="58"/>
      <c r="BP82" s="59">
        <f t="shared" ref="BP82" si="95">+SUM(BP25:BP81)</f>
        <v>54.536514008693416</v>
      </c>
      <c r="BQ82" s="58"/>
      <c r="BR82" s="58">
        <f t="shared" si="91"/>
        <v>49.145833333333329</v>
      </c>
      <c r="BS82" s="58">
        <f t="shared" si="91"/>
        <v>99.999999999999972</v>
      </c>
      <c r="BT82" s="58"/>
      <c r="BU82" s="59">
        <f t="shared" si="91"/>
        <v>51.585668576914657</v>
      </c>
      <c r="BV82" s="58"/>
      <c r="BW82" s="58">
        <f t="shared" si="91"/>
        <v>40.270833333333329</v>
      </c>
      <c r="BX82" s="58">
        <f t="shared" si="91"/>
        <v>99.999999999999972</v>
      </c>
      <c r="BY82" s="58"/>
      <c r="BZ82" s="59">
        <f t="shared" si="91"/>
        <v>46.898007346284778</v>
      </c>
      <c r="CA82" s="58"/>
      <c r="CB82" s="58">
        <f t="shared" si="91"/>
        <v>76.514625000000024</v>
      </c>
      <c r="CC82" s="58">
        <f t="shared" si="91"/>
        <v>99</v>
      </c>
      <c r="CD82" s="58"/>
      <c r="CE82" s="59">
        <f t="shared" si="91"/>
        <v>55.096152616668341</v>
      </c>
      <c r="CF82" s="58"/>
      <c r="CG82" s="58">
        <f t="shared" si="91"/>
        <v>61.021124999999991</v>
      </c>
      <c r="CH82" s="58">
        <f t="shared" si="91"/>
        <v>99</v>
      </c>
      <c r="CI82" s="58"/>
      <c r="CJ82" s="59">
        <f t="shared" si="91"/>
        <v>47.940702375927856</v>
      </c>
      <c r="CK82" s="58"/>
      <c r="CL82" s="58">
        <f t="shared" ref="CL82:CM82" si="96">+SUM(CL25:CL81)</f>
        <v>7</v>
      </c>
      <c r="CM82" s="58">
        <f t="shared" si="96"/>
        <v>100.00000000000001</v>
      </c>
      <c r="CN82" s="58"/>
      <c r="CO82" s="59">
        <f t="shared" ref="CO82" si="97">+SUM(CO25:CO81)</f>
        <v>91.098069931921941</v>
      </c>
      <c r="CP82" s="4"/>
      <c r="CQ82"/>
      <c r="CR82"/>
      <c r="CS82"/>
    </row>
    <row r="83" spans="1:97" ht="15" x14ac:dyDescent="0.25">
      <c r="CQ83"/>
      <c r="CR83"/>
      <c r="CS83"/>
    </row>
    <row r="84" spans="1:97" ht="15" x14ac:dyDescent="0.25">
      <c r="CQ84"/>
      <c r="CR84"/>
      <c r="CS84"/>
    </row>
    <row r="85" spans="1:97" ht="15" x14ac:dyDescent="0.25">
      <c r="CQ85"/>
      <c r="CR85"/>
      <c r="CS85"/>
    </row>
  </sheetData>
  <mergeCells count="16">
    <mergeCell ref="CA23:CE23"/>
    <mergeCell ref="CF23:CJ23"/>
    <mergeCell ref="CK23:CO23"/>
    <mergeCell ref="B24:P24"/>
    <mergeCell ref="AW23:BA23"/>
    <mergeCell ref="BB23:BF23"/>
    <mergeCell ref="BG23:BK23"/>
    <mergeCell ref="BL23:BP23"/>
    <mergeCell ref="BQ23:BU23"/>
    <mergeCell ref="BV23:BZ23"/>
    <mergeCell ref="S23:W23"/>
    <mergeCell ref="X23:AB23"/>
    <mergeCell ref="AC23:AG23"/>
    <mergeCell ref="AH23:AL23"/>
    <mergeCell ref="AM23:AQ23"/>
    <mergeCell ref="AR23:AV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Nota</vt:lpstr>
      <vt:lpstr>Resumen</vt:lpstr>
      <vt:lpstr>Perfil nuevos</vt:lpstr>
      <vt:lpstr>Intereses corridos</vt:lpstr>
      <vt:lpstr>Argen III - Nuevos Bonos 100VN</vt:lpstr>
      <vt:lpstr>Argentina III - Nuevos Bonos</vt:lpstr>
      <vt:lpstr>Argentina III - Canje optimo</vt:lpstr>
      <vt:lpstr>Argentina III - Valor propuesta</vt:lpstr>
      <vt:lpstr>AHBG-EBG Nuevos Bonos 100VN</vt:lpstr>
      <vt:lpstr>AHBG-EBG Nuevos Bonos</vt:lpstr>
      <vt:lpstr>AHBG-EBG Canje optimo</vt:lpstr>
      <vt:lpstr>AHBG-EBG Valor propuesta</vt:lpstr>
      <vt:lpstr>BG - Nuevos Bonos 100VN</vt:lpstr>
      <vt:lpstr>BG - Nuevos Bonos</vt:lpstr>
      <vt:lpstr>BG - Canje optimo</vt:lpstr>
      <vt:lpstr>BG - Valor propuesta</vt:lpstr>
      <vt:lpstr>Cupones promedio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</dc:creator>
  <cp:lastModifiedBy>OPC</cp:lastModifiedBy>
  <cp:lastPrinted>2020-06-24T18:43:27Z</cp:lastPrinted>
  <dcterms:created xsi:type="dcterms:W3CDTF">2015-06-05T18:19:34Z</dcterms:created>
  <dcterms:modified xsi:type="dcterms:W3CDTF">2020-06-24T18:50:39Z</dcterms:modified>
</cp:coreProperties>
</file>