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Persona\Nextcloud\DASDP\Deuda pública\Reestructuraciones y acuerdos\Reestructuración 2020\Informes OPC\"/>
    </mc:Choice>
  </mc:AlternateContent>
  <xr:revisionPtr revIDLastSave="0" documentId="8_{126A31CC-1245-4B41-B461-32BD927C2587}" xr6:coauthVersionLast="45" xr6:coauthVersionMax="45" xr10:uidLastSave="{00000000-0000-0000-0000-000000000000}"/>
  <bookViews>
    <workbookView xWindow="-120" yWindow="-120" windowWidth="20730" windowHeight="11160" tabRatio="754" xr2:uid="{00000000-000D-0000-FFFF-FFFF00000000}"/>
  </bookViews>
  <sheets>
    <sheet name="Bonos elegibles" sheetId="2" r:id="rId1"/>
    <sheet name="VP nuevos bonos " sheetId="3" r:id="rId2"/>
    <sheet name="Valor oferta" sheetId="5" r:id="rId3"/>
    <sheet name="Escenario aceptación 100%" sheetId="6" r:id="rId4"/>
    <sheet name="Comparación vencimientos" sheetId="4" r:id="rId5"/>
    <sheet name="Vencimientos bonos nuevos" sheetId="8" r:id="rId6"/>
  </sheets>
  <externalReferences>
    <externalReference r:id="rId7"/>
    <externalReference r:id="rId8"/>
  </externalReferences>
  <definedNames>
    <definedName name="_xlnm._FilterDatabase" localSheetId="3" hidden="1">'Escenario aceptación 100%'!$A$5:$N$5</definedName>
    <definedName name="_Order1" hidden="1">255</definedName>
    <definedName name="_Order2" hidden="1">255</definedName>
    <definedName name="ACwvu.PLA2." hidden="1">'[1]COP FED'!$A$1:$N$49</definedName>
    <definedName name="Swvu.PLA2." hidden="1">'[1]COP FED'!$A$1:$N$49</definedName>
    <definedName name="Z_0C2BA18A_21C0_43A0_BA72_AEF5075BA836_.wvu.Cols" hidden="1">'[2]Prog. Fin.'!$E:$E,'[2]Prog. Fin.'!$I:$J,'[2]Prog. Fin.'!$N:$N,'[2]Prog. Fin.'!$R:$S</definedName>
    <definedName name="Z_0C2BA18A_21C0_43A0_BA72_AEF5075BA836_.wvu.Rows" hidden="1">'[2]Prog. Fin.'!$9:$14,'[2]Prog. Fin.'!$17:$26,'[2]Prog. Fin.'!$31:$33,'[2]Prog. Fin.'!$40:$41,'[2]Prog. Fin.'!$44:$46,'[2]Prog. Fin.'!$81:$83,'[2]Prog. Fin.'!$157:$159</definedName>
    <definedName name="Z_AB0CFEEA_4F19_4F6A_9BEA_953016B5C36F_.wvu.Cols" hidden="1">'[2]Prog. Fin.'!$E:$E,'[2]Prog. Fin.'!$I:$J,'[2]Prog. Fin.'!$N:$N,'[2]Prog. Fin.'!$R:$S</definedName>
    <definedName name="Z_AB0CFEEA_4F19_4F6A_9BEA_953016B5C36F_.wvu.Rows" hidden="1">'[2]Prog. Fin.'!$9:$14,'[2]Prog. Fin.'!$17:$26,'[2]Prog. Fin.'!$31:$33,'[2]Prog. Fin.'!$40:$41,'[2]Prog. Fin.'!$44:$46,'[2]Prog. Fin.'!$81:$83,'[2]Prog. Fin.'!$157:$159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5" l="1"/>
  <c r="N24" i="5"/>
  <c r="N25" i="5"/>
  <c r="N26" i="5"/>
  <c r="N22" i="5"/>
  <c r="N7" i="5"/>
  <c r="N8" i="5"/>
  <c r="N9" i="5"/>
  <c r="N10" i="5"/>
  <c r="N6" i="5"/>
  <c r="G35" i="4" l="1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34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6" i="4"/>
  <c r="O25" i="6" l="1"/>
  <c r="J11" i="6"/>
  <c r="O11" i="6" s="1"/>
  <c r="N27" i="6"/>
  <c r="M26" i="6"/>
  <c r="O26" i="6" s="1"/>
  <c r="H25" i="6"/>
  <c r="L24" i="6"/>
  <c r="O24" i="6" s="1"/>
  <c r="G23" i="6"/>
  <c r="O23" i="6" s="1"/>
  <c r="K22" i="6"/>
  <c r="O22" i="6" s="1"/>
  <c r="I21" i="6"/>
  <c r="O21" i="6" s="1"/>
  <c r="I20" i="6"/>
  <c r="O20" i="6" s="1"/>
  <c r="I19" i="6"/>
  <c r="O19" i="6" s="1"/>
  <c r="J10" i="6"/>
  <c r="O10" i="6" s="1"/>
  <c r="J9" i="6"/>
  <c r="O9" i="6" s="1"/>
  <c r="E8" i="6"/>
  <c r="O8" i="6" s="1"/>
  <c r="E7" i="6"/>
  <c r="O7" i="6" s="1"/>
  <c r="E6" i="6"/>
  <c r="O6" i="6" s="1"/>
  <c r="L27" i="6" l="1"/>
  <c r="J18" i="6"/>
  <c r="E14" i="6"/>
  <c r="E16" i="6"/>
  <c r="E12" i="6"/>
  <c r="M27" i="6"/>
  <c r="E13" i="6"/>
  <c r="H27" i="6"/>
  <c r="E15" i="6"/>
  <c r="I27" i="6"/>
  <c r="G27" i="6"/>
  <c r="J17" i="6"/>
  <c r="K17" i="6" l="1"/>
  <c r="O17" i="6" s="1"/>
  <c r="J27" i="6"/>
  <c r="F12" i="6"/>
  <c r="O12" i="6" s="1"/>
  <c r="F16" i="6"/>
  <c r="F15" i="6"/>
  <c r="O15" i="6" s="1"/>
  <c r="K18" i="6"/>
  <c r="F13" i="6"/>
  <c r="O13" i="6" s="1"/>
  <c r="F14" i="6"/>
  <c r="O14" i="6" s="1"/>
  <c r="E27" i="6"/>
  <c r="O18" i="6" l="1"/>
  <c r="O16" i="6"/>
  <c r="K27" i="6"/>
  <c r="F27" i="6"/>
  <c r="O27" i="6" l="1"/>
  <c r="I27" i="5" l="1"/>
  <c r="I23" i="5"/>
  <c r="I24" i="5"/>
  <c r="I25" i="5"/>
  <c r="I26" i="5"/>
  <c r="I28" i="5"/>
  <c r="I29" i="5"/>
  <c r="I22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M37" i="3"/>
  <c r="M38" i="3" s="1"/>
  <c r="M39" i="3" s="1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K30" i="3"/>
  <c r="J30" i="3"/>
  <c r="I30" i="3"/>
  <c r="H30" i="3"/>
  <c r="G30" i="3"/>
  <c r="F30" i="3"/>
  <c r="E30" i="3"/>
  <c r="D30" i="3"/>
  <c r="C30" i="3"/>
  <c r="B30" i="3"/>
  <c r="K27" i="3"/>
  <c r="J27" i="3"/>
  <c r="I27" i="3"/>
  <c r="H27" i="3"/>
  <c r="G27" i="3"/>
  <c r="F27" i="3"/>
  <c r="E27" i="3"/>
  <c r="D27" i="3"/>
  <c r="C27" i="3"/>
  <c r="B27" i="3"/>
  <c r="B25" i="3"/>
  <c r="B24" i="3"/>
  <c r="C21" i="3"/>
  <c r="C24" i="3" s="1"/>
  <c r="C8" i="5" l="1"/>
  <c r="B8" i="5"/>
  <c r="F8" i="5"/>
  <c r="C12" i="5"/>
  <c r="B12" i="5"/>
  <c r="F12" i="5"/>
  <c r="C16" i="5"/>
  <c r="F16" i="5"/>
  <c r="E29" i="5"/>
  <c r="F29" i="5"/>
  <c r="C24" i="5"/>
  <c r="F24" i="5"/>
  <c r="B24" i="5"/>
  <c r="C11" i="5"/>
  <c r="F11" i="5"/>
  <c r="B11" i="5"/>
  <c r="B25" i="5"/>
  <c r="F25" i="5"/>
  <c r="C25" i="5"/>
  <c r="B9" i="5"/>
  <c r="C9" i="5"/>
  <c r="F9" i="5"/>
  <c r="B13" i="5"/>
  <c r="C13" i="5"/>
  <c r="F13" i="5"/>
  <c r="D17" i="5"/>
  <c r="E17" i="5"/>
  <c r="F17" i="5"/>
  <c r="F28" i="5"/>
  <c r="E28" i="5"/>
  <c r="D28" i="5"/>
  <c r="F23" i="5"/>
  <c r="B23" i="5"/>
  <c r="C23" i="5"/>
  <c r="B7" i="5"/>
  <c r="F7" i="5"/>
  <c r="C7" i="5"/>
  <c r="F15" i="5"/>
  <c r="C15" i="5"/>
  <c r="F22" i="5"/>
  <c r="B22" i="5"/>
  <c r="C22" i="5"/>
  <c r="C6" i="5"/>
  <c r="B6" i="5"/>
  <c r="F6" i="5"/>
  <c r="F10" i="5"/>
  <c r="B10" i="5"/>
  <c r="C10" i="5"/>
  <c r="C14" i="5"/>
  <c r="F14" i="5"/>
  <c r="E18" i="5"/>
  <c r="F18" i="5"/>
  <c r="F26" i="5"/>
  <c r="C26" i="5"/>
  <c r="F27" i="5"/>
  <c r="B27" i="5"/>
  <c r="C27" i="5"/>
  <c r="N39" i="3"/>
  <c r="AU39" i="3"/>
  <c r="M40" i="3"/>
  <c r="W39" i="3"/>
  <c r="O39" i="3"/>
  <c r="AE39" i="3"/>
  <c r="AM39" i="3"/>
  <c r="C25" i="3"/>
  <c r="D21" i="3"/>
  <c r="Q39" i="3" l="1"/>
  <c r="P39" i="3"/>
  <c r="AQ40" i="3"/>
  <c r="AA40" i="3"/>
  <c r="R40" i="3"/>
  <c r="N40" i="3"/>
  <c r="AU40" i="3"/>
  <c r="AE40" i="3"/>
  <c r="AY40" i="3"/>
  <c r="AI40" i="3"/>
  <c r="M41" i="3"/>
  <c r="O40" i="3"/>
  <c r="W40" i="3"/>
  <c r="AM40" i="3"/>
  <c r="S40" i="3"/>
  <c r="E21" i="3"/>
  <c r="D24" i="3"/>
  <c r="D25" i="3"/>
  <c r="V39" i="3" l="1"/>
  <c r="Y39" i="3" s="1"/>
  <c r="P40" i="3"/>
  <c r="Q40" i="3"/>
  <c r="E25" i="3"/>
  <c r="E24" i="3"/>
  <c r="F21" i="3"/>
  <c r="AU41" i="3"/>
  <c r="M42" i="3"/>
  <c r="W41" i="3"/>
  <c r="O41" i="3"/>
  <c r="AE41" i="3"/>
  <c r="V41" i="3"/>
  <c r="N41" i="3"/>
  <c r="AM41" i="3"/>
  <c r="U40" i="3"/>
  <c r="T40" i="3"/>
  <c r="V40" i="3" l="1"/>
  <c r="Y40" i="3" s="1"/>
  <c r="Z40" i="3"/>
  <c r="AC40" i="3" s="1"/>
  <c r="P41" i="3"/>
  <c r="F25" i="3"/>
  <c r="G21" i="3"/>
  <c r="F24" i="3"/>
  <c r="AQ42" i="3"/>
  <c r="AA42" i="3"/>
  <c r="V42" i="3"/>
  <c r="R42" i="3"/>
  <c r="N42" i="3"/>
  <c r="AU42" i="3"/>
  <c r="AE42" i="3"/>
  <c r="Z42" i="3"/>
  <c r="AY42" i="3"/>
  <c r="AI42" i="3"/>
  <c r="W42" i="3"/>
  <c r="AM42" i="3"/>
  <c r="S42" i="3"/>
  <c r="M43" i="3"/>
  <c r="O42" i="3"/>
  <c r="Q41" i="3"/>
  <c r="Y41" i="3"/>
  <c r="AD42" i="3" l="1"/>
  <c r="AG42" i="3" s="1"/>
  <c r="Y42" i="3"/>
  <c r="U42" i="3"/>
  <c r="AD39" i="3"/>
  <c r="AG39" i="3" s="1"/>
  <c r="AD40" i="3"/>
  <c r="AG40" i="3" s="1"/>
  <c r="AD41" i="3"/>
  <c r="AG41" i="3" s="1"/>
  <c r="Q42" i="3"/>
  <c r="T42" i="3"/>
  <c r="G24" i="3"/>
  <c r="H21" i="3"/>
  <c r="G25" i="3"/>
  <c r="M44" i="3"/>
  <c r="AU43" i="3"/>
  <c r="AM43" i="3"/>
  <c r="AE43" i="3"/>
  <c r="W43" i="3"/>
  <c r="O43" i="3"/>
  <c r="AD43" i="3"/>
  <c r="V43" i="3"/>
  <c r="N43" i="3"/>
  <c r="AC42" i="3"/>
  <c r="P42" i="3"/>
  <c r="AF43" i="3" l="1"/>
  <c r="AG43" i="3" s="1"/>
  <c r="AH40" i="3"/>
  <c r="AK40" i="3" s="1"/>
  <c r="AH42" i="3"/>
  <c r="AK42" i="3" s="1"/>
  <c r="P43" i="3"/>
  <c r="Q43" i="3" s="1"/>
  <c r="X43" i="3"/>
  <c r="Y43" i="3" s="1"/>
  <c r="AH44" i="3"/>
  <c r="AD44" i="3"/>
  <c r="Z44" i="3"/>
  <c r="V44" i="3"/>
  <c r="R44" i="3"/>
  <c r="N44" i="3"/>
  <c r="M45" i="3"/>
  <c r="AY44" i="3"/>
  <c r="AI44" i="3"/>
  <c r="S44" i="3"/>
  <c r="AU44" i="3"/>
  <c r="AE44" i="3"/>
  <c r="O44" i="3"/>
  <c r="AQ44" i="3"/>
  <c r="AA44" i="3"/>
  <c r="AM44" i="3"/>
  <c r="W44" i="3"/>
  <c r="I21" i="3"/>
  <c r="H24" i="3"/>
  <c r="H25" i="3"/>
  <c r="AL39" i="3" l="1"/>
  <c r="AO39" i="3" s="1"/>
  <c r="AL40" i="3"/>
  <c r="AO40" i="3" s="1"/>
  <c r="AL41" i="3"/>
  <c r="AO41" i="3" s="1"/>
  <c r="AL42" i="3"/>
  <c r="AO42" i="3" s="1"/>
  <c r="AL43" i="3"/>
  <c r="AN43" i="3" s="1"/>
  <c r="AO43" i="3" s="1"/>
  <c r="AL44" i="3"/>
  <c r="AN44" i="3" s="1"/>
  <c r="AO44" i="3" s="1"/>
  <c r="P44" i="3"/>
  <c r="Q44" i="3" s="1"/>
  <c r="AF44" i="3"/>
  <c r="AG44" i="3" s="1"/>
  <c r="I25" i="3"/>
  <c r="I24" i="3"/>
  <c r="J21" i="3"/>
  <c r="T44" i="3"/>
  <c r="U44" i="3" s="1"/>
  <c r="X44" i="3"/>
  <c r="Y44" i="3" s="1"/>
  <c r="AJ44" i="3"/>
  <c r="AK44" i="3" s="1"/>
  <c r="M46" i="3"/>
  <c r="AU45" i="3"/>
  <c r="AM45" i="3"/>
  <c r="AE45" i="3"/>
  <c r="W45" i="3"/>
  <c r="O45" i="3"/>
  <c r="AL45" i="3"/>
  <c r="AD45" i="3"/>
  <c r="AF45" i="3" s="1"/>
  <c r="AG45" i="3" s="1"/>
  <c r="V45" i="3"/>
  <c r="N45" i="3"/>
  <c r="AB44" i="3"/>
  <c r="AC44" i="3" s="1"/>
  <c r="AP40" i="3" l="1"/>
  <c r="AS40" i="3" s="1"/>
  <c r="AP42" i="3"/>
  <c r="AS42" i="3" s="1"/>
  <c r="AP44" i="3"/>
  <c r="AR44" i="3" s="1"/>
  <c r="AS44" i="3" s="1"/>
  <c r="P45" i="3"/>
  <c r="Q45" i="3" s="1"/>
  <c r="X45" i="3"/>
  <c r="Y45" i="3" s="1"/>
  <c r="J25" i="3"/>
  <c r="K21" i="3"/>
  <c r="J24" i="3"/>
  <c r="AP46" i="3"/>
  <c r="AL46" i="3"/>
  <c r="AH46" i="3"/>
  <c r="AD46" i="3"/>
  <c r="Z46" i="3"/>
  <c r="V46" i="3"/>
  <c r="R46" i="3"/>
  <c r="N46" i="3"/>
  <c r="M47" i="3"/>
  <c r="AY46" i="3"/>
  <c r="AU46" i="3"/>
  <c r="AQ46" i="3"/>
  <c r="AM46" i="3"/>
  <c r="AI46" i="3"/>
  <c r="AE46" i="3"/>
  <c r="AA46" i="3"/>
  <c r="W46" i="3"/>
  <c r="S46" i="3"/>
  <c r="O46" i="3"/>
  <c r="AN45" i="3"/>
  <c r="AO45" i="3" s="1"/>
  <c r="AT46" i="3" l="1"/>
  <c r="AV46" i="3" s="1"/>
  <c r="AW46" i="3" s="1"/>
  <c r="AB46" i="3"/>
  <c r="AC46" i="3" s="1"/>
  <c r="AR46" i="3"/>
  <c r="AS46" i="3" s="1"/>
  <c r="AJ46" i="3"/>
  <c r="AK46" i="3" s="1"/>
  <c r="P46" i="3"/>
  <c r="Q46" i="3" s="1"/>
  <c r="AF46" i="3"/>
  <c r="AG46" i="3" s="1"/>
  <c r="M48" i="3"/>
  <c r="AU47" i="3"/>
  <c r="AM47" i="3"/>
  <c r="AE47" i="3"/>
  <c r="W47" i="3"/>
  <c r="O47" i="3"/>
  <c r="AT47" i="3"/>
  <c r="AL47" i="3"/>
  <c r="AD47" i="3"/>
  <c r="V47" i="3"/>
  <c r="N47" i="3"/>
  <c r="T46" i="3"/>
  <c r="U46" i="3" s="1"/>
  <c r="X46" i="3"/>
  <c r="Y46" i="3" s="1"/>
  <c r="AN46" i="3"/>
  <c r="AO46" i="3" s="1"/>
  <c r="K24" i="3"/>
  <c r="K25" i="3"/>
  <c r="AT44" i="3" l="1"/>
  <c r="AV44" i="3" s="1"/>
  <c r="AW44" i="3" s="1"/>
  <c r="AT42" i="3"/>
  <c r="AW42" i="3" s="1"/>
  <c r="AT40" i="3"/>
  <c r="AW40" i="3" s="1"/>
  <c r="AT43" i="3"/>
  <c r="AV43" i="3" s="1"/>
  <c r="AW43" i="3" s="1"/>
  <c r="AT39" i="3"/>
  <c r="AW39" i="3" s="1"/>
  <c r="AT45" i="3"/>
  <c r="AV45" i="3" s="1"/>
  <c r="AW45" i="3" s="1"/>
  <c r="AT41" i="3"/>
  <c r="AW41" i="3" s="1"/>
  <c r="AX40" i="3"/>
  <c r="BA40" i="3" s="1"/>
  <c r="AX42" i="3"/>
  <c r="BA42" i="3" s="1"/>
  <c r="AX44" i="3"/>
  <c r="AZ44" i="3" s="1"/>
  <c r="BA44" i="3" s="1"/>
  <c r="AX46" i="3"/>
  <c r="AZ46" i="3" s="1"/>
  <c r="BA46" i="3" s="1"/>
  <c r="AN47" i="3"/>
  <c r="AO47" i="3" s="1"/>
  <c r="P47" i="3"/>
  <c r="Q47" i="3" s="1"/>
  <c r="AV47" i="3"/>
  <c r="AW47" i="3" s="1"/>
  <c r="AF47" i="3"/>
  <c r="AG47" i="3" s="1"/>
  <c r="AX48" i="3"/>
  <c r="AT48" i="3"/>
  <c r="AP48" i="3"/>
  <c r="AL48" i="3"/>
  <c r="AH48" i="3"/>
  <c r="AD48" i="3"/>
  <c r="Z48" i="3"/>
  <c r="V48" i="3"/>
  <c r="R48" i="3"/>
  <c r="N48" i="3"/>
  <c r="M49" i="3"/>
  <c r="AY48" i="3"/>
  <c r="AU48" i="3"/>
  <c r="AQ48" i="3"/>
  <c r="AM48" i="3"/>
  <c r="AI48" i="3"/>
  <c r="AE48" i="3"/>
  <c r="AA48" i="3"/>
  <c r="W48" i="3"/>
  <c r="S48" i="3"/>
  <c r="O48" i="3"/>
  <c r="X47" i="3"/>
  <c r="Y47" i="3" s="1"/>
  <c r="X48" i="3" l="1"/>
  <c r="Y48" i="3" s="1"/>
  <c r="AN48" i="3"/>
  <c r="AO48" i="3" s="1"/>
  <c r="M50" i="3"/>
  <c r="AU49" i="3"/>
  <c r="AM49" i="3"/>
  <c r="AE49" i="3"/>
  <c r="W49" i="3"/>
  <c r="O49" i="3"/>
  <c r="AT49" i="3"/>
  <c r="AL49" i="3"/>
  <c r="AN49" i="3" s="1"/>
  <c r="AO49" i="3" s="1"/>
  <c r="AD49" i="3"/>
  <c r="V49" i="3"/>
  <c r="N49" i="3"/>
  <c r="AB48" i="3"/>
  <c r="AC48" i="3" s="1"/>
  <c r="AR48" i="3"/>
  <c r="AS48" i="3" s="1"/>
  <c r="P48" i="3"/>
  <c r="Q48" i="3" s="1"/>
  <c r="AF48" i="3"/>
  <c r="AG48" i="3" s="1"/>
  <c r="AV48" i="3"/>
  <c r="AW48" i="3" s="1"/>
  <c r="T48" i="3"/>
  <c r="U48" i="3" s="1"/>
  <c r="AJ48" i="3"/>
  <c r="AK48" i="3" s="1"/>
  <c r="AZ48" i="3"/>
  <c r="BA48" i="3" s="1"/>
  <c r="X49" i="3" l="1"/>
  <c r="Y49" i="3" s="1"/>
  <c r="P49" i="3"/>
  <c r="Q49" i="3" s="1"/>
  <c r="AV49" i="3"/>
  <c r="AW49" i="3" s="1"/>
  <c r="AF49" i="3"/>
  <c r="AG49" i="3" s="1"/>
  <c r="AX50" i="3"/>
  <c r="AT50" i="3"/>
  <c r="AP50" i="3"/>
  <c r="AL50" i="3"/>
  <c r="AH50" i="3"/>
  <c r="AD50" i="3"/>
  <c r="Z50" i="3"/>
  <c r="V50" i="3"/>
  <c r="R50" i="3"/>
  <c r="N50" i="3"/>
  <c r="M51" i="3"/>
  <c r="AY50" i="3"/>
  <c r="AU50" i="3"/>
  <c r="AQ50" i="3"/>
  <c r="AM50" i="3"/>
  <c r="AI50" i="3"/>
  <c r="AE50" i="3"/>
  <c r="AA50" i="3"/>
  <c r="W50" i="3"/>
  <c r="S50" i="3"/>
  <c r="O50" i="3"/>
  <c r="T50" i="3" l="1"/>
  <c r="U50" i="3" s="1"/>
  <c r="AM51" i="3"/>
  <c r="AE51" i="3"/>
  <c r="W51" i="3"/>
  <c r="O51" i="3"/>
  <c r="AU51" i="3"/>
  <c r="AL51" i="3"/>
  <c r="AD51" i="3"/>
  <c r="AF51" i="3" s="1"/>
  <c r="AG51" i="3" s="1"/>
  <c r="V51" i="3"/>
  <c r="N51" i="3"/>
  <c r="M52" i="3"/>
  <c r="AT51" i="3"/>
  <c r="AV51" i="3" s="1"/>
  <c r="AW51" i="3" s="1"/>
  <c r="AB50" i="3"/>
  <c r="AC50" i="3" s="1"/>
  <c r="AR50" i="3"/>
  <c r="AS50" i="3" s="1"/>
  <c r="P50" i="3"/>
  <c r="Q50" i="3" s="1"/>
  <c r="AF50" i="3"/>
  <c r="AG50" i="3" s="1"/>
  <c r="AV50" i="3"/>
  <c r="AW50" i="3" s="1"/>
  <c r="AJ50" i="3"/>
  <c r="AK50" i="3" s="1"/>
  <c r="AZ50" i="3"/>
  <c r="BA50" i="3" s="1"/>
  <c r="X50" i="3"/>
  <c r="Y50" i="3" s="1"/>
  <c r="AN50" i="3"/>
  <c r="AO50" i="3" s="1"/>
  <c r="AN51" i="3" l="1"/>
  <c r="AO51" i="3" s="1"/>
  <c r="X51" i="3"/>
  <c r="Y51" i="3" s="1"/>
  <c r="P51" i="3"/>
  <c r="Q51" i="3" s="1"/>
  <c r="M53" i="3"/>
  <c r="AY52" i="3"/>
  <c r="AU52" i="3"/>
  <c r="AQ52" i="3"/>
  <c r="AM52" i="3"/>
  <c r="AI52" i="3"/>
  <c r="AX52" i="3"/>
  <c r="AT52" i="3"/>
  <c r="AP52" i="3"/>
  <c r="AL52" i="3"/>
  <c r="AH52" i="3"/>
  <c r="AD52" i="3"/>
  <c r="Z52" i="3"/>
  <c r="V52" i="3"/>
  <c r="R52" i="3"/>
  <c r="N52" i="3"/>
  <c r="W52" i="3"/>
  <c r="AA52" i="3"/>
  <c r="AE52" i="3"/>
  <c r="O52" i="3"/>
  <c r="S52" i="3"/>
  <c r="AR52" i="3" l="1"/>
  <c r="AS52" i="3" s="1"/>
  <c r="AJ52" i="3"/>
  <c r="AK52" i="3" s="1"/>
  <c r="AZ52" i="3"/>
  <c r="BA52" i="3" s="1"/>
  <c r="AB52" i="3"/>
  <c r="AC52" i="3" s="1"/>
  <c r="AV52" i="3"/>
  <c r="AW52" i="3" s="1"/>
  <c r="P52" i="3"/>
  <c r="Q52" i="3" s="1"/>
  <c r="AF52" i="3"/>
  <c r="AG52" i="3" s="1"/>
  <c r="T52" i="3"/>
  <c r="U52" i="3" s="1"/>
  <c r="X52" i="3"/>
  <c r="Y52" i="3" s="1"/>
  <c r="AN52" i="3"/>
  <c r="AO52" i="3" s="1"/>
  <c r="AU53" i="3"/>
  <c r="AE53" i="3"/>
  <c r="O53" i="3"/>
  <c r="AT53" i="3"/>
  <c r="AD53" i="3"/>
  <c r="N53" i="3"/>
  <c r="M54" i="3"/>
  <c r="AM53" i="3"/>
  <c r="W53" i="3"/>
  <c r="AL53" i="3"/>
  <c r="V53" i="3"/>
  <c r="AF53" i="3" l="1"/>
  <c r="AG53" i="3" s="1"/>
  <c r="P53" i="3"/>
  <c r="Q53" i="3" s="1"/>
  <c r="AV53" i="3"/>
  <c r="AW53" i="3" s="1"/>
  <c r="X53" i="3"/>
  <c r="Y53" i="3" s="1"/>
  <c r="AN53" i="3"/>
  <c r="AO53" i="3" s="1"/>
  <c r="M55" i="3"/>
  <c r="AY54" i="3"/>
  <c r="AU54" i="3"/>
  <c r="AQ54" i="3"/>
  <c r="AM54" i="3"/>
  <c r="AI54" i="3"/>
  <c r="AE54" i="3"/>
  <c r="AA54" i="3"/>
  <c r="W54" i="3"/>
  <c r="S54" i="3"/>
  <c r="O54" i="3"/>
  <c r="AX54" i="3"/>
  <c r="AT54" i="3"/>
  <c r="AP54" i="3"/>
  <c r="AR54" i="3" s="1"/>
  <c r="AS54" i="3" s="1"/>
  <c r="AL54" i="3"/>
  <c r="AH54" i="3"/>
  <c r="AD54" i="3"/>
  <c r="Z54" i="3"/>
  <c r="AB54" i="3" s="1"/>
  <c r="AC54" i="3" s="1"/>
  <c r="V54" i="3"/>
  <c r="R54" i="3"/>
  <c r="N54" i="3"/>
  <c r="P54" i="3" l="1"/>
  <c r="Q54" i="3" s="1"/>
  <c r="AF54" i="3"/>
  <c r="AG54" i="3" s="1"/>
  <c r="AV54" i="3"/>
  <c r="AW54" i="3" s="1"/>
  <c r="AJ54" i="3"/>
  <c r="AK54" i="3" s="1"/>
  <c r="AZ54" i="3"/>
  <c r="BA54" i="3" s="1"/>
  <c r="T54" i="3"/>
  <c r="U54" i="3" s="1"/>
  <c r="X54" i="3"/>
  <c r="Y54" i="3" s="1"/>
  <c r="AN54" i="3"/>
  <c r="AO54" i="3" s="1"/>
  <c r="AT55" i="3"/>
  <c r="AL55" i="3"/>
  <c r="AD55" i="3"/>
  <c r="V55" i="3"/>
  <c r="N55" i="3"/>
  <c r="AU55" i="3"/>
  <c r="O55" i="3"/>
  <c r="AM55" i="3"/>
  <c r="AE55" i="3"/>
  <c r="M56" i="3"/>
  <c r="W55" i="3"/>
  <c r="AN55" i="3" l="1"/>
  <c r="AO55" i="3" s="1"/>
  <c r="P55" i="3"/>
  <c r="Q55" i="3" s="1"/>
  <c r="X55" i="3"/>
  <c r="Y55" i="3" s="1"/>
  <c r="M57" i="3"/>
  <c r="AY56" i="3"/>
  <c r="AU56" i="3"/>
  <c r="AQ56" i="3"/>
  <c r="AM56" i="3"/>
  <c r="AI56" i="3"/>
  <c r="AE56" i="3"/>
  <c r="AA56" i="3"/>
  <c r="W56" i="3"/>
  <c r="S56" i="3"/>
  <c r="O56" i="3"/>
  <c r="AX56" i="3"/>
  <c r="AT56" i="3"/>
  <c r="AP56" i="3"/>
  <c r="AL56" i="3"/>
  <c r="AH56" i="3"/>
  <c r="AD56" i="3"/>
  <c r="Z56" i="3"/>
  <c r="V56" i="3"/>
  <c r="R56" i="3"/>
  <c r="N56" i="3"/>
  <c r="AF55" i="3"/>
  <c r="AG55" i="3" s="1"/>
  <c r="AV55" i="3"/>
  <c r="AW55" i="3" s="1"/>
  <c r="AB56" i="3" l="1"/>
  <c r="AC56" i="3" s="1"/>
  <c r="AR56" i="3"/>
  <c r="AS56" i="3" s="1"/>
  <c r="P56" i="3"/>
  <c r="Q56" i="3" s="1"/>
  <c r="AF56" i="3"/>
  <c r="AG56" i="3" s="1"/>
  <c r="AV56" i="3"/>
  <c r="AW56" i="3" s="1"/>
  <c r="T56" i="3"/>
  <c r="U56" i="3" s="1"/>
  <c r="AJ56" i="3"/>
  <c r="AK56" i="3" s="1"/>
  <c r="AZ56" i="3"/>
  <c r="BA56" i="3" s="1"/>
  <c r="X56" i="3"/>
  <c r="Y56" i="3" s="1"/>
  <c r="AN56" i="3"/>
  <c r="AO56" i="3" s="1"/>
  <c r="AT57" i="3"/>
  <c r="AL57" i="3"/>
  <c r="AD57" i="3"/>
  <c r="V57" i="3"/>
  <c r="N57" i="3"/>
  <c r="AU57" i="3"/>
  <c r="O57" i="3"/>
  <c r="AM57" i="3"/>
  <c r="AE57" i="3"/>
  <c r="M58" i="3"/>
  <c r="W57" i="3"/>
  <c r="P57" i="3" l="1"/>
  <c r="Q57" i="3" s="1"/>
  <c r="X57" i="3"/>
  <c r="Y57" i="3" s="1"/>
  <c r="AF57" i="3"/>
  <c r="AG57" i="3" s="1"/>
  <c r="M59" i="3"/>
  <c r="AY58" i="3"/>
  <c r="AU58" i="3"/>
  <c r="AQ58" i="3"/>
  <c r="AM58" i="3"/>
  <c r="AI58" i="3"/>
  <c r="AE58" i="3"/>
  <c r="AA58" i="3"/>
  <c r="W58" i="3"/>
  <c r="S58" i="3"/>
  <c r="S94" i="3" s="1"/>
  <c r="O58" i="3"/>
  <c r="O94" i="3" s="1"/>
  <c r="AX58" i="3"/>
  <c r="AT58" i="3"/>
  <c r="AP58" i="3"/>
  <c r="AL58" i="3"/>
  <c r="AH58" i="3"/>
  <c r="AJ58" i="3" s="1"/>
  <c r="AK58" i="3" s="1"/>
  <c r="AD58" i="3"/>
  <c r="Z58" i="3"/>
  <c r="V58" i="3"/>
  <c r="R58" i="3"/>
  <c r="N58" i="3"/>
  <c r="AN57" i="3"/>
  <c r="AO57" i="3" s="1"/>
  <c r="AV57" i="3"/>
  <c r="AW57" i="3" s="1"/>
  <c r="AF58" i="3" l="1"/>
  <c r="AG58" i="3" s="1"/>
  <c r="AV58" i="3"/>
  <c r="AW58" i="3" s="1"/>
  <c r="AZ58" i="3"/>
  <c r="BA58" i="3" s="1"/>
  <c r="X58" i="3"/>
  <c r="Y58" i="3" s="1"/>
  <c r="AN58" i="3"/>
  <c r="AO58" i="3" s="1"/>
  <c r="AB58" i="3"/>
  <c r="AC58" i="3" s="1"/>
  <c r="AR58" i="3"/>
  <c r="AS58" i="3" s="1"/>
  <c r="P58" i="3"/>
  <c r="Q58" i="3" s="1"/>
  <c r="Q94" i="3" s="1"/>
  <c r="B32" i="3" s="1"/>
  <c r="N94" i="3"/>
  <c r="AT59" i="3"/>
  <c r="AL59" i="3"/>
  <c r="AD59" i="3"/>
  <c r="V59" i="3"/>
  <c r="M60" i="3"/>
  <c r="W59" i="3"/>
  <c r="AU59" i="3"/>
  <c r="AM59" i="3"/>
  <c r="AE59" i="3"/>
  <c r="T58" i="3"/>
  <c r="U58" i="3" s="1"/>
  <c r="U94" i="3" s="1"/>
  <c r="C32" i="3" s="1"/>
  <c r="R94" i="3"/>
  <c r="AN59" i="3" l="1"/>
  <c r="AO59" i="3" s="1"/>
  <c r="AV59" i="3"/>
  <c r="AW59" i="3" s="1"/>
  <c r="M61" i="3"/>
  <c r="AY60" i="3"/>
  <c r="AU60" i="3"/>
  <c r="AQ60" i="3"/>
  <c r="AM60" i="3"/>
  <c r="AI60" i="3"/>
  <c r="AE60" i="3"/>
  <c r="AA60" i="3"/>
  <c r="W60" i="3"/>
  <c r="AX60" i="3"/>
  <c r="AZ60" i="3" s="1"/>
  <c r="BA60" i="3" s="1"/>
  <c r="AT60" i="3"/>
  <c r="AV60" i="3" s="1"/>
  <c r="AW60" i="3" s="1"/>
  <c r="AP60" i="3"/>
  <c r="AL60" i="3"/>
  <c r="AN60" i="3" s="1"/>
  <c r="AO60" i="3" s="1"/>
  <c r="AH60" i="3"/>
  <c r="AJ60" i="3" s="1"/>
  <c r="AK60" i="3" s="1"/>
  <c r="AD60" i="3"/>
  <c r="AF60" i="3" s="1"/>
  <c r="AG60" i="3" s="1"/>
  <c r="Z60" i="3"/>
  <c r="AB60" i="3" s="1"/>
  <c r="AC60" i="3" s="1"/>
  <c r="V60" i="3"/>
  <c r="X60" i="3" s="1"/>
  <c r="Y60" i="3" s="1"/>
  <c r="X59" i="3"/>
  <c r="Y59" i="3" s="1"/>
  <c r="AF59" i="3"/>
  <c r="AG59" i="3" s="1"/>
  <c r="AR60" i="3" l="1"/>
  <c r="AS60" i="3" s="1"/>
  <c r="AT61" i="3"/>
  <c r="AL61" i="3"/>
  <c r="AD61" i="3"/>
  <c r="V61" i="3"/>
  <c r="AU61" i="3"/>
  <c r="AM61" i="3"/>
  <c r="AE61" i="3"/>
  <c r="M62" i="3"/>
  <c r="W61" i="3"/>
  <c r="AQ62" i="3" l="1"/>
  <c r="AL62" i="3"/>
  <c r="AU62" i="3"/>
  <c r="AP62" i="3"/>
  <c r="AR62" i="3" s="1"/>
  <c r="AS62" i="3" s="1"/>
  <c r="AE62" i="3"/>
  <c r="AA62" i="3"/>
  <c r="W62" i="3"/>
  <c r="AY62" i="3"/>
  <c r="AT62" i="3"/>
  <c r="AI62" i="3"/>
  <c r="AD62" i="3"/>
  <c r="AF62" i="3" s="1"/>
  <c r="AG62" i="3" s="1"/>
  <c r="Z62" i="3"/>
  <c r="AB62" i="3" s="1"/>
  <c r="AC62" i="3" s="1"/>
  <c r="V62" i="3"/>
  <c r="M63" i="3"/>
  <c r="AH62" i="3"/>
  <c r="AJ62" i="3" s="1"/>
  <c r="AK62" i="3" s="1"/>
  <c r="AX62" i="3"/>
  <c r="AZ62" i="3" s="1"/>
  <c r="BA62" i="3" s="1"/>
  <c r="AM62" i="3"/>
  <c r="X61" i="3"/>
  <c r="Y61" i="3" s="1"/>
  <c r="AF61" i="3"/>
  <c r="AG61" i="3" s="1"/>
  <c r="AN61" i="3"/>
  <c r="AO61" i="3" s="1"/>
  <c r="AV61" i="3"/>
  <c r="AW61" i="3" s="1"/>
  <c r="X62" i="3" l="1"/>
  <c r="Y62" i="3" s="1"/>
  <c r="AV62" i="3"/>
  <c r="AW62" i="3" s="1"/>
  <c r="M64" i="3"/>
  <c r="AU63" i="3"/>
  <c r="AM63" i="3"/>
  <c r="AE63" i="3"/>
  <c r="W63" i="3"/>
  <c r="AT63" i="3"/>
  <c r="AV63" i="3" s="1"/>
  <c r="AW63" i="3" s="1"/>
  <c r="AL63" i="3"/>
  <c r="AN63" i="3" s="1"/>
  <c r="AO63" i="3" s="1"/>
  <c r="V63" i="3"/>
  <c r="AD63" i="3"/>
  <c r="AN62" i="3"/>
  <c r="AO62" i="3" s="1"/>
  <c r="AF63" i="3" l="1"/>
  <c r="AG63" i="3" s="1"/>
  <c r="X63" i="3"/>
  <c r="Y63" i="3" s="1"/>
  <c r="AX64" i="3"/>
  <c r="AT64" i="3"/>
  <c r="AP64" i="3"/>
  <c r="AL64" i="3"/>
  <c r="AH64" i="3"/>
  <c r="AD64" i="3"/>
  <c r="Z64" i="3"/>
  <c r="V64" i="3"/>
  <c r="AQ64" i="3"/>
  <c r="AA64" i="3"/>
  <c r="M65" i="3"/>
  <c r="AM64" i="3"/>
  <c r="W64" i="3"/>
  <c r="AY64" i="3"/>
  <c r="AI64" i="3"/>
  <c r="AU64" i="3"/>
  <c r="AE64" i="3"/>
  <c r="X64" i="3" l="1"/>
  <c r="Y64" i="3" s="1"/>
  <c r="M66" i="3"/>
  <c r="AU65" i="3"/>
  <c r="AM65" i="3"/>
  <c r="AE65" i="3"/>
  <c r="W65" i="3"/>
  <c r="AT65" i="3"/>
  <c r="AV65" i="3" s="1"/>
  <c r="AW65" i="3" s="1"/>
  <c r="AL65" i="3"/>
  <c r="AN65" i="3" s="1"/>
  <c r="AO65" i="3" s="1"/>
  <c r="AD65" i="3"/>
  <c r="AF65" i="3" s="1"/>
  <c r="AG65" i="3" s="1"/>
  <c r="V65" i="3"/>
  <c r="X65" i="3" s="1"/>
  <c r="Y65" i="3" s="1"/>
  <c r="AB64" i="3"/>
  <c r="AC64" i="3" s="1"/>
  <c r="AR64" i="3"/>
  <c r="AS64" i="3" s="1"/>
  <c r="AF64" i="3"/>
  <c r="AG64" i="3" s="1"/>
  <c r="AV64" i="3"/>
  <c r="AW64" i="3" s="1"/>
  <c r="AJ64" i="3"/>
  <c r="AK64" i="3" s="1"/>
  <c r="AZ64" i="3"/>
  <c r="BA64" i="3" s="1"/>
  <c r="AN64" i="3"/>
  <c r="AO64" i="3" s="1"/>
  <c r="AX66" i="3" l="1"/>
  <c r="AT66" i="3"/>
  <c r="AP66" i="3"/>
  <c r="AL66" i="3"/>
  <c r="AH66" i="3"/>
  <c r="AD66" i="3"/>
  <c r="Z66" i="3"/>
  <c r="V66" i="3"/>
  <c r="M67" i="3"/>
  <c r="AM66" i="3"/>
  <c r="W66" i="3"/>
  <c r="AY66" i="3"/>
  <c r="AI66" i="3"/>
  <c r="AU66" i="3"/>
  <c r="AE66" i="3"/>
  <c r="AQ66" i="3"/>
  <c r="AA66" i="3"/>
  <c r="M68" i="3" l="1"/>
  <c r="AU67" i="3"/>
  <c r="AM67" i="3"/>
  <c r="AE67" i="3"/>
  <c r="W67" i="3"/>
  <c r="AT67" i="3"/>
  <c r="AV67" i="3" s="1"/>
  <c r="AW67" i="3" s="1"/>
  <c r="AL67" i="3"/>
  <c r="AN67" i="3" s="1"/>
  <c r="AO67" i="3" s="1"/>
  <c r="AD67" i="3"/>
  <c r="V67" i="3"/>
  <c r="X67" i="3" s="1"/>
  <c r="Y67" i="3" s="1"/>
  <c r="X66" i="3"/>
  <c r="Y66" i="3" s="1"/>
  <c r="AN66" i="3"/>
  <c r="AO66" i="3" s="1"/>
  <c r="AB66" i="3"/>
  <c r="AC66" i="3" s="1"/>
  <c r="AR66" i="3"/>
  <c r="AS66" i="3" s="1"/>
  <c r="AF66" i="3"/>
  <c r="AG66" i="3" s="1"/>
  <c r="AV66" i="3"/>
  <c r="AW66" i="3" s="1"/>
  <c r="AJ66" i="3"/>
  <c r="AK66" i="3" s="1"/>
  <c r="AZ66" i="3"/>
  <c r="BA66" i="3" s="1"/>
  <c r="AF67" i="3" l="1"/>
  <c r="AG67" i="3" s="1"/>
  <c r="AX68" i="3"/>
  <c r="AT68" i="3"/>
  <c r="AP68" i="3"/>
  <c r="AL68" i="3"/>
  <c r="AH68" i="3"/>
  <c r="AD68" i="3"/>
  <c r="Z68" i="3"/>
  <c r="V68" i="3"/>
  <c r="AY68" i="3"/>
  <c r="AI68" i="3"/>
  <c r="AU68" i="3"/>
  <c r="AE68" i="3"/>
  <c r="AQ68" i="3"/>
  <c r="AA68" i="3"/>
  <c r="M69" i="3"/>
  <c r="AM68" i="3"/>
  <c r="W68" i="3"/>
  <c r="AB68" i="3" l="1"/>
  <c r="AC68" i="3" s="1"/>
  <c r="AJ68" i="3"/>
  <c r="AK68" i="3" s="1"/>
  <c r="X68" i="3"/>
  <c r="Y68" i="3" s="1"/>
  <c r="AN68" i="3"/>
  <c r="AO68" i="3" s="1"/>
  <c r="AR68" i="3"/>
  <c r="AS68" i="3" s="1"/>
  <c r="M70" i="3"/>
  <c r="AU69" i="3"/>
  <c r="AM69" i="3"/>
  <c r="AE69" i="3"/>
  <c r="W69" i="3"/>
  <c r="AT69" i="3"/>
  <c r="AV69" i="3" s="1"/>
  <c r="AW69" i="3" s="1"/>
  <c r="AL69" i="3"/>
  <c r="AD69" i="3"/>
  <c r="AF69" i="3" s="1"/>
  <c r="AG69" i="3" s="1"/>
  <c r="V69" i="3"/>
  <c r="X69" i="3" s="1"/>
  <c r="Y69" i="3" s="1"/>
  <c r="AF68" i="3"/>
  <c r="AG68" i="3" s="1"/>
  <c r="AV68" i="3"/>
  <c r="AW68" i="3" s="1"/>
  <c r="AZ68" i="3"/>
  <c r="BA68" i="3" s="1"/>
  <c r="AN69" i="3" l="1"/>
  <c r="AO69" i="3" s="1"/>
  <c r="AQ70" i="3"/>
  <c r="AL70" i="3"/>
  <c r="AH70" i="3"/>
  <c r="AD70" i="3"/>
  <c r="Z70" i="3"/>
  <c r="V70" i="3"/>
  <c r="AU70" i="3"/>
  <c r="AP70" i="3"/>
  <c r="AY70" i="3"/>
  <c r="AT70" i="3"/>
  <c r="AX70" i="3"/>
  <c r="AE70" i="3"/>
  <c r="AA70" i="3"/>
  <c r="AA94" i="3" s="1"/>
  <c r="AM70" i="3"/>
  <c r="W70" i="3"/>
  <c r="W94" i="3" s="1"/>
  <c r="M71" i="3"/>
  <c r="AI70" i="3"/>
  <c r="AR70" i="3" l="1"/>
  <c r="AS70" i="3" s="1"/>
  <c r="AZ70" i="3"/>
  <c r="BA70" i="3" s="1"/>
  <c r="AV70" i="3"/>
  <c r="AW70" i="3" s="1"/>
  <c r="M72" i="3"/>
  <c r="AU71" i="3"/>
  <c r="AM71" i="3"/>
  <c r="AE71" i="3"/>
  <c r="AT71" i="3"/>
  <c r="AD71" i="3"/>
  <c r="AL71" i="3"/>
  <c r="AN71" i="3" s="1"/>
  <c r="AO71" i="3" s="1"/>
  <c r="AF70" i="3"/>
  <c r="AG70" i="3" s="1"/>
  <c r="AJ70" i="3"/>
  <c r="AK70" i="3" s="1"/>
  <c r="X70" i="3"/>
  <c r="Y70" i="3" s="1"/>
  <c r="Y94" i="3" s="1"/>
  <c r="D32" i="3" s="1"/>
  <c r="V94" i="3"/>
  <c r="AN70" i="3"/>
  <c r="AO70" i="3" s="1"/>
  <c r="AB70" i="3"/>
  <c r="AC70" i="3" s="1"/>
  <c r="AC94" i="3" s="1"/>
  <c r="E32" i="3" s="1"/>
  <c r="Z94" i="3"/>
  <c r="AF71" i="3" l="1"/>
  <c r="AG71" i="3" s="1"/>
  <c r="AV71" i="3"/>
  <c r="AW71" i="3" s="1"/>
  <c r="AY72" i="3"/>
  <c r="AT72" i="3"/>
  <c r="AI72" i="3"/>
  <c r="AD72" i="3"/>
  <c r="M73" i="3"/>
  <c r="AX72" i="3"/>
  <c r="AZ72" i="3" s="1"/>
  <c r="BA72" i="3" s="1"/>
  <c r="AM72" i="3"/>
  <c r="AH72" i="3"/>
  <c r="AQ72" i="3"/>
  <c r="AL72" i="3"/>
  <c r="AE72" i="3"/>
  <c r="AU72" i="3"/>
  <c r="AP72" i="3"/>
  <c r="AR72" i="3" s="1"/>
  <c r="AS72" i="3" s="1"/>
  <c r="AN72" i="3" l="1"/>
  <c r="AO72" i="3" s="1"/>
  <c r="AJ72" i="3"/>
  <c r="AK72" i="3" s="1"/>
  <c r="AF72" i="3"/>
  <c r="AG72" i="3" s="1"/>
  <c r="AV72" i="3"/>
  <c r="AW72" i="3" s="1"/>
  <c r="M74" i="3"/>
  <c r="AU73" i="3"/>
  <c r="AM73" i="3"/>
  <c r="AE73" i="3"/>
  <c r="AD73" i="3"/>
  <c r="AL73" i="3"/>
  <c r="AT73" i="3"/>
  <c r="AV73" i="3" l="1"/>
  <c r="AW73" i="3" s="1"/>
  <c r="AN73" i="3"/>
  <c r="AO73" i="3" s="1"/>
  <c r="AF73" i="3"/>
  <c r="AG73" i="3" s="1"/>
  <c r="AX74" i="3"/>
  <c r="AT74" i="3"/>
  <c r="AP74" i="3"/>
  <c r="AL74" i="3"/>
  <c r="AH74" i="3"/>
  <c r="AQ74" i="3"/>
  <c r="M75" i="3"/>
  <c r="AM74" i="3"/>
  <c r="AE74" i="3"/>
  <c r="AY74" i="3"/>
  <c r="AD74" i="3"/>
  <c r="AI74" i="3"/>
  <c r="AU74" i="3"/>
  <c r="AJ74" i="3" l="1"/>
  <c r="AK74" i="3" s="1"/>
  <c r="AF74" i="3"/>
  <c r="AG74" i="3" s="1"/>
  <c r="AN74" i="3"/>
  <c r="AO74" i="3" s="1"/>
  <c r="M76" i="3"/>
  <c r="AU75" i="3"/>
  <c r="AM75" i="3"/>
  <c r="AE75" i="3"/>
  <c r="AT75" i="3"/>
  <c r="AL75" i="3"/>
  <c r="AD75" i="3"/>
  <c r="AR74" i="3"/>
  <c r="AS74" i="3" s="1"/>
  <c r="AV74" i="3"/>
  <c r="AW74" i="3" s="1"/>
  <c r="AZ74" i="3"/>
  <c r="BA74" i="3" s="1"/>
  <c r="AN75" i="3" l="1"/>
  <c r="AO75" i="3" s="1"/>
  <c r="AV75" i="3"/>
  <c r="AW75" i="3" s="1"/>
  <c r="AF75" i="3"/>
  <c r="AG75" i="3" s="1"/>
  <c r="AX76" i="3"/>
  <c r="AT76" i="3"/>
  <c r="AP76" i="3"/>
  <c r="AL76" i="3"/>
  <c r="AH76" i="3"/>
  <c r="AD76" i="3"/>
  <c r="AY76" i="3"/>
  <c r="AI76" i="3"/>
  <c r="AI94" i="3" s="1"/>
  <c r="AU76" i="3"/>
  <c r="AE76" i="3"/>
  <c r="AE94" i="3" s="1"/>
  <c r="AQ76" i="3"/>
  <c r="M77" i="3"/>
  <c r="AM76" i="3"/>
  <c r="AR76" i="3" l="1"/>
  <c r="AS76" i="3" s="1"/>
  <c r="AF76" i="3"/>
  <c r="AG76" i="3" s="1"/>
  <c r="AG94" i="3" s="1"/>
  <c r="F32" i="3" s="1"/>
  <c r="AD94" i="3"/>
  <c r="AV76" i="3"/>
  <c r="AW76" i="3" s="1"/>
  <c r="AJ76" i="3"/>
  <c r="AK76" i="3" s="1"/>
  <c r="AK94" i="3" s="1"/>
  <c r="G32" i="3" s="1"/>
  <c r="AH94" i="3"/>
  <c r="AZ76" i="3"/>
  <c r="BA76" i="3" s="1"/>
  <c r="M78" i="3"/>
  <c r="AU77" i="3"/>
  <c r="AM77" i="3"/>
  <c r="AT77" i="3"/>
  <c r="AL77" i="3"/>
  <c r="AN77" i="3" s="1"/>
  <c r="AO77" i="3" s="1"/>
  <c r="AN76" i="3"/>
  <c r="AO76" i="3" s="1"/>
  <c r="AV77" i="3" l="1"/>
  <c r="AW77" i="3" s="1"/>
  <c r="AX78" i="3"/>
  <c r="AT78" i="3"/>
  <c r="AP78" i="3"/>
  <c r="AL78" i="3"/>
  <c r="M79" i="3"/>
  <c r="AM78" i="3"/>
  <c r="AY78" i="3"/>
  <c r="AU78" i="3"/>
  <c r="AQ78" i="3"/>
  <c r="AR78" i="3" l="1"/>
  <c r="AS78" i="3" s="1"/>
  <c r="AZ78" i="3"/>
  <c r="BA78" i="3" s="1"/>
  <c r="M80" i="3"/>
  <c r="AU79" i="3"/>
  <c r="AM79" i="3"/>
  <c r="AT79" i="3"/>
  <c r="AL79" i="3"/>
  <c r="AN79" i="3" s="1"/>
  <c r="AO79" i="3" s="1"/>
  <c r="AN78" i="3"/>
  <c r="AO78" i="3" s="1"/>
  <c r="AV78" i="3"/>
  <c r="AW78" i="3" s="1"/>
  <c r="AV79" i="3" l="1"/>
  <c r="AW79" i="3" s="1"/>
  <c r="AX80" i="3"/>
  <c r="AT80" i="3"/>
  <c r="AP80" i="3"/>
  <c r="AL80" i="3"/>
  <c r="AQ80" i="3"/>
  <c r="M81" i="3"/>
  <c r="AM80" i="3"/>
  <c r="AY80" i="3"/>
  <c r="AU80" i="3"/>
  <c r="AN80" i="3" l="1"/>
  <c r="AO80" i="3" s="1"/>
  <c r="AR80" i="3"/>
  <c r="AS80" i="3" s="1"/>
  <c r="M82" i="3"/>
  <c r="AU81" i="3"/>
  <c r="AM81" i="3"/>
  <c r="AT81" i="3"/>
  <c r="AL81" i="3"/>
  <c r="AV80" i="3"/>
  <c r="AW80" i="3" s="1"/>
  <c r="AZ80" i="3"/>
  <c r="BA80" i="3" s="1"/>
  <c r="AV81" i="3" l="1"/>
  <c r="AW81" i="3" s="1"/>
  <c r="AN81" i="3"/>
  <c r="AO81" i="3" s="1"/>
  <c r="AX82" i="3"/>
  <c r="AT82" i="3"/>
  <c r="AP82" i="3"/>
  <c r="AL82" i="3"/>
  <c r="AU82" i="3"/>
  <c r="AQ82" i="3"/>
  <c r="M83" i="3"/>
  <c r="AM82" i="3"/>
  <c r="AY82" i="3"/>
  <c r="AV82" i="3" l="1"/>
  <c r="AW82" i="3" s="1"/>
  <c r="AR82" i="3"/>
  <c r="AS82" i="3" s="1"/>
  <c r="AZ82" i="3"/>
  <c r="BA82" i="3" s="1"/>
  <c r="M84" i="3"/>
  <c r="AU83" i="3"/>
  <c r="AM83" i="3"/>
  <c r="AT83" i="3"/>
  <c r="AL83" i="3"/>
  <c r="AN83" i="3" s="1"/>
  <c r="AO83" i="3" s="1"/>
  <c r="AN82" i="3"/>
  <c r="AO82" i="3" s="1"/>
  <c r="AV83" i="3" l="1"/>
  <c r="AW83" i="3" s="1"/>
  <c r="AX84" i="3"/>
  <c r="AT84" i="3"/>
  <c r="AP84" i="3"/>
  <c r="AL84" i="3"/>
  <c r="AY84" i="3"/>
  <c r="AU84" i="3"/>
  <c r="AQ84" i="3"/>
  <c r="AQ94" i="3" s="1"/>
  <c r="M85" i="3"/>
  <c r="AM84" i="3"/>
  <c r="AM94" i="3" s="1"/>
  <c r="AZ84" i="3" l="1"/>
  <c r="BA84" i="3" s="1"/>
  <c r="M86" i="3"/>
  <c r="AU85" i="3"/>
  <c r="AT85" i="3"/>
  <c r="AV85" i="3" s="1"/>
  <c r="AW85" i="3" s="1"/>
  <c r="AN84" i="3"/>
  <c r="AO84" i="3" s="1"/>
  <c r="AO94" i="3" s="1"/>
  <c r="H32" i="3" s="1"/>
  <c r="AL94" i="3"/>
  <c r="AR84" i="3"/>
  <c r="AS84" i="3" s="1"/>
  <c r="AS94" i="3" s="1"/>
  <c r="I32" i="3" s="1"/>
  <c r="AP94" i="3"/>
  <c r="AV84" i="3"/>
  <c r="AW84" i="3" s="1"/>
  <c r="AX86" i="3" l="1"/>
  <c r="AT86" i="3"/>
  <c r="AY86" i="3"/>
  <c r="AU86" i="3"/>
  <c r="M87" i="3"/>
  <c r="AV86" i="3" l="1"/>
  <c r="AW86" i="3" s="1"/>
  <c r="AZ86" i="3"/>
  <c r="BA86" i="3" s="1"/>
  <c r="M88" i="3"/>
  <c r="AU87" i="3"/>
  <c r="AT87" i="3"/>
  <c r="AV87" i="3" l="1"/>
  <c r="AW87" i="3" s="1"/>
  <c r="AX88" i="3"/>
  <c r="AT88" i="3"/>
  <c r="AV88" i="3" s="1"/>
  <c r="AW88" i="3" s="1"/>
  <c r="AY88" i="3"/>
  <c r="AU88" i="3"/>
  <c r="M89" i="3"/>
  <c r="AZ88" i="3" l="1"/>
  <c r="BA88" i="3" s="1"/>
  <c r="M90" i="3"/>
  <c r="AU89" i="3"/>
  <c r="AT89" i="3"/>
  <c r="AV89" i="3" s="1"/>
  <c r="AW89" i="3" s="1"/>
  <c r="AX90" i="3" l="1"/>
  <c r="AT90" i="3"/>
  <c r="AY90" i="3"/>
  <c r="AU90" i="3"/>
  <c r="M91" i="3"/>
  <c r="AV90" i="3" l="1"/>
  <c r="AW90" i="3" s="1"/>
  <c r="AZ90" i="3"/>
  <c r="BA90" i="3" s="1"/>
  <c r="M92" i="3"/>
  <c r="AU91" i="3"/>
  <c r="AT91" i="3"/>
  <c r="AV91" i="3" l="1"/>
  <c r="AW91" i="3" s="1"/>
  <c r="AX92" i="3"/>
  <c r="AT92" i="3"/>
  <c r="AY92" i="3"/>
  <c r="AY94" i="3" s="1"/>
  <c r="AU92" i="3"/>
  <c r="AU94" i="3" s="1"/>
  <c r="AV92" i="3" l="1"/>
  <c r="AW92" i="3" s="1"/>
  <c r="AW94" i="3" s="1"/>
  <c r="J32" i="3" s="1"/>
  <c r="AT94" i="3"/>
  <c r="AZ92" i="3"/>
  <c r="BA92" i="3" s="1"/>
  <c r="BA94" i="3" s="1"/>
  <c r="K32" i="3" s="1"/>
  <c r="AX94" i="3"/>
  <c r="D10" i="2" l="1"/>
  <c r="D28" i="2" l="1"/>
  <c r="D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tc={0D283D10-1CB4-465C-ACBC-0B7FD288FB48}</author>
  </authors>
  <commentList>
    <comment ref="O5" authorId="0" shapeId="0" xr:uid="{0D283D10-1CB4-465C-ACBC-0B7FD288FB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TC 21/04/2020</t>
      </text>
    </comment>
  </commentList>
</comments>
</file>

<file path=xl/sharedStrings.xml><?xml version="1.0" encoding="utf-8"?>
<sst xmlns="http://schemas.openxmlformats.org/spreadsheetml/2006/main" count="344" uniqueCount="133">
  <si>
    <t>Montos en millones de USD</t>
  </si>
  <si>
    <t>Bono</t>
  </si>
  <si>
    <t>Moneda</t>
  </si>
  <si>
    <t>Cupón</t>
  </si>
  <si>
    <t>Stock vigente</t>
  </si>
  <si>
    <t>PAR USD 2038</t>
  </si>
  <si>
    <t>USD</t>
  </si>
  <si>
    <t>3,75%*</t>
  </si>
  <si>
    <t>PAR EUR 2038</t>
  </si>
  <si>
    <t>EUR</t>
  </si>
  <si>
    <t>3,38%*</t>
  </si>
  <si>
    <t>DISCOUNT USD 2033</t>
  </si>
  <si>
    <t>DISCOUNT EUR 2033</t>
  </si>
  <si>
    <t>Subtotal Indenture 2005</t>
  </si>
  <si>
    <t>BIRAF 2020</t>
  </si>
  <si>
    <t>CHF</t>
  </si>
  <si>
    <t>BIRAD 2021</t>
  </si>
  <si>
    <t>BIRAE 2022</t>
  </si>
  <si>
    <t>BIRAD 2022</t>
  </si>
  <si>
    <t>BIRAD 2023</t>
  </si>
  <si>
    <t>BIRAE 2023</t>
  </si>
  <si>
    <t>BIRAD 2026</t>
  </si>
  <si>
    <t>BIRAE 2027</t>
  </si>
  <si>
    <t>BIRAD 2027</t>
  </si>
  <si>
    <t>BIRAD 2028</t>
  </si>
  <si>
    <t>BIRAE 2028</t>
  </si>
  <si>
    <t>BIRAD 2036</t>
  </si>
  <si>
    <t>BIRAD 2046</t>
  </si>
  <si>
    <t>BIRAE 2047</t>
  </si>
  <si>
    <t>BIRAD 2048</t>
  </si>
  <si>
    <t>BIRAD 2117</t>
  </si>
  <si>
    <t>Subtotal Indenture 2016</t>
  </si>
  <si>
    <t>Total</t>
  </si>
  <si>
    <t>Mensual</t>
  </si>
  <si>
    <t>Exit yield</t>
  </si>
  <si>
    <t>Trimestral</t>
  </si>
  <si>
    <t>Base de cálculo 30/360</t>
  </si>
  <si>
    <t>Semestral</t>
  </si>
  <si>
    <t>Anual</t>
  </si>
  <si>
    <t>Fecha de emisión</t>
  </si>
  <si>
    <t>Fecha de vencimiento</t>
  </si>
  <si>
    <t>Plazo en años</t>
  </si>
  <si>
    <t>Años de gracia</t>
  </si>
  <si>
    <t>Final período de gracia</t>
  </si>
  <si>
    <t>Primer pago de intereses</t>
  </si>
  <si>
    <t>Pago de intereses</t>
  </si>
  <si>
    <t>Amortización cuotas</t>
  </si>
  <si>
    <t>Primera amortización</t>
  </si>
  <si>
    <t>Valor presente @ exit yield</t>
  </si>
  <si>
    <t>BONO USD 30</t>
  </si>
  <si>
    <t>BONO EUR 30</t>
  </si>
  <si>
    <t>BONO USD 36</t>
  </si>
  <si>
    <t>BONO EUR 36</t>
  </si>
  <si>
    <t>BONO USD 39</t>
  </si>
  <si>
    <t>BONO EUR 39</t>
  </si>
  <si>
    <t>BONO USD 43</t>
  </si>
  <si>
    <t>BONO EUR 43</t>
  </si>
  <si>
    <t>BONO USD 47</t>
  </si>
  <si>
    <t>BONO EUR 47</t>
  </si>
  <si>
    <t>Fecha final de cupón</t>
  </si>
  <si>
    <t>Tasas nominales anuales</t>
  </si>
  <si>
    <t>Fecha cupón</t>
  </si>
  <si>
    <t>Interés</t>
  </si>
  <si>
    <t>Amort.</t>
  </si>
  <si>
    <t>Total (I+K)</t>
  </si>
  <si>
    <t>Valor presente</t>
  </si>
  <si>
    <t>TOTAL</t>
  </si>
  <si>
    <t>Bonos nuevos</t>
  </si>
  <si>
    <r>
      <t xml:space="preserve">Relación de canje
</t>
    </r>
    <r>
      <rPr>
        <sz val="9"/>
        <color rgb="FFFFFFFF"/>
        <rFont val="GothamBook"/>
        <family val="3"/>
      </rPr>
      <t>(cada 100 VN de bono elegible)</t>
    </r>
  </si>
  <si>
    <t>USD 2030</t>
  </si>
  <si>
    <t>EUR 2030</t>
  </si>
  <si>
    <t>USD 2036</t>
  </si>
  <si>
    <t>EUR 2036</t>
  </si>
  <si>
    <t>USD 2039</t>
  </si>
  <si>
    <t>EUR 2039</t>
  </si>
  <si>
    <t>USD 2043</t>
  </si>
  <si>
    <t>EUR 2043</t>
  </si>
  <si>
    <t>USD 2047</t>
  </si>
  <si>
    <t>EUR 2047</t>
  </si>
  <si>
    <t>USD 30</t>
  </si>
  <si>
    <t>EUR 30</t>
  </si>
  <si>
    <t>USD 36</t>
  </si>
  <si>
    <t>EUR 36</t>
  </si>
  <si>
    <t>USD 39</t>
  </si>
  <si>
    <t>EUR 39</t>
  </si>
  <si>
    <t>USD 43</t>
  </si>
  <si>
    <t>EUR 43</t>
  </si>
  <si>
    <t>USD 47</t>
  </si>
  <si>
    <t>EUR 47</t>
  </si>
  <si>
    <t>Características</t>
  </si>
  <si>
    <t xml:space="preserve">Cada 100 VN </t>
  </si>
  <si>
    <t>Exit yield (menú desplegable)</t>
  </si>
  <si>
    <t>Supuestos</t>
  </si>
  <si>
    <t>VPN</t>
  </si>
  <si>
    <t>DISCOUNT USD</t>
  </si>
  <si>
    <t>PAR USD</t>
  </si>
  <si>
    <t>DISCOUNT EUR</t>
  </si>
  <si>
    <t>PAR EUR</t>
  </si>
  <si>
    <t>Relación de canje</t>
  </si>
  <si>
    <t>Grupo</t>
  </si>
  <si>
    <t>Instrumento</t>
  </si>
  <si>
    <t>CAP</t>
  </si>
  <si>
    <t>Perfil intereses y capital de bonos nuevos</t>
  </si>
  <si>
    <t>en millones de USD</t>
  </si>
  <si>
    <t>Intereses</t>
  </si>
  <si>
    <t>Amortizaciones</t>
  </si>
  <si>
    <t>Año</t>
  </si>
  <si>
    <t>Perfil de vencimientos actual</t>
  </si>
  <si>
    <t>en millones de EUR</t>
  </si>
  <si>
    <t>Universo de títulos elegibles</t>
  </si>
  <si>
    <t>Bonos elegibles</t>
  </si>
  <si>
    <t>Bonos Nuevos</t>
  </si>
  <si>
    <t>Valor de la oferta frente a los precios de mercado</t>
  </si>
  <si>
    <t>BIRAD 2028 (ene)</t>
  </si>
  <si>
    <t>BIRAD 2028 (jul)</t>
  </si>
  <si>
    <t>VN entregado</t>
  </si>
  <si>
    <t>En millones de moneda de origen.</t>
  </si>
  <si>
    <t>VN (cada 100 VNA de bono elegible)</t>
  </si>
  <si>
    <t>* A partir del 31/03/2029, la tasa de los bonos PAR en dólares y euros aumenta a 5,25%y 4,74%, respectivamente.</t>
  </si>
  <si>
    <t>Vencimientos totales
 (intereses y amortizaciones)</t>
  </si>
  <si>
    <t>Precio Clean 17/04/20</t>
  </si>
  <si>
    <t>Intereses devengados al 17/04/20</t>
  </si>
  <si>
    <t>* Las relaciones de canje tienen implícito el tipo de cambio entre la moneda del bono elegible (franco suizo) y la del bono nuevo (euro).</t>
  </si>
  <si>
    <t>** Se expone la relación de canje en relación al valor nominal actualizado, que incluye los intereses capitalizados.</t>
  </si>
  <si>
    <r>
      <t>Valor presente de los bonos nuevos (</t>
    </r>
    <r>
      <rPr>
        <i/>
        <sz val="8.1"/>
        <color rgb="FF3E3E3E"/>
        <rFont val="GothamBook"/>
        <family val="3"/>
      </rPr>
      <t>exit yield</t>
    </r>
    <r>
      <rPr>
        <sz val="9"/>
        <color rgb="FF3E3E3E"/>
        <rFont val="GothamBook"/>
        <family val="3"/>
      </rPr>
      <t xml:space="preserve"> de 10%) vs. Precio de los bonos elegibles al 17 de abril.</t>
    </r>
  </si>
  <si>
    <r>
      <t xml:space="preserve">Valor presente de bonos nuevos según distintas </t>
    </r>
    <r>
      <rPr>
        <i/>
        <sz val="12"/>
        <color rgb="FF3E3E3E"/>
        <rFont val="GothamBold"/>
        <family val="3"/>
      </rPr>
      <t>exit yield</t>
    </r>
  </si>
  <si>
    <r>
      <rPr>
        <i/>
        <sz val="8.1"/>
        <color rgb="FF3E3E3E"/>
        <rFont val="GothamBold"/>
        <family val="3"/>
      </rPr>
      <t>Exit yield</t>
    </r>
    <r>
      <rPr>
        <sz val="9"/>
        <color rgb="FF3E3E3E"/>
        <rFont val="GothamBold"/>
        <family val="3"/>
      </rPr>
      <t xml:space="preserve"> = 10%</t>
    </r>
  </si>
  <si>
    <r>
      <t>Monto máximo a emitir (</t>
    </r>
    <r>
      <rPr>
        <b/>
        <i/>
        <sz val="10"/>
        <color theme="0"/>
        <rFont val="GothamBold"/>
        <family val="3"/>
      </rPr>
      <t>cap</t>
    </r>
    <r>
      <rPr>
        <b/>
        <sz val="10"/>
        <color theme="0"/>
        <rFont val="GothamBold"/>
        <family val="3"/>
      </rPr>
      <t>)</t>
    </r>
  </si>
  <si>
    <r>
      <t xml:space="preserve">Escenario de aceptación 100% (con </t>
    </r>
    <r>
      <rPr>
        <i/>
        <sz val="10"/>
        <color rgb="FF3E3E3E"/>
        <rFont val="GothamBook"/>
        <family val="3"/>
      </rPr>
      <t>exit yield</t>
    </r>
    <r>
      <rPr>
        <sz val="10"/>
        <color rgb="FF3E3E3E"/>
        <rFont val="GothamBook"/>
        <family val="3"/>
      </rPr>
      <t>=10%)</t>
    </r>
  </si>
  <si>
    <r>
      <t xml:space="preserve">Escenario de aceptación 100% (con </t>
    </r>
    <r>
      <rPr>
        <i/>
        <sz val="10"/>
        <color theme="0"/>
        <rFont val="GothamBold"/>
        <family val="3"/>
      </rPr>
      <t>exit yield</t>
    </r>
    <r>
      <rPr>
        <sz val="10"/>
        <color theme="0"/>
        <rFont val="GothamBold"/>
        <family val="3"/>
      </rPr>
      <t xml:space="preserve"> 10%)</t>
    </r>
  </si>
  <si>
    <r>
      <t xml:space="preserve">Escenario de aceptación 100% (con </t>
    </r>
    <r>
      <rPr>
        <b/>
        <i/>
        <sz val="12"/>
        <color rgb="FF3E3E3E"/>
        <rFont val="GothamBold"/>
        <family val="3"/>
      </rPr>
      <t>exit yield</t>
    </r>
    <r>
      <rPr>
        <b/>
        <sz val="12"/>
        <color rgb="FF3E3E3E"/>
        <rFont val="GothamBold"/>
        <family val="3"/>
      </rPr>
      <t xml:space="preserve"> 10%): emisión de bonos en dólares y euros</t>
    </r>
  </si>
  <si>
    <t>Comparación perfil de vencimientos bonos elegibles actual vs. Escenario de aceptación 100%</t>
  </si>
  <si>
    <r>
      <t>VNO nuevos bonos</t>
    </r>
    <r>
      <rPr>
        <sz val="10"/>
        <color theme="0"/>
        <rFont val="GothamBold"/>
        <family val="3"/>
      </rPr>
      <t xml:space="preserve">
(en millones de USD)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</si>
</sst>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&quot;$&quot;\ #,##0.00;[Red]\-&quot;$&quot;\ #,##0.00"/>
    <numFmt numFmtId="165" formatCode="_-* #,##0.00_-;\-* #,##0.00_-;_-* &quot;-&quot;??_-;_-@_-"/>
    <numFmt numFmtId="166" formatCode="0.000%"/>
    <numFmt numFmtId="167" formatCode="0.0"/>
    <numFmt numFmtId="168" formatCode="#,##0.0_);\(#,##0.0\)"/>
    <numFmt numFmtId="169" formatCode="#,##0.0_ ;\-#,##0.0\ "/>
    <numFmt numFmtId="170" formatCode="0.0%"/>
    <numFmt numFmtId="171" formatCode="_ * #,##0_ ;_ * \-#,##0_ ;_ * &quot;-&quot;??_ ;_ @_ "/>
    <numFmt numFmtId="172" formatCode="#,##0_ ;\-#,##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GothamBold"/>
      <family val="3"/>
    </font>
    <font>
      <sz val="9"/>
      <color rgb="FF3E3E3E"/>
      <name val="GothamBook"/>
      <family val="3"/>
    </font>
    <font>
      <i/>
      <sz val="9"/>
      <color theme="1"/>
      <name val="GothamBook"/>
      <family val="3"/>
    </font>
    <font>
      <sz val="9"/>
      <color rgb="FF3E3E3E"/>
      <name val="GothamBold"/>
      <family val="3"/>
    </font>
    <font>
      <sz val="9"/>
      <color theme="1"/>
      <name val="GothamBook"/>
      <family val="3"/>
    </font>
    <font>
      <sz val="9"/>
      <color rgb="FFFF0000"/>
      <name val="GothamBook"/>
      <family val="3"/>
    </font>
    <font>
      <sz val="9"/>
      <name val="GothamBook"/>
      <family val="3"/>
    </font>
    <font>
      <sz val="9"/>
      <color theme="1"/>
      <name val="GothamBold"/>
      <family val="3"/>
    </font>
    <font>
      <b/>
      <sz val="9"/>
      <color theme="1"/>
      <name val="GothamBook"/>
      <family val="3"/>
    </font>
    <font>
      <b/>
      <sz val="9"/>
      <color theme="1"/>
      <name val="GothamBold"/>
      <family val="3"/>
    </font>
    <font>
      <sz val="11"/>
      <color theme="1"/>
      <name val="GothamBold"/>
      <family val="3"/>
    </font>
    <font>
      <sz val="9"/>
      <color rgb="FFFFFFFF"/>
      <name val="GothamBold"/>
      <family val="3"/>
    </font>
    <font>
      <sz val="9"/>
      <color rgb="FFFFFFFF"/>
      <name val="GothamBook"/>
      <family val="3"/>
    </font>
    <font>
      <b/>
      <sz val="9"/>
      <color rgb="FF3E3E3E"/>
      <name val="GothamBold"/>
      <family val="3"/>
    </font>
    <font>
      <sz val="10"/>
      <color rgb="FF3E3E3E"/>
      <name val="GothamBold"/>
      <family val="3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GothamBold"/>
      <family val="3"/>
    </font>
    <font>
      <b/>
      <sz val="10"/>
      <color theme="1"/>
      <name val="GothamBold"/>
      <family val="3"/>
    </font>
    <font>
      <sz val="11"/>
      <color rgb="FF3E3E3E"/>
      <name val="Calibri"/>
      <family val="2"/>
      <scheme val="minor"/>
    </font>
    <font>
      <sz val="10"/>
      <color theme="0"/>
      <name val="GothamBold"/>
      <family val="3"/>
    </font>
    <font>
      <sz val="10"/>
      <color theme="0"/>
      <name val="Calibri"/>
      <family val="2"/>
      <scheme val="minor"/>
    </font>
    <font>
      <b/>
      <sz val="12"/>
      <color rgb="FF3E3E3E"/>
      <name val="GothamBold"/>
      <family val="3"/>
    </font>
    <font>
      <sz val="12"/>
      <color rgb="FF3E3E3E"/>
      <name val="GothamBold"/>
      <family val="3"/>
    </font>
    <font>
      <b/>
      <sz val="9"/>
      <color theme="0"/>
      <name val="GothamBold"/>
      <family val="3"/>
    </font>
    <font>
      <i/>
      <sz val="8.1"/>
      <color rgb="FF3E3E3E"/>
      <name val="GothamBook"/>
      <family val="3"/>
    </font>
    <font>
      <i/>
      <sz val="12"/>
      <color rgb="FF3E3E3E"/>
      <name val="GothamBold"/>
      <family val="3"/>
    </font>
    <font>
      <i/>
      <sz val="9"/>
      <color theme="0"/>
      <name val="GothamBold"/>
      <family val="3"/>
    </font>
    <font>
      <i/>
      <sz val="8.1"/>
      <color rgb="FF3E3E3E"/>
      <name val="GothamBold"/>
      <family val="3"/>
    </font>
    <font>
      <b/>
      <i/>
      <sz val="12"/>
      <color rgb="FF3E3E3E"/>
      <name val="GothamBold"/>
      <family val="3"/>
    </font>
    <font>
      <b/>
      <i/>
      <sz val="10"/>
      <color theme="0"/>
      <name val="GothamBold"/>
      <family val="3"/>
    </font>
    <font>
      <i/>
      <sz val="10"/>
      <color theme="0"/>
      <name val="GothamBold"/>
      <family val="3"/>
    </font>
    <font>
      <sz val="10"/>
      <color rgb="FF3E3E3E"/>
      <name val="GothamBook"/>
      <family val="3"/>
    </font>
    <font>
      <i/>
      <sz val="10"/>
      <color rgb="FF3E3E3E"/>
      <name val="GothamBook"/>
      <family val="3"/>
    </font>
  </fonts>
  <fills count="11">
    <fill>
      <patternFill patternType="none"/>
    </fill>
    <fill>
      <patternFill patternType="gray125"/>
    </fill>
    <fill>
      <patternFill patternType="solid">
        <fgColor rgb="FF87A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CE4F4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rgb="FF345AA6"/>
      </left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/>
      <top style="thin">
        <color rgb="FF345AA6"/>
      </top>
      <bottom style="thin">
        <color rgb="FF345AA6"/>
      </bottom>
      <diagonal/>
    </border>
    <border>
      <left/>
      <right/>
      <top style="thin">
        <color rgb="FF345AA6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/>
      <bottom style="thin">
        <color rgb="FF345AA6"/>
      </bottom>
      <diagonal/>
    </border>
    <border>
      <left style="thin">
        <color rgb="FF345AA6"/>
      </left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/>
      <bottom/>
      <diagonal/>
    </border>
    <border>
      <left/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45AA6"/>
      </left>
      <right/>
      <top/>
      <bottom/>
      <diagonal/>
    </border>
    <border>
      <left/>
      <right style="thin">
        <color rgb="FF345AA6"/>
      </right>
      <top/>
      <bottom/>
      <diagonal/>
    </border>
    <border>
      <left style="thin">
        <color rgb="FF345AA6"/>
      </left>
      <right/>
      <top/>
      <bottom style="thin">
        <color rgb="FF345AA6"/>
      </bottom>
      <diagonal/>
    </border>
    <border>
      <left/>
      <right/>
      <top/>
      <bottom style="thin">
        <color rgb="FF345AA6"/>
      </bottom>
      <diagonal/>
    </border>
    <border>
      <left/>
      <right style="thin">
        <color rgb="FF345AA6"/>
      </right>
      <top/>
      <bottom style="thin">
        <color rgb="FF345AA6"/>
      </bottom>
      <diagonal/>
    </border>
    <border>
      <left/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/>
      <top style="thin">
        <color rgb="FF345AA6"/>
      </top>
      <bottom/>
      <diagonal/>
    </border>
    <border>
      <left/>
      <right/>
      <top style="thin">
        <color rgb="FF345AA6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7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indent="2"/>
    </xf>
    <xf numFmtId="10" fontId="3" fillId="3" borderId="1" xfId="2" applyNumberFormat="1" applyFont="1" applyFill="1" applyBorder="1" applyAlignment="1">
      <alignment horizontal="center" vertical="center"/>
    </xf>
    <xf numFmtId="3" fontId="3" fillId="3" borderId="1" xfId="3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indent="2"/>
    </xf>
    <xf numFmtId="10" fontId="3" fillId="3" borderId="6" xfId="2" applyNumberFormat="1" applyFont="1" applyFill="1" applyBorder="1" applyAlignment="1">
      <alignment horizontal="center" vertical="center"/>
    </xf>
    <xf numFmtId="3" fontId="3" fillId="3" borderId="6" xfId="3" applyNumberFormat="1" applyFont="1" applyFill="1" applyBorder="1" applyAlignment="1">
      <alignment vertical="center"/>
    </xf>
    <xf numFmtId="166" fontId="3" fillId="3" borderId="6" xfId="2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2"/>
    </xf>
    <xf numFmtId="166" fontId="3" fillId="3" borderId="4" xfId="2" applyNumberFormat="1" applyFont="1" applyFill="1" applyBorder="1" applyAlignment="1">
      <alignment horizontal="center" vertical="center"/>
    </xf>
    <xf numFmtId="3" fontId="3" fillId="3" borderId="4" xfId="3" applyNumberFormat="1" applyFont="1" applyFill="1" applyBorder="1" applyAlignment="1">
      <alignment vertical="center"/>
    </xf>
    <xf numFmtId="3" fontId="5" fillId="4" borderId="5" xfId="3" applyNumberFormat="1" applyFont="1" applyFill="1" applyBorder="1" applyAlignment="1">
      <alignment vertical="center"/>
    </xf>
    <xf numFmtId="166" fontId="3" fillId="3" borderId="1" xfId="2" applyNumberFormat="1" applyFont="1" applyFill="1" applyBorder="1" applyAlignment="1">
      <alignment horizontal="center" vertical="center"/>
    </xf>
    <xf numFmtId="3" fontId="5" fillId="5" borderId="5" xfId="3" applyNumberFormat="1" applyFont="1" applyFill="1" applyBorder="1" applyAlignment="1">
      <alignment vertical="center"/>
    </xf>
    <xf numFmtId="3" fontId="0" fillId="0" borderId="0" xfId="0" applyNumberFormat="1"/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3" applyFont="1" applyBorder="1" applyAlignment="1">
      <alignment horizontal="center" vertical="center"/>
    </xf>
    <xf numFmtId="164" fontId="6" fillId="0" borderId="15" xfId="3" applyNumberFormat="1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164" fontId="6" fillId="0" borderId="14" xfId="3" applyNumberFormat="1" applyFont="1" applyBorder="1" applyAlignment="1">
      <alignment horizontal="center" vertical="center"/>
    </xf>
    <xf numFmtId="164" fontId="6" fillId="0" borderId="0" xfId="3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center" vertical="center"/>
    </xf>
    <xf numFmtId="0" fontId="6" fillId="0" borderId="0" xfId="0" applyFont="1"/>
    <xf numFmtId="9" fontId="13" fillId="2" borderId="7" xfId="2" applyFont="1" applyFill="1" applyBorder="1" applyAlignment="1">
      <alignment horizontal="center" vertical="center" wrapText="1"/>
    </xf>
    <xf numFmtId="9" fontId="13" fillId="2" borderId="5" xfId="2" applyFont="1" applyFill="1" applyBorder="1" applyAlignment="1">
      <alignment horizontal="center" vertical="center" wrapText="1"/>
    </xf>
    <xf numFmtId="3" fontId="5" fillId="0" borderId="6" xfId="3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/>
    </xf>
    <xf numFmtId="169" fontId="3" fillId="0" borderId="6" xfId="3" applyNumberFormat="1" applyFont="1" applyFill="1" applyBorder="1" applyAlignment="1">
      <alignment vertical="center"/>
    </xf>
    <xf numFmtId="1" fontId="3" fillId="0" borderId="6" xfId="0" applyNumberFormat="1" applyFont="1" applyBorder="1" applyAlignment="1">
      <alignment horizontal="center"/>
    </xf>
    <xf numFmtId="3" fontId="5" fillId="0" borderId="4" xfId="3" applyNumberFormat="1" applyFont="1" applyFill="1" applyBorder="1" applyAlignment="1">
      <alignment vertical="center"/>
    </xf>
    <xf numFmtId="1" fontId="3" fillId="0" borderId="4" xfId="0" applyNumberFormat="1" applyFont="1" applyBorder="1" applyAlignment="1">
      <alignment horizontal="center"/>
    </xf>
    <xf numFmtId="169" fontId="3" fillId="0" borderId="4" xfId="3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10" fontId="3" fillId="0" borderId="14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5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65" fontId="3" fillId="0" borderId="14" xfId="3" applyFont="1" applyBorder="1" applyAlignment="1">
      <alignment horizontal="center" vertical="center"/>
    </xf>
    <xf numFmtId="165" fontId="3" fillId="0" borderId="0" xfId="3" applyFont="1" applyBorder="1" applyAlignment="1">
      <alignment horizontal="center" vertical="center"/>
    </xf>
    <xf numFmtId="165" fontId="3" fillId="0" borderId="15" xfId="3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15" xfId="3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0" fontId="3" fillId="0" borderId="18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6" fillId="8" borderId="6" xfId="0" applyNumberFormat="1" applyFont="1" applyFill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14" fontId="3" fillId="8" borderId="6" xfId="0" applyNumberFormat="1" applyFont="1" applyFill="1" applyBorder="1" applyAlignment="1">
      <alignment horizontal="center" vertical="center"/>
    </xf>
    <xf numFmtId="1" fontId="6" fillId="8" borderId="6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3" fontId="6" fillId="0" borderId="4" xfId="3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65" fontId="3" fillId="8" borderId="15" xfId="3" applyFont="1" applyFill="1" applyBorder="1" applyAlignment="1">
      <alignment horizontal="center" vertical="center"/>
    </xf>
    <xf numFmtId="168" fontId="15" fillId="0" borderId="5" xfId="0" applyNumberFormat="1" applyFont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0" fontId="3" fillId="3" borderId="0" xfId="2" applyNumberFormat="1" applyFont="1" applyFill="1" applyBorder="1" applyAlignment="1">
      <alignment horizontal="center" vertical="center"/>
    </xf>
    <xf numFmtId="170" fontId="3" fillId="9" borderId="0" xfId="2" applyNumberFormat="1" applyFont="1" applyFill="1" applyBorder="1" applyAlignment="1">
      <alignment horizontal="center" vertical="center"/>
    </xf>
    <xf numFmtId="170" fontId="3" fillId="3" borderId="22" xfId="2" applyNumberFormat="1" applyFont="1" applyFill="1" applyBorder="1" applyAlignment="1">
      <alignment horizontal="center" vertical="center"/>
    </xf>
    <xf numFmtId="170" fontId="3" fillId="3" borderId="23" xfId="2" applyNumberFormat="1" applyFont="1" applyFill="1" applyBorder="1" applyAlignment="1">
      <alignment horizontal="center" vertical="center"/>
    </xf>
    <xf numFmtId="170" fontId="3" fillId="9" borderId="22" xfId="2" applyNumberFormat="1" applyFont="1" applyFill="1" applyBorder="1" applyAlignment="1">
      <alignment horizontal="center" vertical="center"/>
    </xf>
    <xf numFmtId="170" fontId="3" fillId="9" borderId="24" xfId="2" applyNumberFormat="1" applyFont="1" applyFill="1" applyBorder="1" applyAlignment="1">
      <alignment horizontal="center" vertical="center"/>
    </xf>
    <xf numFmtId="170" fontId="3" fillId="9" borderId="25" xfId="2" applyNumberFormat="1" applyFont="1" applyFill="1" applyBorder="1" applyAlignment="1">
      <alignment horizontal="center" vertical="center"/>
    </xf>
    <xf numFmtId="170" fontId="3" fillId="3" borderId="25" xfId="2" applyNumberFormat="1" applyFont="1" applyFill="1" applyBorder="1" applyAlignment="1">
      <alignment horizontal="center" vertical="center"/>
    </xf>
    <xf numFmtId="170" fontId="3" fillId="3" borderId="26" xfId="2" applyNumberFormat="1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/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170" fontId="3" fillId="3" borderId="6" xfId="2" applyNumberFormat="1" applyFont="1" applyFill="1" applyBorder="1" applyAlignment="1">
      <alignment horizontal="left" vertical="center"/>
    </xf>
    <xf numFmtId="170" fontId="3" fillId="3" borderId="4" xfId="2" applyNumberFormat="1" applyFont="1" applyFill="1" applyBorder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/>
    <xf numFmtId="171" fontId="20" fillId="0" borderId="0" xfId="0" applyNumberFormat="1" applyFont="1"/>
    <xf numFmtId="3" fontId="20" fillId="0" borderId="0" xfId="0" applyNumberFormat="1" applyFont="1"/>
    <xf numFmtId="0" fontId="3" fillId="0" borderId="0" xfId="0" applyFont="1" applyBorder="1"/>
    <xf numFmtId="171" fontId="3" fillId="0" borderId="6" xfId="1" applyNumberFormat="1" applyFont="1" applyBorder="1"/>
    <xf numFmtId="171" fontId="3" fillId="0" borderId="6" xfId="1" applyNumberFormat="1" applyFont="1" applyFill="1" applyBorder="1"/>
    <xf numFmtId="171" fontId="3" fillId="0" borderId="4" xfId="1" applyNumberFormat="1" applyFont="1" applyBorder="1"/>
    <xf numFmtId="3" fontId="3" fillId="0" borderId="23" xfId="0" applyNumberFormat="1" applyFont="1" applyBorder="1"/>
    <xf numFmtId="3" fontId="3" fillId="8" borderId="23" xfId="0" applyNumberFormat="1" applyFont="1" applyFill="1" applyBorder="1"/>
    <xf numFmtId="3" fontId="3" fillId="8" borderId="26" xfId="0" applyNumberFormat="1" applyFont="1" applyFill="1" applyBorder="1"/>
    <xf numFmtId="0" fontId="21" fillId="2" borderId="5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171" fontId="3" fillId="0" borderId="1" xfId="1" applyNumberFormat="1" applyFont="1" applyBorder="1"/>
    <xf numFmtId="3" fontId="3" fillId="0" borderId="27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3" fontId="18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9" fontId="3" fillId="0" borderId="0" xfId="0" applyNumberFormat="1" applyFont="1"/>
    <xf numFmtId="0" fontId="3" fillId="0" borderId="0" xfId="0" applyFont="1" applyAlignment="1">
      <alignment horizontal="left"/>
    </xf>
    <xf numFmtId="171" fontId="3" fillId="0" borderId="28" xfId="1" applyNumberFormat="1" applyFont="1" applyBorder="1"/>
    <xf numFmtId="171" fontId="3" fillId="0" borderId="22" xfId="1" applyNumberFormat="1" applyFont="1" applyBorder="1"/>
    <xf numFmtId="171" fontId="3" fillId="0" borderId="24" xfId="1" applyNumberFormat="1" applyFont="1" applyBorder="1"/>
    <xf numFmtId="171" fontId="3" fillId="0" borderId="22" xfId="1" applyNumberFormat="1" applyFont="1" applyFill="1" applyBorder="1"/>
    <xf numFmtId="3" fontId="3" fillId="8" borderId="1" xfId="0" applyNumberFormat="1" applyFont="1" applyFill="1" applyBorder="1"/>
    <xf numFmtId="3" fontId="3" fillId="8" borderId="6" xfId="0" applyNumberFormat="1" applyFont="1" applyFill="1" applyBorder="1"/>
    <xf numFmtId="3" fontId="3" fillId="0" borderId="6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/>
    <xf numFmtId="3" fontId="3" fillId="8" borderId="4" xfId="0" applyNumberFormat="1" applyFont="1" applyFill="1" applyBorder="1"/>
    <xf numFmtId="14" fontId="6" fillId="0" borderId="14" xfId="0" applyNumberFormat="1" applyFont="1" applyBorder="1" applyAlignment="1">
      <alignment horizontal="left" vertical="center"/>
    </xf>
    <xf numFmtId="0" fontId="23" fillId="0" borderId="0" xfId="0" applyFont="1"/>
    <xf numFmtId="0" fontId="3" fillId="0" borderId="6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12" fillId="0" borderId="0" xfId="0" applyNumberFormat="1" applyFont="1"/>
    <xf numFmtId="0" fontId="25" fillId="0" borderId="0" xfId="0" applyFont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72" fontId="3" fillId="0" borderId="28" xfId="3" applyNumberFormat="1" applyFont="1" applyBorder="1" applyAlignment="1">
      <alignment horizontal="right" vertical="center"/>
    </xf>
    <xf numFmtId="172" fontId="3" fillId="0" borderId="29" xfId="3" applyNumberFormat="1" applyFont="1" applyBorder="1" applyAlignment="1">
      <alignment horizontal="right" vertical="center"/>
    </xf>
    <xf numFmtId="172" fontId="3" fillId="0" borderId="27" xfId="3" applyNumberFormat="1" applyFont="1" applyBorder="1" applyAlignment="1">
      <alignment horizontal="right" vertical="center"/>
    </xf>
    <xf numFmtId="172" fontId="3" fillId="0" borderId="22" xfId="3" applyNumberFormat="1" applyFont="1" applyBorder="1" applyAlignment="1">
      <alignment horizontal="right" vertical="center"/>
    </xf>
    <xf numFmtId="172" fontId="3" fillId="0" borderId="0" xfId="3" applyNumberFormat="1" applyFont="1" applyBorder="1" applyAlignment="1">
      <alignment horizontal="right" vertical="center"/>
    </xf>
    <xf numFmtId="172" fontId="3" fillId="0" borderId="23" xfId="3" applyNumberFormat="1" applyFont="1" applyBorder="1" applyAlignment="1">
      <alignment horizontal="right" vertical="center"/>
    </xf>
    <xf numFmtId="172" fontId="3" fillId="0" borderId="24" xfId="3" applyNumberFormat="1" applyFont="1" applyBorder="1" applyAlignment="1">
      <alignment horizontal="right" vertical="center"/>
    </xf>
    <xf numFmtId="172" fontId="3" fillId="0" borderId="25" xfId="3" applyNumberFormat="1" applyFont="1" applyBorder="1" applyAlignment="1">
      <alignment horizontal="right" vertical="center"/>
    </xf>
    <xf numFmtId="172" fontId="3" fillId="0" borderId="26" xfId="3" applyNumberFormat="1" applyFont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14" fontId="27" fillId="0" borderId="14" xfId="0" applyNumberFormat="1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14" fontId="3" fillId="0" borderId="14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9" fontId="16" fillId="7" borderId="5" xfId="2" applyFont="1" applyFill="1" applyBorder="1" applyAlignment="1">
      <alignment horizontal="center" vertical="center" wrapText="1"/>
    </xf>
    <xf numFmtId="167" fontId="27" fillId="0" borderId="0" xfId="0" applyNumberFormat="1" applyFont="1" applyFill="1" applyBorder="1"/>
    <xf numFmtId="167" fontId="3" fillId="0" borderId="0" xfId="0" applyNumberFormat="1" applyFont="1" applyFill="1" applyBorder="1"/>
    <xf numFmtId="167" fontId="0" fillId="0" borderId="0" xfId="0" applyNumberFormat="1" applyFill="1" applyBorder="1"/>
    <xf numFmtId="167" fontId="0" fillId="0" borderId="0" xfId="0" applyNumberFormat="1" applyFill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/>
    <xf numFmtId="167" fontId="18" fillId="0" borderId="0" xfId="0" applyNumberFormat="1" applyFont="1" applyFill="1" applyBorder="1"/>
    <xf numFmtId="167" fontId="27" fillId="0" borderId="0" xfId="0" applyNumberFormat="1" applyFont="1" applyBorder="1"/>
    <xf numFmtId="167" fontId="3" fillId="0" borderId="0" xfId="0" applyNumberFormat="1" applyFont="1" applyBorder="1"/>
    <xf numFmtId="167" fontId="0" fillId="0" borderId="0" xfId="0" applyNumberFormat="1" applyBorder="1"/>
    <xf numFmtId="167" fontId="0" fillId="0" borderId="0" xfId="0" applyNumberFormat="1" applyAlignment="1">
      <alignment horizontal="center"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Border="1"/>
    <xf numFmtId="167" fontId="18" fillId="0" borderId="0" xfId="0" applyNumberFormat="1" applyFont="1" applyBorder="1"/>
    <xf numFmtId="3" fontId="21" fillId="2" borderId="5" xfId="0" applyNumberFormat="1" applyFont="1" applyFill="1" applyBorder="1" applyAlignment="1">
      <alignment horizontal="right" vertical="center" wrapText="1"/>
    </xf>
    <xf numFmtId="3" fontId="21" fillId="2" borderId="7" xfId="0" applyNumberFormat="1" applyFont="1" applyFill="1" applyBorder="1" applyAlignment="1">
      <alignment horizontal="right" vertical="center" wrapText="1"/>
    </xf>
    <xf numFmtId="167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1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3" fontId="21" fillId="10" borderId="5" xfId="0" applyNumberFormat="1" applyFont="1" applyFill="1" applyBorder="1" applyAlignment="1">
      <alignment horizontal="right" vertical="center" wrapText="1"/>
    </xf>
    <xf numFmtId="3" fontId="21" fillId="10" borderId="7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2" fontId="21" fillId="10" borderId="5" xfId="0" applyNumberFormat="1" applyFont="1" applyFill="1" applyBorder="1" applyAlignment="1">
      <alignment horizontal="center" vertical="center" wrapText="1"/>
    </xf>
    <xf numFmtId="2" fontId="21" fillId="10" borderId="7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21" fillId="10" borderId="24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85ED2499-EDB6-4A2A-95AD-9CBCB74C4261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45AA6"/>
      <color rgb="FF3E3E3E"/>
      <color rgb="FF87A5D5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3.8\secretar&#237;a%20finanzas\0INFORMA\Programas%20Financieros\Pmg%202009\Consolidado2009%20ver%2014-07-1%20Teso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</sheetNames>
    <sheetDataSet>
      <sheetData sheetId="0" refreshError="1"/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Fin."/>
      <sheetName val="pesos"/>
      <sheetName val="dolares"/>
      <sheetName val="RESUMEN "/>
      <sheetName val="dolares cosentino"/>
    </sheetNames>
    <sheetDataSet>
      <sheetData sheetId="0" refreshError="1">
        <row r="1">
          <cell r="E1" t="str">
            <v xml:space="preserve">I TRIM. </v>
          </cell>
          <cell r="I1" t="str">
            <v>II TRIM</v>
          </cell>
          <cell r="J1" t="str">
            <v xml:space="preserve">I SEM </v>
          </cell>
          <cell r="N1" t="str">
            <v xml:space="preserve">III TRIM </v>
          </cell>
          <cell r="R1" t="str">
            <v>IV TRIM</v>
          </cell>
          <cell r="S1" t="str">
            <v>II SEM</v>
          </cell>
        </row>
        <row r="3">
          <cell r="E3">
            <v>11136.157385710585</v>
          </cell>
          <cell r="I3">
            <v>-6015.7447552821868</v>
          </cell>
          <cell r="J3">
            <v>11136.157385710585</v>
          </cell>
          <cell r="N3">
            <v>2609.2660964269198</v>
          </cell>
          <cell r="R3">
            <v>-10688.165500810494</v>
          </cell>
          <cell r="S3">
            <v>2609.2660964269198</v>
          </cell>
        </row>
        <row r="5">
          <cell r="E5">
            <v>26350.808121834471</v>
          </cell>
          <cell r="I5">
            <v>44439.368716526878</v>
          </cell>
          <cell r="J5">
            <v>70790.176838361353</v>
          </cell>
          <cell r="N5">
            <v>14563.912527213753</v>
          </cell>
          <cell r="R5">
            <v>28463.269178655319</v>
          </cell>
          <cell r="S5">
            <v>43027.181705869072</v>
          </cell>
        </row>
        <row r="7">
          <cell r="E7">
            <v>1040.5000000000027</v>
          </cell>
          <cell r="I7">
            <v>3894.1999999999935</v>
          </cell>
          <cell r="J7">
            <v>4934.6999999999962</v>
          </cell>
          <cell r="N7">
            <v>-2083.3340585442038</v>
          </cell>
          <cell r="R7">
            <v>-1438.0519999999979</v>
          </cell>
          <cell r="S7">
            <v>-3521.3860585442017</v>
          </cell>
        </row>
        <row r="8">
          <cell r="E8">
            <v>24734.100000000002</v>
          </cell>
          <cell r="I8">
            <v>32006.099999999991</v>
          </cell>
          <cell r="J8">
            <v>56740.2</v>
          </cell>
          <cell r="N8">
            <v>28066.534327933492</v>
          </cell>
          <cell r="R8">
            <v>30268.175000000003</v>
          </cell>
          <cell r="S8">
            <v>58334.709327933495</v>
          </cell>
        </row>
        <row r="9">
          <cell r="A9" t="str">
            <v xml:space="preserve">        Tributarios</v>
          </cell>
          <cell r="B9">
            <v>8189.1</v>
          </cell>
          <cell r="C9">
            <v>8110.3</v>
          </cell>
          <cell r="D9">
            <v>7848.1</v>
          </cell>
          <cell r="E9">
            <v>24147.5</v>
          </cell>
          <cell r="F9">
            <v>8592.2999999999993</v>
          </cell>
          <cell r="G9">
            <v>9596.6</v>
          </cell>
          <cell r="H9">
            <v>10141.299999999999</v>
          </cell>
          <cell r="I9">
            <v>28330.2</v>
          </cell>
          <cell r="J9">
            <v>52477.7</v>
          </cell>
          <cell r="K9">
            <v>9055.8259946001526</v>
          </cell>
          <cell r="L9">
            <v>9326.4000000000015</v>
          </cell>
          <cell r="M9">
            <v>9079.9</v>
          </cell>
          <cell r="N9">
            <v>27462.125994600152</v>
          </cell>
          <cell r="O9">
            <v>9520</v>
          </cell>
          <cell r="P9">
            <v>9410.3000000000011</v>
          </cell>
          <cell r="Q9">
            <v>9333.4</v>
          </cell>
          <cell r="R9">
            <v>28263.700000000004</v>
          </cell>
          <cell r="S9">
            <v>55725.825994600156</v>
          </cell>
          <cell r="T9">
            <v>108203.52599460015</v>
          </cell>
          <cell r="U9">
            <v>74001.100000000006</v>
          </cell>
          <cell r="V9">
            <v>-34202.42599460014</v>
          </cell>
        </row>
        <row r="10">
          <cell r="A10" t="str">
            <v xml:space="preserve">        No Tributarios</v>
          </cell>
          <cell r="B10">
            <v>9.3000000000000007</v>
          </cell>
          <cell r="C10">
            <v>8.5</v>
          </cell>
          <cell r="D10">
            <v>68.7</v>
          </cell>
          <cell r="E10">
            <v>86.5</v>
          </cell>
          <cell r="F10">
            <v>24.8</v>
          </cell>
          <cell r="G10">
            <v>8.3000000000000007</v>
          </cell>
          <cell r="H10">
            <v>73.599999999999994</v>
          </cell>
          <cell r="I10">
            <v>106.69999999999999</v>
          </cell>
          <cell r="J10">
            <v>193.2</v>
          </cell>
          <cell r="K10">
            <v>20.6</v>
          </cell>
          <cell r="L10">
            <v>20.6</v>
          </cell>
          <cell r="M10">
            <v>20.641666666666666</v>
          </cell>
          <cell r="N10">
            <v>61.841666666666669</v>
          </cell>
          <cell r="O10">
            <v>20.641666666666666</v>
          </cell>
          <cell r="P10">
            <v>20.641666666666666</v>
          </cell>
          <cell r="Q10">
            <v>20.641666666666666</v>
          </cell>
          <cell r="R10">
            <v>61.924999999999997</v>
          </cell>
          <cell r="S10">
            <v>123.76666666666667</v>
          </cell>
          <cell r="T10">
            <v>316.96666666666664</v>
          </cell>
          <cell r="U10">
            <v>174.4</v>
          </cell>
          <cell r="V10">
            <v>-142.56666666666663</v>
          </cell>
        </row>
        <row r="11">
          <cell r="A11" t="str">
            <v xml:space="preserve">        Venta de bienes y servicios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</row>
        <row r="12">
          <cell r="A12" t="str">
            <v xml:space="preserve">        Rentas de la Propiedad</v>
          </cell>
          <cell r="B12">
            <v>51.7</v>
          </cell>
          <cell r="C12">
            <v>75.099999999999994</v>
          </cell>
          <cell r="D12">
            <v>71.5</v>
          </cell>
          <cell r="E12">
            <v>198.3</v>
          </cell>
          <cell r="F12">
            <v>83</v>
          </cell>
          <cell r="G12">
            <v>68.3</v>
          </cell>
          <cell r="H12">
            <v>3147.4</v>
          </cell>
          <cell r="I12">
            <v>3298.7000000000003</v>
          </cell>
          <cell r="J12">
            <v>3497.0000000000005</v>
          </cell>
          <cell r="K12">
            <v>56.7</v>
          </cell>
          <cell r="L12">
            <v>56.7</v>
          </cell>
          <cell r="M12">
            <v>56.691666666666663</v>
          </cell>
          <cell r="N12">
            <v>170.09166666666667</v>
          </cell>
          <cell r="O12">
            <v>56.691666666666663</v>
          </cell>
          <cell r="P12">
            <v>56.691666666666663</v>
          </cell>
          <cell r="Q12">
            <v>1456.6916666666666</v>
          </cell>
          <cell r="R12">
            <v>1570.0749999999998</v>
          </cell>
          <cell r="S12">
            <v>1740.1666666666665</v>
          </cell>
          <cell r="T12">
            <v>5237.166666666667</v>
          </cell>
          <cell r="U12">
            <v>1243.8</v>
          </cell>
          <cell r="V12">
            <v>-3993.3666666666668</v>
          </cell>
        </row>
        <row r="13">
          <cell r="A13" t="str">
            <v xml:space="preserve">        Transferencias</v>
          </cell>
          <cell r="B13">
            <v>18</v>
          </cell>
          <cell r="C13">
            <v>32.700000000000003</v>
          </cell>
          <cell r="D13">
            <v>28.5</v>
          </cell>
          <cell r="E13">
            <v>79.2</v>
          </cell>
          <cell r="F13">
            <v>42.8</v>
          </cell>
          <cell r="G13">
            <v>20.3</v>
          </cell>
          <cell r="H13">
            <v>29.6</v>
          </cell>
          <cell r="I13">
            <v>92.699999999999989</v>
          </cell>
          <cell r="J13">
            <v>171.89999999999998</v>
          </cell>
          <cell r="K13">
            <v>40</v>
          </cell>
          <cell r="L13">
            <v>40</v>
          </cell>
          <cell r="M13">
            <v>40</v>
          </cell>
          <cell r="N13">
            <v>120</v>
          </cell>
          <cell r="O13">
            <v>40</v>
          </cell>
          <cell r="P13">
            <v>40</v>
          </cell>
          <cell r="Q13">
            <v>40</v>
          </cell>
          <cell r="R13">
            <v>120</v>
          </cell>
          <cell r="S13">
            <v>240</v>
          </cell>
          <cell r="T13">
            <v>411.9</v>
          </cell>
          <cell r="U13">
            <v>208.6</v>
          </cell>
          <cell r="V13">
            <v>-203.29999999999998</v>
          </cell>
        </row>
        <row r="14">
          <cell r="A14" t="str">
            <v xml:space="preserve">        Contribuciones Figurativas</v>
          </cell>
          <cell r="B14">
            <v>58.2</v>
          </cell>
          <cell r="C14">
            <v>30</v>
          </cell>
          <cell r="D14">
            <v>134</v>
          </cell>
          <cell r="E14">
            <v>222.2</v>
          </cell>
          <cell r="F14">
            <v>31.5</v>
          </cell>
          <cell r="G14">
            <v>101.8</v>
          </cell>
          <cell r="H14">
            <v>43.3</v>
          </cell>
          <cell r="I14">
            <v>176.60000000000002</v>
          </cell>
          <cell r="J14">
            <v>398.8</v>
          </cell>
          <cell r="K14">
            <v>0</v>
          </cell>
          <cell r="L14">
            <v>0</v>
          </cell>
          <cell r="M14">
            <v>214.97499999999999</v>
          </cell>
          <cell r="N14">
            <v>214.97499999999999</v>
          </cell>
          <cell r="O14">
            <v>0</v>
          </cell>
          <cell r="P14">
            <v>0</v>
          </cell>
          <cell r="Q14">
            <v>214.97499999999999</v>
          </cell>
          <cell r="R14">
            <v>214.97499999999999</v>
          </cell>
          <cell r="S14">
            <v>429.95</v>
          </cell>
          <cell r="T14">
            <v>828.75</v>
          </cell>
          <cell r="U14">
            <v>960.4</v>
          </cell>
          <cell r="V14">
            <v>131.64999999999998</v>
          </cell>
        </row>
        <row r="15">
          <cell r="E15">
            <v>0.4</v>
          </cell>
          <cell r="I15">
            <v>1.2</v>
          </cell>
          <cell r="J15">
            <v>1.6</v>
          </cell>
          <cell r="N15">
            <v>37.5</v>
          </cell>
          <cell r="R15">
            <v>37.5</v>
          </cell>
          <cell r="S15">
            <v>75</v>
          </cell>
        </row>
        <row r="16">
          <cell r="E16">
            <v>23693.599999999999</v>
          </cell>
          <cell r="I16">
            <v>28111.9</v>
          </cell>
          <cell r="J16">
            <v>51805.5</v>
          </cell>
          <cell r="N16">
            <v>30149.868386477698</v>
          </cell>
          <cell r="R16">
            <v>31706.226999999999</v>
          </cell>
          <cell r="S16">
            <v>61856.095386477697</v>
          </cell>
        </row>
        <row r="17">
          <cell r="A17" t="str">
            <v xml:space="preserve">      - Remuneraciones</v>
          </cell>
          <cell r="B17">
            <v>1277.4000000000001</v>
          </cell>
          <cell r="C17">
            <v>1245.5</v>
          </cell>
          <cell r="D17">
            <v>1228.0999999999999</v>
          </cell>
          <cell r="E17">
            <v>3751</v>
          </cell>
          <cell r="F17">
            <v>1224.5</v>
          </cell>
          <cell r="G17">
            <v>1203</v>
          </cell>
          <cell r="H17">
            <v>1234.5999999999999</v>
          </cell>
          <cell r="I17">
            <v>3662.1</v>
          </cell>
          <cell r="J17">
            <v>7413.1</v>
          </cell>
          <cell r="K17">
            <v>1795.16</v>
          </cell>
          <cell r="L17">
            <v>1345.8000000000002</v>
          </cell>
          <cell r="M17">
            <v>1405.66</v>
          </cell>
          <cell r="N17">
            <v>4546.62</v>
          </cell>
          <cell r="O17">
            <v>1405.66</v>
          </cell>
          <cell r="P17">
            <v>1405.66</v>
          </cell>
          <cell r="Q17">
            <v>1886.8</v>
          </cell>
          <cell r="R17">
            <v>4698.12</v>
          </cell>
          <cell r="S17">
            <v>9244.74</v>
          </cell>
          <cell r="T17">
            <v>16657.84</v>
          </cell>
          <cell r="U17">
            <v>10334</v>
          </cell>
          <cell r="V17">
            <v>-6323.84</v>
          </cell>
        </row>
        <row r="18">
          <cell r="A18" t="str">
            <v xml:space="preserve">      - Bienes y Servicios</v>
          </cell>
          <cell r="B18">
            <v>574.70000000000005</v>
          </cell>
          <cell r="C18">
            <v>329.1</v>
          </cell>
          <cell r="D18">
            <v>337.3</v>
          </cell>
          <cell r="E18">
            <v>1241.1000000000001</v>
          </cell>
          <cell r="F18">
            <v>448.7</v>
          </cell>
          <cell r="G18">
            <v>406.4</v>
          </cell>
          <cell r="H18">
            <v>553.6</v>
          </cell>
          <cell r="I18">
            <v>1408.6999999999998</v>
          </cell>
          <cell r="J18">
            <v>2649.8</v>
          </cell>
          <cell r="K18">
            <v>551.81999999999994</v>
          </cell>
          <cell r="L18">
            <v>470.67999999999995</v>
          </cell>
          <cell r="M18">
            <v>470.68999999999994</v>
          </cell>
          <cell r="N18">
            <v>1493.1899999999998</v>
          </cell>
          <cell r="O18">
            <v>470.68999999999994</v>
          </cell>
          <cell r="P18">
            <v>470.68999999999994</v>
          </cell>
          <cell r="Q18">
            <v>472.28999999999996</v>
          </cell>
          <cell r="R18">
            <v>1413.6699999999998</v>
          </cell>
          <cell r="S18">
            <v>2906.8599999999997</v>
          </cell>
          <cell r="T18">
            <v>5556.66</v>
          </cell>
          <cell r="U18">
            <v>3584.4</v>
          </cell>
          <cell r="V18">
            <v>-1972.2599999999998</v>
          </cell>
        </row>
        <row r="19">
          <cell r="A19" t="str">
            <v xml:space="preserve">      - Transferencias</v>
          </cell>
          <cell r="B19">
            <v>3951.8999999999996</v>
          </cell>
          <cell r="C19">
            <v>3284.7</v>
          </cell>
          <cell r="D19">
            <v>3313.4000000000005</v>
          </cell>
          <cell r="E19">
            <v>10550</v>
          </cell>
          <cell r="F19">
            <v>4367.8</v>
          </cell>
          <cell r="G19">
            <v>4988.1000000000004</v>
          </cell>
          <cell r="H19">
            <v>5959.2999999999993</v>
          </cell>
          <cell r="I19">
            <v>15315.2</v>
          </cell>
          <cell r="J19">
            <v>25865.200000000001</v>
          </cell>
          <cell r="K19">
            <v>5323.7100000000009</v>
          </cell>
          <cell r="L19">
            <v>4991.9000000000005</v>
          </cell>
          <cell r="M19">
            <v>5013.4599999999991</v>
          </cell>
          <cell r="N19">
            <v>15329.07</v>
          </cell>
          <cell r="O19">
            <v>5299.76</v>
          </cell>
          <cell r="P19">
            <v>5277.4599999999991</v>
          </cell>
          <cell r="Q19">
            <v>5539.56</v>
          </cell>
          <cell r="R19">
            <v>16116.779999999999</v>
          </cell>
          <cell r="S19">
            <v>31445.85</v>
          </cell>
          <cell r="T19">
            <v>57311.05</v>
          </cell>
          <cell r="U19">
            <v>27338.49</v>
          </cell>
          <cell r="V19">
            <v>-29972.560000000001</v>
          </cell>
        </row>
        <row r="20">
          <cell r="A20" t="str">
            <v xml:space="preserve">          Corrientes</v>
          </cell>
          <cell r="B20">
            <v>2299.7999999999997</v>
          </cell>
          <cell r="C20">
            <v>2508.1</v>
          </cell>
          <cell r="D20">
            <v>2640.1000000000004</v>
          </cell>
          <cell r="E20">
            <v>7448</v>
          </cell>
          <cell r="F20">
            <v>2929.3</v>
          </cell>
          <cell r="G20">
            <v>3592.5</v>
          </cell>
          <cell r="H20">
            <v>4210.8999999999996</v>
          </cell>
          <cell r="I20">
            <v>10732.7</v>
          </cell>
          <cell r="J20">
            <v>18180.7</v>
          </cell>
          <cell r="K20">
            <v>3782.9100000000003</v>
          </cell>
          <cell r="L20">
            <v>3423.7000000000003</v>
          </cell>
          <cell r="M20">
            <v>3471.1199999999994</v>
          </cell>
          <cell r="N20">
            <v>10677.73</v>
          </cell>
          <cell r="O20">
            <v>3691.02</v>
          </cell>
          <cell r="P20">
            <v>3701.8199999999993</v>
          </cell>
          <cell r="Q20">
            <v>4011.82</v>
          </cell>
          <cell r="R20">
            <v>11404.66</v>
          </cell>
          <cell r="S20">
            <v>22082.39</v>
          </cell>
          <cell r="T20">
            <v>40263.089999999997</v>
          </cell>
          <cell r="U20">
            <v>20576.061999999998</v>
          </cell>
          <cell r="V20">
            <v>-19687.027999999998</v>
          </cell>
        </row>
        <row r="21">
          <cell r="A21" t="str">
            <v xml:space="preserve">          Capital</v>
          </cell>
          <cell r="B21">
            <v>1652.1</v>
          </cell>
          <cell r="C21">
            <v>776.6</v>
          </cell>
          <cell r="D21">
            <v>673.3</v>
          </cell>
          <cell r="E21">
            <v>3102</v>
          </cell>
          <cell r="F21">
            <v>1438.5</v>
          </cell>
          <cell r="G21">
            <v>1395.6000000000001</v>
          </cell>
          <cell r="H21">
            <v>1748.4</v>
          </cell>
          <cell r="I21">
            <v>4582.5</v>
          </cell>
          <cell r="J21">
            <v>7684.5</v>
          </cell>
          <cell r="K21">
            <v>1540.8000000000002</v>
          </cell>
          <cell r="L21">
            <v>1568.2</v>
          </cell>
          <cell r="M21">
            <v>1542.3400000000001</v>
          </cell>
          <cell r="N21">
            <v>4651.34</v>
          </cell>
          <cell r="O21">
            <v>1608.74</v>
          </cell>
          <cell r="P21">
            <v>1575.6399999999999</v>
          </cell>
          <cell r="Q21">
            <v>1527.74</v>
          </cell>
          <cell r="R21">
            <v>4712.12</v>
          </cell>
          <cell r="S21">
            <v>9363.4599999999991</v>
          </cell>
          <cell r="T21">
            <v>17047.96</v>
          </cell>
          <cell r="U21">
            <v>6762.4279999999999</v>
          </cell>
          <cell r="V21">
            <v>-10285.531999999999</v>
          </cell>
        </row>
        <row r="22">
          <cell r="A22" t="str">
            <v xml:space="preserve">      - Inversión Financiera</v>
          </cell>
          <cell r="B22">
            <v>32.9</v>
          </cell>
          <cell r="C22">
            <v>0</v>
          </cell>
          <cell r="D22">
            <v>0</v>
          </cell>
          <cell r="E22">
            <v>32.9</v>
          </cell>
          <cell r="F22">
            <v>2</v>
          </cell>
          <cell r="G22">
            <v>51.2</v>
          </cell>
          <cell r="H22">
            <v>53.4</v>
          </cell>
          <cell r="I22">
            <v>106.6</v>
          </cell>
          <cell r="J22">
            <v>139.5</v>
          </cell>
          <cell r="K22">
            <v>9.9</v>
          </cell>
          <cell r="L22">
            <v>19.3</v>
          </cell>
          <cell r="M22">
            <v>19.259</v>
          </cell>
          <cell r="N22">
            <v>48.459000000000003</v>
          </cell>
          <cell r="O22">
            <v>19.259</v>
          </cell>
          <cell r="P22">
            <v>19.259</v>
          </cell>
          <cell r="Q22">
            <v>879.53899999999987</v>
          </cell>
          <cell r="R22">
            <v>918.0569999999999</v>
          </cell>
          <cell r="S22">
            <v>966.51599999999985</v>
          </cell>
          <cell r="T22">
            <v>1106.0159999999998</v>
          </cell>
          <cell r="U22">
            <v>1537.1</v>
          </cell>
          <cell r="V22">
            <v>431.08400000000006</v>
          </cell>
        </row>
        <row r="23">
          <cell r="A23" t="str">
            <v xml:space="preserve">      - Gastos Figurativos (OD)</v>
          </cell>
          <cell r="B23">
            <v>1089.3</v>
          </cell>
          <cell r="C23">
            <v>1321.3</v>
          </cell>
          <cell r="D23">
            <v>1048.3999999999999</v>
          </cell>
          <cell r="E23">
            <v>3459</v>
          </cell>
          <cell r="F23">
            <v>1006.4000000000001</v>
          </cell>
          <cell r="G23">
            <v>1143.0999999999999</v>
          </cell>
          <cell r="H23">
            <v>938.6</v>
          </cell>
          <cell r="I23">
            <v>3088.1</v>
          </cell>
          <cell r="J23">
            <v>6547.1</v>
          </cell>
          <cell r="K23">
            <v>1341</v>
          </cell>
          <cell r="L23">
            <v>1141.9000000000001</v>
          </cell>
          <cell r="M23">
            <v>1158.3</v>
          </cell>
          <cell r="N23">
            <v>3641.2</v>
          </cell>
          <cell r="O23">
            <v>1166.0999999999999</v>
          </cell>
          <cell r="P23">
            <v>1166.0999999999999</v>
          </cell>
          <cell r="Q23">
            <v>1311.4</v>
          </cell>
          <cell r="R23">
            <v>3643.6</v>
          </cell>
          <cell r="S23">
            <v>7284.7999999999993</v>
          </cell>
          <cell r="T23">
            <v>13831.9</v>
          </cell>
          <cell r="U23">
            <v>7107.9</v>
          </cell>
          <cell r="V23">
            <v>-6724</v>
          </cell>
        </row>
        <row r="24">
          <cell r="A24" t="str">
            <v xml:space="preserve">      - Inversión Real Directa</v>
          </cell>
          <cell r="B24">
            <v>283.89999999999998</v>
          </cell>
          <cell r="C24">
            <v>69.7</v>
          </cell>
          <cell r="D24">
            <v>75.599999999999994</v>
          </cell>
          <cell r="E24">
            <v>429.19999999999993</v>
          </cell>
          <cell r="F24">
            <v>68.7</v>
          </cell>
          <cell r="G24">
            <v>79.599999999999994</v>
          </cell>
          <cell r="H24">
            <v>104.8</v>
          </cell>
          <cell r="I24">
            <v>253.10000000000002</v>
          </cell>
          <cell r="J24">
            <v>682.3</v>
          </cell>
          <cell r="K24">
            <v>124.5</v>
          </cell>
          <cell r="L24">
            <v>150</v>
          </cell>
          <cell r="M24">
            <v>150</v>
          </cell>
          <cell r="N24">
            <v>424.5</v>
          </cell>
          <cell r="O24">
            <v>150</v>
          </cell>
          <cell r="P24">
            <v>150</v>
          </cell>
          <cell r="Q24">
            <v>150</v>
          </cell>
          <cell r="R24">
            <v>450</v>
          </cell>
          <cell r="S24">
            <v>874.5</v>
          </cell>
          <cell r="T24">
            <v>1556.8</v>
          </cell>
          <cell r="U24">
            <v>1174.0999999999999</v>
          </cell>
          <cell r="V24">
            <v>-382.70000000000005</v>
          </cell>
        </row>
        <row r="25">
          <cell r="A25" t="str">
            <v xml:space="preserve">      - Instit. De Seg. Social</v>
          </cell>
          <cell r="B25">
            <v>1473.3</v>
          </cell>
          <cell r="C25">
            <v>1371.6</v>
          </cell>
          <cell r="D25">
            <v>1377.8</v>
          </cell>
          <cell r="E25">
            <v>4222.7</v>
          </cell>
          <cell r="F25">
            <v>1334</v>
          </cell>
          <cell r="G25">
            <v>1337.5</v>
          </cell>
          <cell r="H25">
            <v>1604.6</v>
          </cell>
          <cell r="I25">
            <v>4276.1000000000004</v>
          </cell>
          <cell r="J25">
            <v>8498.7999999999993</v>
          </cell>
          <cell r="K25">
            <v>1689.65171644</v>
          </cell>
          <cell r="L25">
            <v>1456.1376700376929</v>
          </cell>
          <cell r="M25">
            <v>1519.2</v>
          </cell>
          <cell r="N25">
            <v>4664.9893864776932</v>
          </cell>
          <cell r="O25">
            <v>1474.1</v>
          </cell>
          <cell r="P25">
            <v>1504.9</v>
          </cell>
          <cell r="Q25">
            <v>1485.2000000000003</v>
          </cell>
          <cell r="R25">
            <v>4464.2000000000007</v>
          </cell>
          <cell r="S25">
            <v>9129.1893864776939</v>
          </cell>
          <cell r="T25">
            <v>17627.989386477693</v>
          </cell>
          <cell r="U25">
            <v>12159.400000000001</v>
          </cell>
          <cell r="V25">
            <v>-5468.5893864776917</v>
          </cell>
        </row>
        <row r="26">
          <cell r="A26" t="str">
            <v xml:space="preserve">      - Otros gastos primarios </v>
          </cell>
          <cell r="B26">
            <v>3</v>
          </cell>
          <cell r="C26">
            <v>2.8</v>
          </cell>
          <cell r="D26">
            <v>1.9</v>
          </cell>
          <cell r="E26">
            <v>7.6999999999999993</v>
          </cell>
          <cell r="F26">
            <v>1.1000000000000001</v>
          </cell>
          <cell r="G26">
            <v>0.8</v>
          </cell>
          <cell r="H26">
            <v>0.1</v>
          </cell>
          <cell r="I26">
            <v>2</v>
          </cell>
          <cell r="J26">
            <v>9.6999999999999993</v>
          </cell>
          <cell r="K26">
            <v>0.64</v>
          </cell>
          <cell r="L26">
            <v>0.60000000000000009</v>
          </cell>
          <cell r="M26">
            <v>0.6</v>
          </cell>
          <cell r="N26">
            <v>1.8400000000000003</v>
          </cell>
          <cell r="O26">
            <v>0.6</v>
          </cell>
          <cell r="P26">
            <v>0.6</v>
          </cell>
          <cell r="Q26">
            <v>0.6</v>
          </cell>
          <cell r="R26">
            <v>1.7999999999999998</v>
          </cell>
          <cell r="S26">
            <v>3.64</v>
          </cell>
          <cell r="T26">
            <v>13.34</v>
          </cell>
          <cell r="U26">
            <v>41.7</v>
          </cell>
          <cell r="V26">
            <v>28.360000000000003</v>
          </cell>
        </row>
        <row r="28">
          <cell r="E28">
            <v>16129.331902150399</v>
          </cell>
          <cell r="I28">
            <v>24194.747320925999</v>
          </cell>
          <cell r="J28">
            <v>40324.079223076398</v>
          </cell>
          <cell r="N28">
            <v>14126.44095366</v>
          </cell>
          <cell r="R28">
            <v>20400.5</v>
          </cell>
          <cell r="S28">
            <v>34526.94095366</v>
          </cell>
        </row>
        <row r="29">
          <cell r="E29">
            <v>489.09957215040004</v>
          </cell>
          <cell r="I29">
            <v>1563.4261097459998</v>
          </cell>
          <cell r="J29">
            <v>2052.5256818963999</v>
          </cell>
          <cell r="N29">
            <v>991.40251965999994</v>
          </cell>
          <cell r="R29">
            <v>1262.3</v>
          </cell>
          <cell r="S29">
            <v>2253.7025196599998</v>
          </cell>
        </row>
        <row r="30">
          <cell r="E30">
            <v>290.34057215040002</v>
          </cell>
          <cell r="I30">
            <v>547.74</v>
          </cell>
          <cell r="J30">
            <v>838.08057215040003</v>
          </cell>
          <cell r="N30">
            <v>315.90251966</v>
          </cell>
          <cell r="R30">
            <v>401.99999999999994</v>
          </cell>
          <cell r="S30">
            <v>717.90251965999994</v>
          </cell>
        </row>
        <row r="31">
          <cell r="A31" t="str">
            <v xml:space="preserve">      LETRAS</v>
          </cell>
          <cell r="B31">
            <v>0</v>
          </cell>
          <cell r="C31">
            <v>163.87960000000001</v>
          </cell>
          <cell r="D31">
            <v>126.46097215040001</v>
          </cell>
          <cell r="E31">
            <v>290.34057215040002</v>
          </cell>
          <cell r="F31">
            <v>0</v>
          </cell>
          <cell r="G31">
            <v>547.74</v>
          </cell>
          <cell r="H31">
            <v>0</v>
          </cell>
          <cell r="I31">
            <v>547.74</v>
          </cell>
          <cell r="J31">
            <v>838.08057215040003</v>
          </cell>
          <cell r="K31">
            <v>0</v>
          </cell>
          <cell r="L31">
            <v>181.42</v>
          </cell>
          <cell r="M31">
            <v>134.48251966000001</v>
          </cell>
          <cell r="N31">
            <v>315.90251966</v>
          </cell>
          <cell r="O31">
            <v>0</v>
          </cell>
          <cell r="P31">
            <v>401.99999999999994</v>
          </cell>
          <cell r="Q31">
            <v>0</v>
          </cell>
          <cell r="R31">
            <v>401.99999999999994</v>
          </cell>
          <cell r="S31">
            <v>717.90251965999994</v>
          </cell>
          <cell r="T31">
            <v>1555.9830918104001</v>
          </cell>
          <cell r="U31">
            <v>17237.597438615401</v>
          </cell>
        </row>
        <row r="32">
          <cell r="A32" t="str">
            <v xml:space="preserve">      BONOS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 t="str">
            <v xml:space="preserve">      OTROS</v>
          </cell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198.75899999999999</v>
          </cell>
          <cell r="I34">
            <v>1015.6861097459999</v>
          </cell>
          <cell r="J34">
            <v>1214.4451097459998</v>
          </cell>
          <cell r="N34">
            <v>675.5</v>
          </cell>
          <cell r="R34">
            <v>860.3</v>
          </cell>
          <cell r="S34">
            <v>1535.8</v>
          </cell>
        </row>
        <row r="35">
          <cell r="E35">
            <v>0</v>
          </cell>
          <cell r="I35">
            <v>0</v>
          </cell>
          <cell r="J35">
            <v>0</v>
          </cell>
          <cell r="N35">
            <v>0</v>
          </cell>
          <cell r="R35">
            <v>0</v>
          </cell>
          <cell r="S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  <cell r="N36">
            <v>0</v>
          </cell>
          <cell r="R36">
            <v>0</v>
          </cell>
          <cell r="S36">
            <v>0</v>
          </cell>
        </row>
        <row r="37">
          <cell r="E37">
            <v>0</v>
          </cell>
          <cell r="I37">
            <v>1015.6861097459999</v>
          </cell>
          <cell r="J37">
            <v>1015.6861097459999</v>
          </cell>
          <cell r="N37">
            <v>675.5</v>
          </cell>
          <cell r="R37">
            <v>0</v>
          </cell>
          <cell r="S37">
            <v>675.5</v>
          </cell>
        </row>
        <row r="38">
          <cell r="E38">
            <v>198.75899999999999</v>
          </cell>
          <cell r="I38">
            <v>0</v>
          </cell>
          <cell r="J38">
            <v>198.75899999999999</v>
          </cell>
          <cell r="N38">
            <v>0</v>
          </cell>
          <cell r="R38">
            <v>860.3</v>
          </cell>
          <cell r="S38">
            <v>860.3</v>
          </cell>
        </row>
        <row r="39">
          <cell r="E39">
            <v>0</v>
          </cell>
          <cell r="I39">
            <v>0</v>
          </cell>
          <cell r="J39">
            <v>0</v>
          </cell>
          <cell r="N39">
            <v>0</v>
          </cell>
          <cell r="R39">
            <v>0</v>
          </cell>
          <cell r="S39">
            <v>0</v>
          </cell>
        </row>
        <row r="40">
          <cell r="A40" t="str">
            <v xml:space="preserve">       Bilaterales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 t="str">
            <v xml:space="preserve">       Invers.Instit. Locales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15640.232329999999</v>
          </cell>
          <cell r="I42">
            <v>22631.321211179998</v>
          </cell>
          <cell r="J42">
            <v>38271.553541179994</v>
          </cell>
          <cell r="N42">
            <v>13135.038434</v>
          </cell>
          <cell r="R42">
            <v>19138.2</v>
          </cell>
          <cell r="S42">
            <v>32273.238433999999</v>
          </cell>
        </row>
        <row r="43">
          <cell r="E43">
            <v>6240.2323299999998</v>
          </cell>
          <cell r="I43">
            <v>11731.32121118</v>
          </cell>
          <cell r="J43">
            <v>17971.553541180001</v>
          </cell>
          <cell r="N43">
            <v>4855.0384340000001</v>
          </cell>
          <cell r="R43">
            <v>3038.2</v>
          </cell>
          <cell r="S43">
            <v>7893.2384339999999</v>
          </cell>
        </row>
        <row r="44">
          <cell r="A44" t="str">
            <v xml:space="preserve">      LETRAS</v>
          </cell>
          <cell r="B44">
            <v>150</v>
          </cell>
          <cell r="C44">
            <v>585.71241299999997</v>
          </cell>
          <cell r="D44">
            <v>2904.5199170000001</v>
          </cell>
          <cell r="E44">
            <v>3640.2323299999998</v>
          </cell>
          <cell r="F44">
            <v>2700</v>
          </cell>
          <cell r="G44">
            <v>0</v>
          </cell>
          <cell r="H44">
            <v>717</v>
          </cell>
          <cell r="I44">
            <v>3417</v>
          </cell>
          <cell r="J44">
            <v>7057.2323299999998</v>
          </cell>
          <cell r="K44">
            <v>150</v>
          </cell>
          <cell r="L44">
            <v>1034.9384340000001</v>
          </cell>
          <cell r="M44">
            <v>2270.1</v>
          </cell>
          <cell r="N44">
            <v>3455.0384340000001</v>
          </cell>
          <cell r="O44">
            <v>89.600000000000023</v>
          </cell>
          <cell r="P44">
            <v>1291.5999999999999</v>
          </cell>
          <cell r="Q44">
            <v>1257</v>
          </cell>
          <cell r="R44">
            <v>2638.2</v>
          </cell>
          <cell r="S44">
            <v>6093.2384339999999</v>
          </cell>
          <cell r="T44">
            <v>13150.470764000002</v>
          </cell>
          <cell r="U44">
            <v>-8436.1727796599971</v>
          </cell>
          <cell r="V44">
            <v>3920</v>
          </cell>
        </row>
        <row r="45">
          <cell r="A45" t="str">
            <v xml:space="preserve">      BONOS</v>
          </cell>
          <cell r="B45">
            <v>0</v>
          </cell>
          <cell r="D45">
            <v>2600</v>
          </cell>
          <cell r="E45">
            <v>2600</v>
          </cell>
          <cell r="F45">
            <v>2713.0967350000001</v>
          </cell>
          <cell r="G45">
            <v>0</v>
          </cell>
          <cell r="H45">
            <v>5601.2244761800002</v>
          </cell>
          <cell r="I45">
            <v>8314.3212111800003</v>
          </cell>
          <cell r="J45">
            <v>10914.32121118</v>
          </cell>
          <cell r="K45">
            <v>0</v>
          </cell>
          <cell r="L45">
            <v>0</v>
          </cell>
          <cell r="M45">
            <v>1400</v>
          </cell>
          <cell r="N45">
            <v>1400</v>
          </cell>
          <cell r="O45">
            <v>400</v>
          </cell>
          <cell r="P45">
            <v>0</v>
          </cell>
          <cell r="Q45">
            <v>0</v>
          </cell>
          <cell r="R45">
            <v>400</v>
          </cell>
          <cell r="S45">
            <v>1800</v>
          </cell>
          <cell r="T45">
            <v>12714.32121118</v>
          </cell>
          <cell r="U45">
            <v>12714.32121118</v>
          </cell>
          <cell r="V45">
            <v>5834.1315233304013</v>
          </cell>
        </row>
        <row r="46">
          <cell r="A46" t="str">
            <v xml:space="preserve">      OTROS</v>
          </cell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7252</v>
          </cell>
          <cell r="V46">
            <v>4432.1315233304013</v>
          </cell>
        </row>
        <row r="47">
          <cell r="E47">
            <v>1400</v>
          </cell>
          <cell r="I47">
            <v>2700</v>
          </cell>
          <cell r="J47">
            <v>4100</v>
          </cell>
          <cell r="N47">
            <v>5800</v>
          </cell>
          <cell r="R47">
            <v>800</v>
          </cell>
          <cell r="S47">
            <v>6600</v>
          </cell>
        </row>
        <row r="48">
          <cell r="E48">
            <v>8000</v>
          </cell>
          <cell r="I48">
            <v>8200</v>
          </cell>
          <cell r="J48">
            <v>16200</v>
          </cell>
          <cell r="N48">
            <v>2480</v>
          </cell>
          <cell r="R48">
            <v>15300</v>
          </cell>
          <cell r="S48">
            <v>17780</v>
          </cell>
        </row>
        <row r="50">
          <cell r="E50">
            <v>291.93050019406542</v>
          </cell>
          <cell r="I50">
            <v>-29.112186450433668</v>
          </cell>
          <cell r="J50">
            <v>262.81831374363173</v>
          </cell>
          <cell r="N50">
            <v>594.21921643999963</v>
          </cell>
          <cell r="R50">
            <v>991.10000000000014</v>
          </cell>
          <cell r="S50">
            <v>1585.3192164399998</v>
          </cell>
        </row>
        <row r="52">
          <cell r="E52">
            <v>0</v>
          </cell>
          <cell r="I52">
            <v>0</v>
          </cell>
          <cell r="J52">
            <v>0</v>
          </cell>
          <cell r="N52">
            <v>0</v>
          </cell>
          <cell r="R52">
            <v>0</v>
          </cell>
          <cell r="S52">
            <v>0</v>
          </cell>
        </row>
        <row r="53">
          <cell r="E53">
            <v>139.31161528999985</v>
          </cell>
          <cell r="I53">
            <v>-355.94274492999989</v>
          </cell>
          <cell r="J53">
            <v>-216.63112964000004</v>
          </cell>
          <cell r="N53">
            <v>215.55171644000006</v>
          </cell>
          <cell r="R53">
            <v>-31.899999999999864</v>
          </cell>
          <cell r="S53">
            <v>183.6517164400002</v>
          </cell>
        </row>
        <row r="54">
          <cell r="E54">
            <v>134.01613785184185</v>
          </cell>
          <cell r="I54">
            <v>154.65065064999999</v>
          </cell>
          <cell r="J54">
            <v>288.66678850184184</v>
          </cell>
          <cell r="N54">
            <v>150.02149999999961</v>
          </cell>
          <cell r="R54">
            <v>0</v>
          </cell>
          <cell r="S54">
            <v>150.02149999999961</v>
          </cell>
        </row>
        <row r="55">
          <cell r="E55">
            <v>-195</v>
          </cell>
          <cell r="I55">
            <v>-20</v>
          </cell>
          <cell r="J55">
            <v>-215</v>
          </cell>
          <cell r="N55">
            <v>0</v>
          </cell>
          <cell r="R55">
            <v>195</v>
          </cell>
          <cell r="S55">
            <v>195</v>
          </cell>
        </row>
        <row r="56">
          <cell r="E56">
            <v>244.49599999999998</v>
          </cell>
          <cell r="I56">
            <v>247.72900000000001</v>
          </cell>
          <cell r="J56">
            <v>492.22500000000002</v>
          </cell>
          <cell r="N56">
            <v>228.64600000000002</v>
          </cell>
          <cell r="R56">
            <v>828</v>
          </cell>
          <cell r="S56">
            <v>1056.646</v>
          </cell>
        </row>
        <row r="57">
          <cell r="E57">
            <v>10.408185849285818</v>
          </cell>
          <cell r="I57">
            <v>254.80712400020388</v>
          </cell>
          <cell r="J57">
            <v>265.2153098494897</v>
          </cell>
          <cell r="N57">
            <v>0</v>
          </cell>
          <cell r="R57">
            <v>0</v>
          </cell>
          <cell r="S57">
            <v>0</v>
          </cell>
        </row>
        <row r="58">
          <cell r="E58">
            <v>-41.301438797062126</v>
          </cell>
          <cell r="I58">
            <v>-310.35621617063771</v>
          </cell>
          <cell r="J58">
            <v>-351.65765496769984</v>
          </cell>
          <cell r="N58">
            <v>0</v>
          </cell>
          <cell r="R58">
            <v>0</v>
          </cell>
          <cell r="S58">
            <v>0</v>
          </cell>
        </row>
        <row r="60">
          <cell r="E60">
            <v>1078.6080000000002</v>
          </cell>
          <cell r="I60">
            <v>1467.4019453363223</v>
          </cell>
          <cell r="J60">
            <v>2546.0099453363227</v>
          </cell>
          <cell r="N60">
            <v>1153.2511626747273</v>
          </cell>
          <cell r="R60">
            <v>1223.5564491674495</v>
          </cell>
          <cell r="S60">
            <v>2376.8076118421768</v>
          </cell>
        </row>
        <row r="61">
          <cell r="E61">
            <v>172.79099999999997</v>
          </cell>
          <cell r="I61">
            <v>232.72886</v>
          </cell>
          <cell r="J61">
            <v>405.51985999999999</v>
          </cell>
          <cell r="N61">
            <v>91.100609674727323</v>
          </cell>
          <cell r="R61">
            <v>204.76844916744946</v>
          </cell>
          <cell r="S61">
            <v>295.8690588421768</v>
          </cell>
        </row>
        <row r="62">
          <cell r="E62">
            <v>43.592000000000006</v>
          </cell>
          <cell r="I62">
            <v>144.23836</v>
          </cell>
          <cell r="J62">
            <v>187.83036000000001</v>
          </cell>
          <cell r="N62">
            <v>86.800609674727326</v>
          </cell>
          <cell r="R62">
            <v>89.758534666089474</v>
          </cell>
          <cell r="S62">
            <v>176.5591443408168</v>
          </cell>
        </row>
        <row r="63">
          <cell r="E63">
            <v>119.03899999999999</v>
          </cell>
          <cell r="I63">
            <v>80.301500000000004</v>
          </cell>
          <cell r="J63">
            <v>199.34049999999999</v>
          </cell>
          <cell r="N63">
            <v>4.3</v>
          </cell>
          <cell r="R63">
            <v>104.28441854495999</v>
          </cell>
          <cell r="S63">
            <v>108.58441854495999</v>
          </cell>
        </row>
        <row r="64">
          <cell r="E64">
            <v>10.16</v>
          </cell>
          <cell r="I64">
            <v>8.1890000000000001</v>
          </cell>
          <cell r="J64">
            <v>18.349</v>
          </cell>
          <cell r="N64">
            <v>0</v>
          </cell>
          <cell r="R64">
            <v>10.725495956399998</v>
          </cell>
          <cell r="S64">
            <v>10.725495956399998</v>
          </cell>
        </row>
        <row r="65">
          <cell r="E65">
            <v>264.45299999999997</v>
          </cell>
          <cell r="I65">
            <v>478.50878599999999</v>
          </cell>
          <cell r="J65">
            <v>742.96178599999996</v>
          </cell>
          <cell r="N65">
            <v>219.423553</v>
          </cell>
          <cell r="R65">
            <v>429.88800000000009</v>
          </cell>
          <cell r="S65">
            <v>649.31155300000012</v>
          </cell>
        </row>
        <row r="66">
          <cell r="E66">
            <v>114.738</v>
          </cell>
          <cell r="I66">
            <v>238.84248600000001</v>
          </cell>
          <cell r="J66">
            <v>353.58048600000001</v>
          </cell>
          <cell r="N66">
            <v>108.60255299999999</v>
          </cell>
          <cell r="R66">
            <v>221.59100000000001</v>
          </cell>
          <cell r="S66">
            <v>330.19355300000001</v>
          </cell>
        </row>
        <row r="67">
          <cell r="E67">
            <v>119.65900000000001</v>
          </cell>
          <cell r="I67">
            <v>220.61829999999998</v>
          </cell>
          <cell r="J67">
            <v>340.27729999999997</v>
          </cell>
          <cell r="N67">
            <v>103.102</v>
          </cell>
          <cell r="R67">
            <v>185.31900000000005</v>
          </cell>
          <cell r="S67">
            <v>288.42100000000005</v>
          </cell>
        </row>
        <row r="68">
          <cell r="E68">
            <v>30.056000000000004</v>
          </cell>
          <cell r="I68">
            <v>19.048000000000002</v>
          </cell>
          <cell r="J68">
            <v>49.104000000000006</v>
          </cell>
          <cell r="N68">
            <v>7.7189999999999994</v>
          </cell>
          <cell r="R68">
            <v>22.978000000000002</v>
          </cell>
          <cell r="S68">
            <v>30.697000000000003</v>
          </cell>
        </row>
        <row r="69">
          <cell r="E69">
            <v>5</v>
          </cell>
          <cell r="I69">
            <v>0</v>
          </cell>
          <cell r="J69">
            <v>5</v>
          </cell>
          <cell r="N69">
            <v>3.8269999999999995</v>
          </cell>
          <cell r="R69">
            <v>0</v>
          </cell>
          <cell r="S69">
            <v>3.8269999999999995</v>
          </cell>
        </row>
        <row r="70">
          <cell r="E70">
            <v>0</v>
          </cell>
          <cell r="I70">
            <v>0</v>
          </cell>
          <cell r="J70">
            <v>0</v>
          </cell>
          <cell r="N70">
            <v>0.45300000000000001</v>
          </cell>
          <cell r="R70">
            <v>0</v>
          </cell>
          <cell r="S70">
            <v>0.45300000000000001</v>
          </cell>
        </row>
        <row r="71">
          <cell r="E71">
            <v>5</v>
          </cell>
          <cell r="I71">
            <v>0</v>
          </cell>
          <cell r="J71">
            <v>5</v>
          </cell>
          <cell r="N71">
            <v>3.3739999999999997</v>
          </cell>
          <cell r="R71">
            <v>0</v>
          </cell>
          <cell r="S71">
            <v>3.3739999999999997</v>
          </cell>
        </row>
        <row r="72">
          <cell r="E72">
            <v>326.65500000000003</v>
          </cell>
          <cell r="I72">
            <v>216.11949999999999</v>
          </cell>
          <cell r="J72">
            <v>542.77449999999999</v>
          </cell>
          <cell r="N72">
            <v>324</v>
          </cell>
          <cell r="R72">
            <v>324</v>
          </cell>
          <cell r="S72">
            <v>648</v>
          </cell>
        </row>
        <row r="73">
          <cell r="E73">
            <v>0</v>
          </cell>
          <cell r="I73">
            <v>0</v>
          </cell>
          <cell r="J73">
            <v>0</v>
          </cell>
          <cell r="N73">
            <v>0</v>
          </cell>
          <cell r="R73">
            <v>0</v>
          </cell>
          <cell r="S73">
            <v>0</v>
          </cell>
        </row>
        <row r="74">
          <cell r="E74">
            <v>211.09899999999999</v>
          </cell>
          <cell r="I74">
            <v>217.42375600000003</v>
          </cell>
          <cell r="J74">
            <v>428.52275600000002</v>
          </cell>
          <cell r="N74">
            <v>234.89999999999998</v>
          </cell>
          <cell r="R74">
            <v>234.89999999999998</v>
          </cell>
          <cell r="S74">
            <v>469.79999999999995</v>
          </cell>
        </row>
        <row r="75">
          <cell r="E75">
            <v>74.697000000000003</v>
          </cell>
          <cell r="I75">
            <v>299.65794533632226</v>
          </cell>
          <cell r="J75">
            <v>374.35494533632226</v>
          </cell>
          <cell r="N75">
            <v>250</v>
          </cell>
          <cell r="R75">
            <v>0</v>
          </cell>
          <cell r="S75">
            <v>250</v>
          </cell>
        </row>
        <row r="76">
          <cell r="E76">
            <v>23.912999999999954</v>
          </cell>
          <cell r="I76">
            <v>22.963098000000024</v>
          </cell>
          <cell r="J76">
            <v>46.876097999999978</v>
          </cell>
          <cell r="N76">
            <v>30</v>
          </cell>
          <cell r="R76">
            <v>30</v>
          </cell>
          <cell r="S76">
            <v>60</v>
          </cell>
        </row>
        <row r="78">
          <cell r="E78">
            <v>359.53</v>
          </cell>
          <cell r="I78">
            <v>274.65899999999999</v>
          </cell>
          <cell r="J78">
            <v>634.18899999999996</v>
          </cell>
          <cell r="N78">
            <v>241.54262232343174</v>
          </cell>
          <cell r="R78">
            <v>241.16472948786736</v>
          </cell>
          <cell r="S78">
            <v>482.70735181129908</v>
          </cell>
        </row>
        <row r="80">
          <cell r="E80">
            <v>0</v>
          </cell>
          <cell r="I80">
            <v>0</v>
          </cell>
          <cell r="N80">
            <v>0</v>
          </cell>
          <cell r="R80">
            <v>7000</v>
          </cell>
          <cell r="S80">
            <v>7000</v>
          </cell>
        </row>
        <row r="81">
          <cell r="U81">
            <v>-787.2645193401986</v>
          </cell>
          <cell r="V81">
            <v>31.855999999999966</v>
          </cell>
        </row>
        <row r="82">
          <cell r="A82" t="str">
            <v xml:space="preserve"> .Vta. de Activos Financ.</v>
          </cell>
          <cell r="B82">
            <v>2363.3144961900002</v>
          </cell>
          <cell r="C82">
            <v>3298.1360999999997</v>
          </cell>
          <cell r="D82">
            <v>1789.4571232999999</v>
          </cell>
          <cell r="E82">
            <v>7450.9077194899992</v>
          </cell>
          <cell r="F82">
            <v>4592.2141732999999</v>
          </cell>
          <cell r="G82">
            <v>2928.5926272000002</v>
          </cell>
          <cell r="H82">
            <v>7116.6658362149992</v>
          </cell>
          <cell r="I82">
            <v>14637.472636715</v>
          </cell>
          <cell r="J82">
            <v>22088.380356204998</v>
          </cell>
          <cell r="K82">
            <v>15</v>
          </cell>
          <cell r="L82">
            <v>501.79263065980001</v>
          </cell>
          <cell r="M82">
            <v>15</v>
          </cell>
          <cell r="N82">
            <v>531.79263065980001</v>
          </cell>
          <cell r="O82">
            <v>15</v>
          </cell>
          <cell r="P82">
            <v>15</v>
          </cell>
          <cell r="Q82">
            <v>15</v>
          </cell>
          <cell r="R82">
            <v>45</v>
          </cell>
          <cell r="S82">
            <v>576.79263065980001</v>
          </cell>
          <cell r="T82">
            <v>22665.172986864796</v>
          </cell>
          <cell r="U82">
            <v>56.443582805000005</v>
          </cell>
          <cell r="V82">
            <v>819.35599999999999</v>
          </cell>
        </row>
        <row r="83">
          <cell r="A83" t="str">
            <v xml:space="preserve">    Títulos y Valores</v>
          </cell>
          <cell r="B83">
            <v>680.82890078999992</v>
          </cell>
          <cell r="C83">
            <v>204.07599999999999</v>
          </cell>
          <cell r="D83">
            <v>0</v>
          </cell>
          <cell r="E83">
            <v>884.90490078999994</v>
          </cell>
          <cell r="F83">
            <v>0</v>
          </cell>
          <cell r="G83">
            <v>0</v>
          </cell>
          <cell r="H83">
            <v>1442.162682015</v>
          </cell>
          <cell r="I83">
            <v>1442.162682015</v>
          </cell>
          <cell r="J83">
            <v>2327.0675828049998</v>
          </cell>
          <cell r="K83">
            <v>0</v>
          </cell>
          <cell r="L83">
            <v>204.07599999999999</v>
          </cell>
          <cell r="M83">
            <v>0</v>
          </cell>
          <cell r="N83">
            <v>204.07599999999999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204.07599999999999</v>
          </cell>
          <cell r="T83">
            <v>2531.1435828049998</v>
          </cell>
          <cell r="U83">
            <v>-848.76251853000031</v>
          </cell>
          <cell r="V83">
            <v>-848.76251853000031</v>
          </cell>
        </row>
        <row r="84">
          <cell r="E84">
            <v>6508.3811000000005</v>
          </cell>
          <cell r="I84">
            <v>13134.674999999999</v>
          </cell>
          <cell r="J84">
            <v>19643.056100000002</v>
          </cell>
          <cell r="N84">
            <v>36.979380659800015</v>
          </cell>
          <cell r="R84">
            <v>0</v>
          </cell>
          <cell r="S84">
            <v>36.979380659800015</v>
          </cell>
        </row>
        <row r="85">
          <cell r="E85">
            <v>0</v>
          </cell>
          <cell r="I85">
            <v>0</v>
          </cell>
          <cell r="J85">
            <v>0</v>
          </cell>
          <cell r="N85">
            <v>0</v>
          </cell>
          <cell r="R85">
            <v>0</v>
          </cell>
          <cell r="S85">
            <v>0</v>
          </cell>
        </row>
        <row r="86">
          <cell r="E86">
            <v>57.621718700000002</v>
          </cell>
          <cell r="I86">
            <v>60.634954700000002</v>
          </cell>
          <cell r="J86">
            <v>118.25667340000001</v>
          </cell>
          <cell r="N86">
            <v>290.73725000000002</v>
          </cell>
          <cell r="R86">
            <v>45</v>
          </cell>
          <cell r="S86">
            <v>335.73725000000002</v>
          </cell>
        </row>
        <row r="88">
          <cell r="E88">
            <v>43502.710262827241</v>
          </cell>
          <cell r="I88">
            <v>35814.357864817779</v>
          </cell>
          <cell r="J88">
            <v>79317.06812764502</v>
          </cell>
          <cell r="N88">
            <v>27861.344124451167</v>
          </cell>
          <cell r="R88">
            <v>53898.651095955633</v>
          </cell>
          <cell r="S88">
            <v>81759.995220406796</v>
          </cell>
        </row>
        <row r="90">
          <cell r="E90">
            <v>32544.768481827163</v>
          </cell>
          <cell r="I90">
            <v>18378.058459702217</v>
          </cell>
          <cell r="J90">
            <v>50922.826941529376</v>
          </cell>
          <cell r="N90">
            <v>24734.761416838981</v>
          </cell>
          <cell r="R90">
            <v>41450.232783621119</v>
          </cell>
          <cell r="S90">
            <v>66184.994200460103</v>
          </cell>
        </row>
        <row r="92">
          <cell r="E92">
            <v>20867.775860640002</v>
          </cell>
          <cell r="I92">
            <v>12334.570023010001</v>
          </cell>
          <cell r="J92">
            <v>33202.345883650007</v>
          </cell>
          <cell r="N92">
            <v>11654.060540875009</v>
          </cell>
          <cell r="R92">
            <v>29450.325911921729</v>
          </cell>
          <cell r="S92">
            <v>41104.386452796738</v>
          </cell>
        </row>
        <row r="94">
          <cell r="E94">
            <v>1179.1656831799999</v>
          </cell>
          <cell r="I94">
            <v>2499.9800776700004</v>
          </cell>
          <cell r="J94">
            <v>3679.1457608500004</v>
          </cell>
          <cell r="N94">
            <v>2400.0047691592813</v>
          </cell>
          <cell r="R94">
            <v>4605.5965506788561</v>
          </cell>
          <cell r="S94">
            <v>7005.601319838137</v>
          </cell>
        </row>
        <row r="96">
          <cell r="E96">
            <v>55.74222846</v>
          </cell>
          <cell r="I96">
            <v>53.161811569999998</v>
          </cell>
          <cell r="J96">
            <v>108.90404003</v>
          </cell>
          <cell r="N96">
            <v>52.205833007915487</v>
          </cell>
          <cell r="R96">
            <v>47.939558823909294</v>
          </cell>
          <cell r="S96">
            <v>100.14539183182478</v>
          </cell>
        </row>
        <row r="97">
          <cell r="E97">
            <v>125.38759683999955</v>
          </cell>
          <cell r="I97">
            <v>16.20040706</v>
          </cell>
          <cell r="J97">
            <v>141.58800389999953</v>
          </cell>
          <cell r="N97">
            <v>125.73726879625836</v>
          </cell>
          <cell r="R97">
            <v>12.762146064051541</v>
          </cell>
          <cell r="S97">
            <v>138.49941486030991</v>
          </cell>
        </row>
        <row r="98">
          <cell r="E98">
            <v>15.609873670000002</v>
          </cell>
          <cell r="I98">
            <v>14.39527256</v>
          </cell>
          <cell r="J98">
            <v>30.005146230000001</v>
          </cell>
          <cell r="N98">
            <v>12.805490496453029</v>
          </cell>
          <cell r="R98">
            <v>11.128598504051542</v>
          </cell>
          <cell r="S98">
            <v>23.934089000504571</v>
          </cell>
        </row>
        <row r="99">
          <cell r="E99">
            <v>0</v>
          </cell>
          <cell r="I99">
            <v>1.8051345000000001</v>
          </cell>
          <cell r="J99">
            <v>1.8051345000000001</v>
          </cell>
          <cell r="N99">
            <v>0</v>
          </cell>
          <cell r="R99">
            <v>1.63354756</v>
          </cell>
          <cell r="S99">
            <v>1.63354756</v>
          </cell>
        </row>
        <row r="100">
          <cell r="E100">
            <v>109.77772316999955</v>
          </cell>
          <cell r="I100">
            <v>0</v>
          </cell>
          <cell r="J100">
            <v>109.77772316999955</v>
          </cell>
          <cell r="N100">
            <v>112.93177829980533</v>
          </cell>
          <cell r="R100">
            <v>0</v>
          </cell>
          <cell r="S100">
            <v>112.93177829980533</v>
          </cell>
        </row>
        <row r="101">
          <cell r="E101">
            <v>161.53507690000001</v>
          </cell>
          <cell r="I101">
            <v>777.81370083000002</v>
          </cell>
          <cell r="J101">
            <v>939.34877773000005</v>
          </cell>
          <cell r="N101">
            <v>954.95220145000008</v>
          </cell>
          <cell r="R101">
            <v>312.08764631999998</v>
          </cell>
          <cell r="S101">
            <v>1267.0398477700001</v>
          </cell>
        </row>
        <row r="102">
          <cell r="E102">
            <v>0</v>
          </cell>
          <cell r="I102">
            <v>0</v>
          </cell>
          <cell r="J102">
            <v>0</v>
          </cell>
          <cell r="N102">
            <v>0</v>
          </cell>
          <cell r="R102">
            <v>78.75</v>
          </cell>
          <cell r="S102">
            <v>78.75</v>
          </cell>
        </row>
        <row r="103">
          <cell r="E103">
            <v>161.53507690000001</v>
          </cell>
          <cell r="I103">
            <v>777.81370083000002</v>
          </cell>
          <cell r="J103">
            <v>939.34877773000005</v>
          </cell>
          <cell r="N103">
            <v>954.95220145000008</v>
          </cell>
          <cell r="R103">
            <v>233.33764632</v>
          </cell>
          <cell r="S103">
            <v>1188.2898477700001</v>
          </cell>
        </row>
        <row r="104">
          <cell r="E104">
            <v>373.45377626000004</v>
          </cell>
          <cell r="I104">
            <v>372.45106154999996</v>
          </cell>
          <cell r="J104">
            <v>745.90483781</v>
          </cell>
          <cell r="N104">
            <v>411.02652678999993</v>
          </cell>
          <cell r="R104">
            <v>211.17951099999999</v>
          </cell>
          <cell r="S104">
            <v>622.20603778999998</v>
          </cell>
        </row>
        <row r="105">
          <cell r="E105">
            <v>359.53</v>
          </cell>
          <cell r="I105">
            <v>274.65899999999999</v>
          </cell>
          <cell r="J105">
            <v>634.18899999999996</v>
          </cell>
          <cell r="N105">
            <v>241.54262232343174</v>
          </cell>
          <cell r="R105">
            <v>241.16472948786736</v>
          </cell>
          <cell r="S105">
            <v>482.70735181129908</v>
          </cell>
        </row>
        <row r="106">
          <cell r="E106">
            <v>25.431588810000001</v>
          </cell>
          <cell r="I106">
            <v>451.44332347</v>
          </cell>
          <cell r="J106">
            <v>476.87491227999999</v>
          </cell>
          <cell r="N106">
            <v>49.022169595435365</v>
          </cell>
          <cell r="R106">
            <v>1926.6441220908061</v>
          </cell>
          <cell r="S106">
            <v>1975.6662916862415</v>
          </cell>
        </row>
        <row r="107">
          <cell r="E107">
            <v>7.2523095500000005</v>
          </cell>
          <cell r="I107">
            <v>487.04644149000012</v>
          </cell>
          <cell r="J107">
            <v>494.29875104000013</v>
          </cell>
          <cell r="N107">
            <v>553.09775346596643</v>
          </cell>
          <cell r="R107">
            <v>1853.5874060422223</v>
          </cell>
          <cell r="S107">
            <v>2406.6851595081889</v>
          </cell>
        </row>
        <row r="108">
          <cell r="E108">
            <v>70.83310636000023</v>
          </cell>
          <cell r="I108">
            <v>67.204331699999997</v>
          </cell>
          <cell r="J108">
            <v>138.03743806000023</v>
          </cell>
          <cell r="N108">
            <v>12.420393730273998</v>
          </cell>
          <cell r="R108">
            <v>0.23143084999999999</v>
          </cell>
          <cell r="S108">
            <v>12.651824580273999</v>
          </cell>
        </row>
        <row r="110">
          <cell r="E110">
            <v>19688.610177459999</v>
          </cell>
          <cell r="I110">
            <v>9834.5899453399998</v>
          </cell>
          <cell r="J110">
            <v>29523.200122800001</v>
          </cell>
          <cell r="N110">
            <v>9254.055771715728</v>
          </cell>
          <cell r="R110">
            <v>24844.729361242877</v>
          </cell>
          <cell r="S110">
            <v>34098.785132958605</v>
          </cell>
        </row>
        <row r="112">
          <cell r="E112">
            <v>882.82484410000006</v>
          </cell>
          <cell r="I112">
            <v>909.37484428000005</v>
          </cell>
          <cell r="J112">
            <v>1792.1996883800002</v>
          </cell>
          <cell r="N112">
            <v>946.35383734095205</v>
          </cell>
          <cell r="R112">
            <v>959.55520200441333</v>
          </cell>
          <cell r="S112">
            <v>1905.9090393453653</v>
          </cell>
        </row>
        <row r="113">
          <cell r="E113">
            <v>354.34863057000001</v>
          </cell>
          <cell r="I113">
            <v>365.14727646</v>
          </cell>
          <cell r="J113">
            <v>719.49590703000001</v>
          </cell>
          <cell r="N113">
            <v>365.06153186260747</v>
          </cell>
          <cell r="R113">
            <v>376.01043338019895</v>
          </cell>
          <cell r="S113">
            <v>741.07196524280641</v>
          </cell>
        </row>
        <row r="114">
          <cell r="E114">
            <v>354.34863057000001</v>
          </cell>
          <cell r="I114">
            <v>359.46409376999998</v>
          </cell>
          <cell r="J114">
            <v>713.81272433999993</v>
          </cell>
          <cell r="N114">
            <v>365.06153186260747</v>
          </cell>
          <cell r="R114">
            <v>370.32725069019898</v>
          </cell>
          <cell r="S114">
            <v>735.38878255280645</v>
          </cell>
        </row>
        <row r="115">
          <cell r="E115">
            <v>0</v>
          </cell>
          <cell r="I115">
            <v>5.6831826899999998</v>
          </cell>
          <cell r="J115">
            <v>5.6831826899999998</v>
          </cell>
          <cell r="N115">
            <v>0</v>
          </cell>
          <cell r="R115">
            <v>5.6831826900000006</v>
          </cell>
          <cell r="S115">
            <v>5.6831826900000006</v>
          </cell>
        </row>
        <row r="116">
          <cell r="E116">
            <v>7417.2938960000001</v>
          </cell>
          <cell r="I116">
            <v>4490</v>
          </cell>
          <cell r="J116">
            <v>11907.293895999999</v>
          </cell>
          <cell r="N116">
            <v>5105.0384340000001</v>
          </cell>
          <cell r="R116">
            <v>3338.2</v>
          </cell>
          <cell r="S116">
            <v>8443.238433999999</v>
          </cell>
        </row>
        <row r="117">
          <cell r="E117">
            <v>127.8684510699988</v>
          </cell>
          <cell r="I117">
            <v>4064.8546125799999</v>
          </cell>
          <cell r="J117">
            <v>4192.7230636499989</v>
          </cell>
          <cell r="N117">
            <v>321.97064449216879</v>
          </cell>
          <cell r="R117">
            <v>788.26882353645192</v>
          </cell>
          <cell r="S117">
            <v>1110.2394680286206</v>
          </cell>
        </row>
        <row r="118">
          <cell r="E118">
            <v>0</v>
          </cell>
          <cell r="I118">
            <v>0</v>
          </cell>
          <cell r="J118">
            <v>0</v>
          </cell>
          <cell r="N118">
            <v>0</v>
          </cell>
          <cell r="R118">
            <v>2929.5</v>
          </cell>
          <cell r="S118">
            <v>2929.5</v>
          </cell>
        </row>
        <row r="119">
          <cell r="E119">
            <v>10900</v>
          </cell>
          <cell r="I119">
            <v>0</v>
          </cell>
          <cell r="J119">
            <v>10900</v>
          </cell>
          <cell r="N119">
            <v>2480</v>
          </cell>
          <cell r="R119">
            <v>13200</v>
          </cell>
          <cell r="S119">
            <v>15680</v>
          </cell>
        </row>
        <row r="120">
          <cell r="E120">
            <v>6.2743557199999991</v>
          </cell>
          <cell r="I120">
            <v>5.2132120200000003</v>
          </cell>
          <cell r="J120">
            <v>11.487567739999999</v>
          </cell>
          <cell r="N120">
            <v>35.631324020000001</v>
          </cell>
          <cell r="R120">
            <v>3253.1949023218094</v>
          </cell>
          <cell r="S120">
            <v>3288.8262263418096</v>
          </cell>
        </row>
        <row r="122">
          <cell r="E122">
            <v>3917.4578211871631</v>
          </cell>
          <cell r="I122">
            <v>5484.9119612227296</v>
          </cell>
          <cell r="J122">
            <v>9402.3697824098927</v>
          </cell>
          <cell r="N122">
            <v>12328.077825923971</v>
          </cell>
          <cell r="R122">
            <v>11435.906871699393</v>
          </cell>
          <cell r="S122">
            <v>23763.984697623364</v>
          </cell>
        </row>
        <row r="124">
          <cell r="E124">
            <v>2130.0173506103406</v>
          </cell>
          <cell r="I124">
            <v>2637.9290612816585</v>
          </cell>
          <cell r="J124">
            <v>4767.9464118919987</v>
          </cell>
          <cell r="N124">
            <v>1976.7054696893852</v>
          </cell>
          <cell r="R124">
            <v>6644.8296118372409</v>
          </cell>
          <cell r="S124">
            <v>8621.5350815266265</v>
          </cell>
        </row>
        <row r="126">
          <cell r="E126">
            <v>449.59075000000001</v>
          </cell>
          <cell r="I126">
            <v>266.83080452000002</v>
          </cell>
          <cell r="J126">
            <v>716.42155451999997</v>
          </cell>
          <cell r="N126">
            <v>472.85</v>
          </cell>
          <cell r="R126">
            <v>291.80082540000001</v>
          </cell>
          <cell r="S126">
            <v>764.65082540000003</v>
          </cell>
        </row>
        <row r="127">
          <cell r="E127">
            <v>194.79075</v>
          </cell>
          <cell r="I127">
            <v>0</v>
          </cell>
          <cell r="J127">
            <v>194.79075</v>
          </cell>
          <cell r="N127">
            <v>202.65</v>
          </cell>
          <cell r="R127">
            <v>0</v>
          </cell>
          <cell r="S127">
            <v>202.65</v>
          </cell>
        </row>
        <row r="128">
          <cell r="E128">
            <v>254.8</v>
          </cell>
          <cell r="I128">
            <v>0</v>
          </cell>
          <cell r="J128">
            <v>254.8</v>
          </cell>
          <cell r="N128">
            <v>270.2</v>
          </cell>
          <cell r="R128">
            <v>0</v>
          </cell>
          <cell r="S128">
            <v>270.2</v>
          </cell>
        </row>
        <row r="129">
          <cell r="E129">
            <v>0</v>
          </cell>
          <cell r="I129">
            <v>266.83080452000002</v>
          </cell>
          <cell r="J129">
            <v>266.83080452000002</v>
          </cell>
          <cell r="N129">
            <v>0</v>
          </cell>
          <cell r="R129">
            <v>291.80082540000001</v>
          </cell>
          <cell r="S129">
            <v>291.80082540000001</v>
          </cell>
        </row>
        <row r="130">
          <cell r="E130">
            <v>473.76244545302404</v>
          </cell>
          <cell r="I130">
            <v>874.72668203163107</v>
          </cell>
          <cell r="J130">
            <v>1348.489127484655</v>
          </cell>
          <cell r="N130">
            <v>278.69200000000001</v>
          </cell>
          <cell r="R130">
            <v>851.56048323959988</v>
          </cell>
          <cell r="S130">
            <v>1130.2524832395998</v>
          </cell>
        </row>
        <row r="131">
          <cell r="E131">
            <v>473.76244545302404</v>
          </cell>
          <cell r="I131">
            <v>50.380141471879007</v>
          </cell>
          <cell r="J131">
            <v>524.14258692490307</v>
          </cell>
          <cell r="N131">
            <v>278.69200000000001</v>
          </cell>
          <cell r="R131">
            <v>0</v>
          </cell>
          <cell r="S131">
            <v>278.69200000000001</v>
          </cell>
        </row>
        <row r="132">
          <cell r="E132">
            <v>0</v>
          </cell>
          <cell r="I132">
            <v>67.192935569592009</v>
          </cell>
          <cell r="J132">
            <v>67.192935569592009</v>
          </cell>
          <cell r="N132">
            <v>0</v>
          </cell>
          <cell r="R132">
            <v>33.016045412399997</v>
          </cell>
          <cell r="S132">
            <v>33.016045412399997</v>
          </cell>
        </row>
        <row r="133">
          <cell r="E133">
            <v>0</v>
          </cell>
          <cell r="I133">
            <v>757.15360499016003</v>
          </cell>
          <cell r="J133">
            <v>757.15360499016003</v>
          </cell>
          <cell r="N133">
            <v>0</v>
          </cell>
          <cell r="R133">
            <v>818.54443782719989</v>
          </cell>
          <cell r="S133">
            <v>818.54443782719989</v>
          </cell>
        </row>
        <row r="134">
          <cell r="E134">
            <v>311.62274944596419</v>
          </cell>
          <cell r="I134">
            <v>972.9175197720142</v>
          </cell>
          <cell r="J134">
            <v>1284.5402692179784</v>
          </cell>
          <cell r="N134">
            <v>612.23192291965643</v>
          </cell>
          <cell r="R134">
            <v>5041.7570765346891</v>
          </cell>
          <cell r="S134">
            <v>5653.9889994543455</v>
          </cell>
        </row>
        <row r="135">
          <cell r="E135">
            <v>419.98249746440104</v>
          </cell>
          <cell r="I135">
            <v>0.32333425320000003</v>
          </cell>
          <cell r="J135">
            <v>420.30583171760105</v>
          </cell>
          <cell r="N135">
            <v>203.39039432000001</v>
          </cell>
          <cell r="R135">
            <v>7.0148999999999999</v>
          </cell>
          <cell r="S135">
            <v>210.40529432000002</v>
          </cell>
        </row>
        <row r="136">
          <cell r="E136">
            <v>265.63411239025498</v>
          </cell>
          <cell r="I136">
            <v>307.55647675197179</v>
          </cell>
          <cell r="J136">
            <v>573.19058914222683</v>
          </cell>
          <cell r="N136">
            <v>234.31190968511305</v>
          </cell>
          <cell r="R136">
            <v>282.16136777877392</v>
          </cell>
          <cell r="S136">
            <v>516.47327746388692</v>
          </cell>
        </row>
        <row r="137">
          <cell r="E137">
            <v>157.99432490165225</v>
          </cell>
          <cell r="I137">
            <v>153.81370127769</v>
          </cell>
          <cell r="J137">
            <v>311.80802617934228</v>
          </cell>
          <cell r="N137">
            <v>115.76454532099999</v>
          </cell>
          <cell r="R137">
            <v>101.45515513559998</v>
          </cell>
          <cell r="S137">
            <v>217.21970045659998</v>
          </cell>
        </row>
        <row r="138">
          <cell r="E138">
            <v>0</v>
          </cell>
          <cell r="I138">
            <v>0</v>
          </cell>
          <cell r="J138">
            <v>0</v>
          </cell>
          <cell r="N138">
            <v>0</v>
          </cell>
          <cell r="R138">
            <v>0</v>
          </cell>
          <cell r="S138">
            <v>0</v>
          </cell>
        </row>
        <row r="139">
          <cell r="E139">
            <v>30.439067994995</v>
          </cell>
          <cell r="I139">
            <v>37.711250626838996</v>
          </cell>
          <cell r="J139">
            <v>68.150318621834003</v>
          </cell>
          <cell r="N139">
            <v>23.0755793296</v>
          </cell>
          <cell r="R139">
            <v>35.642008669219045</v>
          </cell>
          <cell r="S139">
            <v>58.717587998819042</v>
          </cell>
        </row>
        <row r="140">
          <cell r="E140">
            <v>20.991402960049061</v>
          </cell>
          <cell r="I140">
            <v>24.049292048312672</v>
          </cell>
          <cell r="J140">
            <v>45.040695008361737</v>
          </cell>
          <cell r="N140">
            <v>36.389118114015581</v>
          </cell>
          <cell r="R140">
            <v>33.437795079358544</v>
          </cell>
          <cell r="S140">
            <v>69.826913193374125</v>
          </cell>
        </row>
        <row r="142">
          <cell r="E142">
            <v>1787.4404705768225</v>
          </cell>
          <cell r="I142">
            <v>2846.9828999410711</v>
          </cell>
          <cell r="J142">
            <v>4634.423370517894</v>
          </cell>
          <cell r="N142">
            <v>10351.372356234588</v>
          </cell>
          <cell r="R142">
            <v>4791.0772598621515</v>
          </cell>
          <cell r="S142">
            <v>15142.449616096739</v>
          </cell>
        </row>
        <row r="145">
          <cell r="E145">
            <v>0</v>
          </cell>
          <cell r="I145">
            <v>1142.006954655069</v>
          </cell>
          <cell r="J145">
            <v>1142.006954655069</v>
          </cell>
          <cell r="N145">
            <v>8289.735999999999</v>
          </cell>
          <cell r="R145">
            <v>0</v>
          </cell>
          <cell r="S145">
            <v>8289.735999999999</v>
          </cell>
        </row>
        <row r="146">
          <cell r="E146">
            <v>0</v>
          </cell>
          <cell r="I146">
            <v>238.87610022506902</v>
          </cell>
          <cell r="J146">
            <v>238.87610022506902</v>
          </cell>
          <cell r="N146">
            <v>8289.735999999999</v>
          </cell>
          <cell r="R146">
            <v>0</v>
          </cell>
          <cell r="S146">
            <v>8289.735999999999</v>
          </cell>
        </row>
        <row r="147">
          <cell r="E147">
            <v>0</v>
          </cell>
          <cell r="I147">
            <v>903.13085443</v>
          </cell>
          <cell r="J147">
            <v>903.13085443</v>
          </cell>
          <cell r="N147">
            <v>0</v>
          </cell>
          <cell r="R147">
            <v>0</v>
          </cell>
          <cell r="S147">
            <v>0</v>
          </cell>
        </row>
        <row r="148">
          <cell r="E148">
            <v>0</v>
          </cell>
          <cell r="I148">
            <v>0</v>
          </cell>
          <cell r="J148">
            <v>0</v>
          </cell>
          <cell r="N148">
            <v>0</v>
          </cell>
          <cell r="R148">
            <v>2929.5</v>
          </cell>
          <cell r="S148">
            <v>2929.5</v>
          </cell>
        </row>
        <row r="149">
          <cell r="E149">
            <v>343.368694</v>
          </cell>
          <cell r="I149">
            <v>174.84</v>
          </cell>
          <cell r="J149">
            <v>518.20869400000004</v>
          </cell>
          <cell r="N149">
            <v>315.90251966</v>
          </cell>
          <cell r="R149">
            <v>401.99999999999994</v>
          </cell>
          <cell r="S149">
            <v>717.90251965999994</v>
          </cell>
        </row>
        <row r="150">
          <cell r="E150">
            <v>431.44188530900578</v>
          </cell>
          <cell r="I150">
            <v>752.38597541268405</v>
          </cell>
          <cell r="J150">
            <v>1183.8278607216898</v>
          </cell>
          <cell r="N150">
            <v>528.79186560491814</v>
          </cell>
          <cell r="R150">
            <v>789.38341968664224</v>
          </cell>
          <cell r="S150">
            <v>1318.1752852915604</v>
          </cell>
        </row>
        <row r="151">
          <cell r="E151">
            <v>790.12497285030804</v>
          </cell>
          <cell r="I151">
            <v>534.79583377122117</v>
          </cell>
          <cell r="J151">
            <v>1324.9208066215292</v>
          </cell>
          <cell r="N151">
            <v>854.96078439339988</v>
          </cell>
          <cell r="R151">
            <v>597.04374814217999</v>
          </cell>
          <cell r="S151">
            <v>1452.00453253558</v>
          </cell>
        </row>
        <row r="152">
          <cell r="E152">
            <v>147.82693552590376</v>
          </cell>
          <cell r="I152">
            <v>98.040386668393396</v>
          </cell>
          <cell r="J152">
            <v>245.86732219429717</v>
          </cell>
          <cell r="N152">
            <v>348.65630851946958</v>
          </cell>
          <cell r="R152">
            <v>0</v>
          </cell>
          <cell r="S152">
            <v>348.65630851946958</v>
          </cell>
        </row>
        <row r="153">
          <cell r="E153">
            <v>9.9789181882899989</v>
          </cell>
          <cell r="I153">
            <v>49.917640924624003</v>
          </cell>
          <cell r="J153">
            <v>59.896559112914005</v>
          </cell>
          <cell r="N153">
            <v>13.185687509199997</v>
          </cell>
          <cell r="R153">
            <v>50.744867249253822</v>
          </cell>
          <cell r="S153">
            <v>63.930554758453823</v>
          </cell>
        </row>
        <row r="154">
          <cell r="E154">
            <v>64.699064703315116</v>
          </cell>
          <cell r="I154">
            <v>94.996108509079477</v>
          </cell>
          <cell r="J154">
            <v>159.69517321239459</v>
          </cell>
          <cell r="N154">
            <v>0.13919054759997587</v>
          </cell>
          <cell r="R154">
            <v>22.405224784076108</v>
          </cell>
          <cell r="S154">
            <v>22.544415331676085</v>
          </cell>
        </row>
        <row r="156">
          <cell r="E156">
            <v>7759.5347999999994</v>
          </cell>
          <cell r="I156">
            <v>558.57647546948806</v>
          </cell>
          <cell r="J156">
            <v>8318.1112754694877</v>
          </cell>
          <cell r="N156">
            <v>752.62305003999995</v>
          </cell>
          <cell r="R156">
            <v>564</v>
          </cell>
          <cell r="S156">
            <v>1316.62305004</v>
          </cell>
        </row>
        <row r="158">
          <cell r="A158" t="str">
            <v xml:space="preserve"> II .Compra de Act. Financ.</v>
          </cell>
          <cell r="B158">
            <v>3591.7033193199995</v>
          </cell>
          <cell r="C158">
            <v>3038.8773000000001</v>
          </cell>
          <cell r="D158">
            <v>1763.88</v>
          </cell>
          <cell r="E158">
            <v>8394.4606193199998</v>
          </cell>
          <cell r="F158">
            <v>4820.6109999999999</v>
          </cell>
          <cell r="G158">
            <v>3058.9380000000001</v>
          </cell>
          <cell r="H158">
            <v>6520.4467820149994</v>
          </cell>
          <cell r="I158">
            <v>14399.995782014999</v>
          </cell>
          <cell r="J158">
            <v>22794.456401334999</v>
          </cell>
          <cell r="K158">
            <v>0</v>
          </cell>
          <cell r="L158">
            <v>204.07599999999999</v>
          </cell>
          <cell r="M158">
            <v>0</v>
          </cell>
          <cell r="N158">
            <v>204.07599999999999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204.07599999999999</v>
          </cell>
          <cell r="T158">
            <v>22998.532401335</v>
          </cell>
        </row>
        <row r="159">
          <cell r="A159" t="str">
            <v xml:space="preserve">    Títulos y Valores</v>
          </cell>
          <cell r="B159">
            <v>1441.7553193199999</v>
          </cell>
          <cell r="C159">
            <v>450</v>
          </cell>
          <cell r="D159">
            <v>0</v>
          </cell>
          <cell r="E159">
            <v>1891.7553193199999</v>
          </cell>
          <cell r="F159">
            <v>0</v>
          </cell>
          <cell r="G159">
            <v>0</v>
          </cell>
          <cell r="H159">
            <v>1284.074782015</v>
          </cell>
          <cell r="I159">
            <v>1284.074782015</v>
          </cell>
          <cell r="J159">
            <v>3175.8301013350001</v>
          </cell>
          <cell r="K159">
            <v>0</v>
          </cell>
          <cell r="L159">
            <v>204.07599999999999</v>
          </cell>
          <cell r="M159">
            <v>0</v>
          </cell>
          <cell r="N159">
            <v>204.07599999999999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204.07599999999999</v>
          </cell>
          <cell r="T159">
            <v>3379.9061013350001</v>
          </cell>
          <cell r="U159">
            <v>24966.549644995001</v>
          </cell>
        </row>
        <row r="160">
          <cell r="E160">
            <v>6502.7053000000005</v>
          </cell>
          <cell r="I160">
            <v>13115.920999999998</v>
          </cell>
          <cell r="J160">
            <v>19618.6263</v>
          </cell>
          <cell r="N160">
            <v>0</v>
          </cell>
          <cell r="R160">
            <v>0</v>
          </cell>
          <cell r="S160">
            <v>0</v>
          </cell>
        </row>
        <row r="161">
          <cell r="E161">
            <v>0</v>
          </cell>
          <cell r="I161">
            <v>0</v>
          </cell>
          <cell r="J161">
            <v>0</v>
          </cell>
          <cell r="N161">
            <v>0</v>
          </cell>
          <cell r="R161">
            <v>0</v>
          </cell>
          <cell r="S161">
            <v>0</v>
          </cell>
        </row>
        <row r="162">
          <cell r="E162">
            <v>0</v>
          </cell>
          <cell r="I162">
            <v>0</v>
          </cell>
          <cell r="J162">
            <v>0</v>
          </cell>
          <cell r="N162">
            <v>0</v>
          </cell>
          <cell r="R162">
            <v>0</v>
          </cell>
          <cell r="S162">
            <v>0</v>
          </cell>
        </row>
        <row r="164">
          <cell r="E164">
            <v>2563.4811616800766</v>
          </cell>
          <cell r="I164">
            <v>3036.3036231005572</v>
          </cell>
          <cell r="J164">
            <v>5599.7847847806333</v>
          </cell>
          <cell r="N164">
            <v>2922.5067076121863</v>
          </cell>
          <cell r="R164">
            <v>12448.41831233451</v>
          </cell>
          <cell r="S164">
            <v>15370.925019946697</v>
          </cell>
        </row>
        <row r="165">
          <cell r="E165">
            <v>32.59332960389272</v>
          </cell>
          <cell r="I165">
            <v>35.584381651239006</v>
          </cell>
          <cell r="J165">
            <v>68.177711255131726</v>
          </cell>
          <cell r="N165">
            <v>42.073999999999991</v>
          </cell>
          <cell r="R165">
            <v>41.677183471623529</v>
          </cell>
          <cell r="S165">
            <v>83.75118347162352</v>
          </cell>
        </row>
        <row r="166">
          <cell r="E166">
            <v>32.59332960389272</v>
          </cell>
          <cell r="I166">
            <v>35.584381651239006</v>
          </cell>
          <cell r="J166">
            <v>68.177711255131726</v>
          </cell>
          <cell r="N166">
            <v>42.073999999999991</v>
          </cell>
          <cell r="R166">
            <v>41.677183471623529</v>
          </cell>
          <cell r="S166">
            <v>83.75118347162352</v>
          </cell>
        </row>
        <row r="167">
          <cell r="E167">
            <v>0</v>
          </cell>
          <cell r="I167">
            <v>0</v>
          </cell>
          <cell r="J167">
            <v>0</v>
          </cell>
          <cell r="N167">
            <v>0</v>
          </cell>
          <cell r="R167">
            <v>0</v>
          </cell>
          <cell r="S167">
            <v>0</v>
          </cell>
        </row>
        <row r="168">
          <cell r="E168">
            <v>0</v>
          </cell>
          <cell r="I168">
            <v>0</v>
          </cell>
          <cell r="J168">
            <v>0</v>
          </cell>
          <cell r="N168">
            <v>0</v>
          </cell>
          <cell r="R168">
            <v>0</v>
          </cell>
          <cell r="S168">
            <v>0</v>
          </cell>
        </row>
        <row r="169">
          <cell r="E169">
            <v>95.734023066134</v>
          </cell>
          <cell r="I169">
            <v>210.87047210477903</v>
          </cell>
          <cell r="J169">
            <v>306.60449517091303</v>
          </cell>
          <cell r="N169">
            <v>93.219880200727331</v>
          </cell>
          <cell r="R169">
            <v>204.76844916744946</v>
          </cell>
          <cell r="S169">
            <v>297.98832936817678</v>
          </cell>
        </row>
        <row r="170">
          <cell r="E170">
            <v>91.132105973143993</v>
          </cell>
          <cell r="I170">
            <v>90.233490856688007</v>
          </cell>
          <cell r="J170">
            <v>181.36559682983199</v>
          </cell>
          <cell r="N170">
            <v>88.549280200727324</v>
          </cell>
          <cell r="R170">
            <v>89.758534666089474</v>
          </cell>
          <cell r="S170">
            <v>178.30781486681678</v>
          </cell>
        </row>
        <row r="171">
          <cell r="E171">
            <v>4.6019170929900008</v>
          </cell>
          <cell r="I171">
            <v>110.58129285248501</v>
          </cell>
          <cell r="J171">
            <v>115.18320994547501</v>
          </cell>
          <cell r="N171">
            <v>4.6706000000000003</v>
          </cell>
          <cell r="R171">
            <v>104.28441854495999</v>
          </cell>
          <cell r="S171">
            <v>108.95501854495998</v>
          </cell>
        </row>
        <row r="172">
          <cell r="E172">
            <v>0</v>
          </cell>
          <cell r="I172">
            <v>10.055688395605999</v>
          </cell>
          <cell r="J172">
            <v>10.055688395605999</v>
          </cell>
          <cell r="N172">
            <v>0</v>
          </cell>
          <cell r="R172">
            <v>10.725495956399998</v>
          </cell>
          <cell r="S172">
            <v>10.725495956399998</v>
          </cell>
        </row>
        <row r="173">
          <cell r="E173">
            <v>58.563445428620994</v>
          </cell>
          <cell r="I173">
            <v>58.931624269638995</v>
          </cell>
          <cell r="J173">
            <v>117.49506969825998</v>
          </cell>
          <cell r="N173">
            <v>54.422091460458972</v>
          </cell>
          <cell r="R173">
            <v>51.39675401585999</v>
          </cell>
          <cell r="S173">
            <v>105.81884547631896</v>
          </cell>
        </row>
        <row r="174">
          <cell r="E174">
            <v>49.140087589887003</v>
          </cell>
          <cell r="I174">
            <v>56.974977154656997</v>
          </cell>
          <cell r="J174">
            <v>106.115064744544</v>
          </cell>
          <cell r="N174">
            <v>44.790055263599996</v>
          </cell>
          <cell r="R174">
            <v>49.91707390325999</v>
          </cell>
          <cell r="S174">
            <v>94.707129166859986</v>
          </cell>
        </row>
        <row r="175">
          <cell r="E175">
            <v>1.2497724428399999</v>
          </cell>
          <cell r="I175">
            <v>1.9566471149820002</v>
          </cell>
          <cell r="J175">
            <v>3.2064195578220001</v>
          </cell>
          <cell r="N175">
            <v>1.1555840645589797</v>
          </cell>
          <cell r="R175">
            <v>1.4796801125999999</v>
          </cell>
          <cell r="S175">
            <v>2.6352641771589793</v>
          </cell>
        </row>
        <row r="176">
          <cell r="E176">
            <v>8.1735853958939995</v>
          </cell>
          <cell r="I176">
            <v>0</v>
          </cell>
          <cell r="J176">
            <v>8.1735853958939995</v>
          </cell>
          <cell r="N176">
            <v>8.4764521323000004</v>
          </cell>
          <cell r="R176">
            <v>0</v>
          </cell>
          <cell r="S176">
            <v>8.4764521323000004</v>
          </cell>
        </row>
        <row r="177">
          <cell r="E177">
            <v>18.961777992216</v>
          </cell>
          <cell r="I177">
            <v>2.0234450749000001</v>
          </cell>
          <cell r="J177">
            <v>20.985223067115999</v>
          </cell>
          <cell r="N177">
            <v>18.808665425000001</v>
          </cell>
          <cell r="R177">
            <v>0</v>
          </cell>
          <cell r="S177">
            <v>18.808665425000001</v>
          </cell>
        </row>
        <row r="178">
          <cell r="E178">
            <v>447</v>
          </cell>
          <cell r="I178">
            <v>59</v>
          </cell>
          <cell r="J178">
            <v>506</v>
          </cell>
          <cell r="N178">
            <v>64</v>
          </cell>
          <cell r="R178">
            <v>252</v>
          </cell>
          <cell r="S178">
            <v>316</v>
          </cell>
        </row>
        <row r="179">
          <cell r="E179">
            <v>138.41400000000002</v>
          </cell>
          <cell r="I179">
            <v>198.25150000000002</v>
          </cell>
          <cell r="J179">
            <v>336.66550000000007</v>
          </cell>
          <cell r="N179">
            <v>95.182070526000004</v>
          </cell>
          <cell r="R179">
            <v>181.31592567957478</v>
          </cell>
          <cell r="S179">
            <v>276.49799620557479</v>
          </cell>
        </row>
        <row r="180">
          <cell r="E180">
            <v>1301.6399999999999</v>
          </cell>
          <cell r="I180">
            <v>2318.65</v>
          </cell>
          <cell r="J180">
            <v>3620.29</v>
          </cell>
          <cell r="N180">
            <v>2253</v>
          </cell>
          <cell r="R180">
            <v>2018.52</v>
          </cell>
          <cell r="S180">
            <v>4271.5200000000004</v>
          </cell>
        </row>
        <row r="181">
          <cell r="E181">
            <v>0</v>
          </cell>
          <cell r="I181">
            <v>0</v>
          </cell>
          <cell r="J181">
            <v>0</v>
          </cell>
          <cell r="N181">
            <v>0</v>
          </cell>
          <cell r="R181">
            <v>0</v>
          </cell>
          <cell r="S181">
            <v>0</v>
          </cell>
        </row>
        <row r="182">
          <cell r="E182">
            <v>470.5745855892128</v>
          </cell>
          <cell r="I182">
            <v>152.9922</v>
          </cell>
          <cell r="J182">
            <v>623.56678558921283</v>
          </cell>
          <cell r="N182">
            <v>301.79999999999995</v>
          </cell>
          <cell r="R182">
            <v>9698.7400000000016</v>
          </cell>
          <cell r="S182">
            <v>10000.540000000001</v>
          </cell>
        </row>
        <row r="184">
          <cell r="E184">
            <v>-17151.90214099277</v>
          </cell>
          <cell r="I184">
            <v>8625.0108517090994</v>
          </cell>
          <cell r="J184">
            <v>-8526.891289283667</v>
          </cell>
          <cell r="N184">
            <v>-13297.431597237413</v>
          </cell>
          <cell r="R184">
            <v>-25435.381917300314</v>
          </cell>
          <cell r="S184">
            <v>-38732.813514537724</v>
          </cell>
        </row>
        <row r="186">
          <cell r="E186">
            <v>-6015.7447552821832</v>
          </cell>
          <cell r="I186">
            <v>2609.2660964269162</v>
          </cell>
          <cell r="J186">
            <v>2609.2660964269162</v>
          </cell>
          <cell r="N186">
            <v>-10688.165500810494</v>
          </cell>
          <cell r="R186">
            <v>-36123.547418110807</v>
          </cell>
          <cell r="S186">
            <v>-36123.5474181108</v>
          </cell>
        </row>
        <row r="194">
          <cell r="E194">
            <v>6015.7447552821832</v>
          </cell>
          <cell r="I194">
            <v>-2609.2660964269162</v>
          </cell>
          <cell r="J194">
            <v>-2609.2660964269162</v>
          </cell>
          <cell r="N194">
            <v>10688.165500810494</v>
          </cell>
          <cell r="R194">
            <v>36123.547418110807</v>
          </cell>
          <cell r="S194">
            <v>36123.5474181108</v>
          </cell>
        </row>
        <row r="197">
          <cell r="E197">
            <v>8420.7014238708471</v>
          </cell>
          <cell r="I197">
            <v>6063.9863512436477</v>
          </cell>
          <cell r="J197">
            <v>6063.9869077537151</v>
          </cell>
          <cell r="N197">
            <v>7949.444036734285</v>
          </cell>
          <cell r="R197">
            <v>22562.674562454318</v>
          </cell>
          <cell r="S197">
            <v>22562.674562454311</v>
          </cell>
        </row>
        <row r="198">
          <cell r="E198">
            <v>-2.4730001314310357E-5</v>
          </cell>
          <cell r="I198">
            <v>-2075.5352732679985</v>
          </cell>
          <cell r="J198">
            <v>-2075.5352732679985</v>
          </cell>
        </row>
        <row r="199">
          <cell r="E199">
            <v>8420.7019293899993</v>
          </cell>
          <cell r="I199">
            <v>8252.2635178700002</v>
          </cell>
          <cell r="J199">
            <v>8252.2635178700002</v>
          </cell>
        </row>
        <row r="202">
          <cell r="E202">
            <v>-2404.956668588663</v>
          </cell>
          <cell r="I202">
            <v>-8673.2524476705639</v>
          </cell>
          <cell r="J202">
            <v>-8673.2530041806313</v>
          </cell>
          <cell r="N202">
            <v>2738.721464076209</v>
          </cell>
          <cell r="R202">
            <v>13560.872855656491</v>
          </cell>
          <cell r="S202">
            <v>13560.872855656491</v>
          </cell>
        </row>
        <row r="206">
          <cell r="E206">
            <v>3100.7151836100011</v>
          </cell>
          <cell r="I206">
            <v>3753.0839271300001</v>
          </cell>
          <cell r="J206">
            <v>3753.0839271300001</v>
          </cell>
        </row>
        <row r="209">
          <cell r="I209">
            <v>-2609.2660964269162</v>
          </cell>
          <cell r="J209">
            <v>-2609.2660964269162</v>
          </cell>
        </row>
        <row r="210">
          <cell r="I210">
            <v>0</v>
          </cell>
          <cell r="J210">
            <v>0</v>
          </cell>
        </row>
        <row r="214">
          <cell r="R214">
            <v>-4.0199999999999996</v>
          </cell>
          <cell r="S214">
            <v>-4.0200000000000005</v>
          </cell>
        </row>
        <row r="226">
          <cell r="R226">
            <v>36123.547418110807</v>
          </cell>
        </row>
        <row r="248">
          <cell r="N248" t="e">
            <v>#DIV/0!</v>
          </cell>
          <cell r="R248">
            <v>2918.8430990931165</v>
          </cell>
          <cell r="S248">
            <v>6037.4009257125581</v>
          </cell>
        </row>
        <row r="250">
          <cell r="N250" t="e">
            <v>#DIV/0!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lorencia Calligaro" id="{A5F1D40D-2763-4C28-99FB-1B9F88C0D30B}" userId="6bde3957d8d2791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5" dT="2020-04-28T20:54:57.03" personId="{A5F1D40D-2763-4C28-99FB-1B9F88C0D30B}" id="{0D283D10-1CB4-465C-ACBC-0B7FD288FB48}">
    <text>TC 21/04/2020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637D-AD5F-4090-9ACD-7463883AAAE8}">
  <dimension ref="A1:H33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30.28515625" customWidth="1"/>
    <col min="2" max="8" width="8.7109375" customWidth="1"/>
  </cols>
  <sheetData>
    <row r="1" spans="1:8" s="177" customFormat="1" x14ac:dyDescent="0.2">
      <c r="A1" s="176" t="s">
        <v>109</v>
      </c>
    </row>
    <row r="2" spans="1:8" s="118" customFormat="1" ht="11.25" x14ac:dyDescent="0.15">
      <c r="A2" s="118" t="s">
        <v>0</v>
      </c>
    </row>
    <row r="4" spans="1:8" ht="24.75" customHeight="1" x14ac:dyDescent="0.25">
      <c r="A4" s="216" t="s">
        <v>1</v>
      </c>
      <c r="B4" s="216" t="s">
        <v>2</v>
      </c>
      <c r="C4" s="216" t="s">
        <v>3</v>
      </c>
      <c r="D4" s="216" t="s">
        <v>4</v>
      </c>
      <c r="E4" s="218" t="s">
        <v>119</v>
      </c>
      <c r="F4" s="219"/>
      <c r="G4" s="219"/>
      <c r="H4" s="219"/>
    </row>
    <row r="5" spans="1:8" x14ac:dyDescent="0.25">
      <c r="A5" s="217"/>
      <c r="B5" s="217"/>
      <c r="C5" s="217"/>
      <c r="D5" s="217"/>
      <c r="E5" s="1">
        <v>2020</v>
      </c>
      <c r="F5" s="1">
        <v>2021</v>
      </c>
      <c r="G5" s="1">
        <v>2022</v>
      </c>
      <c r="H5" s="1">
        <v>2023</v>
      </c>
    </row>
    <row r="6" spans="1:8" x14ac:dyDescent="0.25">
      <c r="A6" s="2" t="s">
        <v>5</v>
      </c>
      <c r="B6" s="2" t="s">
        <v>6</v>
      </c>
      <c r="C6" s="3" t="s">
        <v>7</v>
      </c>
      <c r="D6" s="4">
        <v>5393.6283739999999</v>
      </c>
      <c r="E6" s="4">
        <v>101.13053201249998</v>
      </c>
      <c r="F6" s="4">
        <v>202.26106402499997</v>
      </c>
      <c r="G6" s="4">
        <v>202.26106402499997</v>
      </c>
      <c r="H6" s="4">
        <v>202.26106402499997</v>
      </c>
    </row>
    <row r="7" spans="1:8" x14ac:dyDescent="0.25">
      <c r="A7" s="5" t="s">
        <v>8</v>
      </c>
      <c r="B7" s="5" t="s">
        <v>9</v>
      </c>
      <c r="C7" s="6" t="s">
        <v>10</v>
      </c>
      <c r="D7" s="7">
        <v>7027.7093670611166</v>
      </c>
      <c r="E7" s="7">
        <v>118.76828830745848</v>
      </c>
      <c r="F7" s="7">
        <v>237.53657661491695</v>
      </c>
      <c r="G7" s="7">
        <v>237.53657661491695</v>
      </c>
      <c r="H7" s="7">
        <v>237.53657661491695</v>
      </c>
    </row>
    <row r="8" spans="1:8" x14ac:dyDescent="0.25">
      <c r="A8" s="5" t="s">
        <v>11</v>
      </c>
      <c r="B8" s="5" t="s">
        <v>6</v>
      </c>
      <c r="C8" s="8">
        <v>8.2799999999999999E-2</v>
      </c>
      <c r="D8" s="7">
        <v>5565.291736449999</v>
      </c>
      <c r="E8" s="7">
        <v>460.80615577805992</v>
      </c>
      <c r="F8" s="7">
        <v>460.80615577805992</v>
      </c>
      <c r="G8" s="7">
        <v>460.80615577805992</v>
      </c>
      <c r="H8" s="7">
        <v>460.80615577805992</v>
      </c>
    </row>
    <row r="9" spans="1:8" x14ac:dyDescent="0.25">
      <c r="A9" s="9" t="s">
        <v>12</v>
      </c>
      <c r="B9" s="9" t="s">
        <v>9</v>
      </c>
      <c r="C9" s="10">
        <v>7.8200000000000006E-2</v>
      </c>
      <c r="D9" s="11">
        <v>6271.0715652697809</v>
      </c>
      <c r="E9" s="7">
        <v>490.39779639561391</v>
      </c>
      <c r="F9" s="7">
        <v>490.39779639561391</v>
      </c>
      <c r="G9" s="7">
        <v>490.39779639561391</v>
      </c>
      <c r="H9" s="7">
        <v>490.39779639561391</v>
      </c>
    </row>
    <row r="10" spans="1:8" x14ac:dyDescent="0.25">
      <c r="A10" s="220" t="s">
        <v>13</v>
      </c>
      <c r="B10" s="221"/>
      <c r="C10" s="222"/>
      <c r="D10" s="12">
        <f>+SUM(D6:D9)</f>
        <v>24257.701042780896</v>
      </c>
      <c r="E10" s="12">
        <v>1171.1027724936323</v>
      </c>
      <c r="F10" s="12">
        <v>1391.0015928135908</v>
      </c>
      <c r="G10" s="12">
        <v>1391.0015928135908</v>
      </c>
      <c r="H10" s="12">
        <v>1391.0015928135908</v>
      </c>
    </row>
    <row r="11" spans="1:8" x14ac:dyDescent="0.25">
      <c r="A11" s="2" t="s">
        <v>14</v>
      </c>
      <c r="B11" s="2" t="s">
        <v>15</v>
      </c>
      <c r="C11" s="13">
        <v>3.3750000000000002E-2</v>
      </c>
      <c r="D11" s="4">
        <v>412.58380608561112</v>
      </c>
      <c r="E11" s="7">
        <v>426.50850954100048</v>
      </c>
      <c r="F11" s="7">
        <v>0</v>
      </c>
      <c r="G11" s="7">
        <v>0</v>
      </c>
      <c r="H11" s="7">
        <v>0</v>
      </c>
    </row>
    <row r="12" spans="1:8" x14ac:dyDescent="0.25">
      <c r="A12" s="5" t="s">
        <v>16</v>
      </c>
      <c r="B12" s="5" t="s">
        <v>6</v>
      </c>
      <c r="C12" s="8">
        <v>6.8750000000000006E-2</v>
      </c>
      <c r="D12" s="7">
        <v>4500</v>
      </c>
      <c r="E12" s="7">
        <v>309.375</v>
      </c>
      <c r="F12" s="7">
        <v>4654.6875</v>
      </c>
      <c r="G12" s="7">
        <v>0</v>
      </c>
      <c r="H12" s="7">
        <v>0</v>
      </c>
    </row>
    <row r="13" spans="1:8" x14ac:dyDescent="0.25">
      <c r="A13" s="5" t="s">
        <v>17</v>
      </c>
      <c r="B13" s="5" t="s">
        <v>9</v>
      </c>
      <c r="C13" s="8">
        <v>3.875E-2</v>
      </c>
      <c r="D13" s="7">
        <v>1357.0730648138085</v>
      </c>
      <c r="E13" s="7">
        <v>0</v>
      </c>
      <c r="F13" s="7">
        <v>52.730654087504071</v>
      </c>
      <c r="G13" s="7">
        <v>1409.6596460753444</v>
      </c>
      <c r="H13" s="7">
        <v>0</v>
      </c>
    </row>
    <row r="14" spans="1:8" x14ac:dyDescent="0.25">
      <c r="A14" s="5" t="s">
        <v>18</v>
      </c>
      <c r="B14" s="5" t="s">
        <v>6</v>
      </c>
      <c r="C14" s="8">
        <v>5.6250000000000001E-2</v>
      </c>
      <c r="D14" s="7">
        <v>3250</v>
      </c>
      <c r="E14" s="7">
        <v>91.40625</v>
      </c>
      <c r="F14" s="7">
        <v>182.8125</v>
      </c>
      <c r="G14" s="7">
        <v>3341.40625</v>
      </c>
      <c r="H14" s="7">
        <v>0</v>
      </c>
    </row>
    <row r="15" spans="1:8" x14ac:dyDescent="0.25">
      <c r="A15" s="5" t="s">
        <v>19</v>
      </c>
      <c r="B15" s="5" t="s">
        <v>6</v>
      </c>
      <c r="C15" s="8">
        <v>4.6249999999999999E-2</v>
      </c>
      <c r="D15" s="7">
        <v>1750</v>
      </c>
      <c r="E15" s="7">
        <v>40.46875</v>
      </c>
      <c r="F15" s="7">
        <v>80.9375</v>
      </c>
      <c r="G15" s="7">
        <v>80.9375</v>
      </c>
      <c r="H15" s="7">
        <v>1790.46875</v>
      </c>
    </row>
    <row r="16" spans="1:8" x14ac:dyDescent="0.25">
      <c r="A16" s="5" t="s">
        <v>20</v>
      </c>
      <c r="B16" s="5" t="s">
        <v>9</v>
      </c>
      <c r="C16" s="8">
        <v>3.3750000000000002E-2</v>
      </c>
      <c r="D16" s="7">
        <v>1085.6584518510469</v>
      </c>
      <c r="E16" s="7">
        <v>0</v>
      </c>
      <c r="F16" s="7">
        <v>36.741358972967106</v>
      </c>
      <c r="G16" s="7">
        <v>36.64097274997286</v>
      </c>
      <c r="H16" s="7">
        <v>1122.2994246010205</v>
      </c>
    </row>
    <row r="17" spans="1:8" x14ac:dyDescent="0.25">
      <c r="A17" s="5" t="s">
        <v>21</v>
      </c>
      <c r="B17" s="5" t="s">
        <v>6</v>
      </c>
      <c r="C17" s="8">
        <v>7.4999999999999997E-2</v>
      </c>
      <c r="D17" s="7">
        <v>6500</v>
      </c>
      <c r="E17" s="7">
        <v>487.5</v>
      </c>
      <c r="F17" s="7">
        <v>487.5</v>
      </c>
      <c r="G17" s="7">
        <v>487.5</v>
      </c>
      <c r="H17" s="7">
        <v>487.5</v>
      </c>
    </row>
    <row r="18" spans="1:8" x14ac:dyDescent="0.25">
      <c r="A18" s="5" t="s">
        <v>22</v>
      </c>
      <c r="B18" s="5" t="s">
        <v>9</v>
      </c>
      <c r="C18" s="8">
        <v>0.05</v>
      </c>
      <c r="D18" s="7">
        <v>1357.0730648138085</v>
      </c>
      <c r="E18" s="7">
        <v>0</v>
      </c>
      <c r="F18" s="7">
        <v>68.039553664097284</v>
      </c>
      <c r="G18" s="7">
        <v>67.853653240690477</v>
      </c>
      <c r="H18" s="7">
        <v>67.853653240690477</v>
      </c>
    </row>
    <row r="19" spans="1:8" x14ac:dyDescent="0.25">
      <c r="A19" s="5" t="s">
        <v>23</v>
      </c>
      <c r="B19" s="5" t="s">
        <v>6</v>
      </c>
      <c r="C19" s="8">
        <v>6.8750000000000006E-2</v>
      </c>
      <c r="D19" s="7">
        <v>3750</v>
      </c>
      <c r="E19" s="7">
        <v>128.90625</v>
      </c>
      <c r="F19" s="7">
        <v>257.8125</v>
      </c>
      <c r="G19" s="7">
        <v>257.8125</v>
      </c>
      <c r="H19" s="7">
        <v>257.8125</v>
      </c>
    </row>
    <row r="20" spans="1:8" x14ac:dyDescent="0.25">
      <c r="A20" s="5" t="s">
        <v>24</v>
      </c>
      <c r="B20" s="5" t="s">
        <v>6</v>
      </c>
      <c r="C20" s="8">
        <v>5.8749999999999997E-2</v>
      </c>
      <c r="D20" s="7">
        <v>4250</v>
      </c>
      <c r="E20" s="7">
        <v>124.84375</v>
      </c>
      <c r="F20" s="7">
        <v>249.6875</v>
      </c>
      <c r="G20" s="7">
        <v>249.6875</v>
      </c>
      <c r="H20" s="7">
        <v>249.6875</v>
      </c>
    </row>
    <row r="21" spans="1:8" x14ac:dyDescent="0.25">
      <c r="A21" s="5" t="s">
        <v>25</v>
      </c>
      <c r="B21" s="5" t="s">
        <v>9</v>
      </c>
      <c r="C21" s="8">
        <v>5.2499999999999998E-2</v>
      </c>
      <c r="D21" s="7">
        <v>1085.6584518510469</v>
      </c>
      <c r="E21" s="7">
        <v>0</v>
      </c>
      <c r="F21" s="7">
        <v>57.153225078710236</v>
      </c>
      <c r="G21" s="7">
        <v>56.997068722180003</v>
      </c>
      <c r="H21" s="7">
        <v>56.997068722180003</v>
      </c>
    </row>
    <row r="22" spans="1:8" x14ac:dyDescent="0.25">
      <c r="A22" s="5" t="s">
        <v>24</v>
      </c>
      <c r="B22" s="5" t="s">
        <v>6</v>
      </c>
      <c r="C22" s="8">
        <v>6.6250000000000003E-2</v>
      </c>
      <c r="D22" s="7">
        <v>1000</v>
      </c>
      <c r="E22" s="7">
        <v>33.125</v>
      </c>
      <c r="F22" s="7">
        <v>66.25</v>
      </c>
      <c r="G22" s="7">
        <v>66.25</v>
      </c>
      <c r="H22" s="7">
        <v>66.25</v>
      </c>
    </row>
    <row r="23" spans="1:8" x14ac:dyDescent="0.25">
      <c r="A23" s="5" t="s">
        <v>26</v>
      </c>
      <c r="B23" s="5" t="s">
        <v>6</v>
      </c>
      <c r="C23" s="8">
        <v>7.1249999999999994E-2</v>
      </c>
      <c r="D23" s="7">
        <v>1750</v>
      </c>
      <c r="E23" s="7">
        <v>62.34375</v>
      </c>
      <c r="F23" s="7">
        <v>124.6875</v>
      </c>
      <c r="G23" s="7">
        <v>124.6875</v>
      </c>
      <c r="H23" s="7">
        <v>124.6875</v>
      </c>
    </row>
    <row r="24" spans="1:8" x14ac:dyDescent="0.25">
      <c r="A24" s="5" t="s">
        <v>27</v>
      </c>
      <c r="B24" s="5" t="s">
        <v>6</v>
      </c>
      <c r="C24" s="8">
        <v>7.6249999999999998E-2</v>
      </c>
      <c r="D24" s="7">
        <v>2750</v>
      </c>
      <c r="E24" s="7">
        <v>209.6875</v>
      </c>
      <c r="F24" s="7">
        <v>209.6875</v>
      </c>
      <c r="G24" s="7">
        <v>209.6875</v>
      </c>
      <c r="H24" s="7">
        <v>209.6875</v>
      </c>
    </row>
    <row r="25" spans="1:8" x14ac:dyDescent="0.25">
      <c r="A25" s="5" t="s">
        <v>28</v>
      </c>
      <c r="B25" s="5" t="s">
        <v>9</v>
      </c>
      <c r="C25" s="8">
        <v>6.25E-2</v>
      </c>
      <c r="D25" s="7">
        <v>814.24383888828515</v>
      </c>
      <c r="E25" s="7">
        <v>51.029665248072945</v>
      </c>
      <c r="F25" s="7">
        <v>50.890239930517858</v>
      </c>
      <c r="G25" s="7">
        <v>50.890239930517858</v>
      </c>
      <c r="H25" s="7">
        <v>50.890239930517858</v>
      </c>
    </row>
    <row r="26" spans="1:8" x14ac:dyDescent="0.25">
      <c r="A26" s="5" t="s">
        <v>29</v>
      </c>
      <c r="B26" s="5" t="s">
        <v>6</v>
      </c>
      <c r="C26" s="8">
        <v>6.8750000000000006E-2</v>
      </c>
      <c r="D26" s="7">
        <v>3000</v>
      </c>
      <c r="E26" s="7">
        <v>103.125</v>
      </c>
      <c r="F26" s="7">
        <v>206.25</v>
      </c>
      <c r="G26" s="7">
        <v>206.25</v>
      </c>
      <c r="H26" s="7">
        <v>206.25</v>
      </c>
    </row>
    <row r="27" spans="1:8" x14ac:dyDescent="0.25">
      <c r="A27" s="9" t="s">
        <v>30</v>
      </c>
      <c r="B27" s="9" t="s">
        <v>6</v>
      </c>
      <c r="C27" s="10">
        <v>7.1249999999999994E-2</v>
      </c>
      <c r="D27" s="11">
        <v>2750</v>
      </c>
      <c r="E27" s="7">
        <v>195.9375</v>
      </c>
      <c r="F27" s="7">
        <v>195.9375</v>
      </c>
      <c r="G27" s="7">
        <v>195.9375</v>
      </c>
      <c r="H27" s="7">
        <v>195.9375</v>
      </c>
    </row>
    <row r="28" spans="1:8" x14ac:dyDescent="0.25">
      <c r="A28" s="220" t="s">
        <v>31</v>
      </c>
      <c r="B28" s="221"/>
      <c r="C28" s="222"/>
      <c r="D28" s="12">
        <f>+SUM(D11:D27)</f>
        <v>41362.290678303609</v>
      </c>
      <c r="E28" s="12">
        <v>2264.2569247890733</v>
      </c>
      <c r="F28" s="12">
        <v>6981.8050317337966</v>
      </c>
      <c r="G28" s="12">
        <v>6842.1978307187064</v>
      </c>
      <c r="H28" s="12">
        <v>4886.3216364944083</v>
      </c>
    </row>
    <row r="29" spans="1:8" x14ac:dyDescent="0.25">
      <c r="A29" s="223" t="s">
        <v>32</v>
      </c>
      <c r="B29" s="224"/>
      <c r="C29" s="225"/>
      <c r="D29" s="14">
        <f>+D28+D10</f>
        <v>65619.991721084501</v>
      </c>
      <c r="E29" s="14">
        <v>3435.3596972827054</v>
      </c>
      <c r="F29" s="14">
        <v>8372.8066245473874</v>
      </c>
      <c r="G29" s="14">
        <v>8233.1994235322964</v>
      </c>
      <c r="H29" s="14">
        <v>6277.3232293079991</v>
      </c>
    </row>
    <row r="30" spans="1:8" x14ac:dyDescent="0.25">
      <c r="D30" s="15"/>
    </row>
    <row r="31" spans="1:8" s="118" customFormat="1" ht="11.25" x14ac:dyDescent="0.15">
      <c r="A31" s="118" t="s">
        <v>118</v>
      </c>
      <c r="D31" s="117"/>
    </row>
    <row r="32" spans="1:8" s="118" customFormat="1" ht="11.25" x14ac:dyDescent="0.15"/>
    <row r="33" s="118" customFormat="1" ht="11.25" x14ac:dyDescent="0.15"/>
  </sheetData>
  <mergeCells count="8">
    <mergeCell ref="D4:D5"/>
    <mergeCell ref="E4:H4"/>
    <mergeCell ref="A10:C10"/>
    <mergeCell ref="A28:C28"/>
    <mergeCell ref="A29:C29"/>
    <mergeCell ref="A4:A5"/>
    <mergeCell ref="B4:B5"/>
    <mergeCell ref="C4:C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10BD-A6A3-4513-8A0D-A40031B4CB8E}">
  <dimension ref="A1:BB94"/>
  <sheetViews>
    <sheetView showGridLines="0" zoomScaleNormal="100" workbookViewId="0"/>
  </sheetViews>
  <sheetFormatPr baseColWidth="10" defaultColWidth="11.42578125" defaultRowHeight="11.25" x14ac:dyDescent="0.25"/>
  <cols>
    <col min="1" max="1" width="34.28515625" style="16" customWidth="1"/>
    <col min="2" max="11" width="11.28515625" style="16" customWidth="1"/>
    <col min="12" max="12" width="4.7109375" style="16" customWidth="1"/>
    <col min="13" max="13" width="12.42578125" style="16" customWidth="1"/>
    <col min="14" max="14" width="12.28515625" style="16" customWidth="1"/>
    <col min="15" max="54" width="10" style="20" customWidth="1"/>
    <col min="55" max="16384" width="11.42578125" style="16"/>
  </cols>
  <sheetData>
    <row r="1" spans="1:19" s="182" customFormat="1" ht="15" x14ac:dyDescent="0.2">
      <c r="A1" s="177" t="s">
        <v>125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9" s="50" customFormat="1" x14ac:dyDescent="0.25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9" x14ac:dyDescent="0.25">
      <c r="A3" s="16" t="s">
        <v>36</v>
      </c>
    </row>
    <row r="4" spans="1:19" x14ac:dyDescent="0.15">
      <c r="A4" s="38"/>
      <c r="B4" s="38"/>
      <c r="C4" s="38"/>
      <c r="D4" s="38"/>
      <c r="E4" s="38"/>
      <c r="F4" s="38"/>
      <c r="G4" s="38"/>
      <c r="H4" s="38"/>
      <c r="I4" s="38"/>
    </row>
    <row r="5" spans="1:19" x14ac:dyDescent="0.25">
      <c r="A5" s="231" t="s">
        <v>67</v>
      </c>
      <c r="B5" s="231" t="s">
        <v>68</v>
      </c>
      <c r="C5" s="233" t="s">
        <v>34</v>
      </c>
      <c r="D5" s="234"/>
      <c r="E5" s="234"/>
      <c r="F5" s="234"/>
      <c r="G5" s="234"/>
      <c r="H5" s="234"/>
      <c r="I5" s="235"/>
    </row>
    <row r="6" spans="1:19" x14ac:dyDescent="0.25">
      <c r="A6" s="232"/>
      <c r="B6" s="232"/>
      <c r="C6" s="39">
        <v>0.08</v>
      </c>
      <c r="D6" s="40">
        <v>0.09</v>
      </c>
      <c r="E6" s="40">
        <v>0.1</v>
      </c>
      <c r="F6" s="40">
        <v>0.11</v>
      </c>
      <c r="G6" s="40">
        <v>0.12</v>
      </c>
      <c r="H6" s="40">
        <v>0.13</v>
      </c>
      <c r="I6" s="40">
        <v>0.14000000000000001</v>
      </c>
    </row>
    <row r="7" spans="1:19" x14ac:dyDescent="0.15">
      <c r="A7" s="41" t="s">
        <v>69</v>
      </c>
      <c r="B7" s="42">
        <v>88</v>
      </c>
      <c r="C7" s="43">
        <v>48.853342675378457</v>
      </c>
      <c r="D7" s="43">
        <v>45.283741656589356</v>
      </c>
      <c r="E7" s="43">
        <v>42.012126140577394</v>
      </c>
      <c r="F7" s="43">
        <v>39.010707653365117</v>
      </c>
      <c r="G7" s="43">
        <v>36.254547298567466</v>
      </c>
      <c r="H7" s="43">
        <v>33.721238216858382</v>
      </c>
      <c r="I7" s="43">
        <v>31.39062614365762</v>
      </c>
      <c r="M7" s="17" t="s">
        <v>33</v>
      </c>
      <c r="N7" s="18">
        <v>12</v>
      </c>
      <c r="O7" s="19">
        <v>1</v>
      </c>
      <c r="P7" s="16"/>
      <c r="Q7" s="16"/>
      <c r="R7" s="16"/>
      <c r="S7" s="16"/>
    </row>
    <row r="8" spans="1:19" x14ac:dyDescent="0.15">
      <c r="A8" s="41" t="s">
        <v>70</v>
      </c>
      <c r="B8" s="44">
        <v>82</v>
      </c>
      <c r="C8" s="43">
        <v>44.768497897435999</v>
      </c>
      <c r="D8" s="43">
        <v>41.492156048784501</v>
      </c>
      <c r="E8" s="43">
        <v>38.48953623568417</v>
      </c>
      <c r="F8" s="43">
        <v>35.73509826806653</v>
      </c>
      <c r="G8" s="43">
        <v>33.20592223081448</v>
      </c>
      <c r="H8" s="43">
        <v>30.881416369232031</v>
      </c>
      <c r="I8" s="43">
        <v>28.743060036215503</v>
      </c>
      <c r="M8" s="21" t="s">
        <v>35</v>
      </c>
      <c r="N8" s="16">
        <v>4</v>
      </c>
      <c r="O8" s="22">
        <v>3</v>
      </c>
      <c r="P8" s="16"/>
      <c r="Q8" s="16"/>
      <c r="R8" s="16"/>
      <c r="S8" s="16"/>
    </row>
    <row r="9" spans="1:19" x14ac:dyDescent="0.15">
      <c r="A9" s="41" t="s">
        <v>71</v>
      </c>
      <c r="B9" s="44">
        <v>95</v>
      </c>
      <c r="C9" s="43">
        <v>48.314581606851419</v>
      </c>
      <c r="D9" s="43">
        <v>43.173066128178043</v>
      </c>
      <c r="E9" s="43">
        <v>38.650951245983265</v>
      </c>
      <c r="F9" s="43">
        <v>34.666556228331096</v>
      </c>
      <c r="G9" s="43">
        <v>31.149790248628811</v>
      </c>
      <c r="H9" s="43">
        <v>28.040401323483216</v>
      </c>
      <c r="I9" s="43">
        <v>25.286504914854035</v>
      </c>
      <c r="M9" s="21" t="s">
        <v>37</v>
      </c>
      <c r="N9" s="16">
        <v>2</v>
      </c>
      <c r="O9" s="22">
        <v>6</v>
      </c>
      <c r="P9" s="16"/>
      <c r="Q9" s="16"/>
      <c r="R9" s="16"/>
      <c r="S9" s="16"/>
    </row>
    <row r="10" spans="1:19" x14ac:dyDescent="0.15">
      <c r="A10" s="41" t="s">
        <v>72</v>
      </c>
      <c r="B10" s="44">
        <v>95</v>
      </c>
      <c r="C10" s="43">
        <v>42.326145885936718</v>
      </c>
      <c r="D10" s="43">
        <v>37.63150384655345</v>
      </c>
      <c r="E10" s="43">
        <v>33.515216386574188</v>
      </c>
      <c r="F10" s="43">
        <v>29.899975593858496</v>
      </c>
      <c r="G10" s="43">
        <v>26.719541726157505</v>
      </c>
      <c r="H10" s="43">
        <v>23.917060346979213</v>
      </c>
      <c r="I10" s="43">
        <v>21.443649502636067</v>
      </c>
      <c r="M10" s="23" t="s">
        <v>38</v>
      </c>
      <c r="N10" s="24">
        <v>1</v>
      </c>
      <c r="O10" s="25">
        <v>12</v>
      </c>
      <c r="P10" s="16"/>
      <c r="Q10" s="16"/>
      <c r="R10" s="16"/>
    </row>
    <row r="11" spans="1:19" x14ac:dyDescent="0.15">
      <c r="A11" s="41" t="s">
        <v>73</v>
      </c>
      <c r="B11" s="44">
        <v>100</v>
      </c>
      <c r="C11" s="43">
        <v>54.251551351270422</v>
      </c>
      <c r="D11" s="43">
        <v>48.574270204669155</v>
      </c>
      <c r="E11" s="43">
        <v>43.590611932817076</v>
      </c>
      <c r="F11" s="43">
        <v>39.205619265092103</v>
      </c>
      <c r="G11" s="43">
        <v>35.338556000189605</v>
      </c>
      <c r="H11" s="43">
        <v>31.920613723293712</v>
      </c>
      <c r="I11" s="43">
        <v>28.893012284931476</v>
      </c>
    </row>
    <row r="12" spans="1:19" x14ac:dyDescent="0.15">
      <c r="A12" s="41" t="s">
        <v>74</v>
      </c>
      <c r="B12" s="44">
        <v>100</v>
      </c>
      <c r="C12" s="43">
        <v>47.339116111274372</v>
      </c>
      <c r="D12" s="43">
        <v>42.18093265839785</v>
      </c>
      <c r="E12" s="43">
        <v>37.668212572842315</v>
      </c>
      <c r="F12" s="43">
        <v>33.711253771317864</v>
      </c>
      <c r="G12" s="43">
        <v>30.233923089661786</v>
      </c>
      <c r="H12" s="43">
        <v>27.171452793306866</v>
      </c>
      <c r="I12" s="43">
        <v>24.468617381307606</v>
      </c>
    </row>
    <row r="13" spans="1:19" x14ac:dyDescent="0.15">
      <c r="A13" s="41" t="s">
        <v>75</v>
      </c>
      <c r="B13" s="44">
        <v>100</v>
      </c>
      <c r="C13" s="43">
        <v>53.594507419268204</v>
      </c>
      <c r="D13" s="43">
        <v>47.553101279614111</v>
      </c>
      <c r="E13" s="43">
        <v>42.327739243141082</v>
      </c>
      <c r="F13" s="43">
        <v>37.793629980395963</v>
      </c>
      <c r="G13" s="43">
        <v>33.846935947295023</v>
      </c>
      <c r="H13" s="43">
        <v>30.400982499718495</v>
      </c>
      <c r="I13" s="43">
        <v>27.383196558787297</v>
      </c>
    </row>
    <row r="14" spans="1:19" x14ac:dyDescent="0.15">
      <c r="A14" s="41" t="s">
        <v>76</v>
      </c>
      <c r="B14" s="44">
        <v>100</v>
      </c>
      <c r="C14" s="43">
        <v>46.026742390251442</v>
      </c>
      <c r="D14" s="43">
        <v>40.554637656413206</v>
      </c>
      <c r="E14" s="43">
        <v>35.84295621691777</v>
      </c>
      <c r="F14" s="43">
        <v>31.773474924818029</v>
      </c>
      <c r="G14" s="43">
        <v>28.248030576388913</v>
      </c>
      <c r="H14" s="43">
        <v>25.184864746639899</v>
      </c>
      <c r="I14" s="43">
        <v>22.515675691159291</v>
      </c>
    </row>
    <row r="15" spans="1:19" x14ac:dyDescent="0.15">
      <c r="A15" s="41" t="s">
        <v>77</v>
      </c>
      <c r="B15" s="44">
        <v>95</v>
      </c>
      <c r="C15" s="43">
        <v>49.54484436474695</v>
      </c>
      <c r="D15" s="43">
        <v>43.870766027240279</v>
      </c>
      <c r="E15" s="43">
        <v>38.991430516407974</v>
      </c>
      <c r="F15" s="43">
        <v>34.777968186876016</v>
      </c>
      <c r="G15" s="43">
        <v>31.124830050296506</v>
      </c>
      <c r="H15" s="43">
        <v>27.94519556870274</v>
      </c>
      <c r="I15" s="43">
        <v>25.167347358016738</v>
      </c>
    </row>
    <row r="16" spans="1:19" x14ac:dyDescent="0.15">
      <c r="A16" s="45" t="s">
        <v>78</v>
      </c>
      <c r="B16" s="46">
        <v>95</v>
      </c>
      <c r="C16" s="47">
        <v>42.772544785583847</v>
      </c>
      <c r="D16" s="47">
        <v>37.6898582895031</v>
      </c>
      <c r="E16" s="47">
        <v>33.335070715138066</v>
      </c>
      <c r="F16" s="47">
        <v>29.588403564438288</v>
      </c>
      <c r="G16" s="47">
        <v>26.351981860412518</v>
      </c>
      <c r="H16" s="47">
        <v>23.545486983801013</v>
      </c>
      <c r="I16" s="47">
        <v>21.102730447858541</v>
      </c>
    </row>
    <row r="18" spans="1:14" ht="22.5" customHeight="1" x14ac:dyDescent="0.25">
      <c r="A18" s="87" t="s">
        <v>91</v>
      </c>
      <c r="B18" s="186">
        <v>0.1</v>
      </c>
      <c r="C18" s="49"/>
    </row>
    <row r="20" spans="1:14" s="26" customFormat="1" ht="24.75" customHeight="1" x14ac:dyDescent="0.25">
      <c r="A20" s="82" t="s">
        <v>89</v>
      </c>
      <c r="B20" s="82" t="s">
        <v>79</v>
      </c>
      <c r="C20" s="82" t="s">
        <v>80</v>
      </c>
      <c r="D20" s="82" t="s">
        <v>81</v>
      </c>
      <c r="E20" s="82" t="s">
        <v>82</v>
      </c>
      <c r="F20" s="82" t="s">
        <v>83</v>
      </c>
      <c r="G20" s="82" t="s">
        <v>84</v>
      </c>
      <c r="H20" s="82" t="s">
        <v>85</v>
      </c>
      <c r="I20" s="82" t="s">
        <v>86</v>
      </c>
      <c r="J20" s="82" t="s">
        <v>87</v>
      </c>
      <c r="K20" s="82" t="s">
        <v>88</v>
      </c>
      <c r="M20" s="16"/>
    </row>
    <row r="21" spans="1:14" s="20" customFormat="1" x14ac:dyDescent="0.25">
      <c r="A21" s="83" t="s">
        <v>39</v>
      </c>
      <c r="B21" s="75">
        <v>43966</v>
      </c>
      <c r="C21" s="75">
        <f>+B21</f>
        <v>43966</v>
      </c>
      <c r="D21" s="75">
        <f t="shared" ref="D21:K21" si="0">+C21</f>
        <v>43966</v>
      </c>
      <c r="E21" s="75">
        <f t="shared" si="0"/>
        <v>43966</v>
      </c>
      <c r="F21" s="75">
        <f t="shared" si="0"/>
        <v>43966</v>
      </c>
      <c r="G21" s="75">
        <f t="shared" si="0"/>
        <v>43966</v>
      </c>
      <c r="H21" s="75">
        <f t="shared" si="0"/>
        <v>43966</v>
      </c>
      <c r="I21" s="75">
        <f t="shared" si="0"/>
        <v>43966</v>
      </c>
      <c r="J21" s="75">
        <f t="shared" si="0"/>
        <v>43966</v>
      </c>
      <c r="K21" s="75">
        <f t="shared" si="0"/>
        <v>43966</v>
      </c>
      <c r="L21" s="26"/>
      <c r="M21" s="16"/>
      <c r="N21" s="16"/>
    </row>
    <row r="22" spans="1:14" s="20" customFormat="1" x14ac:dyDescent="0.25">
      <c r="A22" s="83" t="s">
        <v>40</v>
      </c>
      <c r="B22" s="76">
        <v>47802</v>
      </c>
      <c r="C22" s="76">
        <v>47802</v>
      </c>
      <c r="D22" s="76">
        <v>49994</v>
      </c>
      <c r="E22" s="76">
        <v>49994</v>
      </c>
      <c r="F22" s="76">
        <v>51089</v>
      </c>
      <c r="G22" s="76">
        <v>51089</v>
      </c>
      <c r="H22" s="76">
        <v>52550</v>
      </c>
      <c r="I22" s="76">
        <v>52550</v>
      </c>
      <c r="J22" s="76">
        <v>54011</v>
      </c>
      <c r="K22" s="76">
        <v>54011</v>
      </c>
      <c r="L22" s="26"/>
      <c r="M22" s="16"/>
      <c r="N22" s="16"/>
    </row>
    <row r="23" spans="1:14" s="20" customFormat="1" x14ac:dyDescent="0.25">
      <c r="A23" s="83" t="s">
        <v>2</v>
      </c>
      <c r="B23" s="76" t="s">
        <v>6</v>
      </c>
      <c r="C23" s="76" t="s">
        <v>9</v>
      </c>
      <c r="D23" s="76" t="s">
        <v>6</v>
      </c>
      <c r="E23" s="76" t="s">
        <v>9</v>
      </c>
      <c r="F23" s="76" t="s">
        <v>6</v>
      </c>
      <c r="G23" s="76" t="s">
        <v>9</v>
      </c>
      <c r="H23" s="76" t="s">
        <v>6</v>
      </c>
      <c r="I23" s="76" t="s">
        <v>9</v>
      </c>
      <c r="J23" s="76" t="s">
        <v>6</v>
      </c>
      <c r="K23" s="76" t="s">
        <v>9</v>
      </c>
      <c r="L23" s="26"/>
      <c r="M23" s="16"/>
      <c r="N23" s="16"/>
    </row>
    <row r="24" spans="1:14" s="20" customFormat="1" x14ac:dyDescent="0.25">
      <c r="A24" s="83" t="s">
        <v>41</v>
      </c>
      <c r="B24" s="77">
        <f>+YEARFRAC(B21,B22)</f>
        <v>10.5</v>
      </c>
      <c r="C24" s="77">
        <f t="shared" ref="C24:K24" si="1">+YEARFRAC(C21,C22)</f>
        <v>10.5</v>
      </c>
      <c r="D24" s="77">
        <f t="shared" si="1"/>
        <v>16.5</v>
      </c>
      <c r="E24" s="77">
        <f t="shared" si="1"/>
        <v>16.5</v>
      </c>
      <c r="F24" s="77">
        <f t="shared" si="1"/>
        <v>19.5</v>
      </c>
      <c r="G24" s="77">
        <f t="shared" si="1"/>
        <v>19.5</v>
      </c>
      <c r="H24" s="77">
        <f t="shared" si="1"/>
        <v>23.5</v>
      </c>
      <c r="I24" s="77">
        <f t="shared" si="1"/>
        <v>23.5</v>
      </c>
      <c r="J24" s="77">
        <f t="shared" si="1"/>
        <v>27.5</v>
      </c>
      <c r="K24" s="77">
        <f t="shared" si="1"/>
        <v>27.5</v>
      </c>
      <c r="L24" s="26"/>
      <c r="M24" s="16"/>
      <c r="N24" s="16"/>
    </row>
    <row r="25" spans="1:14" s="20" customFormat="1" x14ac:dyDescent="0.25">
      <c r="A25" s="83" t="s">
        <v>42</v>
      </c>
      <c r="B25" s="77">
        <f>+YEARFRAC(B21,B26)</f>
        <v>2.5</v>
      </c>
      <c r="C25" s="77">
        <f t="shared" ref="C25:K25" si="2">+YEARFRAC(C21,C26)</f>
        <v>2.5</v>
      </c>
      <c r="D25" s="77">
        <f t="shared" si="2"/>
        <v>2.5</v>
      </c>
      <c r="E25" s="77">
        <f t="shared" si="2"/>
        <v>2.5</v>
      </c>
      <c r="F25" s="77">
        <f t="shared" si="2"/>
        <v>2.5</v>
      </c>
      <c r="G25" s="77">
        <f t="shared" si="2"/>
        <v>2.5</v>
      </c>
      <c r="H25" s="77">
        <f t="shared" si="2"/>
        <v>2.5</v>
      </c>
      <c r="I25" s="77">
        <f t="shared" si="2"/>
        <v>2.5</v>
      </c>
      <c r="J25" s="77">
        <f t="shared" si="2"/>
        <v>2.5</v>
      </c>
      <c r="K25" s="77">
        <f t="shared" si="2"/>
        <v>2.5</v>
      </c>
      <c r="L25" s="26"/>
      <c r="M25" s="16"/>
      <c r="N25" s="16"/>
    </row>
    <row r="26" spans="1:14" s="20" customFormat="1" x14ac:dyDescent="0.25">
      <c r="A26" s="83" t="s">
        <v>43</v>
      </c>
      <c r="B26" s="76">
        <v>44880</v>
      </c>
      <c r="C26" s="76">
        <v>44880</v>
      </c>
      <c r="D26" s="76">
        <v>44880</v>
      </c>
      <c r="E26" s="76">
        <v>44880</v>
      </c>
      <c r="F26" s="76">
        <v>44880</v>
      </c>
      <c r="G26" s="76">
        <v>44880</v>
      </c>
      <c r="H26" s="76">
        <v>44880</v>
      </c>
      <c r="I26" s="76">
        <v>44880</v>
      </c>
      <c r="J26" s="76">
        <v>44880</v>
      </c>
      <c r="K26" s="76">
        <v>44880</v>
      </c>
      <c r="L26" s="26"/>
      <c r="M26" s="16"/>
      <c r="N26" s="16"/>
    </row>
    <row r="27" spans="1:14" s="20" customFormat="1" x14ac:dyDescent="0.25">
      <c r="A27" s="83" t="s">
        <v>44</v>
      </c>
      <c r="B27" s="76">
        <f t="shared" ref="B27:K27" si="3">DATE(YEAR(B$26),MONTH(B$26)+VLOOKUP(B$28,$M$7:$O$10,3,0),DAY(B$26))</f>
        <v>45061</v>
      </c>
      <c r="C27" s="76">
        <f t="shared" si="3"/>
        <v>45245</v>
      </c>
      <c r="D27" s="76">
        <f t="shared" si="3"/>
        <v>45061</v>
      </c>
      <c r="E27" s="76">
        <f t="shared" si="3"/>
        <v>45245</v>
      </c>
      <c r="F27" s="76">
        <f t="shared" si="3"/>
        <v>45061</v>
      </c>
      <c r="G27" s="76">
        <f t="shared" si="3"/>
        <v>45245</v>
      </c>
      <c r="H27" s="76">
        <f t="shared" si="3"/>
        <v>45061</v>
      </c>
      <c r="I27" s="76">
        <f t="shared" si="3"/>
        <v>45245</v>
      </c>
      <c r="J27" s="76">
        <f t="shared" si="3"/>
        <v>45061</v>
      </c>
      <c r="K27" s="76">
        <f t="shared" si="3"/>
        <v>45245</v>
      </c>
      <c r="L27" s="26"/>
      <c r="M27" s="16"/>
      <c r="N27" s="16"/>
    </row>
    <row r="28" spans="1:14" s="20" customFormat="1" x14ac:dyDescent="0.25">
      <c r="A28" s="83" t="s">
        <v>45</v>
      </c>
      <c r="B28" s="78" t="s">
        <v>37</v>
      </c>
      <c r="C28" s="78" t="s">
        <v>38</v>
      </c>
      <c r="D28" s="78" t="s">
        <v>37</v>
      </c>
      <c r="E28" s="78" t="s">
        <v>38</v>
      </c>
      <c r="F28" s="78" t="s">
        <v>37</v>
      </c>
      <c r="G28" s="78" t="s">
        <v>38</v>
      </c>
      <c r="H28" s="78" t="s">
        <v>37</v>
      </c>
      <c r="I28" s="78" t="s">
        <v>38</v>
      </c>
      <c r="J28" s="78" t="s">
        <v>37</v>
      </c>
      <c r="K28" s="78" t="s">
        <v>38</v>
      </c>
      <c r="L28" s="26"/>
      <c r="M28" s="16"/>
      <c r="N28" s="16"/>
    </row>
    <row r="29" spans="1:14" s="20" customFormat="1" x14ac:dyDescent="0.25">
      <c r="A29" s="83" t="s">
        <v>46</v>
      </c>
      <c r="B29" s="79">
        <v>5</v>
      </c>
      <c r="C29" s="79">
        <v>5</v>
      </c>
      <c r="D29" s="79">
        <v>6</v>
      </c>
      <c r="E29" s="79">
        <v>6</v>
      </c>
      <c r="F29" s="79">
        <v>11</v>
      </c>
      <c r="G29" s="79">
        <v>11</v>
      </c>
      <c r="H29" s="79">
        <v>14</v>
      </c>
      <c r="I29" s="79">
        <v>14</v>
      </c>
      <c r="J29" s="79">
        <v>20</v>
      </c>
      <c r="K29" s="79">
        <v>20</v>
      </c>
      <c r="L29" s="26"/>
      <c r="M29" s="16"/>
      <c r="N29" s="16"/>
    </row>
    <row r="30" spans="1:14" s="20" customFormat="1" x14ac:dyDescent="0.25">
      <c r="A30" s="83" t="s">
        <v>47</v>
      </c>
      <c r="B30" s="80">
        <f t="shared" ref="B30:K30" si="4">DATE(YEAR(B$22)-B$29+1,MONTH(B$22),DAY(B$22))</f>
        <v>46341</v>
      </c>
      <c r="C30" s="80">
        <f t="shared" si="4"/>
        <v>46341</v>
      </c>
      <c r="D30" s="80">
        <f t="shared" si="4"/>
        <v>48167</v>
      </c>
      <c r="E30" s="80">
        <f t="shared" si="4"/>
        <v>48167</v>
      </c>
      <c r="F30" s="80">
        <f t="shared" si="4"/>
        <v>47437</v>
      </c>
      <c r="G30" s="80">
        <f t="shared" si="4"/>
        <v>47437</v>
      </c>
      <c r="H30" s="80">
        <f t="shared" si="4"/>
        <v>47802</v>
      </c>
      <c r="I30" s="80">
        <f t="shared" si="4"/>
        <v>47802</v>
      </c>
      <c r="J30" s="80">
        <f t="shared" si="4"/>
        <v>47072</v>
      </c>
      <c r="K30" s="80">
        <f t="shared" si="4"/>
        <v>47072</v>
      </c>
      <c r="L30" s="26"/>
      <c r="M30" s="16"/>
      <c r="N30" s="16"/>
    </row>
    <row r="31" spans="1:14" s="20" customFormat="1" x14ac:dyDescent="0.25">
      <c r="A31" s="84" t="s">
        <v>117</v>
      </c>
      <c r="B31" s="81">
        <v>88</v>
      </c>
      <c r="C31" s="81">
        <v>82</v>
      </c>
      <c r="D31" s="81">
        <v>95</v>
      </c>
      <c r="E31" s="81">
        <v>95</v>
      </c>
      <c r="F31" s="81">
        <v>100</v>
      </c>
      <c r="G31" s="81">
        <v>100</v>
      </c>
      <c r="H31" s="81">
        <v>100</v>
      </c>
      <c r="I31" s="81">
        <v>100</v>
      </c>
      <c r="J31" s="81">
        <v>95</v>
      </c>
      <c r="K31" s="81">
        <v>95</v>
      </c>
      <c r="L31" s="26"/>
      <c r="M31" s="16"/>
      <c r="N31" s="16"/>
    </row>
    <row r="32" spans="1:14" s="20" customFormat="1" ht="27" customHeight="1" x14ac:dyDescent="0.25">
      <c r="A32" s="48" t="s">
        <v>48</v>
      </c>
      <c r="B32" s="86">
        <f>$Q$94</f>
        <v>42.012126140577394</v>
      </c>
      <c r="C32" s="86">
        <f>$U$94</f>
        <v>38.48953623568417</v>
      </c>
      <c r="D32" s="86">
        <f>$Y$94</f>
        <v>38.650951245983265</v>
      </c>
      <c r="E32" s="86">
        <f>$AC$94</f>
        <v>33.515216386574188</v>
      </c>
      <c r="F32" s="86">
        <f>$AG$94</f>
        <v>43.590611932817076</v>
      </c>
      <c r="G32" s="86">
        <f>$AK$94</f>
        <v>37.668212572842315</v>
      </c>
      <c r="H32" s="86">
        <f>$AO$94</f>
        <v>42.327739243141082</v>
      </c>
      <c r="I32" s="86">
        <f>$AS$94</f>
        <v>35.84295621691777</v>
      </c>
      <c r="J32" s="86">
        <f>$AW$94</f>
        <v>38.991430516407974</v>
      </c>
      <c r="K32" s="86">
        <f>$BA$94</f>
        <v>33.335070715138066</v>
      </c>
      <c r="L32" s="16"/>
      <c r="M32" s="16"/>
      <c r="N32" s="16"/>
    </row>
    <row r="33" spans="1:53" s="20" customFormat="1" ht="13.5" customHeight="1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16"/>
      <c r="M33" s="16"/>
      <c r="N33" s="16"/>
    </row>
    <row r="34" spans="1:53" s="50" customFormat="1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53" s="50" customFormat="1" x14ac:dyDescent="0.25">
      <c r="A35" s="52"/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1"/>
      <c r="M35" s="51"/>
      <c r="N35" s="236" t="s">
        <v>49</v>
      </c>
      <c r="O35" s="226"/>
      <c r="P35" s="226"/>
      <c r="Q35" s="227"/>
      <c r="R35" s="226" t="s">
        <v>50</v>
      </c>
      <c r="S35" s="226"/>
      <c r="T35" s="226"/>
      <c r="U35" s="227"/>
      <c r="V35" s="226" t="s">
        <v>51</v>
      </c>
      <c r="W35" s="226"/>
      <c r="X35" s="226"/>
      <c r="Y35" s="227"/>
      <c r="Z35" s="226" t="s">
        <v>52</v>
      </c>
      <c r="AA35" s="226"/>
      <c r="AB35" s="226"/>
      <c r="AC35" s="227"/>
      <c r="AD35" s="226" t="s">
        <v>53</v>
      </c>
      <c r="AE35" s="226"/>
      <c r="AF35" s="226"/>
      <c r="AG35" s="227"/>
      <c r="AH35" s="226" t="s">
        <v>54</v>
      </c>
      <c r="AI35" s="226"/>
      <c r="AJ35" s="226"/>
      <c r="AK35" s="227"/>
      <c r="AL35" s="226" t="s">
        <v>55</v>
      </c>
      <c r="AM35" s="226"/>
      <c r="AN35" s="226"/>
      <c r="AO35" s="227"/>
      <c r="AP35" s="226" t="s">
        <v>56</v>
      </c>
      <c r="AQ35" s="226"/>
      <c r="AR35" s="226"/>
      <c r="AS35" s="227"/>
      <c r="AT35" s="226" t="s">
        <v>57</v>
      </c>
      <c r="AU35" s="226"/>
      <c r="AV35" s="226"/>
      <c r="AW35" s="227"/>
      <c r="AX35" s="226" t="s">
        <v>58</v>
      </c>
      <c r="AY35" s="226"/>
      <c r="AZ35" s="226"/>
      <c r="BA35" s="227"/>
    </row>
    <row r="36" spans="1:53" s="59" customFormat="1" ht="22.5" x14ac:dyDescent="0.25">
      <c r="A36" s="54" t="s">
        <v>59</v>
      </c>
      <c r="B36" s="228" t="s">
        <v>60</v>
      </c>
      <c r="C36" s="229"/>
      <c r="D36" s="229"/>
      <c r="E36" s="229"/>
      <c r="F36" s="229"/>
      <c r="G36" s="229"/>
      <c r="H36" s="229"/>
      <c r="I36" s="229"/>
      <c r="J36" s="229"/>
      <c r="K36" s="230"/>
      <c r="L36" s="55"/>
      <c r="M36" s="56" t="s">
        <v>61</v>
      </c>
      <c r="N36" s="56" t="s">
        <v>62</v>
      </c>
      <c r="O36" s="57" t="s">
        <v>63</v>
      </c>
      <c r="P36" s="57" t="s">
        <v>64</v>
      </c>
      <c r="Q36" s="58" t="s">
        <v>65</v>
      </c>
      <c r="R36" s="56" t="s">
        <v>62</v>
      </c>
      <c r="S36" s="57" t="s">
        <v>63</v>
      </c>
      <c r="T36" s="57" t="s">
        <v>64</v>
      </c>
      <c r="U36" s="58" t="s">
        <v>65</v>
      </c>
      <c r="V36" s="56" t="s">
        <v>62</v>
      </c>
      <c r="W36" s="57" t="s">
        <v>63</v>
      </c>
      <c r="X36" s="57" t="s">
        <v>64</v>
      </c>
      <c r="Y36" s="58" t="s">
        <v>65</v>
      </c>
      <c r="Z36" s="56" t="s">
        <v>62</v>
      </c>
      <c r="AA36" s="57" t="s">
        <v>63</v>
      </c>
      <c r="AB36" s="57" t="s">
        <v>64</v>
      </c>
      <c r="AC36" s="58" t="s">
        <v>65</v>
      </c>
      <c r="AD36" s="56" t="s">
        <v>62</v>
      </c>
      <c r="AE36" s="57" t="s">
        <v>63</v>
      </c>
      <c r="AF36" s="57" t="s">
        <v>64</v>
      </c>
      <c r="AG36" s="58" t="s">
        <v>65</v>
      </c>
      <c r="AH36" s="56" t="s">
        <v>62</v>
      </c>
      <c r="AI36" s="57" t="s">
        <v>63</v>
      </c>
      <c r="AJ36" s="57" t="s">
        <v>64</v>
      </c>
      <c r="AK36" s="58" t="s">
        <v>65</v>
      </c>
      <c r="AL36" s="56" t="s">
        <v>62</v>
      </c>
      <c r="AM36" s="57" t="s">
        <v>63</v>
      </c>
      <c r="AN36" s="57" t="s">
        <v>64</v>
      </c>
      <c r="AO36" s="58" t="s">
        <v>65</v>
      </c>
      <c r="AP36" s="56" t="s">
        <v>62</v>
      </c>
      <c r="AQ36" s="57" t="s">
        <v>63</v>
      </c>
      <c r="AR36" s="57" t="s">
        <v>64</v>
      </c>
      <c r="AS36" s="58" t="s">
        <v>65</v>
      </c>
      <c r="AT36" s="56" t="s">
        <v>62</v>
      </c>
      <c r="AU36" s="57" t="s">
        <v>63</v>
      </c>
      <c r="AV36" s="57" t="s">
        <v>64</v>
      </c>
      <c r="AW36" s="58" t="s">
        <v>65</v>
      </c>
      <c r="AX36" s="56" t="s">
        <v>62</v>
      </c>
      <c r="AY36" s="57" t="s">
        <v>63</v>
      </c>
      <c r="AZ36" s="57" t="s">
        <v>64</v>
      </c>
      <c r="BA36" s="58" t="s">
        <v>65</v>
      </c>
    </row>
    <row r="37" spans="1:53" s="50" customFormat="1" x14ac:dyDescent="0.25">
      <c r="A37" s="60">
        <f>+B21</f>
        <v>43966</v>
      </c>
      <c r="B37" s="61"/>
      <c r="C37" s="62"/>
      <c r="D37" s="62"/>
      <c r="E37" s="62"/>
      <c r="F37" s="62"/>
      <c r="G37" s="62"/>
      <c r="H37" s="62"/>
      <c r="I37" s="62"/>
      <c r="J37" s="62"/>
      <c r="K37" s="63"/>
      <c r="L37" s="51"/>
      <c r="M37" s="64">
        <f>+B21</f>
        <v>43966</v>
      </c>
      <c r="N37" s="65"/>
      <c r="O37" s="66"/>
      <c r="P37" s="66"/>
      <c r="Q37" s="67"/>
      <c r="R37" s="66"/>
      <c r="S37" s="66"/>
      <c r="T37" s="66"/>
      <c r="U37" s="67"/>
      <c r="V37" s="66"/>
      <c r="W37" s="66"/>
      <c r="X37" s="66"/>
      <c r="Y37" s="67"/>
      <c r="Z37" s="66"/>
      <c r="AA37" s="66"/>
      <c r="AB37" s="66"/>
      <c r="AC37" s="67"/>
      <c r="AD37" s="66"/>
      <c r="AE37" s="66"/>
      <c r="AF37" s="66"/>
      <c r="AG37" s="67"/>
      <c r="AH37" s="66"/>
      <c r="AI37" s="66"/>
      <c r="AJ37" s="66"/>
      <c r="AK37" s="67"/>
      <c r="AL37" s="66"/>
      <c r="AM37" s="66"/>
      <c r="AN37" s="66"/>
      <c r="AO37" s="67"/>
      <c r="AP37" s="66"/>
      <c r="AQ37" s="66"/>
      <c r="AR37" s="66"/>
      <c r="AS37" s="67"/>
      <c r="AT37" s="66"/>
      <c r="AU37" s="66"/>
      <c r="AV37" s="66"/>
      <c r="AW37" s="67"/>
      <c r="AX37" s="66"/>
      <c r="AY37" s="66"/>
      <c r="AZ37" s="66"/>
      <c r="BA37" s="67"/>
    </row>
    <row r="38" spans="1:53" s="50" customFormat="1" x14ac:dyDescent="0.25">
      <c r="A38" s="60">
        <f t="shared" ref="A38:A69" si="5">DATE(YEAR(A37),MONTH(A37)+VLOOKUP($B$28,$M$7:$O$10,3,0),DAY(A37))</f>
        <v>44150</v>
      </c>
      <c r="B38" s="61"/>
      <c r="C38" s="62"/>
      <c r="D38" s="62"/>
      <c r="E38" s="62"/>
      <c r="F38" s="62"/>
      <c r="G38" s="62"/>
      <c r="H38" s="62"/>
      <c r="I38" s="62"/>
      <c r="J38" s="62"/>
      <c r="K38" s="63"/>
      <c r="L38" s="51"/>
      <c r="M38" s="64">
        <f t="shared" ref="M38:M69" si="6">+DATE(YEAR(M37),MONTH(M37)+VLOOKUP(B$28,$M$7:$O$10,3,0),DAY(M37))</f>
        <v>44150</v>
      </c>
      <c r="N38" s="65"/>
      <c r="O38" s="66"/>
      <c r="P38" s="66"/>
      <c r="Q38" s="67"/>
      <c r="R38" s="66"/>
      <c r="S38" s="66"/>
      <c r="T38" s="66"/>
      <c r="U38" s="67"/>
      <c r="V38" s="66"/>
      <c r="W38" s="66"/>
      <c r="X38" s="66"/>
      <c r="Y38" s="67"/>
      <c r="Z38" s="66"/>
      <c r="AA38" s="66"/>
      <c r="AB38" s="66"/>
      <c r="AC38" s="67"/>
      <c r="AD38" s="66"/>
      <c r="AE38" s="66"/>
      <c r="AF38" s="66"/>
      <c r="AG38" s="67"/>
      <c r="AH38" s="66"/>
      <c r="AI38" s="66"/>
      <c r="AJ38" s="66"/>
      <c r="AK38" s="67"/>
      <c r="AL38" s="66"/>
      <c r="AM38" s="66"/>
      <c r="AN38" s="66"/>
      <c r="AO38" s="67"/>
      <c r="AP38" s="66"/>
      <c r="AQ38" s="66"/>
      <c r="AR38" s="66"/>
      <c r="AS38" s="67"/>
      <c r="AT38" s="66"/>
      <c r="AU38" s="66"/>
      <c r="AV38" s="66"/>
      <c r="AW38" s="67"/>
      <c r="AX38" s="66"/>
      <c r="AY38" s="66"/>
      <c r="AZ38" s="66"/>
      <c r="BA38" s="67"/>
    </row>
    <row r="39" spans="1:53" s="50" customFormat="1" x14ac:dyDescent="0.25">
      <c r="A39" s="60">
        <f t="shared" si="5"/>
        <v>44331</v>
      </c>
      <c r="B39" s="61"/>
      <c r="C39" s="62"/>
      <c r="D39" s="62"/>
      <c r="E39" s="62"/>
      <c r="F39" s="62"/>
      <c r="G39" s="62"/>
      <c r="H39" s="62"/>
      <c r="I39" s="62"/>
      <c r="J39" s="62"/>
      <c r="K39" s="63"/>
      <c r="L39" s="51"/>
      <c r="M39" s="64">
        <f t="shared" si="6"/>
        <v>44331</v>
      </c>
      <c r="N39" s="65">
        <f t="shared" ref="N39:N58" si="7">+IF($M39&gt;B$22,"FIN",IF($M39&lt;B$30,B$31*VLOOKUP($M39,$A:$L,2,0)/VLOOKUP(B$28,$M$7:$O$10,2,0),(B$31-B$31/B$29*(B$29-(YEAR(B$22)-YEAR($M39)+1)))*VLOOKUP($M39,$A:$L,2,0)/VLOOKUP(B$28,$M$7:$O$10,2,0)))</f>
        <v>0</v>
      </c>
      <c r="O39" s="66">
        <f t="shared" ref="O39:O58" si="8">+IF($M39&gt;B$22,"FIN",IF($M39&lt;=B$22,IFERROR(IF($M39&lt;B$30,0,IF(MONTH($M39)=MONTH(B$30),B$31/B$29,0)),0),0))</f>
        <v>0</v>
      </c>
      <c r="P39" s="66">
        <f>+SUM(N39:O39)</f>
        <v>0</v>
      </c>
      <c r="Q39" s="67">
        <f>+IF($M39&gt;B$22,"FIN",(N39+O39)/(1+(B$35/VLOOKUP(B$28,$M$7:$O$10,2,0)))^((YEAR($M39)-YEAR($M$37))*VLOOKUP(B$28,$M$7:$O$10,2,0)))</f>
        <v>0</v>
      </c>
      <c r="R39" s="66"/>
      <c r="S39" s="66"/>
      <c r="T39" s="66"/>
      <c r="U39" s="67"/>
      <c r="V39" s="66">
        <f t="shared" ref="V39:V70" si="9">+IF($M39&gt;D$22,"FIN",IF($M39&lt;D$30,D$31*VLOOKUP($M39,$A:$L,4,0)/VLOOKUP(D$28,$M$7:$O$10,2,0),(D$31-D$31/D$29*(D$29-(YEAR(D$22)-YEAR($M39)+1)))*VLOOKUP($M39,$A:$L,4,0)/VLOOKUP(D$28,$M$7:$O$10,2,0)))</f>
        <v>0</v>
      </c>
      <c r="W39" s="66">
        <f t="shared" ref="W39:W70" si="10">+IF($M39&gt;D$22,"FIN",IF($M39&lt;=D$22,IFERROR(IF($M39&lt;D$30,0,IF(MONTH($M39)=MONTH(D$30),D$31/D$29,0)),0),0))</f>
        <v>0</v>
      </c>
      <c r="X39" s="66"/>
      <c r="Y39" s="67">
        <f>+IF($M39&gt;D$22,"FIN",(V39+W39)/(1+(D$35/VLOOKUP(D$28,$M$7:$O$10,2,0)))^((YEAR($M39)-YEAR($M$37))*VLOOKUP(D$28,$M$7:$O$10,2,0)))</f>
        <v>0</v>
      </c>
      <c r="Z39" s="66"/>
      <c r="AA39" s="66"/>
      <c r="AB39" s="66"/>
      <c r="AC39" s="67"/>
      <c r="AD39" s="66">
        <f t="shared" ref="AD39:AD76" si="11">+IF($M39&gt;F$22,"FIN",IF($M39&lt;F$30,F$31*VLOOKUP($M39,$A:$L,6,0)/VLOOKUP(F$28,$M$7:$O$10,2,0),(F$31-F$31/F$29*(F$29-(YEAR(F$22)-YEAR($M39)+1)))*VLOOKUP($M39,$A:$L,6,0)/VLOOKUP(F$28,$M$7:$O$10,2,0)))</f>
        <v>0</v>
      </c>
      <c r="AE39" s="66">
        <f t="shared" ref="AE39:AE76" si="12">+IF($M39&gt;F$22,"FIN",IF($M39&lt;=F$22,IFERROR(IF($M39&lt;F$30,0,IF(MONTH($M39)=MONTH(F$30),F$31/F$29,0)),0),0))</f>
        <v>0</v>
      </c>
      <c r="AF39" s="66"/>
      <c r="AG39" s="67">
        <f>+IF($M39&gt;F$22,"FIN",(AD39+AE39)/(1+(F$35/VLOOKUP(F$28,$M$7:$O$10,2,0)))^((YEAR($M39)-YEAR($M$37))*VLOOKUP(F$28,$M$7:$O$10,2,0)))</f>
        <v>0</v>
      </c>
      <c r="AH39" s="66"/>
      <c r="AI39" s="66"/>
      <c r="AJ39" s="66"/>
      <c r="AK39" s="67"/>
      <c r="AL39" s="66">
        <f t="shared" ref="AL39:AL84" si="13">+IF($M39&gt;H$22,"FIN",IF($M39&lt;H$30,H$31*VLOOKUP($M39,$A:$L,8,0)/VLOOKUP(H$28,$M$7:$O$10,2,0),(H$31-H$31/H$29*(H$29-(YEAR(H$22)-YEAR($M39)+1)))*VLOOKUP($M39,$A:$L,8,0)/VLOOKUP(H$28,$M$7:$O$10,2,0)))</f>
        <v>0</v>
      </c>
      <c r="AM39" s="66">
        <f t="shared" ref="AM39:AM84" si="14">+IF($M39&gt;H$22,"FIN",IF($M39&lt;=H$22,IFERROR(IF($M39&lt;H$30,0,IF(MONTH($M39)=MONTH(H$30),H$31/H$29,0)),0),0))</f>
        <v>0</v>
      </c>
      <c r="AN39" s="66"/>
      <c r="AO39" s="67">
        <f>+IF($M39&gt;H$22,"FIN",(AL39+AM39)/(1+(H$35/VLOOKUP(H$28,$M$7:$O$10,2,0)))^((YEAR($M39)-YEAR($M$37))*VLOOKUP(H$28,$M$7:$O$10,2,0)))</f>
        <v>0</v>
      </c>
      <c r="AP39" s="66"/>
      <c r="AQ39" s="66"/>
      <c r="AR39" s="66"/>
      <c r="AS39" s="67"/>
      <c r="AT39" s="66">
        <f t="shared" ref="AT39:AT70" si="15">+IF($M39&gt;J$22,"FIN",IF($M39&lt;J$30,J$31*VLOOKUP($M39,$A:$L,10,0)/VLOOKUP(J$28,$M$7:$O$10,2,0),(J$31-J$31/J$29*(J$29-(YEAR(J$22)-YEAR($M39)+1)))*VLOOKUP($M39,$A:$L,10,0)/VLOOKUP(J$28,$M$7:$O$10,2,0)))</f>
        <v>0</v>
      </c>
      <c r="AU39" s="66">
        <f t="shared" ref="AU39:AU70" si="16">+IF($M39&gt;J$22,"FIN",IF($M39&lt;=J$22,IFERROR(IF($M39&lt;J$30,0,IF(MONTH($M39)=MONTH(J$30),J$31/J$29,0)),0),0))</f>
        <v>0</v>
      </c>
      <c r="AV39" s="66"/>
      <c r="AW39" s="67">
        <f>+IF($M39&gt;K$22,"FIN",(AT39+AU39)/(1+(K$35/VLOOKUP(K$28,$M$7:$O$10,2,0)))^((YEAR($M39)-YEAR($M$37))*VLOOKUP(K$28,$M$7:$O$10,2,0)))</f>
        <v>0</v>
      </c>
      <c r="AX39" s="66"/>
      <c r="AY39" s="66"/>
      <c r="AZ39" s="66"/>
      <c r="BA39" s="67"/>
    </row>
    <row r="40" spans="1:53" s="50" customFormat="1" x14ac:dyDescent="0.25">
      <c r="A40" s="60">
        <f t="shared" si="5"/>
        <v>44515</v>
      </c>
      <c r="B40" s="61"/>
      <c r="C40" s="62"/>
      <c r="D40" s="62"/>
      <c r="E40" s="62"/>
      <c r="F40" s="62"/>
      <c r="G40" s="62"/>
      <c r="H40" s="62"/>
      <c r="I40" s="62"/>
      <c r="J40" s="62"/>
      <c r="K40" s="63"/>
      <c r="L40" s="59"/>
      <c r="M40" s="64">
        <f t="shared" si="6"/>
        <v>44515</v>
      </c>
      <c r="N40" s="65">
        <f t="shared" si="7"/>
        <v>0</v>
      </c>
      <c r="O40" s="66">
        <f t="shared" si="8"/>
        <v>0</v>
      </c>
      <c r="P40" s="66">
        <f t="shared" ref="P40:P58" si="17">+SUM(N40:O40)</f>
        <v>0</v>
      </c>
      <c r="Q40" s="67">
        <f>+IF($M40&gt;B$22,"FIN",(N40+O40)/(1+(B$35/VLOOKUP(B$28,$M$7:$O$10,2,0)))^((YEAR($M40)-YEAR($M$37))*VLOOKUP(B$28,$M$7:$O$10,2,0)))</f>
        <v>0</v>
      </c>
      <c r="R40" s="66">
        <f>+IF($M40&gt;C$22,"FIN",IF($M40&lt;C$30,C$31*VLOOKUP($M40,$A:$L,3,0)/VLOOKUP(C$28,$M$7:$O$10,2,0),(C$31-C$31/C$29*(C$29-(YEAR(C$22)-YEAR($M40)+1)))*VLOOKUP($M40,$A:$L,3,0)/VLOOKUP(C$28,$M$7:$O$10,2,0)))</f>
        <v>0</v>
      </c>
      <c r="S40" s="66">
        <f>+IF($M40&gt;C$22,"FIN",IF($M40&lt;=C$22,IFERROR(IF($M40&lt;C$30,0,IF(MONTH($M40)=MONTH(C$30),C$31/C$29,0)),0),0))</f>
        <v>0</v>
      </c>
      <c r="T40" s="66">
        <f t="shared" ref="T40:T58" si="18">+SUM(R40:S40)</f>
        <v>0</v>
      </c>
      <c r="U40" s="67">
        <f>+IF($M40&gt;C$22,"FIN",(R40+S40)/(1+(C$35/VLOOKUP(C$28,$M$7:$O$10,2,0)))^((YEAR($M40)-YEAR($M$37))*VLOOKUP(C$28,$M$7:$O$10,2,0)))</f>
        <v>0</v>
      </c>
      <c r="V40" s="66">
        <f t="shared" si="9"/>
        <v>0</v>
      </c>
      <c r="W40" s="66">
        <f t="shared" si="10"/>
        <v>0</v>
      </c>
      <c r="X40" s="66"/>
      <c r="Y40" s="67">
        <f>+IF($M40&gt;D$22,"FIN",(V40+W40)/(1+(D$35/VLOOKUP(D$28,$M$7:$O$10,2,0)))^((YEAR($M40)-YEAR($M$37))*VLOOKUP(D$28,$M$7:$O$10,2,0)))</f>
        <v>0</v>
      </c>
      <c r="Z40" s="66">
        <f>+IF($M40&gt;E$22,"FIN",IF($M40&lt;E$30,E$31*VLOOKUP($M40,$A:$L,5,0)/VLOOKUP(E$28,$M$7:$O$10,2,0),(E$31-E$31/E$29*(E$29-(YEAR(E$22)-YEAR($M40)+1)))*VLOOKUP($M40,$A:$L,5,0)/VLOOKUP(E$28,$M$7:$O$10,2,0)))</f>
        <v>0</v>
      </c>
      <c r="AA40" s="66">
        <f>+IF($M40&gt;E$22,"FIN",IF($M40&lt;=E$22,IFERROR(IF($M40&lt;E$30,0,IF(MONTH($M40)=MONTH(E$30),E$31/E$29,0)),0),0))</f>
        <v>0</v>
      </c>
      <c r="AB40" s="66"/>
      <c r="AC40" s="67">
        <f>+IF($M40&gt;E$22,"FIN",(Z40+AA40)/(1+(E$35/VLOOKUP(E$28,$M$7:$O$10,2,0)))^((YEAR($M40)-YEAR($M$37))*VLOOKUP(E$28,$M$7:$O$10,2,0)))</f>
        <v>0</v>
      </c>
      <c r="AD40" s="66">
        <f t="shared" si="11"/>
        <v>0</v>
      </c>
      <c r="AE40" s="66">
        <f t="shared" si="12"/>
        <v>0</v>
      </c>
      <c r="AF40" s="66"/>
      <c r="AG40" s="67">
        <f>+IF($M40&gt;F$22,"FIN",(AD40+AE40)/(1+(F$35/VLOOKUP(F$28,$M$7:$O$10,2,0)))^((YEAR($M40)-YEAR($M$37))*VLOOKUP(F$28,$M$7:$O$10,2,0)))</f>
        <v>0</v>
      </c>
      <c r="AH40" s="66">
        <f>+IF($M40&gt;G$22,"FIN",IF($M40&lt;G$30,G$31*VLOOKUP($M40,$A:$L,7,0)/VLOOKUP(G$28,$M$7:$O$10,2,0),(G$31-G$31/G$29*(G$29-(YEAR(G$22)-YEAR($M40)+1)))*VLOOKUP($M40,$A:$L,7,0)/VLOOKUP(G$28,$M$7:$O$10,2,0)))</f>
        <v>0</v>
      </c>
      <c r="AI40" s="66">
        <f>+IF($M40&gt;G$22,"FIN",IF($M40&lt;=G$22,IFERROR(IF($M40&lt;G$30,0,IF(MONTH($M40)=MONTH(G$30),G$31/G$29,0)),0),0))</f>
        <v>0</v>
      </c>
      <c r="AJ40" s="66"/>
      <c r="AK40" s="67">
        <f>+IF($M40&gt;G$22,"FIN",(AH40+AI40)/(1+(G$35/VLOOKUP(G$28,$M$7:$O$10,2,0)))^((YEAR($M40)-YEAR($M$37))*VLOOKUP(G$28,$M$7:$O$10,2,0)))</f>
        <v>0</v>
      </c>
      <c r="AL40" s="66">
        <f t="shared" si="13"/>
        <v>0</v>
      </c>
      <c r="AM40" s="66">
        <f t="shared" si="14"/>
        <v>0</v>
      </c>
      <c r="AN40" s="66"/>
      <c r="AO40" s="67">
        <f>+IF($M40&gt;H$22,"FIN",(AL40+AM40)/(1+(H$35/VLOOKUP(H$28,$M$7:$O$10,2,0)))^((YEAR($M40)-YEAR($M$37))*VLOOKUP(H$28,$M$7:$O$10,2,0)))</f>
        <v>0</v>
      </c>
      <c r="AP40" s="66">
        <f>+IF($M40&gt;I$22,"FIN",IF($M40&lt;I$30,I$31*VLOOKUP($M40,$A:$L,9,0)/VLOOKUP(I$28,$M$7:$O$10,2,0),(I$31-I$31/I$29*(I$29-(YEAR(I$22)-YEAR($M40)+1)))*VLOOKUP($M40,$A:$L,9,0)/VLOOKUP(I$28,$M$7:$O$10,2,0)))</f>
        <v>0</v>
      </c>
      <c r="AQ40" s="66">
        <f>+IF($M40&gt;I$22,"FIN",IF($M40&lt;=I$22,IFERROR(IF($M40&lt;I$30,0,IF(MONTH($M40)=MONTH(I$30),I$31/I$29,0)),0),0))</f>
        <v>0</v>
      </c>
      <c r="AR40" s="66"/>
      <c r="AS40" s="67">
        <f>+IF($M40&gt;I$22,"FIN",(AP40+AQ40)/(1+(I$35/VLOOKUP(I$28,$M$7:$O$10,2,0)))^((YEAR($M40)-YEAR($M$37))*VLOOKUP(I$28,$M$7:$O$10,2,0)))</f>
        <v>0</v>
      </c>
      <c r="AT40" s="66">
        <f t="shared" si="15"/>
        <v>0</v>
      </c>
      <c r="AU40" s="66">
        <f t="shared" si="16"/>
        <v>0</v>
      </c>
      <c r="AV40" s="66"/>
      <c r="AW40" s="67">
        <f>+IF($M40&gt;K$22,"FIN",(AT40+AU40)/(1+(K$35/VLOOKUP(K$28,$M$7:$O$10,2,0)))^((YEAR($M40)-YEAR($M$37))*VLOOKUP(K$28,$M$7:$O$10,2,0)))</f>
        <v>0</v>
      </c>
      <c r="AX40" s="66">
        <f>+IF($M40&gt;K$22,"FIN",IF($M40&lt;K$30,K$31*VLOOKUP($M40,$A:$L,11,0)/VLOOKUP(K$28,$M$7:$O$10,2,0),(K$31-K$31/K$29*(K$29-(YEAR(K$22)-YEAR($M40)+1)))*VLOOKUP($M40,$A:$L,11,0)/VLOOKUP(K$28,$M$7:$O$10,2,0)))</f>
        <v>0</v>
      </c>
      <c r="AY40" s="66">
        <f>+IF($M40&gt;K$22,"FIN",IF($M40&lt;=K$22,IFERROR(IF($M40&lt;K$30,0,IF(MONTH($M40)=MONTH(K$30),K$31/K$29,0)),0),0))</f>
        <v>0</v>
      </c>
      <c r="AZ40" s="66"/>
      <c r="BA40" s="67">
        <f>+IF($M40&gt;K$22,"FIN",(AX40+AY40)/(1+(K$35/VLOOKUP(K$28,$M$7:$O$10,2,0)))^((YEAR($M40)-YEAR($M$37))*VLOOKUP(K$28,$M$7:$O$10,2,0)))</f>
        <v>0</v>
      </c>
    </row>
    <row r="41" spans="1:53" s="50" customFormat="1" x14ac:dyDescent="0.25">
      <c r="A41" s="60">
        <f t="shared" si="5"/>
        <v>44696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8"/>
      <c r="M41" s="64">
        <f t="shared" si="6"/>
        <v>44696</v>
      </c>
      <c r="N41" s="65">
        <f t="shared" si="7"/>
        <v>0</v>
      </c>
      <c r="O41" s="66">
        <f t="shared" si="8"/>
        <v>0</v>
      </c>
      <c r="P41" s="66">
        <f t="shared" si="17"/>
        <v>0</v>
      </c>
      <c r="Q41" s="67">
        <f>+IF($M41&gt;B$22,"FIN",(N41+O41)/(1+(B$35/VLOOKUP(B$28,$M$7:$O$10,2,0)))^((YEAR($M41)-YEAR($M$37))*VLOOKUP(B$28,$M$7:$O$10,2,0)))</f>
        <v>0</v>
      </c>
      <c r="R41" s="66"/>
      <c r="S41" s="66"/>
      <c r="T41" s="66"/>
      <c r="U41" s="67"/>
      <c r="V41" s="66">
        <f t="shared" si="9"/>
        <v>0</v>
      </c>
      <c r="W41" s="66">
        <f t="shared" si="10"/>
        <v>0</v>
      </c>
      <c r="X41" s="66"/>
      <c r="Y41" s="67">
        <f>+IF($M41&gt;D$22,"FIN",(V41+W41)/(1+(D$35/VLOOKUP(D$28,$M$7:$O$10,2,0)))^((YEAR($M41)-YEAR($M$37))*VLOOKUP(D$28,$M$7:$O$10,2,0)))</f>
        <v>0</v>
      </c>
      <c r="Z41" s="66"/>
      <c r="AA41" s="66"/>
      <c r="AB41" s="66"/>
      <c r="AC41" s="67"/>
      <c r="AD41" s="66">
        <f t="shared" si="11"/>
        <v>0</v>
      </c>
      <c r="AE41" s="66">
        <f t="shared" si="12"/>
        <v>0</v>
      </c>
      <c r="AF41" s="66"/>
      <c r="AG41" s="67">
        <f>+IF($M41&gt;F$22,"FIN",(AD41+AE41)/(1+(F$35/VLOOKUP(F$28,$M$7:$O$10,2,0)))^((YEAR($M41)-YEAR($M$37))*VLOOKUP(F$28,$M$7:$O$10,2,0)))</f>
        <v>0</v>
      </c>
      <c r="AH41" s="66"/>
      <c r="AI41" s="66"/>
      <c r="AJ41" s="66"/>
      <c r="AK41" s="67"/>
      <c r="AL41" s="66">
        <f t="shared" si="13"/>
        <v>0</v>
      </c>
      <c r="AM41" s="66">
        <f t="shared" si="14"/>
        <v>0</v>
      </c>
      <c r="AN41" s="66"/>
      <c r="AO41" s="67">
        <f>+IF($M41&gt;H$22,"FIN",(AL41+AM41)/(1+(H$35/VLOOKUP(H$28,$M$7:$O$10,2,0)))^((YEAR($M41)-YEAR($M$37))*VLOOKUP(H$28,$M$7:$O$10,2,0)))</f>
        <v>0</v>
      </c>
      <c r="AP41" s="66"/>
      <c r="AQ41" s="66"/>
      <c r="AR41" s="66"/>
      <c r="AS41" s="67"/>
      <c r="AT41" s="66">
        <f t="shared" si="15"/>
        <v>0</v>
      </c>
      <c r="AU41" s="66">
        <f t="shared" si="16"/>
        <v>0</v>
      </c>
      <c r="AV41" s="66"/>
      <c r="AW41" s="67">
        <f>+IF($M41&gt;K$22,"FIN",(AT41+AU41)/(1+(K$35/VLOOKUP(K$28,$M$7:$O$10,2,0)))^((YEAR($M41)-YEAR($M$37))*VLOOKUP(K$28,$M$7:$O$10,2,0)))</f>
        <v>0</v>
      </c>
      <c r="AX41" s="66"/>
      <c r="AY41" s="66"/>
      <c r="AZ41" s="66"/>
      <c r="BA41" s="67"/>
    </row>
    <row r="42" spans="1:53" s="50" customFormat="1" x14ac:dyDescent="0.25">
      <c r="A42" s="60">
        <f t="shared" si="5"/>
        <v>44880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8"/>
      <c r="M42" s="64">
        <f t="shared" si="6"/>
        <v>44880</v>
      </c>
      <c r="N42" s="65">
        <f t="shared" si="7"/>
        <v>0</v>
      </c>
      <c r="O42" s="66">
        <f t="shared" si="8"/>
        <v>0</v>
      </c>
      <c r="P42" s="66">
        <f t="shared" si="17"/>
        <v>0</v>
      </c>
      <c r="Q42" s="67">
        <f>+IF($M42&gt;B$22,"FIN",(N42+O42)/(1+(B$35/VLOOKUP(B$28,$M$7:$O$10,2,0)))^((YEAR($M42)-YEAR($M$37))*VLOOKUP(B$28,$M$7:$O$10,2,0)))</f>
        <v>0</v>
      </c>
      <c r="R42" s="66">
        <f>+IF($M42&gt;C$22,"FIN",IF($M42&lt;C$30,C$31*VLOOKUP($M42,$A:$L,3,0)/VLOOKUP(C$28,$M$7:$O$10,2,0),(C$31-C$31/C$29*(C$29-(YEAR(C$22)-YEAR($M42)+1)))*VLOOKUP($M42,$A:$L,3,0)/VLOOKUP(C$28,$M$7:$O$10,2,0)))</f>
        <v>0</v>
      </c>
      <c r="S42" s="66">
        <f>+IF($M42&gt;C$22,"FIN",IF($M42&lt;=C$22,IFERROR(IF($M42&lt;C$30,0,IF(MONTH($M42)=MONTH(C$30),C$31/C$29,0)),0),0))</f>
        <v>0</v>
      </c>
      <c r="T42" s="66">
        <f t="shared" si="18"/>
        <v>0</v>
      </c>
      <c r="U42" s="67">
        <f>+IF($M42&gt;C$22,"FIN",(R42+S42)/(1+(C$35/VLOOKUP(C$28,$M$7:$O$10,2,0)))^((YEAR($M42)-YEAR($M$37))*VLOOKUP(C$28,$M$7:$O$10,2,0)))</f>
        <v>0</v>
      </c>
      <c r="V42" s="66">
        <f t="shared" si="9"/>
        <v>0</v>
      </c>
      <c r="W42" s="66">
        <f t="shared" si="10"/>
        <v>0</v>
      </c>
      <c r="X42" s="66"/>
      <c r="Y42" s="67">
        <f>+IF($M42&gt;D$22,"FIN",(V42+W42)/(1+(D$35/VLOOKUP(D$28,$M$7:$O$10,2,0)))^((YEAR($M42)-YEAR($M$37))*VLOOKUP(D$28,$M$7:$O$10,2,0)))</f>
        <v>0</v>
      </c>
      <c r="Z42" s="66">
        <f>+IF($M42&gt;E$22,"FIN",IF($M42&lt;E$30,E$31*VLOOKUP($M42,$A:$L,5,0)/VLOOKUP(E$28,$M$7:$O$10,2,0),(E$31-E$31/E$29*(E$29-(YEAR(E$22)-YEAR($M42)+1)))*VLOOKUP($M42,$A:$L,5,0)/VLOOKUP(E$28,$M$7:$O$10,2,0)))</f>
        <v>0</v>
      </c>
      <c r="AA42" s="66">
        <f>+IF($M42&gt;E$22,"FIN",IF($M42&lt;=E$22,IFERROR(IF($M42&lt;E$30,0,IF(MONTH($M42)=MONTH(E$30),E$31/E$29,0)),0),0))</f>
        <v>0</v>
      </c>
      <c r="AB42" s="66"/>
      <c r="AC42" s="67">
        <f>+IF($M42&gt;E$22,"FIN",(Z42+AA42)/(1+(E$35/VLOOKUP(E$28,$M$7:$O$10,2,0)))^((YEAR($M42)-YEAR($M$37))*VLOOKUP(E$28,$M$7:$O$10,2,0)))</f>
        <v>0</v>
      </c>
      <c r="AD42" s="66">
        <f t="shared" si="11"/>
        <v>0</v>
      </c>
      <c r="AE42" s="66">
        <f t="shared" si="12"/>
        <v>0</v>
      </c>
      <c r="AF42" s="66"/>
      <c r="AG42" s="67">
        <f>+IF($M42&gt;F$22,"FIN",(AD42+AE42)/(1+(F$35/VLOOKUP(F$28,$M$7:$O$10,2,0)))^((YEAR($M42)-YEAR($M$37))*VLOOKUP(F$28,$M$7:$O$10,2,0)))</f>
        <v>0</v>
      </c>
      <c r="AH42" s="66">
        <f>+IF($M42&gt;G$22,"FIN",IF($M42&lt;G$30,G$31*VLOOKUP($M42,$A:$L,7,0)/VLOOKUP(G$28,$M$7:$O$10,2,0),(G$31-G$31/G$29*(G$29-(YEAR(G$22)-YEAR($M42)+1)))*VLOOKUP($M42,$A:$L,7,0)/VLOOKUP(G$28,$M$7:$O$10,2,0)))</f>
        <v>0</v>
      </c>
      <c r="AI42" s="66">
        <f>+IF($M42&gt;G$22,"FIN",IF($M42&lt;=G$22,IFERROR(IF($M42&lt;G$30,0,IF(MONTH($M42)=MONTH(G$30),G$31/G$29,0)),0),0))</f>
        <v>0</v>
      </c>
      <c r="AJ42" s="66"/>
      <c r="AK42" s="67">
        <f>+IF($M42&gt;G$22,"FIN",(AH42+AI42)/(1+(G$35/VLOOKUP(G$28,$M$7:$O$10,2,0)))^((YEAR($M42)-YEAR($M$37))*VLOOKUP(G$28,$M$7:$O$10,2,0)))</f>
        <v>0</v>
      </c>
      <c r="AL42" s="66">
        <f t="shared" si="13"/>
        <v>0</v>
      </c>
      <c r="AM42" s="66">
        <f t="shared" si="14"/>
        <v>0</v>
      </c>
      <c r="AN42" s="66"/>
      <c r="AO42" s="67">
        <f>+IF($M42&gt;H$22,"FIN",(AL42+AM42)/(1+(H$35/VLOOKUP(H$28,$M$7:$O$10,2,0)))^((YEAR($M42)-YEAR($M$37))*VLOOKUP(H$28,$M$7:$O$10,2,0)))</f>
        <v>0</v>
      </c>
      <c r="AP42" s="66">
        <f>+IF($M42&gt;I$22,"FIN",IF($M42&lt;I$30,I$31*VLOOKUP($M42,$A:$L,9,0)/VLOOKUP(I$28,$M$7:$O$10,2,0),(I$31-I$31/I$29*(I$29-(YEAR(I$22)-YEAR($M42)+1)))*VLOOKUP($M42,$A:$L,9,0)/VLOOKUP(I$28,$M$7:$O$10,2,0)))</f>
        <v>0</v>
      </c>
      <c r="AQ42" s="66">
        <f>+IF($M42&gt;I$22,"FIN",IF($M42&lt;=I$22,IFERROR(IF($M42&lt;I$30,0,IF(MONTH($M42)=MONTH(I$30),I$31/I$29,0)),0),0))</f>
        <v>0</v>
      </c>
      <c r="AR42" s="66"/>
      <c r="AS42" s="67">
        <f>+IF($M42&gt;I$22,"FIN",(AP42+AQ42)/(1+(I$35/VLOOKUP(I$28,$M$7:$O$10,2,0)))^((YEAR($M42)-YEAR($M$37))*VLOOKUP(I$28,$M$7:$O$10,2,0)))</f>
        <v>0</v>
      </c>
      <c r="AT42" s="66">
        <f t="shared" si="15"/>
        <v>0</v>
      </c>
      <c r="AU42" s="66">
        <f t="shared" si="16"/>
        <v>0</v>
      </c>
      <c r="AV42" s="66"/>
      <c r="AW42" s="67">
        <f>+IF($M42&gt;K$22,"FIN",(AT42+AU42)/(1+(K$35/VLOOKUP(K$28,$M$7:$O$10,2,0)))^((YEAR($M42)-YEAR($M$37))*VLOOKUP(K$28,$M$7:$O$10,2,0)))</f>
        <v>0</v>
      </c>
      <c r="AX42" s="66">
        <f>+IF($M42&gt;K$22,"FIN",IF($M42&lt;K$30,K$31*VLOOKUP($M42,$A:$L,11,0)/VLOOKUP(K$28,$M$7:$O$10,2,0),(K$31-K$31/K$29*(K$29-(YEAR(K$22)-YEAR($M42)+1)))*VLOOKUP($M42,$A:$L,11,0)/VLOOKUP(K$28,$M$7:$O$10,2,0)))</f>
        <v>0</v>
      </c>
      <c r="AY42" s="66">
        <f>+IF($M42&gt;K$22,"FIN",IF($M42&lt;=K$22,IFERROR(IF($M42&lt;K$30,0,IF(MONTH($M42)=MONTH(K$30),K$31/K$29,0)),0),0))</f>
        <v>0</v>
      </c>
      <c r="AZ42" s="66"/>
      <c r="BA42" s="67">
        <f>+IF($M42&gt;K$22,"FIN",(AX42+AY42)/(1+(K$35/VLOOKUP(K$28,$M$7:$O$10,2,0)))^((YEAR($M42)-YEAR($M$37))*VLOOKUP(K$28,$M$7:$O$10,2,0)))</f>
        <v>0</v>
      </c>
    </row>
    <row r="43" spans="1:53" s="50" customFormat="1" x14ac:dyDescent="0.25">
      <c r="A43" s="60">
        <f t="shared" si="5"/>
        <v>45061</v>
      </c>
      <c r="B43" s="62">
        <v>5.0000000000000001E-3</v>
      </c>
      <c r="C43" s="62">
        <v>5.0000000000000001E-3</v>
      </c>
      <c r="D43" s="62">
        <v>5.0000000000000001E-3</v>
      </c>
      <c r="E43" s="62">
        <v>5.0000000000000001E-3</v>
      </c>
      <c r="F43" s="62">
        <v>6.0000000000000001E-3</v>
      </c>
      <c r="G43" s="62">
        <v>6.0000000000000001E-3</v>
      </c>
      <c r="H43" s="62">
        <v>6.0000000000000001E-3</v>
      </c>
      <c r="I43" s="62">
        <v>6.0000000000000001E-3</v>
      </c>
      <c r="J43" s="62">
        <v>5.0000000000000001E-3</v>
      </c>
      <c r="K43" s="62">
        <v>5.0000000000000001E-3</v>
      </c>
      <c r="L43" s="68"/>
      <c r="M43" s="64">
        <f t="shared" si="6"/>
        <v>45061</v>
      </c>
      <c r="N43" s="65">
        <f t="shared" si="7"/>
        <v>0.22</v>
      </c>
      <c r="O43" s="66">
        <f t="shared" si="8"/>
        <v>0</v>
      </c>
      <c r="P43" s="66">
        <f t="shared" si="17"/>
        <v>0.22</v>
      </c>
      <c r="Q43" s="85">
        <f t="shared" ref="Q43:Q58" si="19">P43/(1+$B$18)^(YEARFRAC($M$37,$M43))</f>
        <v>0.16528925619834706</v>
      </c>
      <c r="R43" s="66"/>
      <c r="S43" s="66"/>
      <c r="T43" s="66"/>
      <c r="U43" s="85"/>
      <c r="V43" s="66">
        <f t="shared" si="9"/>
        <v>0.23750000000000002</v>
      </c>
      <c r="W43" s="66">
        <f t="shared" si="10"/>
        <v>0</v>
      </c>
      <c r="X43" s="66">
        <f t="shared" ref="X43:X70" si="20">+SUM(V43:W43)</f>
        <v>0.23750000000000002</v>
      </c>
      <c r="Y43" s="85">
        <f t="shared" ref="Y43:Y70" si="21">X43/(1+$B$18)^(YEARFRAC($M$37,$M43))</f>
        <v>0.17843726521412467</v>
      </c>
      <c r="Z43" s="66"/>
      <c r="AA43" s="66"/>
      <c r="AB43" s="66"/>
      <c r="AC43" s="85"/>
      <c r="AD43" s="66">
        <f t="shared" si="11"/>
        <v>0.3</v>
      </c>
      <c r="AE43" s="66">
        <f t="shared" si="12"/>
        <v>0</v>
      </c>
      <c r="AF43" s="66">
        <f t="shared" ref="AF43:AF76" si="22">+SUM(AD43:AE43)</f>
        <v>0.3</v>
      </c>
      <c r="AG43" s="85">
        <f t="shared" ref="AG43:AG76" si="23">AF43/(1+$B$18)^(YEARFRAC($M$37,$M43))</f>
        <v>0.22539444027047326</v>
      </c>
      <c r="AH43" s="66"/>
      <c r="AI43" s="66"/>
      <c r="AJ43" s="66"/>
      <c r="AK43" s="85"/>
      <c r="AL43" s="66">
        <f t="shared" si="13"/>
        <v>0.3</v>
      </c>
      <c r="AM43" s="66">
        <f t="shared" si="14"/>
        <v>0</v>
      </c>
      <c r="AN43" s="66">
        <f t="shared" ref="AN43:AN84" si="24">+SUM(AL43:AM43)</f>
        <v>0.3</v>
      </c>
      <c r="AO43" s="85">
        <f t="shared" ref="AO43:AO84" si="25">AN43/(1+$B$18)^(YEARFRAC($M$37,$M43))</f>
        <v>0.22539444027047326</v>
      </c>
      <c r="AP43" s="66"/>
      <c r="AQ43" s="66"/>
      <c r="AR43" s="66"/>
      <c r="AS43" s="85"/>
      <c r="AT43" s="66">
        <f t="shared" si="15"/>
        <v>0.23750000000000002</v>
      </c>
      <c r="AU43" s="66">
        <f t="shared" si="16"/>
        <v>0</v>
      </c>
      <c r="AV43" s="66">
        <f t="shared" ref="AV43:AV92" si="26">+SUM(AT43:AU43)</f>
        <v>0.23750000000000002</v>
      </c>
      <c r="AW43" s="85">
        <f t="shared" ref="AW43:AW74" si="27">AV43/(1+$B$18)^(YEARFRAC($M$37,$M43))</f>
        <v>0.17843726521412467</v>
      </c>
      <c r="AX43" s="66"/>
      <c r="AY43" s="66"/>
      <c r="AZ43" s="66"/>
      <c r="BA43" s="85"/>
    </row>
    <row r="44" spans="1:53" s="50" customFormat="1" x14ac:dyDescent="0.25">
      <c r="A44" s="60">
        <f t="shared" si="5"/>
        <v>45245</v>
      </c>
      <c r="B44" s="62">
        <v>5.0000000000000001E-3</v>
      </c>
      <c r="C44" s="62">
        <v>5.0000000000000001E-3</v>
      </c>
      <c r="D44" s="62">
        <v>5.0000000000000001E-3</v>
      </c>
      <c r="E44" s="62">
        <v>5.0000000000000001E-3</v>
      </c>
      <c r="F44" s="62">
        <v>6.0000000000000001E-3</v>
      </c>
      <c r="G44" s="62">
        <v>6.0000000000000001E-3</v>
      </c>
      <c r="H44" s="62">
        <v>6.0000000000000001E-3</v>
      </c>
      <c r="I44" s="62">
        <v>6.0000000000000001E-3</v>
      </c>
      <c r="J44" s="62">
        <v>5.0000000000000001E-3</v>
      </c>
      <c r="K44" s="62">
        <v>5.0000000000000001E-3</v>
      </c>
      <c r="L44" s="68"/>
      <c r="M44" s="64">
        <f t="shared" si="6"/>
        <v>45245</v>
      </c>
      <c r="N44" s="65">
        <f t="shared" si="7"/>
        <v>0.22</v>
      </c>
      <c r="O44" s="66">
        <f t="shared" si="8"/>
        <v>0</v>
      </c>
      <c r="P44" s="66">
        <f t="shared" si="17"/>
        <v>0.22</v>
      </c>
      <c r="Q44" s="85">
        <f t="shared" si="19"/>
        <v>0.15759712218935407</v>
      </c>
      <c r="R44" s="66">
        <f>+IF($M44&gt;C$22,"FIN",IF($M44&lt;C$30,C$31*VLOOKUP($M44,$A:$L,3,0)/VLOOKUP(C$28,$M$7:$O$10,2,0),(C$31-C$31/C$29*(C$29-(YEAR(C$22)-YEAR($M44)+1)))*VLOOKUP($M44,$A:$L,3,0)/VLOOKUP(C$28,$M$7:$O$10,2,0)))</f>
        <v>0.41000000000000003</v>
      </c>
      <c r="S44" s="66">
        <f>+IF($M44&gt;C$22,"FIN",IF($M44&lt;=C$22,IFERROR(IF($M44&lt;C$30,0,IF(MONTH($M44)=MONTH(C$30),C$31/C$29,0)),0),0))</f>
        <v>0</v>
      </c>
      <c r="T44" s="66">
        <f t="shared" si="18"/>
        <v>0.41000000000000003</v>
      </c>
      <c r="U44" s="85">
        <f>T44/(1+$B$18)^(YEARFRAC($M$37,$M44))</f>
        <v>0.29370372771652353</v>
      </c>
      <c r="V44" s="66">
        <f t="shared" si="9"/>
        <v>0.23750000000000002</v>
      </c>
      <c r="W44" s="66">
        <f t="shared" si="10"/>
        <v>0</v>
      </c>
      <c r="X44" s="66">
        <f t="shared" si="20"/>
        <v>0.23750000000000002</v>
      </c>
      <c r="Y44" s="85">
        <f t="shared" si="21"/>
        <v>0.17013325690896181</v>
      </c>
      <c r="Z44" s="66">
        <f>+IF($M44&gt;E$22,"FIN",IF($M44&lt;E$30,E$31*VLOOKUP($M44,$A:$L,5,0)/VLOOKUP(E$28,$M$7:$O$10,2,0),(E$31-E$31/E$29*(E$29-(YEAR(E$22)-YEAR($M44)+1)))*VLOOKUP($M44,$A:$L,5,0)/VLOOKUP(E$28,$M$7:$O$10,2,0)))</f>
        <v>0.47500000000000003</v>
      </c>
      <c r="AA44" s="66">
        <f>+IF($M44&gt;E$22,"FIN",IF($M44&lt;=E$22,IFERROR(IF($M44&lt;E$30,0,IF(MONTH($M44)=MONTH(E$30),E$31/E$29,0)),0),0))</f>
        <v>0</v>
      </c>
      <c r="AB44" s="66">
        <f t="shared" ref="AB44:AB70" si="28">+SUM(Z44:AA44)</f>
        <v>0.47500000000000003</v>
      </c>
      <c r="AC44" s="85">
        <f>AB44/(1+$B$18)^(YEARFRAC($M$37,$M44))</f>
        <v>0.34026651381792361</v>
      </c>
      <c r="AD44" s="66">
        <f t="shared" si="11"/>
        <v>0.3</v>
      </c>
      <c r="AE44" s="66">
        <f t="shared" si="12"/>
        <v>0</v>
      </c>
      <c r="AF44" s="66">
        <f t="shared" si="22"/>
        <v>0.3</v>
      </c>
      <c r="AG44" s="85">
        <f t="shared" si="23"/>
        <v>0.21490516662184644</v>
      </c>
      <c r="AH44" s="66">
        <f>+IF($M44&gt;G$22,"FIN",IF($M44&lt;G$30,G$31*VLOOKUP($M44,$A:$L,7,0)/VLOOKUP(G$28,$M$7:$O$10,2,0),(G$31-G$31/G$29*(G$29-(YEAR(G$22)-YEAR($M44)+1)))*VLOOKUP($M44,$A:$L,7,0)/VLOOKUP(G$28,$M$7:$O$10,2,0)))</f>
        <v>0.6</v>
      </c>
      <c r="AI44" s="66">
        <f>+IF($M44&gt;G$22,"FIN",IF($M44&lt;=G$22,IFERROR(IF($M44&lt;G$30,0,IF(MONTH($M44)=MONTH(G$30),G$31/G$29,0)),0),0))</f>
        <v>0</v>
      </c>
      <c r="AJ44" s="66">
        <f t="shared" ref="AJ44:AJ76" si="29">+SUM(AH44:AI44)</f>
        <v>0.6</v>
      </c>
      <c r="AK44" s="85">
        <f>AJ44/(1+$B$18)^(YEARFRAC($M$37,$M44))</f>
        <v>0.42981033324369289</v>
      </c>
      <c r="AL44" s="66">
        <f t="shared" si="13"/>
        <v>0.3</v>
      </c>
      <c r="AM44" s="66">
        <f t="shared" si="14"/>
        <v>0</v>
      </c>
      <c r="AN44" s="66">
        <f t="shared" si="24"/>
        <v>0.3</v>
      </c>
      <c r="AO44" s="85">
        <f t="shared" si="25"/>
        <v>0.21490516662184644</v>
      </c>
      <c r="AP44" s="66">
        <f>+IF($M44&gt;I$22,"FIN",IF($M44&lt;I$30,I$31*VLOOKUP($M44,$A:$L,9,0)/VLOOKUP(I$28,$M$7:$O$10,2,0),(I$31-I$31/I$29*(I$29-(YEAR(I$22)-YEAR($M44)+1)))*VLOOKUP($M44,$A:$L,9,0)/VLOOKUP(I$28,$M$7:$O$10,2,0)))</f>
        <v>0.6</v>
      </c>
      <c r="AQ44" s="66">
        <f>+IF($M44&gt;I$22,"FIN",IF($M44&lt;=I$22,IFERROR(IF($M44&lt;I$30,0,IF(MONTH($M44)=MONTH(I$30),I$31/I$29,0)),0),0))</f>
        <v>0</v>
      </c>
      <c r="AR44" s="66">
        <f t="shared" ref="AR44:AR84" si="30">+SUM(AP44:AQ44)</f>
        <v>0.6</v>
      </c>
      <c r="AS44" s="85">
        <f>AR44/(1+$B$18)^(YEARFRAC($M$37,$M44))</f>
        <v>0.42981033324369289</v>
      </c>
      <c r="AT44" s="66">
        <f t="shared" si="15"/>
        <v>0.23750000000000002</v>
      </c>
      <c r="AU44" s="66">
        <f t="shared" si="16"/>
        <v>0</v>
      </c>
      <c r="AV44" s="66">
        <f t="shared" si="26"/>
        <v>0.23750000000000002</v>
      </c>
      <c r="AW44" s="85">
        <f t="shared" si="27"/>
        <v>0.17013325690896181</v>
      </c>
      <c r="AX44" s="66">
        <f>+IF($M44&gt;K$22,"FIN",IF($M44&lt;K$30,K$31*VLOOKUP($M44,$A:$L,11,0)/VLOOKUP(K$28,$M$7:$O$10,2,0),(K$31-K$31/K$29*(K$29-(YEAR(K$22)-YEAR($M44)+1)))*VLOOKUP($M44,$A:$L,11,0)/VLOOKUP(K$28,$M$7:$O$10,2,0)))</f>
        <v>0.47500000000000003</v>
      </c>
      <c r="AY44" s="66">
        <f>+IF($M44&gt;K$22,"FIN",IF($M44&lt;=K$22,IFERROR(IF($M44&lt;K$30,0,IF(MONTH($M44)=MONTH(K$30),K$31/K$29,0)),0),0))</f>
        <v>0</v>
      </c>
      <c r="AZ44" s="66">
        <f t="shared" ref="AZ44:AZ92" si="31">+SUM(AX44:AY44)</f>
        <v>0.47500000000000003</v>
      </c>
      <c r="BA44" s="85">
        <f>AZ44/(1+$B$18)^(YEARFRAC($M$37,$M44))</f>
        <v>0.34026651381792361</v>
      </c>
    </row>
    <row r="45" spans="1:53" s="50" customFormat="1" x14ac:dyDescent="0.25">
      <c r="A45" s="60">
        <f t="shared" si="5"/>
        <v>45427</v>
      </c>
      <c r="B45" s="62">
        <v>5.0000000000000001E-3</v>
      </c>
      <c r="C45" s="62">
        <v>5.0000000000000001E-3</v>
      </c>
      <c r="D45" s="62">
        <v>1.4999999999999999E-2</v>
      </c>
      <c r="E45" s="62">
        <v>5.0000000000000001E-3</v>
      </c>
      <c r="F45" s="62">
        <v>1.7500000000000002E-2</v>
      </c>
      <c r="G45" s="62">
        <v>1.2500000000000001E-2</v>
      </c>
      <c r="H45" s="62">
        <v>0.03</v>
      </c>
      <c r="I45" s="69">
        <v>1.6250000000000001E-2</v>
      </c>
      <c r="J45" s="62">
        <v>1.7500000000000002E-2</v>
      </c>
      <c r="K45" s="62">
        <v>0.01</v>
      </c>
      <c r="L45" s="68"/>
      <c r="M45" s="64">
        <f t="shared" si="6"/>
        <v>45427</v>
      </c>
      <c r="N45" s="65">
        <f t="shared" si="7"/>
        <v>0.22</v>
      </c>
      <c r="O45" s="66">
        <f t="shared" si="8"/>
        <v>0</v>
      </c>
      <c r="P45" s="66">
        <f t="shared" si="17"/>
        <v>0.22</v>
      </c>
      <c r="Q45" s="85">
        <f t="shared" si="19"/>
        <v>0.15026296018031551</v>
      </c>
      <c r="R45" s="66"/>
      <c r="S45" s="66"/>
      <c r="T45" s="66"/>
      <c r="U45" s="85"/>
      <c r="V45" s="66">
        <f t="shared" si="9"/>
        <v>0.71250000000000002</v>
      </c>
      <c r="W45" s="66">
        <f t="shared" si="10"/>
        <v>0</v>
      </c>
      <c r="X45" s="66">
        <f t="shared" si="20"/>
        <v>0.71250000000000002</v>
      </c>
      <c r="Y45" s="85">
        <f t="shared" si="21"/>
        <v>0.48664708694761277</v>
      </c>
      <c r="Z45" s="66"/>
      <c r="AA45" s="66"/>
      <c r="AB45" s="66"/>
      <c r="AC45" s="85"/>
      <c r="AD45" s="66">
        <f t="shared" si="11"/>
        <v>0.87500000000000011</v>
      </c>
      <c r="AE45" s="66">
        <f t="shared" si="12"/>
        <v>0</v>
      </c>
      <c r="AF45" s="66">
        <f t="shared" si="22"/>
        <v>0.87500000000000011</v>
      </c>
      <c r="AG45" s="85">
        <f t="shared" si="23"/>
        <v>0.59763677344443678</v>
      </c>
      <c r="AH45" s="66"/>
      <c r="AI45" s="66"/>
      <c r="AJ45" s="66"/>
      <c r="AK45" s="85"/>
      <c r="AL45" s="66">
        <f t="shared" si="13"/>
        <v>1.5</v>
      </c>
      <c r="AM45" s="66">
        <f t="shared" si="14"/>
        <v>0</v>
      </c>
      <c r="AN45" s="66">
        <f t="shared" si="24"/>
        <v>1.5</v>
      </c>
      <c r="AO45" s="85">
        <f t="shared" si="25"/>
        <v>1.0245201830476058</v>
      </c>
      <c r="AP45" s="66"/>
      <c r="AQ45" s="66"/>
      <c r="AR45" s="66"/>
      <c r="AS45" s="85"/>
      <c r="AT45" s="66">
        <f t="shared" si="15"/>
        <v>0.83125000000000004</v>
      </c>
      <c r="AU45" s="66">
        <f t="shared" si="16"/>
        <v>0</v>
      </c>
      <c r="AV45" s="66">
        <f t="shared" si="26"/>
        <v>0.83125000000000004</v>
      </c>
      <c r="AW45" s="85">
        <f t="shared" si="27"/>
        <v>0.56775493477221484</v>
      </c>
      <c r="AX45" s="66"/>
      <c r="AY45" s="66"/>
      <c r="AZ45" s="66"/>
      <c r="BA45" s="85"/>
    </row>
    <row r="46" spans="1:53" s="50" customFormat="1" x14ac:dyDescent="0.25">
      <c r="A46" s="60">
        <f t="shared" si="5"/>
        <v>45611</v>
      </c>
      <c r="B46" s="62">
        <v>5.0000000000000001E-3</v>
      </c>
      <c r="C46" s="62">
        <v>5.0000000000000001E-3</v>
      </c>
      <c r="D46" s="62">
        <v>1.4999999999999999E-2</v>
      </c>
      <c r="E46" s="62">
        <v>5.0000000000000001E-3</v>
      </c>
      <c r="F46" s="62">
        <v>1.7500000000000002E-2</v>
      </c>
      <c r="G46" s="62">
        <v>1.2500000000000001E-2</v>
      </c>
      <c r="H46" s="62">
        <v>0.03</v>
      </c>
      <c r="I46" s="69">
        <v>1.6250000000000001E-2</v>
      </c>
      <c r="J46" s="62">
        <v>1.7500000000000002E-2</v>
      </c>
      <c r="K46" s="62">
        <v>0.01</v>
      </c>
      <c r="L46" s="68"/>
      <c r="M46" s="64">
        <f t="shared" si="6"/>
        <v>45611</v>
      </c>
      <c r="N46" s="65">
        <f t="shared" si="7"/>
        <v>0.22</v>
      </c>
      <c r="O46" s="66">
        <f t="shared" si="8"/>
        <v>0</v>
      </c>
      <c r="P46" s="66">
        <f t="shared" si="17"/>
        <v>0.22</v>
      </c>
      <c r="Q46" s="85">
        <f t="shared" si="19"/>
        <v>0.14327011108123094</v>
      </c>
      <c r="R46" s="66">
        <f>+IF($M46&gt;C$22,"FIN",IF($M46&lt;C$30,C$31*VLOOKUP($M46,$A:$L,3,0)/VLOOKUP(C$28,$M$7:$O$10,2,0),(C$31-C$31/C$29*(C$29-(YEAR(C$22)-YEAR($M46)+1)))*VLOOKUP($M46,$A:$L,3,0)/VLOOKUP(C$28,$M$7:$O$10,2,0)))</f>
        <v>0.41000000000000003</v>
      </c>
      <c r="S46" s="66">
        <f>+IF($M46&gt;C$22,"FIN",IF($M46&lt;=C$22,IFERROR(IF($M46&lt;C$30,0,IF(MONTH($M46)=MONTH(C$30),C$31/C$29,0)),0),0))</f>
        <v>0</v>
      </c>
      <c r="T46" s="66">
        <f t="shared" si="18"/>
        <v>0.41000000000000003</v>
      </c>
      <c r="U46" s="85">
        <f>T46/(1+$B$18)^(YEARFRAC($M$37,$M46))</f>
        <v>0.26700338883320318</v>
      </c>
      <c r="V46" s="66">
        <f t="shared" si="9"/>
        <v>0.71250000000000002</v>
      </c>
      <c r="W46" s="66">
        <f t="shared" si="10"/>
        <v>0</v>
      </c>
      <c r="X46" s="66">
        <f t="shared" si="20"/>
        <v>0.71250000000000002</v>
      </c>
      <c r="Y46" s="85">
        <f t="shared" si="21"/>
        <v>0.46399979156989574</v>
      </c>
      <c r="Z46" s="66">
        <f>+IF($M46&gt;E$22,"FIN",IF($M46&lt;E$30,E$31*VLOOKUP($M46,$A:$L,5,0)/VLOOKUP(E$28,$M$7:$O$10,2,0),(E$31-E$31/E$29*(E$29-(YEAR(E$22)-YEAR($M46)+1)))*VLOOKUP($M46,$A:$L,5,0)/VLOOKUP(E$28,$M$7:$O$10,2,0)))</f>
        <v>0.47500000000000003</v>
      </c>
      <c r="AA46" s="66">
        <f>+IF($M46&gt;E$22,"FIN",IF($M46&lt;=E$22,IFERROR(IF($M46&lt;E$30,0,IF(MONTH($M46)=MONTH(E$30),E$31/E$29,0)),0),0))</f>
        <v>0</v>
      </c>
      <c r="AB46" s="66">
        <f t="shared" si="28"/>
        <v>0.47500000000000003</v>
      </c>
      <c r="AC46" s="85">
        <f>AB46/(1+$B$18)^(YEARFRAC($M$37,$M46))</f>
        <v>0.30933319437993051</v>
      </c>
      <c r="AD46" s="66">
        <f t="shared" si="11"/>
        <v>0.87500000000000011</v>
      </c>
      <c r="AE46" s="66">
        <f t="shared" si="12"/>
        <v>0</v>
      </c>
      <c r="AF46" s="66">
        <f t="shared" si="22"/>
        <v>0.87500000000000011</v>
      </c>
      <c r="AG46" s="85">
        <f t="shared" si="23"/>
        <v>0.56982430543671403</v>
      </c>
      <c r="AH46" s="66">
        <f>+IF($M46&gt;G$22,"FIN",IF($M46&lt;G$30,G$31*VLOOKUP($M46,$A:$L,7,0)/VLOOKUP(G$28,$M$7:$O$10,2,0),(G$31-G$31/G$29*(G$29-(YEAR(G$22)-YEAR($M46)+1)))*VLOOKUP($M46,$A:$L,7,0)/VLOOKUP(G$28,$M$7:$O$10,2,0)))</f>
        <v>1.25</v>
      </c>
      <c r="AI46" s="66">
        <f>+IF($M46&gt;G$22,"FIN",IF($M46&lt;=G$22,IFERROR(IF($M46&lt;G$30,0,IF(MONTH($M46)=MONTH(G$30),G$31/G$29,0)),0),0))</f>
        <v>0</v>
      </c>
      <c r="AJ46" s="66">
        <f t="shared" si="29"/>
        <v>1.25</v>
      </c>
      <c r="AK46" s="85">
        <f>AJ46/(1+$B$18)^(YEARFRAC($M$37,$M46))</f>
        <v>0.81403472205244853</v>
      </c>
      <c r="AL46" s="66">
        <f t="shared" si="13"/>
        <v>1.5</v>
      </c>
      <c r="AM46" s="66">
        <f t="shared" si="14"/>
        <v>0</v>
      </c>
      <c r="AN46" s="66">
        <f t="shared" si="24"/>
        <v>1.5</v>
      </c>
      <c r="AO46" s="85">
        <f t="shared" si="25"/>
        <v>0.97684166646293835</v>
      </c>
      <c r="AP46" s="66">
        <f>+IF($M46&gt;I$22,"FIN",IF($M46&lt;I$30,I$31*VLOOKUP($M46,$A:$L,9,0)/VLOOKUP(I$28,$M$7:$O$10,2,0),(I$31-I$31/I$29*(I$29-(YEAR(I$22)-YEAR($M46)+1)))*VLOOKUP($M46,$A:$L,9,0)/VLOOKUP(I$28,$M$7:$O$10,2,0)))</f>
        <v>1.625</v>
      </c>
      <c r="AQ46" s="66">
        <f>+IF($M46&gt;I$22,"FIN",IF($M46&lt;=I$22,IFERROR(IF($M46&lt;I$30,0,IF(MONTH($M46)=MONTH(I$30),I$31/I$29,0)),0),0))</f>
        <v>0</v>
      </c>
      <c r="AR46" s="66">
        <f t="shared" si="30"/>
        <v>1.625</v>
      </c>
      <c r="AS46" s="85">
        <f>AR46/(1+$B$18)^(YEARFRAC($M$37,$M46))</f>
        <v>1.0582451386681833</v>
      </c>
      <c r="AT46" s="66">
        <f t="shared" si="15"/>
        <v>0.83125000000000004</v>
      </c>
      <c r="AU46" s="66">
        <f t="shared" si="16"/>
        <v>0</v>
      </c>
      <c r="AV46" s="66">
        <f t="shared" si="26"/>
        <v>0.83125000000000004</v>
      </c>
      <c r="AW46" s="85">
        <f t="shared" si="27"/>
        <v>0.54133309016487829</v>
      </c>
      <c r="AX46" s="66">
        <f>+IF($M46&gt;K$22,"FIN",IF($M46&lt;K$30,K$31*VLOOKUP($M46,$A:$L,11,0)/VLOOKUP(K$28,$M$7:$O$10,2,0),(K$31-K$31/K$29*(K$29-(YEAR(K$22)-YEAR($M46)+1)))*VLOOKUP($M46,$A:$L,11,0)/VLOOKUP(K$28,$M$7:$O$10,2,0)))</f>
        <v>0.95000000000000007</v>
      </c>
      <c r="AY46" s="66">
        <f>+IF($M46&gt;K$22,"FIN",IF($M46&lt;=K$22,IFERROR(IF($M46&lt;K$30,0,IF(MONTH($M46)=MONTH(K$30),K$31/K$29,0)),0),0))</f>
        <v>0</v>
      </c>
      <c r="AZ46" s="66">
        <f t="shared" si="31"/>
        <v>0.95000000000000007</v>
      </c>
      <c r="BA46" s="85">
        <f>AZ46/(1+$B$18)^(YEARFRAC($M$37,$M46))</f>
        <v>0.61866638875986102</v>
      </c>
    </row>
    <row r="47" spans="1:53" s="50" customFormat="1" x14ac:dyDescent="0.25">
      <c r="A47" s="60">
        <f t="shared" si="5"/>
        <v>45792</v>
      </c>
      <c r="B47" s="62">
        <v>5.0000000000000001E-3</v>
      </c>
      <c r="C47" s="62">
        <v>5.0000000000000001E-3</v>
      </c>
      <c r="D47" s="62">
        <v>1.4999999999999999E-2</v>
      </c>
      <c r="E47" s="62">
        <v>5.0000000000000001E-3</v>
      </c>
      <c r="F47" s="62">
        <v>1.7500000000000002E-2</v>
      </c>
      <c r="G47" s="62">
        <v>1.2500000000000001E-2</v>
      </c>
      <c r="H47" s="62">
        <v>0.03</v>
      </c>
      <c r="I47" s="69">
        <v>1.6250000000000001E-2</v>
      </c>
      <c r="J47" s="62">
        <v>1.7500000000000002E-2</v>
      </c>
      <c r="K47" s="62">
        <v>0.01</v>
      </c>
      <c r="L47" s="68"/>
      <c r="M47" s="64">
        <f t="shared" si="6"/>
        <v>45792</v>
      </c>
      <c r="N47" s="65">
        <f t="shared" si="7"/>
        <v>0.22</v>
      </c>
      <c r="O47" s="66">
        <f t="shared" si="8"/>
        <v>0</v>
      </c>
      <c r="P47" s="66">
        <f t="shared" si="17"/>
        <v>0.22</v>
      </c>
      <c r="Q47" s="85">
        <f t="shared" si="19"/>
        <v>0.13660269107301409</v>
      </c>
      <c r="R47" s="66"/>
      <c r="S47" s="66"/>
      <c r="T47" s="66"/>
      <c r="U47" s="85"/>
      <c r="V47" s="66">
        <f t="shared" si="9"/>
        <v>0.71250000000000002</v>
      </c>
      <c r="W47" s="66">
        <f t="shared" si="10"/>
        <v>0</v>
      </c>
      <c r="X47" s="66">
        <f t="shared" si="20"/>
        <v>0.71250000000000002</v>
      </c>
      <c r="Y47" s="85">
        <f t="shared" si="21"/>
        <v>0.4424064426796479</v>
      </c>
      <c r="Z47" s="66"/>
      <c r="AA47" s="66"/>
      <c r="AB47" s="66"/>
      <c r="AC47" s="85"/>
      <c r="AD47" s="66">
        <f t="shared" si="11"/>
        <v>0.87500000000000011</v>
      </c>
      <c r="AE47" s="66">
        <f t="shared" si="12"/>
        <v>0</v>
      </c>
      <c r="AF47" s="66">
        <f t="shared" si="22"/>
        <v>0.87500000000000011</v>
      </c>
      <c r="AG47" s="85">
        <f t="shared" si="23"/>
        <v>0.54330615767676071</v>
      </c>
      <c r="AH47" s="66"/>
      <c r="AI47" s="66"/>
      <c r="AJ47" s="66"/>
      <c r="AK47" s="85"/>
      <c r="AL47" s="66">
        <f t="shared" si="13"/>
        <v>1.5</v>
      </c>
      <c r="AM47" s="66">
        <f t="shared" si="14"/>
        <v>0</v>
      </c>
      <c r="AN47" s="66">
        <f t="shared" si="24"/>
        <v>1.5</v>
      </c>
      <c r="AO47" s="85">
        <f t="shared" si="25"/>
        <v>0.93138198458873245</v>
      </c>
      <c r="AP47" s="66"/>
      <c r="AQ47" s="66"/>
      <c r="AR47" s="66"/>
      <c r="AS47" s="85"/>
      <c r="AT47" s="66">
        <f t="shared" si="15"/>
        <v>0.83125000000000004</v>
      </c>
      <c r="AU47" s="66">
        <f t="shared" si="16"/>
        <v>0</v>
      </c>
      <c r="AV47" s="66">
        <f t="shared" si="26"/>
        <v>0.83125000000000004</v>
      </c>
      <c r="AW47" s="85">
        <f t="shared" si="27"/>
        <v>0.51614084979292263</v>
      </c>
      <c r="AX47" s="66"/>
      <c r="AY47" s="66"/>
      <c r="AZ47" s="66"/>
      <c r="BA47" s="85"/>
    </row>
    <row r="48" spans="1:53" s="50" customFormat="1" x14ac:dyDescent="0.25">
      <c r="A48" s="60">
        <f t="shared" si="5"/>
        <v>45976</v>
      </c>
      <c r="B48" s="62">
        <v>5.0000000000000001E-3</v>
      </c>
      <c r="C48" s="62">
        <v>5.0000000000000001E-3</v>
      </c>
      <c r="D48" s="62">
        <v>1.4999999999999999E-2</v>
      </c>
      <c r="E48" s="62">
        <v>5.0000000000000001E-3</v>
      </c>
      <c r="F48" s="62">
        <v>1.7500000000000002E-2</v>
      </c>
      <c r="G48" s="62">
        <v>1.2500000000000001E-2</v>
      </c>
      <c r="H48" s="62">
        <v>0.03</v>
      </c>
      <c r="I48" s="69">
        <v>1.6250000000000001E-2</v>
      </c>
      <c r="J48" s="62">
        <v>1.7500000000000002E-2</v>
      </c>
      <c r="K48" s="62">
        <v>0.01</v>
      </c>
      <c r="L48" s="68"/>
      <c r="M48" s="64">
        <f t="shared" si="6"/>
        <v>45976</v>
      </c>
      <c r="N48" s="65">
        <f t="shared" si="7"/>
        <v>0.22</v>
      </c>
      <c r="O48" s="66">
        <f t="shared" si="8"/>
        <v>0</v>
      </c>
      <c r="P48" s="66">
        <f t="shared" si="17"/>
        <v>0.22</v>
      </c>
      <c r="Q48" s="85">
        <f t="shared" si="19"/>
        <v>0.13024555552839179</v>
      </c>
      <c r="R48" s="66">
        <f>+IF($M48&gt;C$22,"FIN",IF($M48&lt;C$30,C$31*VLOOKUP($M48,$A:$L,3,0)/VLOOKUP(C$28,$M$7:$O$10,2,0),(C$31-C$31/C$29*(C$29-(YEAR(C$22)-YEAR($M48)+1)))*VLOOKUP($M48,$A:$L,3,0)/VLOOKUP(C$28,$M$7:$O$10,2,0)))</f>
        <v>0.41000000000000003</v>
      </c>
      <c r="S48" s="66">
        <f>+IF($M48&gt;C$22,"FIN",IF($M48&lt;=C$22,IFERROR(IF($M48&lt;C$30,0,IF(MONTH($M48)=MONTH(C$30),C$31/C$29,0)),0),0))</f>
        <v>0</v>
      </c>
      <c r="T48" s="66">
        <f t="shared" si="18"/>
        <v>0.41000000000000003</v>
      </c>
      <c r="U48" s="85">
        <f>T48/(1+$B$18)^(YEARFRAC($M$37,$M48))</f>
        <v>0.24273035348473015</v>
      </c>
      <c r="V48" s="66">
        <f t="shared" si="9"/>
        <v>0.71250000000000002</v>
      </c>
      <c r="W48" s="66">
        <f t="shared" si="10"/>
        <v>0</v>
      </c>
      <c r="X48" s="66">
        <f t="shared" si="20"/>
        <v>0.71250000000000002</v>
      </c>
      <c r="Y48" s="85">
        <f t="shared" si="21"/>
        <v>0.42181799233626882</v>
      </c>
      <c r="Z48" s="66">
        <f>+IF($M48&gt;E$22,"FIN",IF($M48&lt;E$30,E$31*VLOOKUP($M48,$A:$L,5,0)/VLOOKUP(E$28,$M$7:$O$10,2,0),(E$31-E$31/E$29*(E$29-(YEAR(E$22)-YEAR($M48)+1)))*VLOOKUP($M48,$A:$L,5,0)/VLOOKUP(E$28,$M$7:$O$10,2,0)))</f>
        <v>0.47500000000000003</v>
      </c>
      <c r="AA48" s="66">
        <f>+IF($M48&gt;E$22,"FIN",IF($M48&lt;=E$22,IFERROR(IF($M48&lt;E$30,0,IF(MONTH($M48)=MONTH(E$30),E$31/E$29,0)),0),0))</f>
        <v>0</v>
      </c>
      <c r="AB48" s="66">
        <f t="shared" si="28"/>
        <v>0.47500000000000003</v>
      </c>
      <c r="AC48" s="85">
        <f>AB48/(1+$B$18)^(YEARFRAC($M$37,$M48))</f>
        <v>0.28121199489084592</v>
      </c>
      <c r="AD48" s="66">
        <f t="shared" si="11"/>
        <v>0.87500000000000011</v>
      </c>
      <c r="AE48" s="66">
        <f t="shared" si="12"/>
        <v>0</v>
      </c>
      <c r="AF48" s="66">
        <f t="shared" si="22"/>
        <v>0.87500000000000011</v>
      </c>
      <c r="AG48" s="85">
        <f t="shared" si="23"/>
        <v>0.51802209585155823</v>
      </c>
      <c r="AH48" s="66">
        <f>+IF($M48&gt;G$22,"FIN",IF($M48&lt;G$30,G$31*VLOOKUP($M48,$A:$L,7,0)/VLOOKUP(G$28,$M$7:$O$10,2,0),(G$31-G$31/G$29*(G$29-(YEAR(G$22)-YEAR($M48)+1)))*VLOOKUP($M48,$A:$L,7,0)/VLOOKUP(G$28,$M$7:$O$10,2,0)))</f>
        <v>1.25</v>
      </c>
      <c r="AI48" s="66">
        <f>+IF($M48&gt;G$22,"FIN",IF($M48&lt;=G$22,IFERROR(IF($M48&lt;G$30,0,IF(MONTH($M48)=MONTH(G$30),G$31/G$29,0)),0),0))</f>
        <v>0</v>
      </c>
      <c r="AJ48" s="66">
        <f t="shared" si="29"/>
        <v>1.25</v>
      </c>
      <c r="AK48" s="85">
        <f>AJ48/(1+$B$18)^(YEARFRAC($M$37,$M48))</f>
        <v>0.74003156550222604</v>
      </c>
      <c r="AL48" s="66">
        <f t="shared" si="13"/>
        <v>1.5</v>
      </c>
      <c r="AM48" s="66">
        <f t="shared" si="14"/>
        <v>0</v>
      </c>
      <c r="AN48" s="66">
        <f t="shared" si="24"/>
        <v>1.5</v>
      </c>
      <c r="AO48" s="85">
        <f t="shared" si="25"/>
        <v>0.88803787860267125</v>
      </c>
      <c r="AP48" s="66">
        <f>+IF($M48&gt;I$22,"FIN",IF($M48&lt;I$30,I$31*VLOOKUP($M48,$A:$L,9,0)/VLOOKUP(I$28,$M$7:$O$10,2,0),(I$31-I$31/I$29*(I$29-(YEAR(I$22)-YEAR($M48)+1)))*VLOOKUP($M48,$A:$L,9,0)/VLOOKUP(I$28,$M$7:$O$10,2,0)))</f>
        <v>1.625</v>
      </c>
      <c r="AQ48" s="66">
        <f>+IF($M48&gt;I$22,"FIN",IF($M48&lt;=I$22,IFERROR(IF($M48&lt;I$30,0,IF(MONTH($M48)=MONTH(I$30),I$31/I$29,0)),0),0))</f>
        <v>0</v>
      </c>
      <c r="AR48" s="66">
        <f t="shared" si="30"/>
        <v>1.625</v>
      </c>
      <c r="AS48" s="85">
        <f>AR48/(1+$B$18)^(YEARFRAC($M$37,$M48))</f>
        <v>0.96204103515289385</v>
      </c>
      <c r="AT48" s="66">
        <f t="shared" si="15"/>
        <v>0.83125000000000004</v>
      </c>
      <c r="AU48" s="66">
        <f t="shared" si="16"/>
        <v>0</v>
      </c>
      <c r="AV48" s="66">
        <f t="shared" si="26"/>
        <v>0.83125000000000004</v>
      </c>
      <c r="AW48" s="85">
        <f t="shared" si="27"/>
        <v>0.49212099105898033</v>
      </c>
      <c r="AX48" s="66">
        <f>+IF($M48&gt;K$22,"FIN",IF($M48&lt;K$30,K$31*VLOOKUP($M48,$A:$L,11,0)/VLOOKUP(K$28,$M$7:$O$10,2,0),(K$31-K$31/K$29*(K$29-(YEAR(K$22)-YEAR($M48)+1)))*VLOOKUP($M48,$A:$L,11,0)/VLOOKUP(K$28,$M$7:$O$10,2,0)))</f>
        <v>0.95000000000000007</v>
      </c>
      <c r="AY48" s="66">
        <f>+IF($M48&gt;K$22,"FIN",IF($M48&lt;=K$22,IFERROR(IF($M48&lt;K$30,0,IF(MONTH($M48)=MONTH(K$30),K$31/K$29,0)),0),0))</f>
        <v>0</v>
      </c>
      <c r="AZ48" s="66">
        <f t="shared" si="31"/>
        <v>0.95000000000000007</v>
      </c>
      <c r="BA48" s="85">
        <f>AZ48/(1+$B$18)^(YEARFRAC($M$37,$M48))</f>
        <v>0.56242398978169184</v>
      </c>
    </row>
    <row r="49" spans="1:53" s="50" customFormat="1" x14ac:dyDescent="0.25">
      <c r="A49" s="60">
        <f t="shared" si="5"/>
        <v>46157</v>
      </c>
      <c r="B49" s="62">
        <v>0.01</v>
      </c>
      <c r="C49" s="62">
        <v>7.4999999999999997E-3</v>
      </c>
      <c r="D49" s="62">
        <v>2.75E-2</v>
      </c>
      <c r="E49" s="62">
        <v>0.02</v>
      </c>
      <c r="F49" s="62">
        <v>0.04</v>
      </c>
      <c r="G49" s="62">
        <v>0.02</v>
      </c>
      <c r="H49" s="69">
        <v>3.6249999999999998E-2</v>
      </c>
      <c r="I49" s="62">
        <v>2.5000000000000001E-2</v>
      </c>
      <c r="J49" s="62">
        <v>3.7499999999999999E-2</v>
      </c>
      <c r="K49" s="62">
        <v>2.75E-2</v>
      </c>
      <c r="L49" s="68"/>
      <c r="M49" s="64">
        <f t="shared" si="6"/>
        <v>46157</v>
      </c>
      <c r="N49" s="65">
        <f t="shared" si="7"/>
        <v>0.44</v>
      </c>
      <c r="O49" s="66">
        <f t="shared" si="8"/>
        <v>0</v>
      </c>
      <c r="P49" s="66">
        <f t="shared" si="17"/>
        <v>0.44</v>
      </c>
      <c r="Q49" s="85">
        <f t="shared" si="19"/>
        <v>0.24836852922366195</v>
      </c>
      <c r="R49" s="66"/>
      <c r="S49" s="66"/>
      <c r="T49" s="66"/>
      <c r="U49" s="85"/>
      <c r="V49" s="66">
        <f t="shared" si="9"/>
        <v>1.3062499999999999</v>
      </c>
      <c r="W49" s="66">
        <f t="shared" si="10"/>
        <v>0</v>
      </c>
      <c r="X49" s="66">
        <f t="shared" si="20"/>
        <v>1.3062499999999999</v>
      </c>
      <c r="Y49" s="85">
        <f t="shared" si="21"/>
        <v>0.73734407113274636</v>
      </c>
      <c r="Z49" s="66"/>
      <c r="AA49" s="66"/>
      <c r="AB49" s="66"/>
      <c r="AC49" s="85"/>
      <c r="AD49" s="66">
        <f t="shared" si="11"/>
        <v>2</v>
      </c>
      <c r="AE49" s="66">
        <f t="shared" si="12"/>
        <v>0</v>
      </c>
      <c r="AF49" s="66">
        <f t="shared" si="22"/>
        <v>2</v>
      </c>
      <c r="AG49" s="85">
        <f t="shared" si="23"/>
        <v>1.1289478601075544</v>
      </c>
      <c r="AH49" s="66"/>
      <c r="AI49" s="66"/>
      <c r="AJ49" s="66"/>
      <c r="AK49" s="85"/>
      <c r="AL49" s="66">
        <f t="shared" si="13"/>
        <v>1.8124999999999998</v>
      </c>
      <c r="AM49" s="66">
        <f t="shared" si="14"/>
        <v>0</v>
      </c>
      <c r="AN49" s="66">
        <f t="shared" si="24"/>
        <v>1.8124999999999998</v>
      </c>
      <c r="AO49" s="85">
        <f t="shared" si="25"/>
        <v>1.023108998222471</v>
      </c>
      <c r="AP49" s="66"/>
      <c r="AQ49" s="66"/>
      <c r="AR49" s="66"/>
      <c r="AS49" s="85"/>
      <c r="AT49" s="66">
        <f t="shared" si="15"/>
        <v>1.78125</v>
      </c>
      <c r="AU49" s="66">
        <f t="shared" si="16"/>
        <v>0</v>
      </c>
      <c r="AV49" s="66">
        <f t="shared" si="26"/>
        <v>1.78125</v>
      </c>
      <c r="AW49" s="85">
        <f t="shared" si="27"/>
        <v>1.0054691879082907</v>
      </c>
      <c r="AX49" s="66"/>
      <c r="AY49" s="66"/>
      <c r="AZ49" s="66"/>
      <c r="BA49" s="85"/>
    </row>
    <row r="50" spans="1:53" s="50" customFormat="1" x14ac:dyDescent="0.25">
      <c r="A50" s="60">
        <f t="shared" si="5"/>
        <v>46341</v>
      </c>
      <c r="B50" s="62">
        <v>0.01</v>
      </c>
      <c r="C50" s="62">
        <v>7.4999999999999997E-3</v>
      </c>
      <c r="D50" s="62">
        <v>2.75E-2</v>
      </c>
      <c r="E50" s="62">
        <v>0.02</v>
      </c>
      <c r="F50" s="62">
        <v>0.04</v>
      </c>
      <c r="G50" s="62">
        <v>0.02</v>
      </c>
      <c r="H50" s="69">
        <v>3.6249999999999998E-2</v>
      </c>
      <c r="I50" s="62">
        <v>2.5000000000000001E-2</v>
      </c>
      <c r="J50" s="62">
        <v>3.7499999999999999E-2</v>
      </c>
      <c r="K50" s="62">
        <v>2.75E-2</v>
      </c>
      <c r="L50" s="68"/>
      <c r="M50" s="64">
        <f t="shared" si="6"/>
        <v>46341</v>
      </c>
      <c r="N50" s="65">
        <f t="shared" si="7"/>
        <v>0.44</v>
      </c>
      <c r="O50" s="66">
        <f t="shared" si="8"/>
        <v>17.600000000000001</v>
      </c>
      <c r="P50" s="66">
        <f t="shared" si="17"/>
        <v>18.040000000000003</v>
      </c>
      <c r="Q50" s="85">
        <f t="shared" si="19"/>
        <v>9.7092141393892053</v>
      </c>
      <c r="R50" s="66">
        <f>+IF($M50&gt;C$22,"FIN",IF($M50&lt;C$30,C$31*VLOOKUP($M50,$A:$L,3,0)/VLOOKUP(C$28,$M$7:$O$10,2,0),(C$31-C$31/C$29*(C$29-(YEAR(C$22)-YEAR($M50)+1)))*VLOOKUP($M50,$A:$L,3,0)/VLOOKUP(C$28,$M$7:$O$10,2,0)))</f>
        <v>0.61499999999999999</v>
      </c>
      <c r="S50" s="66">
        <f>+IF($M50&gt;C$22,"FIN",IF($M50&lt;=C$22,IFERROR(IF($M50&lt;C$30,0,IF(MONTH($M50)=MONTH(C$30),C$31/C$29,0)),0),0))</f>
        <v>16.399999999999999</v>
      </c>
      <c r="T50" s="66">
        <f t="shared" si="18"/>
        <v>17.014999999999997</v>
      </c>
      <c r="U50" s="85">
        <f>T50/(1+$B$18)^(YEARFRAC($M$37,$M50))</f>
        <v>9.1575542451057252</v>
      </c>
      <c r="V50" s="66">
        <f t="shared" si="9"/>
        <v>1.3062499999999999</v>
      </c>
      <c r="W50" s="66">
        <f t="shared" si="10"/>
        <v>0</v>
      </c>
      <c r="X50" s="66">
        <f t="shared" si="20"/>
        <v>1.3062499999999999</v>
      </c>
      <c r="Y50" s="85">
        <f t="shared" si="21"/>
        <v>0.70302998722711452</v>
      </c>
      <c r="Z50" s="66">
        <f>+IF($M50&gt;E$22,"FIN",IF($M50&lt;E$30,E$31*VLOOKUP($M50,$A:$L,5,0)/VLOOKUP(E$28,$M$7:$O$10,2,0),(E$31-E$31/E$29*(E$29-(YEAR(E$22)-YEAR($M50)+1)))*VLOOKUP($M50,$A:$L,5,0)/VLOOKUP(E$28,$M$7:$O$10,2,0)))</f>
        <v>1.9000000000000001</v>
      </c>
      <c r="AA50" s="66">
        <f>+IF($M50&gt;E$22,"FIN",IF($M50&lt;=E$22,IFERROR(IF($M50&lt;E$30,0,IF(MONTH($M50)=MONTH(E$30),E$31/E$29,0)),0),0))</f>
        <v>0</v>
      </c>
      <c r="AB50" s="66">
        <f t="shared" si="28"/>
        <v>1.9000000000000001</v>
      </c>
      <c r="AC50" s="85">
        <f>AB50/(1+$B$18)^(YEARFRAC($M$37,$M50))</f>
        <v>1.0225890723303486</v>
      </c>
      <c r="AD50" s="66">
        <f t="shared" si="11"/>
        <v>2</v>
      </c>
      <c r="AE50" s="66">
        <f t="shared" si="12"/>
        <v>0</v>
      </c>
      <c r="AF50" s="66">
        <f t="shared" si="22"/>
        <v>2</v>
      </c>
      <c r="AG50" s="85">
        <f t="shared" si="23"/>
        <v>1.0764095498214195</v>
      </c>
      <c r="AH50" s="66">
        <f>+IF($M50&gt;G$22,"FIN",IF($M50&lt;G$30,G$31*VLOOKUP($M50,$A:$L,7,0)/VLOOKUP(G$28,$M$7:$O$10,2,0),(G$31-G$31/G$29*(G$29-(YEAR(G$22)-YEAR($M50)+1)))*VLOOKUP($M50,$A:$L,7,0)/VLOOKUP(G$28,$M$7:$O$10,2,0)))</f>
        <v>2</v>
      </c>
      <c r="AI50" s="66">
        <f>+IF($M50&gt;G$22,"FIN",IF($M50&lt;=G$22,IFERROR(IF($M50&lt;G$30,0,IF(MONTH($M50)=MONTH(G$30),G$31/G$29,0)),0),0))</f>
        <v>0</v>
      </c>
      <c r="AJ50" s="66">
        <f t="shared" si="29"/>
        <v>2</v>
      </c>
      <c r="AK50" s="85">
        <f>AJ50/(1+$B$18)^(YEARFRAC($M$37,$M50))</f>
        <v>1.0764095498214195</v>
      </c>
      <c r="AL50" s="66">
        <f t="shared" si="13"/>
        <v>1.8124999999999998</v>
      </c>
      <c r="AM50" s="66">
        <f t="shared" si="14"/>
        <v>0</v>
      </c>
      <c r="AN50" s="66">
        <f t="shared" si="24"/>
        <v>1.8124999999999998</v>
      </c>
      <c r="AO50" s="85">
        <f t="shared" si="25"/>
        <v>0.9754961545256613</v>
      </c>
      <c r="AP50" s="66">
        <f>+IF($M50&gt;I$22,"FIN",IF($M50&lt;I$30,I$31*VLOOKUP($M50,$A:$L,9,0)/VLOOKUP(I$28,$M$7:$O$10,2,0),(I$31-I$31/I$29*(I$29-(YEAR(I$22)-YEAR($M50)+1)))*VLOOKUP($M50,$A:$L,9,0)/VLOOKUP(I$28,$M$7:$O$10,2,0)))</f>
        <v>2.5</v>
      </c>
      <c r="AQ50" s="66">
        <f>+IF($M50&gt;I$22,"FIN",IF($M50&lt;=I$22,IFERROR(IF($M50&lt;I$30,0,IF(MONTH($M50)=MONTH(I$30),I$31/I$29,0)),0),0))</f>
        <v>0</v>
      </c>
      <c r="AR50" s="66">
        <f t="shared" si="30"/>
        <v>2.5</v>
      </c>
      <c r="AS50" s="85">
        <f>AR50/(1+$B$18)^(YEARFRAC($M$37,$M50))</f>
        <v>1.3455119372767743</v>
      </c>
      <c r="AT50" s="66">
        <f t="shared" si="15"/>
        <v>1.78125</v>
      </c>
      <c r="AU50" s="66">
        <f t="shared" si="16"/>
        <v>0</v>
      </c>
      <c r="AV50" s="66">
        <f t="shared" si="26"/>
        <v>1.78125</v>
      </c>
      <c r="AW50" s="85">
        <f t="shared" si="27"/>
        <v>0.95867725530970171</v>
      </c>
      <c r="AX50" s="66">
        <f>+IF($M50&gt;K$22,"FIN",IF($M50&lt;K$30,K$31*VLOOKUP($M50,$A:$L,11,0)/VLOOKUP(K$28,$M$7:$O$10,2,0),(K$31-K$31/K$29*(K$29-(YEAR(K$22)-YEAR($M50)+1)))*VLOOKUP($M50,$A:$L,11,0)/VLOOKUP(K$28,$M$7:$O$10,2,0)))</f>
        <v>2.6124999999999998</v>
      </c>
      <c r="AY50" s="66">
        <f>+IF($M50&gt;K$22,"FIN",IF($M50&lt;=K$22,IFERROR(IF($M50&lt;K$30,0,IF(MONTH($M50)=MONTH(K$30),K$31/K$29,0)),0),0))</f>
        <v>0</v>
      </c>
      <c r="AZ50" s="66">
        <f t="shared" si="31"/>
        <v>2.6124999999999998</v>
      </c>
      <c r="BA50" s="85">
        <f>AZ50/(1+$B$18)^(YEARFRAC($M$37,$M50))</f>
        <v>1.406059974454229</v>
      </c>
    </row>
    <row r="51" spans="1:53" s="50" customFormat="1" x14ac:dyDescent="0.25">
      <c r="A51" s="60">
        <f t="shared" si="5"/>
        <v>46522</v>
      </c>
      <c r="B51" s="62">
        <v>0.01</v>
      </c>
      <c r="C51" s="62">
        <v>7.4999999999999997E-3</v>
      </c>
      <c r="D51" s="62">
        <v>2.75E-2</v>
      </c>
      <c r="E51" s="62">
        <v>0.02</v>
      </c>
      <c r="F51" s="62">
        <v>0.04</v>
      </c>
      <c r="G51" s="62">
        <v>0.02</v>
      </c>
      <c r="H51" s="69">
        <v>3.6249999999999998E-2</v>
      </c>
      <c r="I51" s="62">
        <v>2.5000000000000001E-2</v>
      </c>
      <c r="J51" s="62">
        <v>3.7499999999999999E-2</v>
      </c>
      <c r="K51" s="62">
        <v>2.75E-2</v>
      </c>
      <c r="L51" s="68"/>
      <c r="M51" s="64">
        <f t="shared" si="6"/>
        <v>46522</v>
      </c>
      <c r="N51" s="65">
        <f t="shared" si="7"/>
        <v>0.35200000000000004</v>
      </c>
      <c r="O51" s="66">
        <f t="shared" si="8"/>
        <v>0</v>
      </c>
      <c r="P51" s="66">
        <f t="shared" si="17"/>
        <v>0.35200000000000004</v>
      </c>
      <c r="Q51" s="85">
        <f t="shared" si="19"/>
        <v>0.18063165761720867</v>
      </c>
      <c r="R51" s="66"/>
      <c r="S51" s="66"/>
      <c r="T51" s="66"/>
      <c r="U51" s="85"/>
      <c r="V51" s="66">
        <f t="shared" si="9"/>
        <v>1.3062499999999999</v>
      </c>
      <c r="W51" s="66">
        <f t="shared" si="10"/>
        <v>0</v>
      </c>
      <c r="X51" s="66">
        <f t="shared" si="20"/>
        <v>1.3062499999999999</v>
      </c>
      <c r="Y51" s="85">
        <f t="shared" si="21"/>
        <v>0.67031279193886029</v>
      </c>
      <c r="Z51" s="66"/>
      <c r="AA51" s="66"/>
      <c r="AB51" s="66"/>
      <c r="AC51" s="85"/>
      <c r="AD51" s="66">
        <f t="shared" si="11"/>
        <v>2</v>
      </c>
      <c r="AE51" s="66">
        <f t="shared" si="12"/>
        <v>0</v>
      </c>
      <c r="AF51" s="66">
        <f t="shared" si="22"/>
        <v>2</v>
      </c>
      <c r="AG51" s="85">
        <f t="shared" si="23"/>
        <v>1.0263162364614129</v>
      </c>
      <c r="AH51" s="66"/>
      <c r="AI51" s="66"/>
      <c r="AJ51" s="66"/>
      <c r="AK51" s="85"/>
      <c r="AL51" s="66">
        <f t="shared" si="13"/>
        <v>1.8124999999999998</v>
      </c>
      <c r="AM51" s="66">
        <f t="shared" si="14"/>
        <v>0</v>
      </c>
      <c r="AN51" s="66">
        <f t="shared" si="24"/>
        <v>1.8124999999999998</v>
      </c>
      <c r="AO51" s="85">
        <f t="shared" si="25"/>
        <v>0.93009908929315532</v>
      </c>
      <c r="AP51" s="66"/>
      <c r="AQ51" s="66"/>
      <c r="AR51" s="66"/>
      <c r="AS51" s="85"/>
      <c r="AT51" s="66">
        <f t="shared" si="15"/>
        <v>1.78125</v>
      </c>
      <c r="AU51" s="66">
        <f t="shared" si="16"/>
        <v>0</v>
      </c>
      <c r="AV51" s="66">
        <f t="shared" si="26"/>
        <v>1.78125</v>
      </c>
      <c r="AW51" s="85">
        <f t="shared" si="27"/>
        <v>0.91406289809844588</v>
      </c>
      <c r="AX51" s="66"/>
      <c r="AY51" s="66"/>
      <c r="AZ51" s="66"/>
      <c r="BA51" s="85"/>
    </row>
    <row r="52" spans="1:53" s="50" customFormat="1" x14ac:dyDescent="0.25">
      <c r="A52" s="60">
        <f t="shared" si="5"/>
        <v>46706</v>
      </c>
      <c r="B52" s="62">
        <v>0.01</v>
      </c>
      <c r="C52" s="62">
        <v>7.4999999999999997E-3</v>
      </c>
      <c r="D52" s="62">
        <v>2.75E-2</v>
      </c>
      <c r="E52" s="62">
        <v>0.02</v>
      </c>
      <c r="F52" s="62">
        <v>0.04</v>
      </c>
      <c r="G52" s="62">
        <v>0.02</v>
      </c>
      <c r="H52" s="69">
        <v>3.6249999999999998E-2</v>
      </c>
      <c r="I52" s="62">
        <v>2.5000000000000001E-2</v>
      </c>
      <c r="J52" s="62">
        <v>3.7499999999999999E-2</v>
      </c>
      <c r="K52" s="62">
        <v>2.75E-2</v>
      </c>
      <c r="L52" s="68"/>
      <c r="M52" s="64">
        <f t="shared" si="6"/>
        <v>46706</v>
      </c>
      <c r="N52" s="65">
        <f t="shared" si="7"/>
        <v>0.35200000000000004</v>
      </c>
      <c r="O52" s="66">
        <f t="shared" si="8"/>
        <v>17.600000000000001</v>
      </c>
      <c r="P52" s="66">
        <f t="shared" si="17"/>
        <v>17.952000000000002</v>
      </c>
      <c r="Q52" s="85">
        <f t="shared" si="19"/>
        <v>8.7835019265427832</v>
      </c>
      <c r="R52" s="66">
        <f>+IF($M52&gt;C$22,"FIN",IF($M52&lt;C$30,C$31*VLOOKUP($M52,$A:$L,3,0)/VLOOKUP(C$28,$M$7:$O$10,2,0),(C$31-C$31/C$29*(C$29-(YEAR(C$22)-YEAR($M52)+1)))*VLOOKUP($M52,$A:$L,3,0)/VLOOKUP(C$28,$M$7:$O$10,2,0)))</f>
        <v>0.49199999999999994</v>
      </c>
      <c r="S52" s="66">
        <f>+IF($M52&gt;C$22,"FIN",IF($M52&lt;=C$22,IFERROR(IF($M52&lt;C$30,0,IF(MONTH($M52)=MONTH(C$30),C$31/C$29,0)),0),0))</f>
        <v>16.399999999999999</v>
      </c>
      <c r="T52" s="66">
        <f t="shared" si="18"/>
        <v>16.891999999999999</v>
      </c>
      <c r="U52" s="85">
        <f>T52/(1+$B$18)^(YEARFRAC($M$37,$M52))</f>
        <v>8.2648682343560971</v>
      </c>
      <c r="V52" s="66">
        <f t="shared" si="9"/>
        <v>1.3062499999999999</v>
      </c>
      <c r="W52" s="66">
        <f t="shared" si="10"/>
        <v>0</v>
      </c>
      <c r="X52" s="66">
        <f t="shared" si="20"/>
        <v>1.3062499999999999</v>
      </c>
      <c r="Y52" s="85">
        <f t="shared" si="21"/>
        <v>0.63911817020646766</v>
      </c>
      <c r="Z52" s="66">
        <f>+IF($M52&gt;E$22,"FIN",IF($M52&lt;E$30,E$31*VLOOKUP($M52,$A:$L,5,0)/VLOOKUP(E$28,$M$7:$O$10,2,0),(E$31-E$31/E$29*(E$29-(YEAR(E$22)-YEAR($M52)+1)))*VLOOKUP($M52,$A:$L,5,0)/VLOOKUP(E$28,$M$7:$O$10,2,0)))</f>
        <v>1.9000000000000001</v>
      </c>
      <c r="AA52" s="66">
        <f>+IF($M52&gt;E$22,"FIN",IF($M52&lt;=E$22,IFERROR(IF($M52&lt;E$30,0,IF(MONTH($M52)=MONTH(E$30),E$31/E$29,0)),0),0))</f>
        <v>0</v>
      </c>
      <c r="AB52" s="66">
        <f t="shared" si="28"/>
        <v>1.9000000000000001</v>
      </c>
      <c r="AC52" s="85">
        <f>AB52/(1+$B$18)^(YEARFRAC($M$37,$M52))</f>
        <v>0.92962642939122586</v>
      </c>
      <c r="AD52" s="66">
        <f t="shared" si="11"/>
        <v>2</v>
      </c>
      <c r="AE52" s="66">
        <f t="shared" si="12"/>
        <v>0</v>
      </c>
      <c r="AF52" s="66">
        <f t="shared" si="22"/>
        <v>2</v>
      </c>
      <c r="AG52" s="85">
        <f t="shared" si="23"/>
        <v>0.97855413620129028</v>
      </c>
      <c r="AH52" s="66">
        <f>+IF($M52&gt;G$22,"FIN",IF($M52&lt;G$30,G$31*VLOOKUP($M52,$A:$L,7,0)/VLOOKUP(G$28,$M$7:$O$10,2,0),(G$31-G$31/G$29*(G$29-(YEAR(G$22)-YEAR($M52)+1)))*VLOOKUP($M52,$A:$L,7,0)/VLOOKUP(G$28,$M$7:$O$10,2,0)))</f>
        <v>2</v>
      </c>
      <c r="AI52" s="66">
        <f>+IF($M52&gt;G$22,"FIN",IF($M52&lt;=G$22,IFERROR(IF($M52&lt;G$30,0,IF(MONTH($M52)=MONTH(G$30),G$31/G$29,0)),0),0))</f>
        <v>0</v>
      </c>
      <c r="AJ52" s="66">
        <f t="shared" si="29"/>
        <v>2</v>
      </c>
      <c r="AK52" s="85">
        <f>AJ52/(1+$B$18)^(YEARFRAC($M$37,$M52))</f>
        <v>0.97855413620129028</v>
      </c>
      <c r="AL52" s="66">
        <f t="shared" si="13"/>
        <v>1.8124999999999998</v>
      </c>
      <c r="AM52" s="66">
        <f t="shared" si="14"/>
        <v>0</v>
      </c>
      <c r="AN52" s="66">
        <f t="shared" si="24"/>
        <v>1.8124999999999998</v>
      </c>
      <c r="AO52" s="85">
        <f t="shared" si="25"/>
        <v>0.88681468593241919</v>
      </c>
      <c r="AP52" s="66">
        <f>+IF($M52&gt;I$22,"FIN",IF($M52&lt;I$30,I$31*VLOOKUP($M52,$A:$L,9,0)/VLOOKUP(I$28,$M$7:$O$10,2,0),(I$31-I$31/I$29*(I$29-(YEAR(I$22)-YEAR($M52)+1)))*VLOOKUP($M52,$A:$L,9,0)/VLOOKUP(I$28,$M$7:$O$10,2,0)))</f>
        <v>2.5</v>
      </c>
      <c r="AQ52" s="66">
        <f>+IF($M52&gt;I$22,"FIN",IF($M52&lt;=I$22,IFERROR(IF($M52&lt;I$30,0,IF(MONTH($M52)=MONTH(I$30),I$31/I$29,0)),0),0))</f>
        <v>0</v>
      </c>
      <c r="AR52" s="66">
        <f t="shared" si="30"/>
        <v>2.5</v>
      </c>
      <c r="AS52" s="85">
        <f>AR52/(1+$B$18)^(YEARFRAC($M$37,$M52))</f>
        <v>1.2231926702516129</v>
      </c>
      <c r="AT52" s="66">
        <f t="shared" si="15"/>
        <v>1.78125</v>
      </c>
      <c r="AU52" s="66">
        <f t="shared" si="16"/>
        <v>0</v>
      </c>
      <c r="AV52" s="66">
        <f t="shared" si="26"/>
        <v>1.78125</v>
      </c>
      <c r="AW52" s="85">
        <f t="shared" si="27"/>
        <v>0.87152477755427415</v>
      </c>
      <c r="AX52" s="66">
        <f>+IF($M52&gt;K$22,"FIN",IF($M52&lt;K$30,K$31*VLOOKUP($M52,$A:$L,11,0)/VLOOKUP(K$28,$M$7:$O$10,2,0),(K$31-K$31/K$29*(K$29-(YEAR(K$22)-YEAR($M52)+1)))*VLOOKUP($M52,$A:$L,11,0)/VLOOKUP(K$28,$M$7:$O$10,2,0)))</f>
        <v>2.6124999999999998</v>
      </c>
      <c r="AY52" s="66">
        <f>+IF($M52&gt;K$22,"FIN",IF($M52&lt;=K$22,IFERROR(IF($M52&lt;K$30,0,IF(MONTH($M52)=MONTH(K$30),K$31/K$29,0)),0),0))</f>
        <v>0</v>
      </c>
      <c r="AZ52" s="66">
        <f t="shared" si="31"/>
        <v>2.6124999999999998</v>
      </c>
      <c r="BA52" s="85">
        <f>AZ52/(1+$B$18)^(YEARFRAC($M$37,$M52))</f>
        <v>1.2782363404129353</v>
      </c>
    </row>
    <row r="53" spans="1:53" s="50" customFormat="1" x14ac:dyDescent="0.25">
      <c r="A53" s="60">
        <f t="shared" si="5"/>
        <v>46888</v>
      </c>
      <c r="B53" s="62">
        <v>1.7500000000000002E-2</v>
      </c>
      <c r="C53" s="62">
        <v>7.4999999999999997E-3</v>
      </c>
      <c r="D53" s="69">
        <v>3.875E-2</v>
      </c>
      <c r="E53" s="62">
        <v>2.5000000000000001E-2</v>
      </c>
      <c r="F53" s="62">
        <v>4.4999999999999998E-2</v>
      </c>
      <c r="G53" s="62">
        <v>3.2500000000000001E-2</v>
      </c>
      <c r="H53" s="69">
        <v>3.6249999999999998E-2</v>
      </c>
      <c r="I53" s="62">
        <v>2.5000000000000001E-2</v>
      </c>
      <c r="J53" s="62">
        <v>4.7500000000000001E-2</v>
      </c>
      <c r="K53" s="62">
        <v>3.5000000000000003E-2</v>
      </c>
      <c r="L53" s="68"/>
      <c r="M53" s="64">
        <f t="shared" si="6"/>
        <v>46888</v>
      </c>
      <c r="N53" s="65">
        <f t="shared" si="7"/>
        <v>0.46200000000000002</v>
      </c>
      <c r="O53" s="66">
        <f t="shared" si="8"/>
        <v>0</v>
      </c>
      <c r="P53" s="66">
        <f t="shared" si="17"/>
        <v>0.46200000000000002</v>
      </c>
      <c r="Q53" s="85">
        <f t="shared" si="19"/>
        <v>0.21552640965689673</v>
      </c>
      <c r="R53" s="66"/>
      <c r="S53" s="66"/>
      <c r="T53" s="66"/>
      <c r="U53" s="85"/>
      <c r="V53" s="66">
        <f t="shared" si="9"/>
        <v>1.840625</v>
      </c>
      <c r="W53" s="66">
        <f t="shared" si="10"/>
        <v>0</v>
      </c>
      <c r="X53" s="66">
        <f t="shared" si="20"/>
        <v>1.840625</v>
      </c>
      <c r="Y53" s="85">
        <f t="shared" si="21"/>
        <v>0.8586651466985401</v>
      </c>
      <c r="Z53" s="66"/>
      <c r="AA53" s="66"/>
      <c r="AB53" s="66"/>
      <c r="AC53" s="85"/>
      <c r="AD53" s="66">
        <f t="shared" si="11"/>
        <v>2.25</v>
      </c>
      <c r="AE53" s="66">
        <f t="shared" si="12"/>
        <v>0</v>
      </c>
      <c r="AF53" s="66">
        <f t="shared" si="22"/>
        <v>2.25</v>
      </c>
      <c r="AG53" s="85">
        <f t="shared" si="23"/>
        <v>1.0496416054718996</v>
      </c>
      <c r="AH53" s="66"/>
      <c r="AI53" s="66"/>
      <c r="AJ53" s="66"/>
      <c r="AK53" s="85"/>
      <c r="AL53" s="66">
        <f t="shared" si="13"/>
        <v>1.8124999999999998</v>
      </c>
      <c r="AM53" s="66">
        <f t="shared" si="14"/>
        <v>0</v>
      </c>
      <c r="AN53" s="66">
        <f t="shared" si="24"/>
        <v>1.8124999999999998</v>
      </c>
      <c r="AO53" s="85">
        <f t="shared" si="25"/>
        <v>0.84554462663014129</v>
      </c>
      <c r="AP53" s="66"/>
      <c r="AQ53" s="66"/>
      <c r="AR53" s="66"/>
      <c r="AS53" s="85"/>
      <c r="AT53" s="66">
        <f t="shared" si="15"/>
        <v>2.2562500000000001</v>
      </c>
      <c r="AU53" s="66">
        <f t="shared" si="16"/>
        <v>0</v>
      </c>
      <c r="AV53" s="66">
        <f t="shared" si="26"/>
        <v>2.2562500000000001</v>
      </c>
      <c r="AW53" s="85">
        <f t="shared" si="27"/>
        <v>1.0525572765982105</v>
      </c>
      <c r="AX53" s="66"/>
      <c r="AY53" s="66"/>
      <c r="AZ53" s="66"/>
      <c r="BA53" s="85"/>
    </row>
    <row r="54" spans="1:53" s="50" customFormat="1" x14ac:dyDescent="0.25">
      <c r="A54" s="60">
        <f t="shared" si="5"/>
        <v>47072</v>
      </c>
      <c r="B54" s="62">
        <v>1.7500000000000002E-2</v>
      </c>
      <c r="C54" s="62">
        <v>7.4999999999999997E-3</v>
      </c>
      <c r="D54" s="69">
        <v>3.875E-2</v>
      </c>
      <c r="E54" s="62">
        <v>2.5000000000000001E-2</v>
      </c>
      <c r="F54" s="62">
        <v>4.4999999999999998E-2</v>
      </c>
      <c r="G54" s="62">
        <v>3.2500000000000001E-2</v>
      </c>
      <c r="H54" s="69">
        <v>3.6249999999999998E-2</v>
      </c>
      <c r="I54" s="62">
        <v>2.5000000000000001E-2</v>
      </c>
      <c r="J54" s="62">
        <v>4.7500000000000001E-2</v>
      </c>
      <c r="K54" s="62">
        <v>3.5000000000000003E-2</v>
      </c>
      <c r="L54" s="68"/>
      <c r="M54" s="64">
        <f t="shared" si="6"/>
        <v>47072</v>
      </c>
      <c r="N54" s="65">
        <f t="shared" si="7"/>
        <v>0.46200000000000002</v>
      </c>
      <c r="O54" s="66">
        <f t="shared" si="8"/>
        <v>17.600000000000001</v>
      </c>
      <c r="P54" s="66">
        <f t="shared" si="17"/>
        <v>18.062000000000001</v>
      </c>
      <c r="Q54" s="85">
        <f t="shared" si="19"/>
        <v>8.0339294582125937</v>
      </c>
      <c r="R54" s="66">
        <f>+IF($M54&gt;C$22,"FIN",IF($M54&lt;C$30,C$31*VLOOKUP($M54,$A:$L,3,0)/VLOOKUP(C$28,$M$7:$O$10,2,0),(C$31-C$31/C$29*(C$29-(YEAR(C$22)-YEAR($M54)+1)))*VLOOKUP($M54,$A:$L,3,0)/VLOOKUP(C$28,$M$7:$O$10,2,0)))</f>
        <v>0.36899999999999999</v>
      </c>
      <c r="S54" s="66">
        <f>+IF($M54&gt;C$22,"FIN",IF($M54&lt;=C$22,IFERROR(IF($M54&lt;C$30,0,IF(MONTH($M54)=MONTH(C$30),C$31/C$29,0)),0),0))</f>
        <v>16.399999999999999</v>
      </c>
      <c r="T54" s="66">
        <f t="shared" si="18"/>
        <v>16.768999999999998</v>
      </c>
      <c r="U54" s="85">
        <f>T54/(1+$B$18)^(YEARFRAC($M$37,$M54))</f>
        <v>7.4588065045270149</v>
      </c>
      <c r="V54" s="66">
        <f t="shared" si="9"/>
        <v>1.840625</v>
      </c>
      <c r="W54" s="66">
        <f t="shared" si="10"/>
        <v>0</v>
      </c>
      <c r="X54" s="66">
        <f t="shared" si="20"/>
        <v>1.840625</v>
      </c>
      <c r="Y54" s="85">
        <f t="shared" si="21"/>
        <v>0.81870509406613623</v>
      </c>
      <c r="Z54" s="66">
        <f>+IF($M54&gt;E$22,"FIN",IF($M54&lt;E$30,E$31*VLOOKUP($M54,$A:$L,5,0)/VLOOKUP(E$28,$M$7:$O$10,2,0),(E$31-E$31/E$29*(E$29-(YEAR(E$22)-YEAR($M54)+1)))*VLOOKUP($M54,$A:$L,5,0)/VLOOKUP(E$28,$M$7:$O$10,2,0)))</f>
        <v>2.375</v>
      </c>
      <c r="AA54" s="66">
        <f>+IF($M54&gt;E$22,"FIN",IF($M54&lt;=E$22,IFERROR(IF($M54&lt;E$30,0,IF(MONTH($M54)=MONTH(E$30),E$31/E$29,0)),0),0))</f>
        <v>0</v>
      </c>
      <c r="AB54" s="66">
        <f t="shared" si="28"/>
        <v>2.375</v>
      </c>
      <c r="AC54" s="85">
        <f>AB54/(1+$B$18)^(YEARFRAC($M$37,$M54))</f>
        <v>1.0563936697627565</v>
      </c>
      <c r="AD54" s="66">
        <f t="shared" si="11"/>
        <v>2.25</v>
      </c>
      <c r="AE54" s="66">
        <f t="shared" si="12"/>
        <v>0</v>
      </c>
      <c r="AF54" s="66">
        <f t="shared" si="22"/>
        <v>2.25</v>
      </c>
      <c r="AG54" s="85">
        <f t="shared" si="23"/>
        <v>1.0007940029331377</v>
      </c>
      <c r="AH54" s="66">
        <f>+IF($M54&gt;G$22,"FIN",IF($M54&lt;G$30,G$31*VLOOKUP($M54,$A:$L,7,0)/VLOOKUP(G$28,$M$7:$O$10,2,0),(G$31-G$31/G$29*(G$29-(YEAR(G$22)-YEAR($M54)+1)))*VLOOKUP($M54,$A:$L,7,0)/VLOOKUP(G$28,$M$7:$O$10,2,0)))</f>
        <v>3.25</v>
      </c>
      <c r="AI54" s="66">
        <f>+IF($M54&gt;G$22,"FIN",IF($M54&lt;=G$22,IFERROR(IF($M54&lt;G$30,0,IF(MONTH($M54)=MONTH(G$30),G$31/G$29,0)),0),0))</f>
        <v>0</v>
      </c>
      <c r="AJ54" s="66">
        <f t="shared" si="29"/>
        <v>3.25</v>
      </c>
      <c r="AK54" s="85">
        <f>AJ54/(1+$B$18)^(YEARFRAC($M$37,$M54))</f>
        <v>1.4455913375700877</v>
      </c>
      <c r="AL54" s="66">
        <f t="shared" si="13"/>
        <v>1.8124999999999998</v>
      </c>
      <c r="AM54" s="66">
        <f t="shared" si="14"/>
        <v>0</v>
      </c>
      <c r="AN54" s="66">
        <f t="shared" si="24"/>
        <v>1.8124999999999998</v>
      </c>
      <c r="AO54" s="85">
        <f t="shared" si="25"/>
        <v>0.80619516902947197</v>
      </c>
      <c r="AP54" s="66">
        <f>+IF($M54&gt;I$22,"FIN",IF($M54&lt;I$30,I$31*VLOOKUP($M54,$A:$L,9,0)/VLOOKUP(I$28,$M$7:$O$10,2,0),(I$31-I$31/I$29*(I$29-(YEAR(I$22)-YEAR($M54)+1)))*VLOOKUP($M54,$A:$L,9,0)/VLOOKUP(I$28,$M$7:$O$10,2,0)))</f>
        <v>2.5</v>
      </c>
      <c r="AQ54" s="66">
        <f>+IF($M54&gt;I$22,"FIN",IF($M54&lt;=I$22,IFERROR(IF($M54&lt;I$30,0,IF(MONTH($M54)=MONTH(I$30),I$31/I$29,0)),0),0))</f>
        <v>0</v>
      </c>
      <c r="AR54" s="66">
        <f t="shared" si="30"/>
        <v>2.5</v>
      </c>
      <c r="AS54" s="85">
        <f>AR54/(1+$B$18)^(YEARFRAC($M$37,$M54))</f>
        <v>1.1119933365923753</v>
      </c>
      <c r="AT54" s="66">
        <f t="shared" si="15"/>
        <v>2.2562500000000001</v>
      </c>
      <c r="AU54" s="66">
        <f t="shared" si="16"/>
        <v>4.75</v>
      </c>
      <c r="AV54" s="66">
        <f t="shared" si="26"/>
        <v>7.0062499999999996</v>
      </c>
      <c r="AW54" s="85">
        <f t="shared" si="27"/>
        <v>3.1163613258001313</v>
      </c>
      <c r="AX54" s="66">
        <f>+IF($M54&gt;K$22,"FIN",IF($M54&lt;K$30,K$31*VLOOKUP($M54,$A:$L,11,0)/VLOOKUP(K$28,$M$7:$O$10,2,0),(K$31-K$31/K$29*(K$29-(YEAR(K$22)-YEAR($M54)+1)))*VLOOKUP($M54,$A:$L,11,0)/VLOOKUP(K$28,$M$7:$O$10,2,0)))</f>
        <v>3.3250000000000002</v>
      </c>
      <c r="AY54" s="66">
        <f>+IF($M54&gt;K$22,"FIN",IF($M54&lt;=K$22,IFERROR(IF($M54&lt;K$30,0,IF(MONTH($M54)=MONTH(K$30),K$31/K$29,0)),0),0))</f>
        <v>4.75</v>
      </c>
      <c r="AZ54" s="66">
        <f t="shared" si="31"/>
        <v>8.0749999999999993</v>
      </c>
      <c r="BA54" s="85">
        <f>AZ54/(1+$B$18)^(YEARFRAC($M$37,$M54))</f>
        <v>3.5917384771933718</v>
      </c>
    </row>
    <row r="55" spans="1:53" s="50" customFormat="1" x14ac:dyDescent="0.25">
      <c r="A55" s="60">
        <f t="shared" si="5"/>
        <v>47253</v>
      </c>
      <c r="B55" s="62">
        <v>1.7500000000000002E-2</v>
      </c>
      <c r="C55" s="62">
        <v>7.4999999999999997E-3</v>
      </c>
      <c r="D55" s="69">
        <v>3.875E-2</v>
      </c>
      <c r="E55" s="62">
        <v>2.5000000000000001E-2</v>
      </c>
      <c r="F55" s="62">
        <v>4.4999999999999998E-2</v>
      </c>
      <c r="G55" s="62">
        <v>3.2500000000000001E-2</v>
      </c>
      <c r="H55" s="69">
        <v>3.6249999999999998E-2</v>
      </c>
      <c r="I55" s="62">
        <v>2.5000000000000001E-2</v>
      </c>
      <c r="J55" s="62">
        <v>4.7500000000000001E-2</v>
      </c>
      <c r="K55" s="62">
        <v>3.5000000000000003E-2</v>
      </c>
      <c r="L55" s="68"/>
      <c r="M55" s="64">
        <f t="shared" si="6"/>
        <v>47253</v>
      </c>
      <c r="N55" s="65">
        <f t="shared" si="7"/>
        <v>0.308</v>
      </c>
      <c r="O55" s="66">
        <f t="shared" si="8"/>
        <v>0</v>
      </c>
      <c r="P55" s="66">
        <f t="shared" si="17"/>
        <v>0.308</v>
      </c>
      <c r="Q55" s="85">
        <f t="shared" si="19"/>
        <v>0.13062206645872526</v>
      </c>
      <c r="R55" s="66"/>
      <c r="S55" s="66"/>
      <c r="T55" s="66"/>
      <c r="U55" s="85"/>
      <c r="V55" s="66">
        <f t="shared" si="9"/>
        <v>1.840625</v>
      </c>
      <c r="W55" s="66">
        <f t="shared" si="10"/>
        <v>0</v>
      </c>
      <c r="X55" s="66">
        <f t="shared" si="20"/>
        <v>1.840625</v>
      </c>
      <c r="Y55" s="85">
        <f t="shared" si="21"/>
        <v>0.78060467881685458</v>
      </c>
      <c r="Z55" s="66"/>
      <c r="AA55" s="66"/>
      <c r="AB55" s="66"/>
      <c r="AC55" s="85"/>
      <c r="AD55" s="66">
        <f t="shared" si="11"/>
        <v>2.25</v>
      </c>
      <c r="AE55" s="66">
        <f t="shared" si="12"/>
        <v>0</v>
      </c>
      <c r="AF55" s="66">
        <f t="shared" si="22"/>
        <v>2.25</v>
      </c>
      <c r="AG55" s="85">
        <f t="shared" si="23"/>
        <v>0.95421964133809045</v>
      </c>
      <c r="AH55" s="66"/>
      <c r="AI55" s="66"/>
      <c r="AJ55" s="66"/>
      <c r="AK55" s="85"/>
      <c r="AL55" s="66">
        <f t="shared" si="13"/>
        <v>1.8124999999999998</v>
      </c>
      <c r="AM55" s="66">
        <f t="shared" si="14"/>
        <v>0</v>
      </c>
      <c r="AN55" s="66">
        <f t="shared" si="24"/>
        <v>1.8124999999999998</v>
      </c>
      <c r="AO55" s="85">
        <f t="shared" si="25"/>
        <v>0.76867693330012832</v>
      </c>
      <c r="AP55" s="66"/>
      <c r="AQ55" s="66"/>
      <c r="AR55" s="66"/>
      <c r="AS55" s="85"/>
      <c r="AT55" s="66">
        <f t="shared" si="15"/>
        <v>2.1434375000000001</v>
      </c>
      <c r="AU55" s="66">
        <f t="shared" si="16"/>
        <v>0</v>
      </c>
      <c r="AV55" s="66">
        <f t="shared" si="26"/>
        <v>2.1434375000000001</v>
      </c>
      <c r="AW55" s="85">
        <f t="shared" si="27"/>
        <v>0.90902673888027263</v>
      </c>
      <c r="AX55" s="66"/>
      <c r="AY55" s="66"/>
      <c r="AZ55" s="66"/>
      <c r="BA55" s="85"/>
    </row>
    <row r="56" spans="1:53" s="50" customFormat="1" x14ac:dyDescent="0.25">
      <c r="A56" s="60">
        <f t="shared" si="5"/>
        <v>47437</v>
      </c>
      <c r="B56" s="62">
        <v>1.7500000000000002E-2</v>
      </c>
      <c r="C56" s="62">
        <v>7.4999999999999997E-3</v>
      </c>
      <c r="D56" s="69">
        <v>3.875E-2</v>
      </c>
      <c r="E56" s="62">
        <v>2.5000000000000001E-2</v>
      </c>
      <c r="F56" s="62">
        <v>4.4999999999999998E-2</v>
      </c>
      <c r="G56" s="62">
        <v>3.2500000000000001E-2</v>
      </c>
      <c r="H56" s="69">
        <v>4.8750000000000002E-2</v>
      </c>
      <c r="I56" s="62">
        <v>2.5000000000000001E-2</v>
      </c>
      <c r="J56" s="62">
        <v>4.7500000000000001E-2</v>
      </c>
      <c r="K56" s="62">
        <v>3.5000000000000003E-2</v>
      </c>
      <c r="L56" s="68"/>
      <c r="M56" s="64">
        <f t="shared" si="6"/>
        <v>47437</v>
      </c>
      <c r="N56" s="65">
        <f t="shared" si="7"/>
        <v>0.308</v>
      </c>
      <c r="O56" s="66">
        <f t="shared" si="8"/>
        <v>17.600000000000001</v>
      </c>
      <c r="P56" s="66">
        <f t="shared" si="17"/>
        <v>17.908000000000001</v>
      </c>
      <c r="Q56" s="85">
        <f t="shared" si="19"/>
        <v>7.2413006078895483</v>
      </c>
      <c r="R56" s="66">
        <f>+IF($M56&gt;C$22,"FIN",IF($M56&lt;C$30,C$31*VLOOKUP($M56,$A:$L,3,0)/VLOOKUP(C$28,$M$7:$O$10,2,0),(C$31-C$31/C$29*(C$29-(YEAR(C$22)-YEAR($M56)+1)))*VLOOKUP($M56,$A:$L,3,0)/VLOOKUP(C$28,$M$7:$O$10,2,0)))</f>
        <v>0.24600000000000002</v>
      </c>
      <c r="S56" s="66">
        <f>+IF($M56&gt;C$22,"FIN",IF($M56&lt;=C$22,IFERROR(IF($M56&lt;C$30,0,IF(MONTH($M56)=MONTH(C$30),C$31/C$29,0)),0),0))</f>
        <v>16.399999999999999</v>
      </c>
      <c r="T56" s="66">
        <f t="shared" si="18"/>
        <v>16.645999999999997</v>
      </c>
      <c r="U56" s="85">
        <f>T56/(1+$B$18)^(YEARFRAC($M$37,$M56))</f>
        <v>6.7309967566969728</v>
      </c>
      <c r="V56" s="66">
        <f t="shared" si="9"/>
        <v>1.840625</v>
      </c>
      <c r="W56" s="66">
        <f t="shared" si="10"/>
        <v>0</v>
      </c>
      <c r="X56" s="66">
        <f t="shared" si="20"/>
        <v>1.840625</v>
      </c>
      <c r="Y56" s="85">
        <f t="shared" si="21"/>
        <v>0.74427735824194208</v>
      </c>
      <c r="Z56" s="66">
        <f>+IF($M56&gt;E$22,"FIN",IF($M56&lt;E$30,E$31*VLOOKUP($M56,$A:$L,5,0)/VLOOKUP(E$28,$M$7:$O$10,2,0),(E$31-E$31/E$29*(E$29-(YEAR(E$22)-YEAR($M56)+1)))*VLOOKUP($M56,$A:$L,5,0)/VLOOKUP(E$28,$M$7:$O$10,2,0)))</f>
        <v>2.375</v>
      </c>
      <c r="AA56" s="66">
        <f>+IF($M56&gt;E$22,"FIN",IF($M56&lt;=E$22,IFERROR(IF($M56&lt;E$30,0,IF(MONTH($M56)=MONTH(E$30),E$31/E$29,0)),0),0))</f>
        <v>0</v>
      </c>
      <c r="AB56" s="66">
        <f t="shared" si="28"/>
        <v>2.375</v>
      </c>
      <c r="AC56" s="85">
        <f>AB56/(1+$B$18)^(YEARFRAC($M$37,$M56))</f>
        <v>0.9603578816025059</v>
      </c>
      <c r="AD56" s="66">
        <f t="shared" si="11"/>
        <v>2.25</v>
      </c>
      <c r="AE56" s="66">
        <f t="shared" si="12"/>
        <v>9.0909090909090917</v>
      </c>
      <c r="AF56" s="66">
        <f t="shared" si="22"/>
        <v>11.340909090909092</v>
      </c>
      <c r="AG56" s="85">
        <f t="shared" si="23"/>
        <v>4.5858237599966554</v>
      </c>
      <c r="AH56" s="66">
        <f>+IF($M56&gt;G$22,"FIN",IF($M56&lt;G$30,G$31*VLOOKUP($M56,$A:$L,7,0)/VLOOKUP(G$28,$M$7:$O$10,2,0),(G$31-G$31/G$29*(G$29-(YEAR(G$22)-YEAR($M56)+1)))*VLOOKUP($M56,$A:$L,7,0)/VLOOKUP(G$28,$M$7:$O$10,2,0)))</f>
        <v>3.25</v>
      </c>
      <c r="AI56" s="66">
        <f>+IF($M56&gt;G$22,"FIN",IF($M56&lt;=G$22,IFERROR(IF($M56&lt;G$30,0,IF(MONTH($M56)=MONTH(G$30),G$31/G$29,0)),0),0))</f>
        <v>9.0909090909090917</v>
      </c>
      <c r="AJ56" s="66">
        <f t="shared" si="29"/>
        <v>12.340909090909092</v>
      </c>
      <c r="AK56" s="85">
        <f>AJ56/(1+$B$18)^(YEARFRAC($M$37,$M56))</f>
        <v>4.9901849733029735</v>
      </c>
      <c r="AL56" s="66">
        <f t="shared" si="13"/>
        <v>2.4375</v>
      </c>
      <c r="AM56" s="66">
        <f t="shared" si="14"/>
        <v>0</v>
      </c>
      <c r="AN56" s="66">
        <f t="shared" si="24"/>
        <v>2.4375</v>
      </c>
      <c r="AO56" s="85">
        <f t="shared" si="25"/>
        <v>0.98563045743415079</v>
      </c>
      <c r="AP56" s="66">
        <f>+IF($M56&gt;I$22,"FIN",IF($M56&lt;I$30,I$31*VLOOKUP($M56,$A:$L,9,0)/VLOOKUP(I$28,$M$7:$O$10,2,0),(I$31-I$31/I$29*(I$29-(YEAR(I$22)-YEAR($M56)+1)))*VLOOKUP($M56,$A:$L,9,0)/VLOOKUP(I$28,$M$7:$O$10,2,0)))</f>
        <v>2.5</v>
      </c>
      <c r="AQ56" s="66">
        <f>+IF($M56&gt;I$22,"FIN",IF($M56&lt;=I$22,IFERROR(IF($M56&lt;I$30,0,IF(MONTH($M56)=MONTH(I$30),I$31/I$29,0)),0),0))</f>
        <v>0</v>
      </c>
      <c r="AR56" s="66">
        <f t="shared" si="30"/>
        <v>2.5</v>
      </c>
      <c r="AS56" s="85">
        <f>AR56/(1+$B$18)^(YEARFRAC($M$37,$M56))</f>
        <v>1.0109030332657958</v>
      </c>
      <c r="AT56" s="66">
        <f t="shared" si="15"/>
        <v>2.1434375000000001</v>
      </c>
      <c r="AU56" s="66">
        <f t="shared" si="16"/>
        <v>4.75</v>
      </c>
      <c r="AV56" s="66">
        <f t="shared" si="26"/>
        <v>6.8934375000000001</v>
      </c>
      <c r="AW56" s="85">
        <f t="shared" si="27"/>
        <v>2.7874387513512735</v>
      </c>
      <c r="AX56" s="66">
        <f>+IF($M56&gt;K$22,"FIN",IF($M56&lt;K$30,K$31*VLOOKUP($M56,$A:$L,11,0)/VLOOKUP(K$28,$M$7:$O$10,2,0),(K$31-K$31/K$29*(K$29-(YEAR(K$22)-YEAR($M56)+1)))*VLOOKUP($M56,$A:$L,11,0)/VLOOKUP(K$28,$M$7:$O$10,2,0)))</f>
        <v>3.1587500000000004</v>
      </c>
      <c r="AY56" s="66">
        <f>+IF($M56&gt;K$22,"FIN",IF($M56&lt;=K$22,IFERROR(IF($M56&lt;K$30,0,IF(MONTH($M56)=MONTH(K$30),K$31/K$29,0)),0),0))</f>
        <v>4.75</v>
      </c>
      <c r="AZ56" s="66">
        <f t="shared" si="31"/>
        <v>7.9087500000000004</v>
      </c>
      <c r="BA56" s="85">
        <f>AZ56/(1+$B$18)^(YEARFRAC($M$37,$M56))</f>
        <v>3.1979917457363447</v>
      </c>
    </row>
    <row r="57" spans="1:53" s="50" customFormat="1" x14ac:dyDescent="0.25">
      <c r="A57" s="60">
        <f t="shared" si="5"/>
        <v>47618</v>
      </c>
      <c r="B57" s="62">
        <v>1.7500000000000002E-2</v>
      </c>
      <c r="C57" s="62">
        <v>7.4999999999999997E-3</v>
      </c>
      <c r="D57" s="69">
        <v>3.875E-2</v>
      </c>
      <c r="E57" s="62">
        <v>2.5000000000000001E-2</v>
      </c>
      <c r="F57" s="62">
        <v>4.4999999999999998E-2</v>
      </c>
      <c r="G57" s="62">
        <v>3.2500000000000001E-2</v>
      </c>
      <c r="H57" s="69">
        <v>4.8750000000000002E-2</v>
      </c>
      <c r="I57" s="69">
        <v>3.875E-2</v>
      </c>
      <c r="J57" s="62">
        <v>4.7500000000000001E-2</v>
      </c>
      <c r="K57" s="62">
        <v>3.5000000000000003E-2</v>
      </c>
      <c r="L57" s="68"/>
      <c r="M57" s="64">
        <f t="shared" si="6"/>
        <v>47618</v>
      </c>
      <c r="N57" s="65">
        <f t="shared" si="7"/>
        <v>0.15399999999999997</v>
      </c>
      <c r="O57" s="66">
        <f t="shared" si="8"/>
        <v>0</v>
      </c>
      <c r="P57" s="66">
        <f t="shared" si="17"/>
        <v>0.15399999999999997</v>
      </c>
      <c r="Q57" s="85">
        <f t="shared" si="19"/>
        <v>5.9373666572147835E-2</v>
      </c>
      <c r="R57" s="66"/>
      <c r="S57" s="66"/>
      <c r="T57" s="66"/>
      <c r="U57" s="85"/>
      <c r="V57" s="66">
        <f t="shared" si="9"/>
        <v>1.840625</v>
      </c>
      <c r="W57" s="66">
        <f t="shared" si="10"/>
        <v>0</v>
      </c>
      <c r="X57" s="66">
        <f t="shared" si="20"/>
        <v>1.840625</v>
      </c>
      <c r="Y57" s="85">
        <f t="shared" si="21"/>
        <v>0.70964061710623139</v>
      </c>
      <c r="Z57" s="66"/>
      <c r="AA57" s="66"/>
      <c r="AB57" s="66"/>
      <c r="AC57" s="85"/>
      <c r="AD57" s="66">
        <f t="shared" si="11"/>
        <v>2.0454545454545454</v>
      </c>
      <c r="AE57" s="66">
        <f t="shared" si="12"/>
        <v>0</v>
      </c>
      <c r="AF57" s="66">
        <f t="shared" si="22"/>
        <v>2.0454545454545454</v>
      </c>
      <c r="AG57" s="85">
        <f t="shared" si="23"/>
        <v>0.78861127383313256</v>
      </c>
      <c r="AH57" s="66"/>
      <c r="AI57" s="66"/>
      <c r="AJ57" s="66"/>
      <c r="AK57" s="85"/>
      <c r="AL57" s="66">
        <f t="shared" si="13"/>
        <v>2.4375</v>
      </c>
      <c r="AM57" s="66">
        <f t="shared" si="14"/>
        <v>0</v>
      </c>
      <c r="AN57" s="66">
        <f t="shared" si="24"/>
        <v>2.4375</v>
      </c>
      <c r="AO57" s="85">
        <f t="shared" si="25"/>
        <v>0.93976176798448297</v>
      </c>
      <c r="AP57" s="66"/>
      <c r="AQ57" s="66"/>
      <c r="AR57" s="66"/>
      <c r="AS57" s="85"/>
      <c r="AT57" s="66">
        <f t="shared" si="15"/>
        <v>2.0306250000000001</v>
      </c>
      <c r="AU57" s="66">
        <f t="shared" si="16"/>
        <v>0</v>
      </c>
      <c r="AV57" s="66">
        <f t="shared" si="26"/>
        <v>2.0306250000000001</v>
      </c>
      <c r="AW57" s="85">
        <f t="shared" si="27"/>
        <v>0.78289384209784241</v>
      </c>
      <c r="AX57" s="66"/>
      <c r="AY57" s="66"/>
      <c r="AZ57" s="66"/>
      <c r="BA57" s="85"/>
    </row>
    <row r="58" spans="1:53" s="50" customFormat="1" x14ac:dyDescent="0.25">
      <c r="A58" s="60">
        <f t="shared" si="5"/>
        <v>47802</v>
      </c>
      <c r="B58" s="62">
        <v>1.7500000000000002E-2</v>
      </c>
      <c r="C58" s="62">
        <v>7.4999999999999997E-3</v>
      </c>
      <c r="D58" s="69">
        <v>3.875E-2</v>
      </c>
      <c r="E58" s="62">
        <v>2.5000000000000001E-2</v>
      </c>
      <c r="F58" s="62">
        <v>4.4999999999999998E-2</v>
      </c>
      <c r="G58" s="62">
        <v>3.2500000000000001E-2</v>
      </c>
      <c r="H58" s="69">
        <v>4.8750000000000002E-2</v>
      </c>
      <c r="I58" s="69">
        <v>3.875E-2</v>
      </c>
      <c r="J58" s="62">
        <v>4.7500000000000001E-2</v>
      </c>
      <c r="K58" s="62">
        <v>3.5000000000000003E-2</v>
      </c>
      <c r="L58" s="68"/>
      <c r="M58" s="64">
        <f t="shared" si="6"/>
        <v>47802</v>
      </c>
      <c r="N58" s="65">
        <f t="shared" si="7"/>
        <v>0.15399999999999997</v>
      </c>
      <c r="O58" s="66">
        <f t="shared" si="8"/>
        <v>17.600000000000001</v>
      </c>
      <c r="P58" s="66">
        <f t="shared" si="17"/>
        <v>17.754000000000001</v>
      </c>
      <c r="Q58" s="85">
        <f t="shared" si="19"/>
        <v>6.5263899827639769</v>
      </c>
      <c r="R58" s="66">
        <f>+IF($M58&gt;C$22,"FIN",IF($M58&lt;C$30,C$31*VLOOKUP($M58,$A:$L,3,0)/VLOOKUP(C$28,$M$7:$O$10,2,0),(C$31-C$31/C$29*(C$29-(YEAR(C$22)-YEAR($M58)+1)))*VLOOKUP($M58,$A:$L,3,0)/VLOOKUP(C$28,$M$7:$O$10,2,0)))</f>
        <v>0.12300000000000004</v>
      </c>
      <c r="S58" s="66">
        <f>+IF($M58&gt;C$22,"FIN",IF($M58&lt;=C$22,IFERROR(IF($M58&lt;C$30,0,IF(MONTH($M58)=MONTH(C$30),C$31/C$29,0)),0),0))</f>
        <v>16.399999999999999</v>
      </c>
      <c r="T58" s="66">
        <f t="shared" si="18"/>
        <v>16.523</v>
      </c>
      <c r="U58" s="85">
        <f>T58/(1+$B$18)^(YEARFRAC($M$37,$M58))</f>
        <v>6.0738730249639055</v>
      </c>
      <c r="V58" s="66">
        <f t="shared" si="9"/>
        <v>1.840625</v>
      </c>
      <c r="W58" s="66">
        <f t="shared" si="10"/>
        <v>0</v>
      </c>
      <c r="X58" s="66">
        <f t="shared" si="20"/>
        <v>1.840625</v>
      </c>
      <c r="Y58" s="85">
        <f t="shared" si="21"/>
        <v>0.67661578021994717</v>
      </c>
      <c r="Z58" s="66">
        <f>+IF($M58&gt;E$22,"FIN",IF($M58&lt;E$30,E$31*VLOOKUP($M58,$A:$L,5,0)/VLOOKUP(E$28,$M$7:$O$10,2,0),(E$31-E$31/E$29*(E$29-(YEAR(E$22)-YEAR($M58)+1)))*VLOOKUP($M58,$A:$L,5,0)/VLOOKUP(E$28,$M$7:$O$10,2,0)))</f>
        <v>2.375</v>
      </c>
      <c r="AA58" s="66">
        <f>+IF($M58&gt;E$22,"FIN",IF($M58&lt;=E$22,IFERROR(IF($M58&lt;E$30,0,IF(MONTH($M58)=MONTH(E$30),E$31/E$29,0)),0),0))</f>
        <v>0</v>
      </c>
      <c r="AB58" s="66">
        <f t="shared" si="28"/>
        <v>2.375</v>
      </c>
      <c r="AC58" s="85">
        <f>AB58/(1+$B$18)^(YEARFRAC($M$37,$M58))</f>
        <v>0.87305261963864156</v>
      </c>
      <c r="AD58" s="66">
        <f t="shared" si="11"/>
        <v>2.0454545454545454</v>
      </c>
      <c r="AE58" s="66">
        <f t="shared" si="12"/>
        <v>9.0909090909090917</v>
      </c>
      <c r="AF58" s="66">
        <f t="shared" si="22"/>
        <v>11.136363636363637</v>
      </c>
      <c r="AG58" s="85">
        <f t="shared" si="23"/>
        <v>4.0937395562003287</v>
      </c>
      <c r="AH58" s="66">
        <f>+IF($M58&gt;G$22,"FIN",IF($M58&lt;G$30,G$31*VLOOKUP($M58,$A:$L,7,0)/VLOOKUP(G$28,$M$7:$O$10,2,0),(G$31-G$31/G$29*(G$29-(YEAR(G$22)-YEAR($M58)+1)))*VLOOKUP($M58,$A:$L,7,0)/VLOOKUP(G$28,$M$7:$O$10,2,0)))</f>
        <v>2.9545454545454546</v>
      </c>
      <c r="AI58" s="66">
        <f>+IF($M58&gt;G$22,"FIN",IF($M58&lt;=G$22,IFERROR(IF($M58&lt;G$30,0,IF(MONTH($M58)=MONTH(G$30),G$31/G$29,0)),0),0))</f>
        <v>9.0909090909090917</v>
      </c>
      <c r="AJ58" s="66">
        <f t="shared" si="29"/>
        <v>12.045454545454547</v>
      </c>
      <c r="AK58" s="85">
        <f>AJ58/(1+$B$18)^(YEARFRAC($M$37,$M58))</f>
        <v>4.4279223771146423</v>
      </c>
      <c r="AL58" s="66">
        <f t="shared" si="13"/>
        <v>2.4375</v>
      </c>
      <c r="AM58" s="66">
        <f t="shared" si="14"/>
        <v>7.1428571428571432</v>
      </c>
      <c r="AN58" s="66">
        <f t="shared" si="24"/>
        <v>9.5803571428571423</v>
      </c>
      <c r="AO58" s="85">
        <f t="shared" si="25"/>
        <v>3.5217498529032421</v>
      </c>
      <c r="AP58" s="66">
        <f>+IF($M58&gt;I$22,"FIN",IF($M58&lt;I$30,I$31*VLOOKUP($M58,$A:$L,9,0)/VLOOKUP(I$28,$M$7:$O$10,2,0),(I$31-I$31/I$29*(I$29-(YEAR(I$22)-YEAR($M58)+1)))*VLOOKUP($M58,$A:$L,9,0)/VLOOKUP(I$28,$M$7:$O$10,2,0)))</f>
        <v>3.875</v>
      </c>
      <c r="AQ58" s="66">
        <f>+IF($M58&gt;I$22,"FIN",IF($M58&lt;=I$22,IFERROR(IF($M58&lt;I$30,0,IF(MONTH($M58)=MONTH(I$30),I$31/I$29,0)),0),0))</f>
        <v>7.1428571428571432</v>
      </c>
      <c r="AR58" s="66">
        <f t="shared" si="30"/>
        <v>11.017857142857142</v>
      </c>
      <c r="AS58" s="85">
        <f>AR58/(1+$B$18)^(YEARFRAC($M$37,$M58))</f>
        <v>4.0501764384739989</v>
      </c>
      <c r="AT58" s="66">
        <f t="shared" si="15"/>
        <v>2.0306250000000001</v>
      </c>
      <c r="AU58" s="66">
        <f t="shared" si="16"/>
        <v>4.75</v>
      </c>
      <c r="AV58" s="66">
        <f t="shared" si="26"/>
        <v>6.7806250000000006</v>
      </c>
      <c r="AW58" s="85">
        <f t="shared" si="27"/>
        <v>2.492565229068322</v>
      </c>
      <c r="AX58" s="66">
        <f>+IF($M58&gt;K$22,"FIN",IF($M58&lt;K$30,K$31*VLOOKUP($M58,$A:$L,11,0)/VLOOKUP(K$28,$M$7:$O$10,2,0),(K$31-K$31/K$29*(K$29-(YEAR(K$22)-YEAR($M58)+1)))*VLOOKUP($M58,$A:$L,11,0)/VLOOKUP(K$28,$M$7:$O$10,2,0)))</f>
        <v>2.9925000000000002</v>
      </c>
      <c r="AY58" s="66">
        <f>+IF($M58&gt;K$22,"FIN",IF($M58&lt;=K$22,IFERROR(IF($M58&lt;K$30,0,IF(MONTH($M58)=MONTH(K$30),K$31/K$29,0)),0),0))</f>
        <v>4.75</v>
      </c>
      <c r="AZ58" s="66">
        <f t="shared" si="31"/>
        <v>7.7424999999999997</v>
      </c>
      <c r="BA58" s="85">
        <f>AZ58/(1+$B$18)^(YEARFRAC($M$37,$M58))</f>
        <v>2.8461515400219715</v>
      </c>
    </row>
    <row r="59" spans="1:53" s="50" customFormat="1" x14ac:dyDescent="0.25">
      <c r="A59" s="60">
        <f t="shared" si="5"/>
        <v>47983</v>
      </c>
      <c r="B59" s="62"/>
      <c r="C59" s="62"/>
      <c r="D59" s="69">
        <v>3.875E-2</v>
      </c>
      <c r="E59" s="62">
        <v>2.5000000000000001E-2</v>
      </c>
      <c r="F59" s="62">
        <v>4.4999999999999998E-2</v>
      </c>
      <c r="G59" s="62">
        <v>3.2500000000000001E-2</v>
      </c>
      <c r="H59" s="69">
        <v>4.8750000000000002E-2</v>
      </c>
      <c r="I59" s="69">
        <v>3.875E-2</v>
      </c>
      <c r="J59" s="62">
        <v>4.7500000000000001E-2</v>
      </c>
      <c r="K59" s="62">
        <v>3.5000000000000003E-2</v>
      </c>
      <c r="L59" s="68"/>
      <c r="M59" s="64">
        <f t="shared" si="6"/>
        <v>47983</v>
      </c>
      <c r="N59" s="65"/>
      <c r="O59" s="66"/>
      <c r="P59" s="66"/>
      <c r="Q59" s="67"/>
      <c r="R59" s="66"/>
      <c r="S59" s="66"/>
      <c r="T59" s="66"/>
      <c r="U59" s="67"/>
      <c r="V59" s="66">
        <f t="shared" si="9"/>
        <v>1.840625</v>
      </c>
      <c r="W59" s="66">
        <f t="shared" si="10"/>
        <v>0</v>
      </c>
      <c r="X59" s="66">
        <f t="shared" si="20"/>
        <v>1.840625</v>
      </c>
      <c r="Y59" s="85">
        <f t="shared" si="21"/>
        <v>0.64512783373293747</v>
      </c>
      <c r="Z59" s="66"/>
      <c r="AA59" s="66"/>
      <c r="AB59" s="66"/>
      <c r="AC59" s="85"/>
      <c r="AD59" s="66">
        <f t="shared" si="11"/>
        <v>1.8409090909090908</v>
      </c>
      <c r="AE59" s="66">
        <f t="shared" si="12"/>
        <v>0</v>
      </c>
      <c r="AF59" s="66">
        <f t="shared" si="22"/>
        <v>1.8409090909090908</v>
      </c>
      <c r="AG59" s="85">
        <f t="shared" si="23"/>
        <v>0.64522740586347194</v>
      </c>
      <c r="AH59" s="66"/>
      <c r="AI59" s="66"/>
      <c r="AJ59" s="66"/>
      <c r="AK59" s="85"/>
      <c r="AL59" s="66">
        <f t="shared" si="13"/>
        <v>2.2633928571428572</v>
      </c>
      <c r="AM59" s="66">
        <f t="shared" si="14"/>
        <v>0</v>
      </c>
      <c r="AN59" s="66">
        <f t="shared" si="24"/>
        <v>2.2633928571428572</v>
      </c>
      <c r="AO59" s="85">
        <f t="shared" si="25"/>
        <v>0.79330538855832966</v>
      </c>
      <c r="AP59" s="66"/>
      <c r="AQ59" s="66"/>
      <c r="AR59" s="66"/>
      <c r="AS59" s="85"/>
      <c r="AT59" s="66">
        <f t="shared" si="15"/>
        <v>1.9178124999999999</v>
      </c>
      <c r="AU59" s="66">
        <f t="shared" si="16"/>
        <v>0</v>
      </c>
      <c r="AV59" s="66">
        <f t="shared" si="26"/>
        <v>1.9178124999999999</v>
      </c>
      <c r="AW59" s="85">
        <f t="shared" si="27"/>
        <v>0.67218158159915742</v>
      </c>
      <c r="AX59" s="66"/>
      <c r="AY59" s="66"/>
      <c r="AZ59" s="66"/>
      <c r="BA59" s="85"/>
    </row>
    <row r="60" spans="1:53" s="50" customFormat="1" x14ac:dyDescent="0.25">
      <c r="A60" s="60">
        <f t="shared" si="5"/>
        <v>48167</v>
      </c>
      <c r="B60" s="62"/>
      <c r="C60" s="62"/>
      <c r="D60" s="69">
        <v>3.875E-2</v>
      </c>
      <c r="E60" s="62">
        <v>2.5000000000000001E-2</v>
      </c>
      <c r="F60" s="62">
        <v>4.4999999999999998E-2</v>
      </c>
      <c r="G60" s="62">
        <v>3.2500000000000001E-2</v>
      </c>
      <c r="H60" s="69">
        <v>4.8750000000000002E-2</v>
      </c>
      <c r="I60" s="69">
        <v>3.875E-2</v>
      </c>
      <c r="J60" s="62">
        <v>4.7500000000000001E-2</v>
      </c>
      <c r="K60" s="62">
        <v>3.5000000000000003E-2</v>
      </c>
      <c r="L60" s="68"/>
      <c r="M60" s="64">
        <f t="shared" si="6"/>
        <v>48167</v>
      </c>
      <c r="N60" s="65"/>
      <c r="O60" s="66"/>
      <c r="P60" s="66"/>
      <c r="Q60" s="67"/>
      <c r="R60" s="66"/>
      <c r="S60" s="66"/>
      <c r="T60" s="66"/>
      <c r="U60" s="67"/>
      <c r="V60" s="66">
        <f t="shared" si="9"/>
        <v>1.840625</v>
      </c>
      <c r="W60" s="66">
        <f t="shared" si="10"/>
        <v>15.833333333333334</v>
      </c>
      <c r="X60" s="66">
        <f t="shared" si="20"/>
        <v>17.673958333333335</v>
      </c>
      <c r="Y60" s="85">
        <f t="shared" si="21"/>
        <v>5.9063332525553554</v>
      </c>
      <c r="Z60" s="66">
        <f>+IF($M60&gt;E$22,"FIN",IF($M60&lt;E$30,E$31*VLOOKUP($M60,$A:$L,5,0)/VLOOKUP(E$28,$M$7:$O$10,2,0),(E$31-E$31/E$29*(E$29-(YEAR(E$22)-YEAR($M60)+1)))*VLOOKUP($M60,$A:$L,5,0)/VLOOKUP(E$28,$M$7:$O$10,2,0)))</f>
        <v>2.375</v>
      </c>
      <c r="AA60" s="66">
        <f>+IF($M60&gt;E$22,"FIN",IF($M60&lt;=E$22,IFERROR(IF($M60&lt;E$30,0,IF(MONTH($M60)=MONTH(E$30),E$31/E$29,0)),0),0))</f>
        <v>15.833333333333334</v>
      </c>
      <c r="AB60" s="66">
        <f t="shared" si="28"/>
        <v>18.208333333333336</v>
      </c>
      <c r="AC60" s="85">
        <f>AB60/(1+$B$18)^(YEARFRAC($M$37,$M60))</f>
        <v>6.0849121974814411</v>
      </c>
      <c r="AD60" s="66">
        <f t="shared" si="11"/>
        <v>1.8409090909090908</v>
      </c>
      <c r="AE60" s="66">
        <f t="shared" si="12"/>
        <v>9.0909090909090917</v>
      </c>
      <c r="AF60" s="66">
        <f t="shared" si="22"/>
        <v>10.931818181818183</v>
      </c>
      <c r="AG60" s="85">
        <f t="shared" si="23"/>
        <v>3.6532258377223714</v>
      </c>
      <c r="AH60" s="66">
        <f>+IF($M60&gt;G$22,"FIN",IF($M60&lt;G$30,G$31*VLOOKUP($M60,$A:$L,7,0)/VLOOKUP(G$28,$M$7:$O$10,2,0),(G$31-G$31/G$29*(G$29-(YEAR(G$22)-YEAR($M60)+1)))*VLOOKUP($M60,$A:$L,7,0)/VLOOKUP(G$28,$M$7:$O$10,2,0)))</f>
        <v>2.6590909090909092</v>
      </c>
      <c r="AI60" s="66">
        <f>+IF($M60&gt;G$22,"FIN",IF($M60&lt;=G$22,IFERROR(IF($M60&lt;G$30,0,IF(MONTH($M60)=MONTH(G$30),G$31/G$29,0)),0),0))</f>
        <v>9.0909090909090917</v>
      </c>
      <c r="AJ60" s="66">
        <f t="shared" si="29"/>
        <v>11.75</v>
      </c>
      <c r="AK60" s="85">
        <f>AJ60/(1+$B$18)^(YEARFRAC($M$37,$M60))</f>
        <v>3.9266481457431723</v>
      </c>
      <c r="AL60" s="66">
        <f t="shared" si="13"/>
        <v>2.2633928571428572</v>
      </c>
      <c r="AM60" s="66">
        <f t="shared" si="14"/>
        <v>7.1428571428571432</v>
      </c>
      <c r="AN60" s="66">
        <f t="shared" si="24"/>
        <v>9.40625</v>
      </c>
      <c r="AO60" s="85">
        <f t="shared" si="25"/>
        <v>3.1434071592252524</v>
      </c>
      <c r="AP60" s="66">
        <f>+IF($M60&gt;I$22,"FIN",IF($M60&lt;I$30,I$31*VLOOKUP($M60,$A:$L,9,0)/VLOOKUP(I$28,$M$7:$O$10,2,0),(I$31-I$31/I$29*(I$29-(YEAR(I$22)-YEAR($M60)+1)))*VLOOKUP($M60,$A:$L,9,0)/VLOOKUP(I$28,$M$7:$O$10,2,0)))</f>
        <v>3.598214285714286</v>
      </c>
      <c r="AQ60" s="66">
        <f>+IF($M60&gt;I$22,"FIN",IF($M60&lt;=I$22,IFERROR(IF($M60&lt;I$30,0,IF(MONTH($M60)=MONTH(I$30),I$31/I$29,0)),0),0))</f>
        <v>7.1428571428571432</v>
      </c>
      <c r="AR60" s="66">
        <f t="shared" si="30"/>
        <v>10.741071428571429</v>
      </c>
      <c r="AS60" s="85">
        <f>AR60/(1+$B$18)^(YEARFRAC($M$37,$M60))</f>
        <v>3.5894815496421248</v>
      </c>
      <c r="AT60" s="66">
        <f t="shared" si="15"/>
        <v>1.9178124999999999</v>
      </c>
      <c r="AU60" s="66">
        <f t="shared" si="16"/>
        <v>4.75</v>
      </c>
      <c r="AV60" s="66">
        <f t="shared" si="26"/>
        <v>6.6678125000000001</v>
      </c>
      <c r="AW60" s="85">
        <f t="shared" si="27"/>
        <v>2.2282683905777145</v>
      </c>
      <c r="AX60" s="66">
        <f>+IF($M60&gt;K$22,"FIN",IF($M60&lt;K$30,K$31*VLOOKUP($M60,$A:$L,11,0)/VLOOKUP(K$28,$M$7:$O$10,2,0),(K$31-K$31/K$29*(K$29-(YEAR(K$22)-YEAR($M60)+1)))*VLOOKUP($M60,$A:$L,11,0)/VLOOKUP(K$28,$M$7:$O$10,2,0)))</f>
        <v>2.8262500000000004</v>
      </c>
      <c r="AY60" s="66">
        <f>+IF($M60&gt;K$22,"FIN",IF($M60&lt;=K$22,IFERROR(IF($M60&lt;K$30,0,IF(MONTH($M60)=MONTH(K$30),K$31/K$29,0)),0),0))</f>
        <v>4.75</v>
      </c>
      <c r="AZ60" s="66">
        <f t="shared" si="31"/>
        <v>7.5762499999999999</v>
      </c>
      <c r="BA60" s="85">
        <f>AZ60/(1+$B$18)^(YEARFRAC($M$37,$M60))</f>
        <v>2.5318525969520604</v>
      </c>
    </row>
    <row r="61" spans="1:53" s="50" customFormat="1" x14ac:dyDescent="0.25">
      <c r="A61" s="60">
        <f t="shared" si="5"/>
        <v>48349</v>
      </c>
      <c r="B61" s="62"/>
      <c r="C61" s="62"/>
      <c r="D61" s="69">
        <v>3.875E-2</v>
      </c>
      <c r="E61" s="62">
        <v>2.5000000000000001E-2</v>
      </c>
      <c r="F61" s="62">
        <v>4.4999999999999998E-2</v>
      </c>
      <c r="G61" s="62">
        <v>3.2500000000000001E-2</v>
      </c>
      <c r="H61" s="69">
        <v>4.8750000000000002E-2</v>
      </c>
      <c r="I61" s="69">
        <v>3.875E-2</v>
      </c>
      <c r="J61" s="62">
        <v>4.7500000000000001E-2</v>
      </c>
      <c r="K61" s="62">
        <v>3.5000000000000003E-2</v>
      </c>
      <c r="L61" s="68"/>
      <c r="M61" s="64">
        <f t="shared" si="6"/>
        <v>48349</v>
      </c>
      <c r="N61" s="65"/>
      <c r="O61" s="66"/>
      <c r="P61" s="66"/>
      <c r="Q61" s="67"/>
      <c r="R61" s="66"/>
      <c r="S61" s="66"/>
      <c r="T61" s="66"/>
      <c r="U61" s="67"/>
      <c r="V61" s="66">
        <f t="shared" si="9"/>
        <v>1.5338541666666667</v>
      </c>
      <c r="W61" s="66">
        <f t="shared" si="10"/>
        <v>0</v>
      </c>
      <c r="X61" s="66">
        <f t="shared" si="20"/>
        <v>1.5338541666666667</v>
      </c>
      <c r="Y61" s="85">
        <f t="shared" si="21"/>
        <v>0.48873320737343756</v>
      </c>
      <c r="Z61" s="66"/>
      <c r="AA61" s="66"/>
      <c r="AB61" s="66"/>
      <c r="AC61" s="85"/>
      <c r="AD61" s="66">
        <f t="shared" si="11"/>
        <v>1.636363636363636</v>
      </c>
      <c r="AE61" s="66">
        <f t="shared" si="12"/>
        <v>0</v>
      </c>
      <c r="AF61" s="66">
        <f t="shared" si="22"/>
        <v>1.636363636363636</v>
      </c>
      <c r="AG61" s="85">
        <f t="shared" si="23"/>
        <v>0.52139588352603783</v>
      </c>
      <c r="AH61" s="66"/>
      <c r="AI61" s="66"/>
      <c r="AJ61" s="66"/>
      <c r="AK61" s="85"/>
      <c r="AL61" s="66">
        <f t="shared" si="13"/>
        <v>2.0892857142857144</v>
      </c>
      <c r="AM61" s="66">
        <f t="shared" si="14"/>
        <v>0</v>
      </c>
      <c r="AN61" s="66">
        <f t="shared" si="24"/>
        <v>2.0892857142857144</v>
      </c>
      <c r="AO61" s="85">
        <f t="shared" si="25"/>
        <v>0.6657108155734236</v>
      </c>
      <c r="AP61" s="66"/>
      <c r="AQ61" s="66"/>
      <c r="AR61" s="66"/>
      <c r="AS61" s="85"/>
      <c r="AT61" s="66">
        <f t="shared" si="15"/>
        <v>1.8049999999999999</v>
      </c>
      <c r="AU61" s="66">
        <f t="shared" si="16"/>
        <v>0</v>
      </c>
      <c r="AV61" s="66">
        <f t="shared" si="26"/>
        <v>1.8049999999999999</v>
      </c>
      <c r="AW61" s="85">
        <f t="shared" si="27"/>
        <v>0.57512862596719361</v>
      </c>
      <c r="AX61" s="66"/>
      <c r="AY61" s="66"/>
      <c r="AZ61" s="66"/>
      <c r="BA61" s="85"/>
    </row>
    <row r="62" spans="1:53" s="50" customFormat="1" x14ac:dyDescent="0.25">
      <c r="A62" s="60">
        <f t="shared" si="5"/>
        <v>48533</v>
      </c>
      <c r="B62" s="62"/>
      <c r="C62" s="62"/>
      <c r="D62" s="69">
        <v>3.875E-2</v>
      </c>
      <c r="E62" s="62">
        <v>2.5000000000000001E-2</v>
      </c>
      <c r="F62" s="62">
        <v>4.4999999999999998E-2</v>
      </c>
      <c r="G62" s="62">
        <v>3.2500000000000001E-2</v>
      </c>
      <c r="H62" s="69">
        <v>4.8750000000000002E-2</v>
      </c>
      <c r="I62" s="69">
        <v>3.875E-2</v>
      </c>
      <c r="J62" s="62">
        <v>4.7500000000000001E-2</v>
      </c>
      <c r="K62" s="62">
        <v>3.5000000000000003E-2</v>
      </c>
      <c r="L62" s="68"/>
      <c r="M62" s="64">
        <f t="shared" si="6"/>
        <v>48533</v>
      </c>
      <c r="N62" s="65"/>
      <c r="O62" s="66"/>
      <c r="P62" s="66"/>
      <c r="Q62" s="67"/>
      <c r="R62" s="66"/>
      <c r="S62" s="66"/>
      <c r="T62" s="66"/>
      <c r="U62" s="67"/>
      <c r="V62" s="66">
        <f t="shared" si="9"/>
        <v>1.5338541666666667</v>
      </c>
      <c r="W62" s="66">
        <f t="shared" si="10"/>
        <v>15.833333333333334</v>
      </c>
      <c r="X62" s="66">
        <f t="shared" si="20"/>
        <v>17.3671875</v>
      </c>
      <c r="Y62" s="85">
        <f t="shared" si="21"/>
        <v>5.2761961000888977</v>
      </c>
      <c r="Z62" s="66">
        <f>+IF($M62&gt;E$22,"FIN",IF($M62&lt;E$30,E$31*VLOOKUP($M62,$A:$L,5,0)/VLOOKUP(E$28,$M$7:$O$10,2,0),(E$31-E$31/E$29*(E$29-(YEAR(E$22)-YEAR($M62)+1)))*VLOOKUP($M62,$A:$L,5,0)/VLOOKUP(E$28,$M$7:$O$10,2,0)))</f>
        <v>1.979166666666667</v>
      </c>
      <c r="AA62" s="66">
        <f>+IF($M62&gt;E$22,"FIN",IF($M62&lt;=E$22,IFERROR(IF($M62&lt;E$30,0,IF(MONTH($M62)=MONTH(E$30),E$31/E$29,0)),0),0))</f>
        <v>15.833333333333334</v>
      </c>
      <c r="AB62" s="66">
        <f t="shared" si="28"/>
        <v>17.8125</v>
      </c>
      <c r="AC62" s="85">
        <f>AB62/(1+$B$18)^(YEARFRAC($M$37,$M62))</f>
        <v>5.4114831795783571</v>
      </c>
      <c r="AD62" s="66">
        <f t="shared" si="11"/>
        <v>1.636363636363636</v>
      </c>
      <c r="AE62" s="66">
        <f t="shared" si="12"/>
        <v>9.0909090909090917</v>
      </c>
      <c r="AF62" s="66">
        <f t="shared" si="22"/>
        <v>10.727272727272728</v>
      </c>
      <c r="AG62" s="85">
        <f t="shared" si="23"/>
        <v>3.2589729642883376</v>
      </c>
      <c r="AH62" s="66">
        <f>+IF($M62&gt;G$22,"FIN",IF($M62&lt;G$30,G$31*VLOOKUP($M62,$A:$L,7,0)/VLOOKUP(G$28,$M$7:$O$10,2,0),(G$31-G$31/G$29*(G$29-(YEAR(G$22)-YEAR($M62)+1)))*VLOOKUP($M62,$A:$L,7,0)/VLOOKUP(G$28,$M$7:$O$10,2,0)))</f>
        <v>2.3636363636363633</v>
      </c>
      <c r="AI62" s="66">
        <f>+IF($M62&gt;G$22,"FIN",IF($M62&lt;=G$22,IFERROR(IF($M62&lt;G$30,0,IF(MONTH($M62)=MONTH(G$30),G$31/G$29,0)),0),0))</f>
        <v>9.0909090909090917</v>
      </c>
      <c r="AJ62" s="66">
        <f t="shared" si="29"/>
        <v>11.454545454545455</v>
      </c>
      <c r="AK62" s="85">
        <f>AJ62/(1+$B$18)^(YEARFRAC($M$37,$M62))</f>
        <v>3.4799202839011061</v>
      </c>
      <c r="AL62" s="66">
        <f t="shared" si="13"/>
        <v>2.0892857142857144</v>
      </c>
      <c r="AM62" s="66">
        <f t="shared" si="14"/>
        <v>7.1428571428571432</v>
      </c>
      <c r="AN62" s="66">
        <f t="shared" si="24"/>
        <v>9.2321428571428577</v>
      </c>
      <c r="AO62" s="85">
        <f t="shared" si="25"/>
        <v>2.8047486755308375</v>
      </c>
      <c r="AP62" s="66">
        <f>+IF($M62&gt;I$22,"FIN",IF($M62&lt;I$30,I$31*VLOOKUP($M62,$A:$L,9,0)/VLOOKUP(I$28,$M$7:$O$10,2,0),(I$31-I$31/I$29*(I$29-(YEAR(I$22)-YEAR($M62)+1)))*VLOOKUP($M62,$A:$L,9,0)/VLOOKUP(I$28,$M$7:$O$10,2,0)))</f>
        <v>3.3214285714285712</v>
      </c>
      <c r="AQ62" s="66">
        <f>+IF($M62&gt;I$22,"FIN",IF($M62&lt;=I$22,IFERROR(IF($M62&lt;I$30,0,IF(MONTH($M62)=MONTH(I$30),I$31/I$29,0)),0),0))</f>
        <v>7.1428571428571432</v>
      </c>
      <c r="AR62" s="66">
        <f t="shared" si="30"/>
        <v>10.464285714285715</v>
      </c>
      <c r="AS62" s="85">
        <f>AR62/(1+$B$18)^(YEARFRAC($M$37,$M62))</f>
        <v>3.1790768353212204</v>
      </c>
      <c r="AT62" s="66">
        <f t="shared" si="15"/>
        <v>1.8049999999999999</v>
      </c>
      <c r="AU62" s="66">
        <f t="shared" si="16"/>
        <v>4.75</v>
      </c>
      <c r="AV62" s="66">
        <f t="shared" si="26"/>
        <v>6.5549999999999997</v>
      </c>
      <c r="AW62" s="85">
        <f t="shared" si="27"/>
        <v>1.9914258100848352</v>
      </c>
      <c r="AX62" s="66">
        <f>+IF($M62&gt;K$22,"FIN",IF($M62&lt;K$30,K$31*VLOOKUP($M62,$A:$L,11,0)/VLOOKUP(K$28,$M$7:$O$10,2,0),(K$31-K$31/K$29*(K$29-(YEAR(K$22)-YEAR($M62)+1)))*VLOOKUP($M62,$A:$L,11,0)/VLOOKUP(K$28,$M$7:$O$10,2,0)))</f>
        <v>2.66</v>
      </c>
      <c r="AY62" s="66">
        <f>+IF($M62&gt;K$22,"FIN",IF($M62&lt;=K$22,IFERROR(IF($M62&lt;K$30,0,IF(MONTH($M62)=MONTH(K$30),K$31/K$29,0)),0),0))</f>
        <v>4.75</v>
      </c>
      <c r="AZ62" s="66">
        <f t="shared" si="31"/>
        <v>7.41</v>
      </c>
      <c r="BA62" s="85">
        <f>AZ62/(1+$B$18)^(YEARFRAC($M$37,$M62))</f>
        <v>2.2511770027045963</v>
      </c>
    </row>
    <row r="63" spans="1:53" s="50" customFormat="1" x14ac:dyDescent="0.25">
      <c r="A63" s="60">
        <f t="shared" si="5"/>
        <v>48714</v>
      </c>
      <c r="B63" s="62"/>
      <c r="C63" s="62"/>
      <c r="D63" s="69">
        <v>3.875E-2</v>
      </c>
      <c r="E63" s="62">
        <v>2.5000000000000001E-2</v>
      </c>
      <c r="F63" s="62">
        <v>4.4999999999999998E-2</v>
      </c>
      <c r="G63" s="62">
        <v>3.2500000000000001E-2</v>
      </c>
      <c r="H63" s="69">
        <v>4.8750000000000002E-2</v>
      </c>
      <c r="I63" s="69">
        <v>3.875E-2</v>
      </c>
      <c r="J63" s="62">
        <v>4.7500000000000001E-2</v>
      </c>
      <c r="K63" s="62">
        <v>3.5000000000000003E-2</v>
      </c>
      <c r="L63" s="68"/>
      <c r="M63" s="64">
        <f t="shared" si="6"/>
        <v>48714</v>
      </c>
      <c r="N63" s="65"/>
      <c r="O63" s="66"/>
      <c r="P63" s="66"/>
      <c r="Q63" s="67"/>
      <c r="R63" s="66"/>
      <c r="S63" s="66"/>
      <c r="T63" s="66"/>
      <c r="U63" s="67"/>
      <c r="V63" s="66">
        <f t="shared" si="9"/>
        <v>1.2270833333333333</v>
      </c>
      <c r="W63" s="66">
        <f t="shared" si="10"/>
        <v>0</v>
      </c>
      <c r="X63" s="66">
        <f t="shared" si="20"/>
        <v>1.2270833333333333</v>
      </c>
      <c r="Y63" s="85">
        <f t="shared" si="21"/>
        <v>0.35544233263522729</v>
      </c>
      <c r="Z63" s="66"/>
      <c r="AA63" s="66"/>
      <c r="AB63" s="66"/>
      <c r="AC63" s="85"/>
      <c r="AD63" s="66">
        <f t="shared" si="11"/>
        <v>1.4318181818181817</v>
      </c>
      <c r="AE63" s="66">
        <f t="shared" si="12"/>
        <v>0</v>
      </c>
      <c r="AF63" s="66">
        <f t="shared" si="22"/>
        <v>1.4318181818181817</v>
      </c>
      <c r="AG63" s="85">
        <f t="shared" si="23"/>
        <v>0.41474672553207564</v>
      </c>
      <c r="AH63" s="66"/>
      <c r="AI63" s="66"/>
      <c r="AJ63" s="66"/>
      <c r="AK63" s="85"/>
      <c r="AL63" s="66">
        <f t="shared" si="13"/>
        <v>1.9151785714285714</v>
      </c>
      <c r="AM63" s="66">
        <f t="shared" si="14"/>
        <v>0</v>
      </c>
      <c r="AN63" s="66">
        <f t="shared" si="24"/>
        <v>1.9151785714285714</v>
      </c>
      <c r="AO63" s="85">
        <f t="shared" si="25"/>
        <v>0.55475901297785291</v>
      </c>
      <c r="AP63" s="66"/>
      <c r="AQ63" s="66"/>
      <c r="AR63" s="66"/>
      <c r="AS63" s="85"/>
      <c r="AT63" s="66">
        <f t="shared" si="15"/>
        <v>1.6921875</v>
      </c>
      <c r="AU63" s="66">
        <f t="shared" si="16"/>
        <v>0</v>
      </c>
      <c r="AV63" s="66">
        <f t="shared" si="26"/>
        <v>1.6921875</v>
      </c>
      <c r="AW63" s="85">
        <f t="shared" si="27"/>
        <v>0.49016644258567632</v>
      </c>
      <c r="AX63" s="66"/>
      <c r="AY63" s="66"/>
      <c r="AZ63" s="66"/>
      <c r="BA63" s="85"/>
    </row>
    <row r="64" spans="1:53" s="50" customFormat="1" x14ac:dyDescent="0.25">
      <c r="A64" s="60">
        <f t="shared" si="5"/>
        <v>48898</v>
      </c>
      <c r="B64" s="62"/>
      <c r="C64" s="62"/>
      <c r="D64" s="69">
        <v>3.875E-2</v>
      </c>
      <c r="E64" s="62">
        <v>2.5000000000000001E-2</v>
      </c>
      <c r="F64" s="62">
        <v>4.4999999999999998E-2</v>
      </c>
      <c r="G64" s="62">
        <v>3.2500000000000001E-2</v>
      </c>
      <c r="H64" s="69">
        <v>4.8750000000000002E-2</v>
      </c>
      <c r="I64" s="69">
        <v>3.875E-2</v>
      </c>
      <c r="J64" s="62">
        <v>4.7500000000000001E-2</v>
      </c>
      <c r="K64" s="62">
        <v>3.5000000000000003E-2</v>
      </c>
      <c r="L64" s="68"/>
      <c r="M64" s="64">
        <f t="shared" si="6"/>
        <v>48898</v>
      </c>
      <c r="N64" s="65"/>
      <c r="O64" s="66"/>
      <c r="P64" s="66"/>
      <c r="Q64" s="67"/>
      <c r="R64" s="66"/>
      <c r="S64" s="66"/>
      <c r="T64" s="66"/>
      <c r="U64" s="67"/>
      <c r="V64" s="66">
        <f t="shared" si="9"/>
        <v>1.2270833333333333</v>
      </c>
      <c r="W64" s="66">
        <f t="shared" si="10"/>
        <v>15.833333333333334</v>
      </c>
      <c r="X64" s="66">
        <f t="shared" si="20"/>
        <v>17.060416666666669</v>
      </c>
      <c r="Y64" s="85">
        <f t="shared" si="21"/>
        <v>4.7118166674712558</v>
      </c>
      <c r="Z64" s="66">
        <f>+IF($M64&gt;E$22,"FIN",IF($M64&lt;E$30,E$31*VLOOKUP($M64,$A:$L,5,0)/VLOOKUP(E$28,$M$7:$O$10,2,0),(E$31-E$31/E$29*(E$29-(YEAR(E$22)-YEAR($M64)+1)))*VLOOKUP($M64,$A:$L,5,0)/VLOOKUP(E$28,$M$7:$O$10,2,0)))</f>
        <v>1.5833333333333333</v>
      </c>
      <c r="AA64" s="66">
        <f>+IF($M64&gt;E$22,"FIN",IF($M64&lt;=E$22,IFERROR(IF($M64&lt;E$30,0,IF(MONTH($M64)=MONTH(E$30),E$31/E$29,0)),0),0))</f>
        <v>15.833333333333334</v>
      </c>
      <c r="AB64" s="66">
        <f t="shared" si="28"/>
        <v>17.416666666666668</v>
      </c>
      <c r="AC64" s="85">
        <f>AB64/(1+$B$18)^(YEARFRAC($M$37,$M64))</f>
        <v>4.810207270736317</v>
      </c>
      <c r="AD64" s="66">
        <f t="shared" si="11"/>
        <v>1.4318181818181817</v>
      </c>
      <c r="AE64" s="66">
        <f t="shared" si="12"/>
        <v>9.0909090909090917</v>
      </c>
      <c r="AF64" s="66">
        <f t="shared" si="22"/>
        <v>10.522727272727273</v>
      </c>
      <c r="AG64" s="85">
        <f t="shared" si="23"/>
        <v>2.9062104824065873</v>
      </c>
      <c r="AH64" s="66">
        <f>+IF($M64&gt;G$22,"FIN",IF($M64&lt;G$30,G$31*VLOOKUP($M64,$A:$L,7,0)/VLOOKUP(G$28,$M$7:$O$10,2,0),(G$31-G$31/G$29*(G$29-(YEAR(G$22)-YEAR($M64)+1)))*VLOOKUP($M64,$A:$L,7,0)/VLOOKUP(G$28,$M$7:$O$10,2,0)))</f>
        <v>2.0681818181818183</v>
      </c>
      <c r="AI64" s="66">
        <f>+IF($M64&gt;G$22,"FIN",IF($M64&lt;=G$22,IFERROR(IF($M64&lt;G$30,0,IF(MONTH($M64)=MONTH(G$30),G$31/G$29,0)),0),0))</f>
        <v>9.0909090909090917</v>
      </c>
      <c r="AJ64" s="66">
        <f t="shared" si="29"/>
        <v>11.15909090909091</v>
      </c>
      <c r="AK64" s="85">
        <f>AJ64/(1+$B$18)^(YEARFRAC($M$37,$M64))</f>
        <v>3.0819640320985622</v>
      </c>
      <c r="AL64" s="66">
        <f t="shared" si="13"/>
        <v>1.9151785714285714</v>
      </c>
      <c r="AM64" s="66">
        <f t="shared" si="14"/>
        <v>7.1428571428571432</v>
      </c>
      <c r="AN64" s="66">
        <f t="shared" si="24"/>
        <v>9.0580357142857153</v>
      </c>
      <c r="AO64" s="85">
        <f t="shared" si="25"/>
        <v>2.5016858900351986</v>
      </c>
      <c r="AP64" s="66">
        <f>+IF($M64&gt;I$22,"FIN",IF($M64&lt;I$30,I$31*VLOOKUP($M64,$A:$L,9,0)/VLOOKUP(I$28,$M$7:$O$10,2,0),(I$31-I$31/I$29*(I$29-(YEAR(I$22)-YEAR($M64)+1)))*VLOOKUP($M64,$A:$L,9,0)/VLOOKUP(I$28,$M$7:$O$10,2,0)))</f>
        <v>3.0446428571428572</v>
      </c>
      <c r="AQ64" s="66">
        <f>+IF($M64&gt;I$22,"FIN",IF($M64&lt;=I$22,IFERROR(IF($M64&lt;I$30,0,IF(MONTH($M64)=MONTH(I$30),I$31/I$29,0)),0),0))</f>
        <v>7.1428571428571432</v>
      </c>
      <c r="AR64" s="66">
        <f t="shared" si="30"/>
        <v>10.1875</v>
      </c>
      <c r="AS64" s="85">
        <f>AR64/(1+$B$18)^(YEARFRAC($M$37,$M64))</f>
        <v>2.8136260231938501</v>
      </c>
      <c r="AT64" s="66">
        <f t="shared" si="15"/>
        <v>1.6921875</v>
      </c>
      <c r="AU64" s="66">
        <f t="shared" si="16"/>
        <v>4.75</v>
      </c>
      <c r="AV64" s="66">
        <f t="shared" si="26"/>
        <v>6.4421875000000002</v>
      </c>
      <c r="AW64" s="85">
        <f t="shared" si="27"/>
        <v>1.7792300757098534</v>
      </c>
      <c r="AX64" s="66">
        <f>+IF($M64&gt;K$22,"FIN",IF($M64&lt;K$30,K$31*VLOOKUP($M64,$A:$L,11,0)/VLOOKUP(K$28,$M$7:$O$10,2,0),(K$31-K$31/K$29*(K$29-(YEAR(K$22)-YEAR($M64)+1)))*VLOOKUP($M64,$A:$L,11,0)/VLOOKUP(K$28,$M$7:$O$10,2,0)))</f>
        <v>2.4937500000000004</v>
      </c>
      <c r="AY64" s="66">
        <f>+IF($M64&gt;K$22,"FIN",IF($M64&lt;=K$22,IFERROR(IF($M64&lt;K$30,0,IF(MONTH($M64)=MONTH(K$30),K$31/K$29,0)),0),0))</f>
        <v>4.75</v>
      </c>
      <c r="AZ64" s="66">
        <f t="shared" si="31"/>
        <v>7.2437500000000004</v>
      </c>
      <c r="BA64" s="85">
        <f>AZ64/(1+$B$18)^(YEARFRAC($M$37,$M64))</f>
        <v>2.0006089330562409</v>
      </c>
    </row>
    <row r="65" spans="1:54" s="50" customFormat="1" x14ac:dyDescent="0.25">
      <c r="A65" s="60">
        <f t="shared" si="5"/>
        <v>49079</v>
      </c>
      <c r="B65" s="62"/>
      <c r="C65" s="62"/>
      <c r="D65" s="69">
        <v>3.875E-2</v>
      </c>
      <c r="E65" s="62">
        <v>2.5000000000000001E-2</v>
      </c>
      <c r="F65" s="62">
        <v>4.4999999999999998E-2</v>
      </c>
      <c r="G65" s="62">
        <v>3.2500000000000001E-2</v>
      </c>
      <c r="H65" s="69">
        <v>4.8750000000000002E-2</v>
      </c>
      <c r="I65" s="69">
        <v>3.875E-2</v>
      </c>
      <c r="J65" s="62">
        <v>4.7500000000000001E-2</v>
      </c>
      <c r="K65" s="62">
        <v>3.5000000000000003E-2</v>
      </c>
      <c r="L65" s="68"/>
      <c r="M65" s="64">
        <f t="shared" si="6"/>
        <v>49079</v>
      </c>
      <c r="N65" s="65"/>
      <c r="O65" s="66"/>
      <c r="P65" s="66"/>
      <c r="Q65" s="67"/>
      <c r="R65" s="66"/>
      <c r="S65" s="66"/>
      <c r="T65" s="66"/>
      <c r="U65" s="67"/>
      <c r="V65" s="66">
        <f t="shared" si="9"/>
        <v>0.92031249999999998</v>
      </c>
      <c r="W65" s="66">
        <f t="shared" si="10"/>
        <v>0</v>
      </c>
      <c r="X65" s="66">
        <f t="shared" si="20"/>
        <v>0.92031249999999998</v>
      </c>
      <c r="Y65" s="85">
        <f t="shared" si="21"/>
        <v>0.24234704497856402</v>
      </c>
      <c r="Z65" s="66"/>
      <c r="AA65" s="66"/>
      <c r="AB65" s="66"/>
      <c r="AC65" s="85"/>
      <c r="AD65" s="66">
        <f t="shared" si="11"/>
        <v>1.2272727272727271</v>
      </c>
      <c r="AE65" s="66">
        <f t="shared" si="12"/>
        <v>0</v>
      </c>
      <c r="AF65" s="66">
        <f t="shared" si="22"/>
        <v>1.2272727272727271</v>
      </c>
      <c r="AG65" s="85">
        <f t="shared" si="23"/>
        <v>0.32317926664837054</v>
      </c>
      <c r="AH65" s="66"/>
      <c r="AI65" s="66"/>
      <c r="AJ65" s="66"/>
      <c r="AK65" s="85"/>
      <c r="AL65" s="66">
        <f t="shared" si="13"/>
        <v>1.7410714285714286</v>
      </c>
      <c r="AM65" s="66">
        <f t="shared" si="14"/>
        <v>0</v>
      </c>
      <c r="AN65" s="66">
        <f t="shared" si="24"/>
        <v>1.7410714285714286</v>
      </c>
      <c r="AO65" s="85">
        <f t="shared" si="25"/>
        <v>0.45847852312219239</v>
      </c>
      <c r="AP65" s="66"/>
      <c r="AQ65" s="66"/>
      <c r="AR65" s="66"/>
      <c r="AS65" s="85"/>
      <c r="AT65" s="66">
        <f t="shared" si="15"/>
        <v>1.579375</v>
      </c>
      <c r="AU65" s="66">
        <f t="shared" si="16"/>
        <v>0</v>
      </c>
      <c r="AV65" s="66">
        <f t="shared" si="26"/>
        <v>1.579375</v>
      </c>
      <c r="AW65" s="85">
        <f t="shared" si="27"/>
        <v>0.41589879976966471</v>
      </c>
      <c r="AX65" s="66"/>
      <c r="AY65" s="66"/>
      <c r="AZ65" s="66"/>
      <c r="BA65" s="85"/>
    </row>
    <row r="66" spans="1:54" s="51" customFormat="1" x14ac:dyDescent="0.25">
      <c r="A66" s="60">
        <f t="shared" si="5"/>
        <v>49263</v>
      </c>
      <c r="B66" s="62"/>
      <c r="C66" s="62"/>
      <c r="D66" s="69">
        <v>3.875E-2</v>
      </c>
      <c r="E66" s="62">
        <v>2.5000000000000001E-2</v>
      </c>
      <c r="F66" s="62">
        <v>4.4999999999999998E-2</v>
      </c>
      <c r="G66" s="62">
        <v>3.2500000000000001E-2</v>
      </c>
      <c r="H66" s="69">
        <v>4.8750000000000002E-2</v>
      </c>
      <c r="I66" s="69">
        <v>3.875E-2</v>
      </c>
      <c r="J66" s="62">
        <v>4.7500000000000001E-2</v>
      </c>
      <c r="K66" s="62">
        <v>3.5000000000000003E-2</v>
      </c>
      <c r="L66" s="68"/>
      <c r="M66" s="64">
        <f t="shared" si="6"/>
        <v>49263</v>
      </c>
      <c r="N66" s="65"/>
      <c r="O66" s="66"/>
      <c r="P66" s="66"/>
      <c r="Q66" s="67"/>
      <c r="R66" s="66"/>
      <c r="S66" s="66"/>
      <c r="T66" s="66"/>
      <c r="U66" s="67"/>
      <c r="V66" s="66">
        <f t="shared" si="9"/>
        <v>0.92031249999999998</v>
      </c>
      <c r="W66" s="66">
        <f t="shared" si="10"/>
        <v>15.833333333333334</v>
      </c>
      <c r="X66" s="66">
        <f t="shared" si="20"/>
        <v>16.753645833333334</v>
      </c>
      <c r="Y66" s="85">
        <f t="shared" si="21"/>
        <v>4.2064467507007146</v>
      </c>
      <c r="Z66" s="66">
        <f>+IF($M66&gt;E$22,"FIN",IF($M66&lt;E$30,E$31*VLOOKUP($M66,$A:$L,5,0)/VLOOKUP(E$28,$M$7:$O$10,2,0),(E$31-E$31/E$29*(E$29-(YEAR(E$22)-YEAR($M66)+1)))*VLOOKUP($M66,$A:$L,5,0)/VLOOKUP(E$28,$M$7:$O$10,2,0)))</f>
        <v>1.1875</v>
      </c>
      <c r="AA66" s="66">
        <f>+IF($M66&gt;E$22,"FIN",IF($M66&lt;=E$22,IFERROR(IF($M66&lt;E$30,0,IF(MONTH($M66)=MONTH(E$30),E$31/E$29,0)),0),0))</f>
        <v>15.833333333333334</v>
      </c>
      <c r="AB66" s="66">
        <f t="shared" si="28"/>
        <v>17.020833333333336</v>
      </c>
      <c r="AC66" s="85">
        <f>AB66/(1+$B$18)^(YEARFRAC($M$37,$M66))</f>
        <v>4.273531252926893</v>
      </c>
      <c r="AD66" s="66">
        <f t="shared" si="11"/>
        <v>1.2272727272727271</v>
      </c>
      <c r="AE66" s="66">
        <f t="shared" si="12"/>
        <v>9.0909090909090917</v>
      </c>
      <c r="AF66" s="66">
        <f t="shared" si="22"/>
        <v>10.318181818181818</v>
      </c>
      <c r="AG66" s="85">
        <f t="shared" si="23"/>
        <v>2.5906529727323591</v>
      </c>
      <c r="AH66" s="66">
        <f>+IF($M66&gt;G$22,"FIN",IF($M66&lt;G$30,G$31*VLOOKUP($M66,$A:$L,7,0)/VLOOKUP(G$28,$M$7:$O$10,2,0),(G$31-G$31/G$29*(G$29-(YEAR(G$22)-YEAR($M66)+1)))*VLOOKUP($M66,$A:$L,7,0)/VLOOKUP(G$28,$M$7:$O$10,2,0)))</f>
        <v>1.7727272727272727</v>
      </c>
      <c r="AI66" s="66">
        <f>+IF($M66&gt;G$22,"FIN",IF($M66&lt;=G$22,IFERROR(IF($M66&lt;G$30,0,IF(MONTH($M66)=MONTH(G$30),G$31/G$29,0)),0),0))</f>
        <v>9.0909090909090917</v>
      </c>
      <c r="AJ66" s="66">
        <f t="shared" si="29"/>
        <v>10.863636363636365</v>
      </c>
      <c r="AK66" s="85">
        <f>AJ66/(1+$B$18)^(YEARFRAC($M$37,$M66))</f>
        <v>2.7276037906741579</v>
      </c>
      <c r="AL66" s="66">
        <f t="shared" si="13"/>
        <v>1.7410714285714286</v>
      </c>
      <c r="AM66" s="66">
        <f t="shared" si="14"/>
        <v>7.1428571428571432</v>
      </c>
      <c r="AN66" s="66">
        <f t="shared" si="24"/>
        <v>8.8839285714285712</v>
      </c>
      <c r="AO66" s="85">
        <f t="shared" si="25"/>
        <v>2.2305456880550398</v>
      </c>
      <c r="AP66" s="66">
        <f>+IF($M66&gt;I$22,"FIN",IF($M66&lt;I$30,I$31*VLOOKUP($M66,$A:$L,9,0)/VLOOKUP(I$28,$M$7:$O$10,2,0),(I$31-I$31/I$29*(I$29-(YEAR(I$22)-YEAR($M66)+1)))*VLOOKUP($M66,$A:$L,9,0)/VLOOKUP(I$28,$M$7:$O$10,2,0)))</f>
        <v>2.7678571428571428</v>
      </c>
      <c r="AQ66" s="66">
        <f>+IF($M66&gt;I$22,"FIN",IF($M66&lt;=I$22,IFERROR(IF($M66&lt;I$30,0,IF(MONTH($M66)=MONTH(I$30),I$31/I$29,0)),0),0))</f>
        <v>7.1428571428571432</v>
      </c>
      <c r="AR66" s="66">
        <f t="shared" si="30"/>
        <v>9.9107142857142865</v>
      </c>
      <c r="AS66" s="85">
        <f>AR66/(1+$B$18)^(YEARFRAC($M$37,$M66))</f>
        <v>2.4883474509960748</v>
      </c>
      <c r="AT66" s="66">
        <f t="shared" si="15"/>
        <v>1.579375</v>
      </c>
      <c r="AU66" s="66">
        <f t="shared" si="16"/>
        <v>4.75</v>
      </c>
      <c r="AV66" s="66">
        <f t="shared" si="26"/>
        <v>6.3293749999999998</v>
      </c>
      <c r="AW66" s="85">
        <f t="shared" si="27"/>
        <v>1.5891573194023489</v>
      </c>
      <c r="AX66" s="66">
        <f>+IF($M66&gt;K$22,"FIN",IF($M66&lt;K$30,K$31*VLOOKUP($M66,$A:$L,11,0)/VLOOKUP(K$28,$M$7:$O$10,2,0),(K$31-K$31/K$29*(K$29-(YEAR(K$22)-YEAR($M66)+1)))*VLOOKUP($M66,$A:$L,11,0)/VLOOKUP(K$28,$M$7:$O$10,2,0)))</f>
        <v>2.3275000000000001</v>
      </c>
      <c r="AY66" s="66">
        <f>+IF($M66&gt;K$22,"FIN",IF($M66&lt;=K$22,IFERROR(IF($M66&lt;K$30,0,IF(MONTH($M66)=MONTH(K$30),K$31/K$29,0)),0),0))</f>
        <v>4.75</v>
      </c>
      <c r="AZ66" s="66">
        <f t="shared" si="31"/>
        <v>7.0775000000000006</v>
      </c>
      <c r="BA66" s="85">
        <f>AZ66/(1+$B$18)^(YEARFRAC($M$37,$M66))</f>
        <v>1.7769939256356475</v>
      </c>
      <c r="BB66" s="50"/>
    </row>
    <row r="67" spans="1:54" s="51" customFormat="1" x14ac:dyDescent="0.25">
      <c r="A67" s="60">
        <f t="shared" si="5"/>
        <v>49444</v>
      </c>
      <c r="B67" s="62"/>
      <c r="C67" s="62"/>
      <c r="D67" s="69">
        <v>3.875E-2</v>
      </c>
      <c r="E67" s="62">
        <v>2.5000000000000001E-2</v>
      </c>
      <c r="F67" s="62">
        <v>4.4999999999999998E-2</v>
      </c>
      <c r="G67" s="62">
        <v>3.2500000000000001E-2</v>
      </c>
      <c r="H67" s="69">
        <v>4.8750000000000002E-2</v>
      </c>
      <c r="I67" s="69">
        <v>3.875E-2</v>
      </c>
      <c r="J67" s="62">
        <v>4.7500000000000001E-2</v>
      </c>
      <c r="K67" s="62">
        <v>3.5000000000000003E-2</v>
      </c>
      <c r="L67" s="68"/>
      <c r="M67" s="64">
        <f t="shared" si="6"/>
        <v>49444</v>
      </c>
      <c r="N67" s="65"/>
      <c r="O67" s="66"/>
      <c r="P67" s="66"/>
      <c r="Q67" s="67"/>
      <c r="R67" s="66"/>
      <c r="S67" s="66"/>
      <c r="T67" s="66"/>
      <c r="U67" s="67"/>
      <c r="V67" s="66">
        <f t="shared" si="9"/>
        <v>0.61354166666666665</v>
      </c>
      <c r="W67" s="66">
        <f t="shared" si="10"/>
        <v>0</v>
      </c>
      <c r="X67" s="66">
        <f t="shared" si="20"/>
        <v>0.61354166666666665</v>
      </c>
      <c r="Y67" s="85">
        <f t="shared" si="21"/>
        <v>0.14687699695670545</v>
      </c>
      <c r="Z67" s="66"/>
      <c r="AA67" s="66"/>
      <c r="AB67" s="66"/>
      <c r="AC67" s="85"/>
      <c r="AD67" s="66">
        <f t="shared" si="11"/>
        <v>1.0227272727272727</v>
      </c>
      <c r="AE67" s="66">
        <f t="shared" si="12"/>
        <v>0</v>
      </c>
      <c r="AF67" s="66">
        <f t="shared" si="22"/>
        <v>1.0227272727272727</v>
      </c>
      <c r="AG67" s="85">
        <f t="shared" si="23"/>
        <v>0.2448327777639171</v>
      </c>
      <c r="AH67" s="66"/>
      <c r="AI67" s="66"/>
      <c r="AJ67" s="66"/>
      <c r="AK67" s="85"/>
      <c r="AL67" s="66">
        <f t="shared" si="13"/>
        <v>1.5669642857142856</v>
      </c>
      <c r="AM67" s="66">
        <f t="shared" si="14"/>
        <v>0</v>
      </c>
      <c r="AN67" s="66">
        <f t="shared" si="24"/>
        <v>1.5669642857142856</v>
      </c>
      <c r="AO67" s="85">
        <f t="shared" si="25"/>
        <v>0.37511879164543011</v>
      </c>
      <c r="AP67" s="66"/>
      <c r="AQ67" s="66"/>
      <c r="AR67" s="66"/>
      <c r="AS67" s="85"/>
      <c r="AT67" s="66">
        <f t="shared" si="15"/>
        <v>1.4665625</v>
      </c>
      <c r="AU67" s="66">
        <f t="shared" si="16"/>
        <v>0</v>
      </c>
      <c r="AV67" s="66">
        <f t="shared" si="26"/>
        <v>1.4665625</v>
      </c>
      <c r="AW67" s="85">
        <f t="shared" si="27"/>
        <v>0.35108340240296371</v>
      </c>
      <c r="AX67" s="66"/>
      <c r="AY67" s="66"/>
      <c r="AZ67" s="66"/>
      <c r="BA67" s="85"/>
      <c r="BB67" s="50"/>
    </row>
    <row r="68" spans="1:54" s="51" customFormat="1" x14ac:dyDescent="0.25">
      <c r="A68" s="60">
        <f t="shared" si="5"/>
        <v>49628</v>
      </c>
      <c r="B68" s="62"/>
      <c r="C68" s="62"/>
      <c r="D68" s="69">
        <v>3.875E-2</v>
      </c>
      <c r="E68" s="62">
        <v>2.5000000000000001E-2</v>
      </c>
      <c r="F68" s="62">
        <v>4.4999999999999998E-2</v>
      </c>
      <c r="G68" s="62">
        <v>3.2500000000000001E-2</v>
      </c>
      <c r="H68" s="69">
        <v>4.8750000000000002E-2</v>
      </c>
      <c r="I68" s="69">
        <v>3.875E-2</v>
      </c>
      <c r="J68" s="62">
        <v>4.7500000000000001E-2</v>
      </c>
      <c r="K68" s="62">
        <v>3.5000000000000003E-2</v>
      </c>
      <c r="L68" s="68"/>
      <c r="M68" s="64">
        <f t="shared" si="6"/>
        <v>49628</v>
      </c>
      <c r="N68" s="65"/>
      <c r="O68" s="66"/>
      <c r="P68" s="66"/>
      <c r="Q68" s="67"/>
      <c r="R68" s="66"/>
      <c r="S68" s="66"/>
      <c r="T68" s="66"/>
      <c r="U68" s="67"/>
      <c r="V68" s="66">
        <f t="shared" si="9"/>
        <v>0.61354166666666665</v>
      </c>
      <c r="W68" s="66">
        <f t="shared" si="10"/>
        <v>15.833333333333334</v>
      </c>
      <c r="X68" s="66">
        <f t="shared" si="20"/>
        <v>16.446875000000002</v>
      </c>
      <c r="Y68" s="85">
        <f t="shared" si="21"/>
        <v>3.7540216397275348</v>
      </c>
      <c r="Z68" s="66">
        <f>+IF($M68&gt;E$22,"FIN",IF($M68&lt;E$30,E$31*VLOOKUP($M68,$A:$L,5,0)/VLOOKUP(E$28,$M$7:$O$10,2,0),(E$31-E$31/E$29*(E$29-(YEAR(E$22)-YEAR($M68)+1)))*VLOOKUP($M68,$A:$L,5,0)/VLOOKUP(E$28,$M$7:$O$10,2,0)))</f>
        <v>0.79166666666666663</v>
      </c>
      <c r="AA68" s="66">
        <f>+IF($M68&gt;E$22,"FIN",IF($M68&lt;=E$22,IFERROR(IF($M68&lt;E$30,0,IF(MONTH($M68)=MONTH(E$30),E$31/E$29,0)),0),0))</f>
        <v>15.833333333333334</v>
      </c>
      <c r="AB68" s="66">
        <f t="shared" si="28"/>
        <v>16.625</v>
      </c>
      <c r="AC68" s="85">
        <f>AB68/(1+$B$18)^(YEARFRAC($M$37,$M68))</f>
        <v>3.7946789138040056</v>
      </c>
      <c r="AD68" s="66">
        <f t="shared" si="11"/>
        <v>1.0227272727272727</v>
      </c>
      <c r="AE68" s="66">
        <f t="shared" si="12"/>
        <v>9.0909090909090917</v>
      </c>
      <c r="AF68" s="66">
        <f t="shared" si="22"/>
        <v>10.113636363636365</v>
      </c>
      <c r="AG68" s="85">
        <f t="shared" si="23"/>
        <v>2.3084512872765317</v>
      </c>
      <c r="AH68" s="66">
        <f>+IF($M68&gt;G$22,"FIN",IF($M68&lt;G$30,G$31*VLOOKUP($M68,$A:$L,7,0)/VLOOKUP(G$28,$M$7:$O$10,2,0),(G$31-G$31/G$29*(G$29-(YEAR(G$22)-YEAR($M68)+1)))*VLOOKUP($M68,$A:$L,7,0)/VLOOKUP(G$28,$M$7:$O$10,2,0)))</f>
        <v>1.4772727272727273</v>
      </c>
      <c r="AI68" s="66">
        <f>+IF($M68&gt;G$22,"FIN",IF($M68&lt;=G$22,IFERROR(IF($M68&lt;G$30,0,IF(MONTH($M68)=MONTH(G$30),G$31/G$29,0)),0),0))</f>
        <v>9.0909090909090917</v>
      </c>
      <c r="AJ68" s="66">
        <f t="shared" si="29"/>
        <v>10.568181818181818</v>
      </c>
      <c r="AK68" s="85">
        <f>AJ68/(1+$B$18)^(YEARFRAC($M$37,$M68))</f>
        <v>2.4122019069294089</v>
      </c>
      <c r="AL68" s="66">
        <f t="shared" si="13"/>
        <v>1.5669642857142856</v>
      </c>
      <c r="AM68" s="66">
        <f t="shared" si="14"/>
        <v>7.1428571428571432</v>
      </c>
      <c r="AN68" s="66">
        <f t="shared" si="24"/>
        <v>8.7098214285714288</v>
      </c>
      <c r="AO68" s="85">
        <f t="shared" si="25"/>
        <v>1.9880286146164381</v>
      </c>
      <c r="AP68" s="66">
        <f>+IF($M68&gt;I$22,"FIN",IF($M68&lt;I$30,I$31*VLOOKUP($M68,$A:$L,9,0)/VLOOKUP(I$28,$M$7:$O$10,2,0),(I$31-I$31/I$29*(I$29-(YEAR(I$22)-YEAR($M68)+1)))*VLOOKUP($M68,$A:$L,9,0)/VLOOKUP(I$28,$M$7:$O$10,2,0)))</f>
        <v>2.4910714285714284</v>
      </c>
      <c r="AQ68" s="66">
        <f>+IF($M68&gt;I$22,"FIN",IF($M68&lt;=I$22,IFERROR(IF($M68&lt;I$30,0,IF(MONTH($M68)=MONTH(I$30),I$31/I$29,0)),0),0))</f>
        <v>7.1428571428571432</v>
      </c>
      <c r="AR68" s="66">
        <f t="shared" si="30"/>
        <v>9.6339285714285712</v>
      </c>
      <c r="AS68" s="85">
        <f>AR68/(1+$B$18)^(YEARFRAC($M$37,$M68))</f>
        <v>2.1989573297500118</v>
      </c>
      <c r="AT68" s="66">
        <f t="shared" si="15"/>
        <v>1.4665625</v>
      </c>
      <c r="AU68" s="66">
        <f t="shared" si="16"/>
        <v>4.75</v>
      </c>
      <c r="AV68" s="66">
        <f t="shared" si="26"/>
        <v>6.2165625000000002</v>
      </c>
      <c r="AW68" s="85">
        <f t="shared" si="27"/>
        <v>1.418938865268855</v>
      </c>
      <c r="AX68" s="66">
        <f>+IF($M68&gt;K$22,"FIN",IF($M68&lt;K$30,K$31*VLOOKUP($M68,$A:$L,11,0)/VLOOKUP(K$28,$M$7:$O$10,2,0),(K$31-K$31/K$29*(K$29-(YEAR(K$22)-YEAR($M68)+1)))*VLOOKUP($M68,$A:$L,11,0)/VLOOKUP(K$28,$M$7:$O$10,2,0)))</f>
        <v>2.1612500000000003</v>
      </c>
      <c r="AY68" s="66">
        <f>+IF($M68&gt;K$22,"FIN",IF($M68&lt;=K$22,IFERROR(IF($M68&lt;K$30,0,IF(MONTH($M68)=MONTH(K$30),K$31/K$29,0)),0),0))</f>
        <v>4.75</v>
      </c>
      <c r="AZ68" s="66">
        <f t="shared" si="31"/>
        <v>6.9112500000000008</v>
      </c>
      <c r="BA68" s="85">
        <f>AZ68/(1+$B$18)^(YEARFRAC($M$37,$M68))</f>
        <v>1.5775022341670939</v>
      </c>
      <c r="BB68" s="50"/>
    </row>
    <row r="69" spans="1:54" s="51" customFormat="1" x14ac:dyDescent="0.25">
      <c r="A69" s="60">
        <f t="shared" si="5"/>
        <v>49810</v>
      </c>
      <c r="B69" s="62"/>
      <c r="C69" s="62"/>
      <c r="D69" s="69">
        <v>3.875E-2</v>
      </c>
      <c r="E69" s="62">
        <v>2.5000000000000001E-2</v>
      </c>
      <c r="F69" s="62">
        <v>4.4999999999999998E-2</v>
      </c>
      <c r="G69" s="62">
        <v>3.2500000000000001E-2</v>
      </c>
      <c r="H69" s="69">
        <v>4.8750000000000002E-2</v>
      </c>
      <c r="I69" s="69">
        <v>3.875E-2</v>
      </c>
      <c r="J69" s="62">
        <v>4.7500000000000001E-2</v>
      </c>
      <c r="K69" s="62">
        <v>3.5000000000000003E-2</v>
      </c>
      <c r="L69" s="68"/>
      <c r="M69" s="64">
        <f t="shared" si="6"/>
        <v>49810</v>
      </c>
      <c r="N69" s="65"/>
      <c r="O69" s="66"/>
      <c r="P69" s="66"/>
      <c r="Q69" s="70"/>
      <c r="R69" s="66"/>
      <c r="S69" s="66"/>
      <c r="T69" s="66"/>
      <c r="U69" s="70"/>
      <c r="V69" s="66">
        <f t="shared" si="9"/>
        <v>0.30677083333333321</v>
      </c>
      <c r="W69" s="66">
        <f t="shared" si="10"/>
        <v>0</v>
      </c>
      <c r="X69" s="66">
        <f t="shared" si="20"/>
        <v>0.30677083333333321</v>
      </c>
      <c r="Y69" s="85">
        <f t="shared" si="21"/>
        <v>6.6762271343957E-2</v>
      </c>
      <c r="Z69" s="66"/>
      <c r="AA69" s="66"/>
      <c r="AB69" s="66"/>
      <c r="AC69" s="85"/>
      <c r="AD69" s="66">
        <f t="shared" si="11"/>
        <v>0.81818181818181801</v>
      </c>
      <c r="AE69" s="66">
        <f t="shared" si="12"/>
        <v>0</v>
      </c>
      <c r="AF69" s="66">
        <f t="shared" si="22"/>
        <v>0.81818181818181801</v>
      </c>
      <c r="AG69" s="85">
        <f t="shared" si="23"/>
        <v>0.17806020201012149</v>
      </c>
      <c r="AH69" s="66"/>
      <c r="AI69" s="66"/>
      <c r="AJ69" s="66"/>
      <c r="AK69" s="85"/>
      <c r="AL69" s="66">
        <f t="shared" si="13"/>
        <v>1.3928571428571428</v>
      </c>
      <c r="AM69" s="66">
        <f t="shared" si="14"/>
        <v>0</v>
      </c>
      <c r="AN69" s="66">
        <f t="shared" si="24"/>
        <v>1.3928571428571428</v>
      </c>
      <c r="AO69" s="85">
        <f t="shared" si="25"/>
        <v>0.30312629627913545</v>
      </c>
      <c r="AP69" s="66"/>
      <c r="AQ69" s="66"/>
      <c r="AR69" s="66"/>
      <c r="AS69" s="85"/>
      <c r="AT69" s="66">
        <f t="shared" si="15"/>
        <v>1.35375</v>
      </c>
      <c r="AU69" s="66">
        <f t="shared" si="16"/>
        <v>0</v>
      </c>
      <c r="AV69" s="66">
        <f t="shared" si="26"/>
        <v>1.35375</v>
      </c>
      <c r="AW69" s="85">
        <f t="shared" si="27"/>
        <v>0.2946154425759136</v>
      </c>
      <c r="AX69" s="66"/>
      <c r="AY69" s="66"/>
      <c r="AZ69" s="66"/>
      <c r="BA69" s="85"/>
      <c r="BB69" s="50"/>
    </row>
    <row r="70" spans="1:54" s="51" customFormat="1" x14ac:dyDescent="0.25">
      <c r="A70" s="60">
        <f t="shared" ref="A70:A92" si="32">DATE(YEAR(A69),MONTH(A69)+VLOOKUP($B$28,$M$7:$O$10,3,0),DAY(A69))</f>
        <v>49994</v>
      </c>
      <c r="B70" s="62"/>
      <c r="C70" s="62"/>
      <c r="D70" s="69">
        <v>3.875E-2</v>
      </c>
      <c r="E70" s="62">
        <v>2.5000000000000001E-2</v>
      </c>
      <c r="F70" s="62">
        <v>4.4999999999999998E-2</v>
      </c>
      <c r="G70" s="62">
        <v>3.2500000000000001E-2</v>
      </c>
      <c r="H70" s="69">
        <v>4.8750000000000002E-2</v>
      </c>
      <c r="I70" s="69">
        <v>3.875E-2</v>
      </c>
      <c r="J70" s="62">
        <v>4.7500000000000001E-2</v>
      </c>
      <c r="K70" s="62">
        <v>3.5000000000000003E-2</v>
      </c>
      <c r="L70" s="68"/>
      <c r="M70" s="64">
        <f t="shared" ref="M70:M92" si="33">+DATE(YEAR(M69),MONTH(M69)+VLOOKUP(B$28,$M$7:$O$10,3,0),DAY(M69))</f>
        <v>49994</v>
      </c>
      <c r="N70" s="65"/>
      <c r="O70" s="66"/>
      <c r="P70" s="66"/>
      <c r="Q70" s="70"/>
      <c r="R70" s="66"/>
      <c r="S70" s="66"/>
      <c r="T70" s="66"/>
      <c r="U70" s="70"/>
      <c r="V70" s="66">
        <f t="shared" si="9"/>
        <v>0.30677083333333321</v>
      </c>
      <c r="W70" s="66">
        <f t="shared" si="10"/>
        <v>15.833333333333334</v>
      </c>
      <c r="X70" s="66">
        <f t="shared" si="20"/>
        <v>16.140104166666667</v>
      </c>
      <c r="Y70" s="85">
        <f t="shared" si="21"/>
        <v>3.3490916171073235</v>
      </c>
      <c r="Z70" s="66">
        <f>+IF($M70&gt;E$22,"FIN",IF($M70&lt;E$30,E$31*VLOOKUP($M70,$A:$L,5,0)/VLOOKUP(E$28,$M$7:$O$10,2,0),(E$31-E$31/E$29*(E$29-(YEAR(E$22)-YEAR($M70)+1)))*VLOOKUP($M70,$A:$L,5,0)/VLOOKUP(E$28,$M$7:$O$10,2,0)))</f>
        <v>0.39583333333333326</v>
      </c>
      <c r="AA70" s="66">
        <f>+IF($M70&gt;E$22,"FIN",IF($M70&lt;=E$22,IFERROR(IF($M70&lt;E$30,0,IF(MONTH($M70)=MONTH(E$30),E$31/E$29,0)),0),0))</f>
        <v>15.833333333333334</v>
      </c>
      <c r="AB70" s="66">
        <f t="shared" si="28"/>
        <v>16.229166666666668</v>
      </c>
      <c r="AC70" s="85">
        <f>AB70/(1+$B$18)^(YEARFRAC($M$37,$M70))</f>
        <v>3.3675721962329925</v>
      </c>
      <c r="AD70" s="66">
        <f t="shared" si="11"/>
        <v>0.81818181818181801</v>
      </c>
      <c r="AE70" s="66">
        <f t="shared" si="12"/>
        <v>9.0909090909090917</v>
      </c>
      <c r="AF70" s="66">
        <f t="shared" si="22"/>
        <v>9.9090909090909101</v>
      </c>
      <c r="AG70" s="85">
        <f t="shared" si="23"/>
        <v>2.0561486440297605</v>
      </c>
      <c r="AH70" s="66">
        <f>+IF($M70&gt;G$22,"FIN",IF($M70&lt;G$30,G$31*VLOOKUP($M70,$A:$L,7,0)/VLOOKUP(G$28,$M$7:$O$10,2,0),(G$31-G$31/G$29*(G$29-(YEAR(G$22)-YEAR($M70)+1)))*VLOOKUP($M70,$A:$L,7,0)/VLOOKUP(G$28,$M$7:$O$10,2,0)))</f>
        <v>1.1818181818181817</v>
      </c>
      <c r="AI70" s="66">
        <f>+IF($M70&gt;G$22,"FIN",IF($M70&lt;=G$22,IFERROR(IF($M70&lt;G$30,0,IF(MONTH($M70)=MONTH(G$30),G$31/G$29,0)),0),0))</f>
        <v>9.0909090909090917</v>
      </c>
      <c r="AJ70" s="66">
        <f t="shared" si="29"/>
        <v>10.272727272727273</v>
      </c>
      <c r="AK70" s="85">
        <f>AJ70/(1+$B$18)^(YEARFRAC($M$37,$M70))</f>
        <v>2.1316036401409444</v>
      </c>
      <c r="AL70" s="66">
        <f t="shared" si="13"/>
        <v>1.3928571428571428</v>
      </c>
      <c r="AM70" s="66">
        <f t="shared" si="14"/>
        <v>7.1428571428571432</v>
      </c>
      <c r="AN70" s="66">
        <f t="shared" si="24"/>
        <v>8.5357142857142865</v>
      </c>
      <c r="AO70" s="85">
        <f t="shared" si="25"/>
        <v>1.7711712926455572</v>
      </c>
      <c r="AP70" s="66">
        <f>+IF($M70&gt;I$22,"FIN",IF($M70&lt;I$30,I$31*VLOOKUP($M70,$A:$L,9,0)/VLOOKUP(I$28,$M$7:$O$10,2,0),(I$31-I$31/I$29*(I$29-(YEAR(I$22)-YEAR($M70)+1)))*VLOOKUP($M70,$A:$L,9,0)/VLOOKUP(I$28,$M$7:$O$10,2,0)))</f>
        <v>2.214285714285714</v>
      </c>
      <c r="AQ70" s="66">
        <f>+IF($M70&gt;I$22,"FIN",IF($M70&lt;=I$22,IFERROR(IF($M70&lt;I$30,0,IF(MONTH($M70)=MONTH(I$30),I$31/I$29,0)),0),0))</f>
        <v>7.1428571428571432</v>
      </c>
      <c r="AR70" s="66">
        <f t="shared" si="30"/>
        <v>9.3571428571428577</v>
      </c>
      <c r="AS70" s="85">
        <f>AR70/(1+$B$18)^(YEARFRAC($M$37,$M70))</f>
        <v>1.9416187392181421</v>
      </c>
      <c r="AT70" s="66">
        <f t="shared" si="15"/>
        <v>1.35375</v>
      </c>
      <c r="AU70" s="66">
        <f t="shared" si="16"/>
        <v>4.75</v>
      </c>
      <c r="AV70" s="66">
        <f t="shared" si="26"/>
        <v>6.1037499999999998</v>
      </c>
      <c r="AW70" s="85">
        <f t="shared" si="27"/>
        <v>1.2665356894125059</v>
      </c>
      <c r="AX70" s="66">
        <f>+IF($M70&gt;K$22,"FIN",IF($M70&lt;K$30,K$31*VLOOKUP($M70,$A:$L,11,0)/VLOOKUP(K$28,$M$7:$O$10,2,0),(K$31-K$31/K$29*(K$29-(YEAR(K$22)-YEAR($M70)+1)))*VLOOKUP($M70,$A:$L,11,0)/VLOOKUP(K$28,$M$7:$O$10,2,0)))</f>
        <v>1.9950000000000001</v>
      </c>
      <c r="AY70" s="66">
        <f>+IF($M70&gt;K$22,"FIN",IF($M70&lt;=K$22,IFERROR(IF($M70&lt;K$30,0,IF(MONTH($M70)=MONTH(K$30),K$31/K$29,0)),0),0))</f>
        <v>4.75</v>
      </c>
      <c r="AZ70" s="66">
        <f t="shared" si="31"/>
        <v>6.7450000000000001</v>
      </c>
      <c r="BA70" s="85">
        <f>AZ70/(1+$B$18)^(YEARFRAC($M$37,$M70))</f>
        <v>1.3995958591173217</v>
      </c>
      <c r="BB70" s="50"/>
    </row>
    <row r="71" spans="1:54" s="51" customFormat="1" x14ac:dyDescent="0.25">
      <c r="A71" s="60">
        <f t="shared" si="32"/>
        <v>50175</v>
      </c>
      <c r="B71" s="62"/>
      <c r="C71" s="62"/>
      <c r="D71" s="62"/>
      <c r="E71" s="62"/>
      <c r="F71" s="62">
        <v>4.4999999999999998E-2</v>
      </c>
      <c r="G71" s="62">
        <v>3.2500000000000001E-2</v>
      </c>
      <c r="H71" s="69">
        <v>4.8750000000000002E-2</v>
      </c>
      <c r="I71" s="69">
        <v>3.875E-2</v>
      </c>
      <c r="J71" s="62">
        <v>4.7500000000000001E-2</v>
      </c>
      <c r="K71" s="62">
        <v>3.5000000000000003E-2</v>
      </c>
      <c r="L71" s="68"/>
      <c r="M71" s="64">
        <f t="shared" si="33"/>
        <v>50175</v>
      </c>
      <c r="N71" s="65"/>
      <c r="O71" s="66"/>
      <c r="P71" s="66"/>
      <c r="Q71" s="70"/>
      <c r="R71" s="66"/>
      <c r="S71" s="66"/>
      <c r="T71" s="66"/>
      <c r="U71" s="70"/>
      <c r="V71" s="66"/>
      <c r="W71" s="66"/>
      <c r="X71" s="66"/>
      <c r="Y71" s="67"/>
      <c r="Z71" s="66"/>
      <c r="AA71" s="66"/>
      <c r="AB71" s="66"/>
      <c r="AC71" s="67"/>
      <c r="AD71" s="66">
        <f t="shared" si="11"/>
        <v>0.61363636363636342</v>
      </c>
      <c r="AE71" s="66">
        <f t="shared" si="12"/>
        <v>0</v>
      </c>
      <c r="AF71" s="66">
        <f t="shared" si="22"/>
        <v>0.61363636363636342</v>
      </c>
      <c r="AG71" s="85">
        <f t="shared" si="23"/>
        <v>0.12140468318871918</v>
      </c>
      <c r="AH71" s="66"/>
      <c r="AI71" s="66"/>
      <c r="AJ71" s="66"/>
      <c r="AK71" s="85"/>
      <c r="AL71" s="66">
        <f t="shared" si="13"/>
        <v>1.21875</v>
      </c>
      <c r="AM71" s="66">
        <f t="shared" si="14"/>
        <v>0</v>
      </c>
      <c r="AN71" s="66">
        <f t="shared" si="24"/>
        <v>1.21875</v>
      </c>
      <c r="AO71" s="85">
        <f t="shared" si="25"/>
        <v>0.24112319022203957</v>
      </c>
      <c r="AP71" s="66"/>
      <c r="AQ71" s="66"/>
      <c r="AR71" s="66"/>
      <c r="AS71" s="85"/>
      <c r="AT71" s="66">
        <f t="shared" ref="AT71:AT92" si="34">+IF($M71&gt;J$22,"FIN",IF($M71&lt;J$30,J$31*VLOOKUP($M71,$A:$L,10,0)/VLOOKUP(J$28,$M$7:$O$10,2,0),(J$31-J$31/J$29*(J$29-(YEAR(J$22)-YEAR($M71)+1)))*VLOOKUP($M71,$A:$L,10,0)/VLOOKUP(J$28,$M$7:$O$10,2,0)))</f>
        <v>1.2409375</v>
      </c>
      <c r="AU71" s="66">
        <f t="shared" ref="AU71:AU92" si="35">+IF($M71&gt;J$22,"FIN",IF($M71&lt;=J$22,IFERROR(IF($M71&lt;J$30,0,IF(MONTH($M71)=MONTH(J$30),J$31/J$29,0)),0),0))</f>
        <v>0</v>
      </c>
      <c r="AV71" s="66">
        <f t="shared" si="26"/>
        <v>1.2409375</v>
      </c>
      <c r="AW71" s="85">
        <f t="shared" si="27"/>
        <v>0.24551286881326131</v>
      </c>
      <c r="AX71" s="66"/>
      <c r="AY71" s="66"/>
      <c r="AZ71" s="66"/>
      <c r="BA71" s="85"/>
      <c r="BB71" s="50"/>
    </row>
    <row r="72" spans="1:54" s="51" customFormat="1" x14ac:dyDescent="0.25">
      <c r="A72" s="60">
        <f t="shared" si="32"/>
        <v>50359</v>
      </c>
      <c r="B72" s="62"/>
      <c r="C72" s="62"/>
      <c r="D72" s="62"/>
      <c r="E72" s="62"/>
      <c r="F72" s="62">
        <v>4.4999999999999998E-2</v>
      </c>
      <c r="G72" s="62">
        <v>3.2500000000000001E-2</v>
      </c>
      <c r="H72" s="69">
        <v>4.8750000000000002E-2</v>
      </c>
      <c r="I72" s="69">
        <v>3.875E-2</v>
      </c>
      <c r="J72" s="62">
        <v>4.7500000000000001E-2</v>
      </c>
      <c r="K72" s="62">
        <v>3.5000000000000003E-2</v>
      </c>
      <c r="L72" s="68"/>
      <c r="M72" s="64">
        <f t="shared" si="33"/>
        <v>50359</v>
      </c>
      <c r="N72" s="65"/>
      <c r="O72" s="66"/>
      <c r="P72" s="66"/>
      <c r="Q72" s="70"/>
      <c r="R72" s="66"/>
      <c r="S72" s="66"/>
      <c r="T72" s="66"/>
      <c r="U72" s="70"/>
      <c r="V72" s="66"/>
      <c r="W72" s="66"/>
      <c r="X72" s="66"/>
      <c r="Y72" s="70"/>
      <c r="Z72" s="66"/>
      <c r="AA72" s="66"/>
      <c r="AB72" s="66"/>
      <c r="AC72" s="70"/>
      <c r="AD72" s="66">
        <f t="shared" si="11"/>
        <v>0.61363636363636342</v>
      </c>
      <c r="AE72" s="66">
        <f t="shared" si="12"/>
        <v>9.0909090909090917</v>
      </c>
      <c r="AF72" s="66">
        <f t="shared" si="22"/>
        <v>9.704545454545455</v>
      </c>
      <c r="AG72" s="85">
        <f t="shared" si="23"/>
        <v>1.8306410988338355</v>
      </c>
      <c r="AH72" s="66">
        <f>+IF($M72&gt;G$22,"FIN",IF($M72&lt;G$30,G$31*VLOOKUP($M72,$A:$L,7,0)/VLOOKUP(G$28,$M$7:$O$10,2,0),(G$31-G$31/G$29*(G$29-(YEAR(G$22)-YEAR($M72)+1)))*VLOOKUP($M72,$A:$L,7,0)/VLOOKUP(G$28,$M$7:$O$10,2,0)))</f>
        <v>0.88636363636363613</v>
      </c>
      <c r="AI72" s="66">
        <f>+IF($M72&gt;G$22,"FIN",IF($M72&lt;=G$22,IFERROR(IF($M72&lt;G$30,0,IF(MONTH($M72)=MONTH(G$30),G$31/G$29,0)),0),0))</f>
        <v>9.0909090909090917</v>
      </c>
      <c r="AJ72" s="66">
        <f t="shared" si="29"/>
        <v>9.9772727272727284</v>
      </c>
      <c r="AK72" s="85">
        <f>AJ72/(1+$B$18)^(YEARFRAC($M$37,$M72))</f>
        <v>1.8820876870914611</v>
      </c>
      <c r="AL72" s="66">
        <f t="shared" si="13"/>
        <v>1.21875</v>
      </c>
      <c r="AM72" s="66">
        <f t="shared" si="14"/>
        <v>7.1428571428571432</v>
      </c>
      <c r="AN72" s="66">
        <f t="shared" si="24"/>
        <v>8.3616071428571423</v>
      </c>
      <c r="AO72" s="85">
        <f t="shared" si="25"/>
        <v>1.577312586118832</v>
      </c>
      <c r="AP72" s="66">
        <f>+IF($M72&gt;I$22,"FIN",IF($M72&lt;I$30,I$31*VLOOKUP($M72,$A:$L,9,0)/VLOOKUP(I$28,$M$7:$O$10,2,0),(I$31-I$31/I$29*(I$29-(YEAR(I$22)-YEAR($M72)+1)))*VLOOKUP($M72,$A:$L,9,0)/VLOOKUP(I$28,$M$7:$O$10,2,0)))</f>
        <v>1.9375</v>
      </c>
      <c r="AQ72" s="66">
        <f>+IF($M72&gt;I$22,"FIN",IF($M72&lt;=I$22,IFERROR(IF($M72&lt;I$30,0,IF(MONTH($M72)=MONTH(I$30),I$31/I$29,0)),0),0))</f>
        <v>7.1428571428571432</v>
      </c>
      <c r="AR72" s="66">
        <f t="shared" si="30"/>
        <v>9.0803571428571423</v>
      </c>
      <c r="AS72" s="85">
        <f>AR72/(1+$B$18)^(YEARFRAC($M$37,$M72))</f>
        <v>1.7128957822561155</v>
      </c>
      <c r="AT72" s="66">
        <f t="shared" si="34"/>
        <v>1.2409375</v>
      </c>
      <c r="AU72" s="66">
        <f t="shared" si="35"/>
        <v>4.75</v>
      </c>
      <c r="AV72" s="66">
        <f t="shared" si="26"/>
        <v>5.9909375000000002</v>
      </c>
      <c r="AW72" s="85">
        <f t="shared" si="27"/>
        <v>1.1301154144121137</v>
      </c>
      <c r="AX72" s="66">
        <f>+IF($M72&gt;K$22,"FIN",IF($M72&lt;K$30,K$31*VLOOKUP($M72,$A:$L,11,0)/VLOOKUP(K$28,$M$7:$O$10,2,0),(K$31-K$31/K$29*(K$29-(YEAR(K$22)-YEAR($M72)+1)))*VLOOKUP($M72,$A:$L,11,0)/VLOOKUP(K$28,$M$7:$O$10,2,0)))</f>
        <v>1.8287500000000001</v>
      </c>
      <c r="AY72" s="66">
        <f>+IF($M72&gt;K$22,"FIN",IF($M72&lt;=K$22,IFERROR(IF($M72&lt;K$30,0,IF(MONTH($M72)=MONTH(K$30),K$31/K$29,0)),0),0))</f>
        <v>4.75</v>
      </c>
      <c r="AZ72" s="66">
        <f t="shared" si="31"/>
        <v>6.5787500000000003</v>
      </c>
      <c r="BA72" s="85">
        <f>AZ72/(1+$B$18)^(YEARFRAC($M$37,$M72))</f>
        <v>1.240998889166127</v>
      </c>
      <c r="BB72" s="50"/>
    </row>
    <row r="73" spans="1:54" s="51" customFormat="1" x14ac:dyDescent="0.25">
      <c r="A73" s="60">
        <f t="shared" si="32"/>
        <v>50540</v>
      </c>
      <c r="B73" s="62"/>
      <c r="C73" s="62"/>
      <c r="D73" s="62"/>
      <c r="E73" s="62"/>
      <c r="F73" s="62">
        <v>4.4999999999999998E-2</v>
      </c>
      <c r="G73" s="62">
        <v>3.2500000000000001E-2</v>
      </c>
      <c r="H73" s="69">
        <v>4.8750000000000002E-2</v>
      </c>
      <c r="I73" s="69">
        <v>3.875E-2</v>
      </c>
      <c r="J73" s="62">
        <v>4.7500000000000001E-2</v>
      </c>
      <c r="K73" s="62">
        <v>3.5000000000000003E-2</v>
      </c>
      <c r="L73" s="68"/>
      <c r="M73" s="64">
        <f t="shared" si="33"/>
        <v>50540</v>
      </c>
      <c r="N73" s="65"/>
      <c r="O73" s="66"/>
      <c r="P73" s="66"/>
      <c r="Q73" s="70"/>
      <c r="R73" s="66"/>
      <c r="S73" s="66"/>
      <c r="T73" s="66"/>
      <c r="U73" s="70"/>
      <c r="V73" s="66"/>
      <c r="W73" s="66"/>
      <c r="X73" s="66"/>
      <c r="Y73" s="70"/>
      <c r="Z73" s="66"/>
      <c r="AA73" s="66"/>
      <c r="AB73" s="66"/>
      <c r="AC73" s="70"/>
      <c r="AD73" s="66">
        <f t="shared" si="11"/>
        <v>0.40909090909090889</v>
      </c>
      <c r="AE73" s="66">
        <f t="shared" si="12"/>
        <v>0</v>
      </c>
      <c r="AF73" s="66">
        <f t="shared" si="22"/>
        <v>0.40909090909090889</v>
      </c>
      <c r="AG73" s="85">
        <f t="shared" si="23"/>
        <v>7.3578595871951008E-2</v>
      </c>
      <c r="AH73" s="66"/>
      <c r="AI73" s="66"/>
      <c r="AJ73" s="66"/>
      <c r="AK73" s="85"/>
      <c r="AL73" s="66">
        <f t="shared" si="13"/>
        <v>1.0446428571428572</v>
      </c>
      <c r="AM73" s="66">
        <f t="shared" si="14"/>
        <v>0</v>
      </c>
      <c r="AN73" s="66">
        <f t="shared" si="24"/>
        <v>1.0446428571428572</v>
      </c>
      <c r="AO73" s="85">
        <f t="shared" si="25"/>
        <v>0.18788820017301786</v>
      </c>
      <c r="AP73" s="66"/>
      <c r="AQ73" s="66"/>
      <c r="AR73" s="66"/>
      <c r="AS73" s="85"/>
      <c r="AT73" s="66">
        <f t="shared" si="34"/>
        <v>1.128125</v>
      </c>
      <c r="AU73" s="66">
        <f t="shared" si="35"/>
        <v>0</v>
      </c>
      <c r="AV73" s="66">
        <f t="shared" si="26"/>
        <v>1.128125</v>
      </c>
      <c r="AW73" s="85">
        <f t="shared" si="27"/>
        <v>0.20290319736633167</v>
      </c>
      <c r="AX73" s="66"/>
      <c r="AY73" s="66"/>
      <c r="AZ73" s="66"/>
      <c r="BA73" s="85"/>
      <c r="BB73" s="71"/>
    </row>
    <row r="74" spans="1:54" s="50" customFormat="1" x14ac:dyDescent="0.25">
      <c r="A74" s="60">
        <f t="shared" si="32"/>
        <v>50724</v>
      </c>
      <c r="B74" s="51"/>
      <c r="C74" s="51"/>
      <c r="D74" s="51"/>
      <c r="E74" s="51"/>
      <c r="F74" s="62">
        <v>4.4999999999999998E-2</v>
      </c>
      <c r="G74" s="62">
        <v>3.2500000000000001E-2</v>
      </c>
      <c r="H74" s="69">
        <v>4.8750000000000002E-2</v>
      </c>
      <c r="I74" s="69">
        <v>3.875E-2</v>
      </c>
      <c r="J74" s="62">
        <v>4.7500000000000001E-2</v>
      </c>
      <c r="K74" s="62">
        <v>3.5000000000000003E-2</v>
      </c>
      <c r="L74" s="68"/>
      <c r="M74" s="64">
        <f t="shared" si="33"/>
        <v>50724</v>
      </c>
      <c r="N74" s="65"/>
      <c r="O74" s="66"/>
      <c r="P74" s="66"/>
      <c r="Q74" s="70"/>
      <c r="R74" s="66"/>
      <c r="S74" s="66"/>
      <c r="T74" s="66"/>
      <c r="U74" s="70"/>
      <c r="V74" s="66"/>
      <c r="W74" s="66"/>
      <c r="X74" s="66"/>
      <c r="Y74" s="70"/>
      <c r="Z74" s="66"/>
      <c r="AA74" s="66"/>
      <c r="AB74" s="66"/>
      <c r="AC74" s="70"/>
      <c r="AD74" s="66">
        <f t="shared" si="11"/>
        <v>0.40909090909090889</v>
      </c>
      <c r="AE74" s="66">
        <f t="shared" si="12"/>
        <v>9.0909090909090917</v>
      </c>
      <c r="AF74" s="66">
        <f t="shared" si="22"/>
        <v>9.5</v>
      </c>
      <c r="AG74" s="85">
        <f t="shared" si="23"/>
        <v>1.6291419614914693</v>
      </c>
      <c r="AH74" s="66">
        <f>+IF($M74&gt;G$22,"FIN",IF($M74&lt;G$30,G$31*VLOOKUP($M74,$A:$L,7,0)/VLOOKUP(G$28,$M$7:$O$10,2,0),(G$31-G$31/G$29*(G$29-(YEAR(G$22)-YEAR($M74)+1)))*VLOOKUP($M74,$A:$L,7,0)/VLOOKUP(G$28,$M$7:$O$10,2,0)))</f>
        <v>0.59090909090909061</v>
      </c>
      <c r="AI74" s="66">
        <f>+IF($M74&gt;G$22,"FIN",IF($M74&lt;=G$22,IFERROR(IF($M74&lt;G$30,0,IF(MONTH($M74)=MONTH(G$30),G$31/G$29,0)),0),0))</f>
        <v>9.0909090909090917</v>
      </c>
      <c r="AJ74" s="66">
        <f t="shared" si="29"/>
        <v>9.6818181818181817</v>
      </c>
      <c r="AK74" s="85">
        <f>AJ74/(1+$B$18)^(YEARFRAC($M$37,$M74))</f>
        <v>1.6603217119506362</v>
      </c>
      <c r="AL74" s="66">
        <f t="shared" si="13"/>
        <v>1.0446428571428572</v>
      </c>
      <c r="AM74" s="66">
        <f t="shared" si="14"/>
        <v>7.1428571428571432</v>
      </c>
      <c r="AN74" s="66">
        <f t="shared" si="24"/>
        <v>8.1875</v>
      </c>
      <c r="AO74" s="85">
        <f t="shared" si="25"/>
        <v>1.4040631378643584</v>
      </c>
      <c r="AP74" s="66">
        <f>+IF($M74&gt;I$22,"FIN",IF($M74&lt;I$30,I$31*VLOOKUP($M74,$A:$L,9,0)/VLOOKUP(I$28,$M$7:$O$10,2,0),(I$31-I$31/I$29*(I$29-(YEAR(I$22)-YEAR($M74)+1)))*VLOOKUP($M74,$A:$L,9,0)/VLOOKUP(I$28,$M$7:$O$10,2,0)))</f>
        <v>1.6607142857142856</v>
      </c>
      <c r="AQ74" s="66">
        <f>+IF($M74&gt;I$22,"FIN",IF($M74&lt;=I$22,IFERROR(IF($M74&lt;I$30,0,IF(MONTH($M74)=MONTH(I$30),I$31/I$29,0)),0),0))</f>
        <v>7.1428571428571432</v>
      </c>
      <c r="AR74" s="66">
        <f t="shared" si="30"/>
        <v>8.8035714285714288</v>
      </c>
      <c r="AS74" s="85">
        <f>AR74/(1+$B$18)^(YEARFRAC($M$37,$M74))</f>
        <v>1.5097123816076963</v>
      </c>
      <c r="AT74" s="66">
        <f t="shared" si="34"/>
        <v>1.128125</v>
      </c>
      <c r="AU74" s="66">
        <f t="shared" si="35"/>
        <v>4.75</v>
      </c>
      <c r="AV74" s="66">
        <f t="shared" si="26"/>
        <v>5.8781249999999998</v>
      </c>
      <c r="AW74" s="85">
        <f t="shared" si="27"/>
        <v>1.0080315886728466</v>
      </c>
      <c r="AX74" s="66">
        <f>+IF($M74&gt;K$22,"FIN",IF($M74&lt;K$30,K$31*VLOOKUP($M74,$A:$L,11,0)/VLOOKUP(K$28,$M$7:$O$10,2,0),(K$31-K$31/K$29*(K$29-(YEAR(K$22)-YEAR($M74)+1)))*VLOOKUP($M74,$A:$L,11,0)/VLOOKUP(K$28,$M$7:$O$10,2,0)))</f>
        <v>1.6625000000000001</v>
      </c>
      <c r="AY74" s="66">
        <f>+IF($M74&gt;K$22,"FIN",IF($M74&lt;=K$22,IFERROR(IF($M74&lt;K$30,0,IF(MONTH($M74)=MONTH(K$30),K$31/K$29,0)),0),0))</f>
        <v>4.75</v>
      </c>
      <c r="AZ74" s="66">
        <f t="shared" si="31"/>
        <v>6.4124999999999996</v>
      </c>
      <c r="BA74" s="85">
        <f>AZ74/(1+$B$18)^(YEARFRAC($M$37,$M74))</f>
        <v>1.0996708240067417</v>
      </c>
    </row>
    <row r="75" spans="1:54" s="50" customFormat="1" x14ac:dyDescent="0.25">
      <c r="A75" s="60">
        <f t="shared" si="32"/>
        <v>50905</v>
      </c>
      <c r="B75" s="51"/>
      <c r="C75" s="51"/>
      <c r="D75" s="51"/>
      <c r="E75" s="51"/>
      <c r="F75" s="62">
        <v>4.4999999999999998E-2</v>
      </c>
      <c r="G75" s="62">
        <v>3.2500000000000001E-2</v>
      </c>
      <c r="H75" s="69">
        <v>4.8750000000000002E-2</v>
      </c>
      <c r="I75" s="69">
        <v>3.875E-2</v>
      </c>
      <c r="J75" s="62">
        <v>4.7500000000000001E-2</v>
      </c>
      <c r="K75" s="62">
        <v>3.5000000000000003E-2</v>
      </c>
      <c r="L75" s="68"/>
      <c r="M75" s="64">
        <f t="shared" si="33"/>
        <v>50905</v>
      </c>
      <c r="N75" s="65"/>
      <c r="O75" s="66"/>
      <c r="P75" s="66"/>
      <c r="Q75" s="70"/>
      <c r="R75" s="66"/>
      <c r="S75" s="66"/>
      <c r="T75" s="66"/>
      <c r="U75" s="70"/>
      <c r="V75" s="66"/>
      <c r="W75" s="66"/>
      <c r="X75" s="66"/>
      <c r="Y75" s="70"/>
      <c r="Z75" s="66"/>
      <c r="AA75" s="66"/>
      <c r="AB75" s="66"/>
      <c r="AC75" s="70"/>
      <c r="AD75" s="66">
        <f t="shared" si="11"/>
        <v>0.20454545454545428</v>
      </c>
      <c r="AE75" s="66">
        <f t="shared" si="12"/>
        <v>0</v>
      </c>
      <c r="AF75" s="66">
        <f t="shared" si="22"/>
        <v>0.20454545454545428</v>
      </c>
      <c r="AG75" s="85">
        <f t="shared" si="23"/>
        <v>3.3444816305432237E-2</v>
      </c>
      <c r="AH75" s="66"/>
      <c r="AI75" s="66"/>
      <c r="AJ75" s="66"/>
      <c r="AK75" s="85"/>
      <c r="AL75" s="66">
        <f t="shared" si="13"/>
        <v>0.87053571428571419</v>
      </c>
      <c r="AM75" s="66">
        <f t="shared" si="14"/>
        <v>0</v>
      </c>
      <c r="AN75" s="66">
        <f t="shared" si="24"/>
        <v>0.87053571428571419</v>
      </c>
      <c r="AO75" s="85">
        <f t="shared" si="25"/>
        <v>0.14233954558561951</v>
      </c>
      <c r="AP75" s="66"/>
      <c r="AQ75" s="66"/>
      <c r="AR75" s="66"/>
      <c r="AS75" s="85"/>
      <c r="AT75" s="66">
        <f t="shared" si="34"/>
        <v>1.0153125000000001</v>
      </c>
      <c r="AU75" s="66">
        <f t="shared" si="35"/>
        <v>0</v>
      </c>
      <c r="AV75" s="66">
        <f t="shared" si="26"/>
        <v>1.0153125000000001</v>
      </c>
      <c r="AW75" s="85">
        <f t="shared" ref="AW75:AW92" si="36">AV75/(1+$B$18)^(YEARFRAC($M$37,$M75))</f>
        <v>0.16601170693608949</v>
      </c>
      <c r="AX75" s="66"/>
      <c r="AY75" s="66"/>
      <c r="AZ75" s="66"/>
      <c r="BA75" s="85"/>
    </row>
    <row r="76" spans="1:54" s="50" customFormat="1" x14ac:dyDescent="0.25">
      <c r="A76" s="60">
        <f t="shared" si="32"/>
        <v>51089</v>
      </c>
      <c r="B76" s="51"/>
      <c r="C76" s="51"/>
      <c r="D76" s="51"/>
      <c r="E76" s="51"/>
      <c r="F76" s="62">
        <v>4.4999999999999998E-2</v>
      </c>
      <c r="G76" s="62">
        <v>3.2500000000000001E-2</v>
      </c>
      <c r="H76" s="69">
        <v>4.8750000000000002E-2</v>
      </c>
      <c r="I76" s="69">
        <v>3.875E-2</v>
      </c>
      <c r="J76" s="62">
        <v>4.7500000000000001E-2</v>
      </c>
      <c r="K76" s="62">
        <v>3.5000000000000003E-2</v>
      </c>
      <c r="L76" s="68"/>
      <c r="M76" s="64">
        <f t="shared" si="33"/>
        <v>51089</v>
      </c>
      <c r="N76" s="65"/>
      <c r="O76" s="66"/>
      <c r="P76" s="66"/>
      <c r="Q76" s="70"/>
      <c r="R76" s="66"/>
      <c r="S76" s="66"/>
      <c r="T76" s="66"/>
      <c r="U76" s="70"/>
      <c r="V76" s="66"/>
      <c r="W76" s="66"/>
      <c r="X76" s="66"/>
      <c r="Y76" s="70"/>
      <c r="Z76" s="66"/>
      <c r="AA76" s="66"/>
      <c r="AB76" s="66"/>
      <c r="AC76" s="70"/>
      <c r="AD76" s="66">
        <f t="shared" si="11"/>
        <v>0.20454545454545428</v>
      </c>
      <c r="AE76" s="66">
        <f t="shared" si="12"/>
        <v>9.0909090909090917</v>
      </c>
      <c r="AF76" s="66">
        <f t="shared" si="22"/>
        <v>9.2954545454545467</v>
      </c>
      <c r="AG76" s="85">
        <f t="shared" si="23"/>
        <v>1.449149765659006</v>
      </c>
      <c r="AH76" s="66">
        <f>+IF($M76&gt;G$22,"FIN",IF($M76&lt;G$30,G$31*VLOOKUP($M76,$A:$L,7,0)/VLOOKUP(G$28,$M$7:$O$10,2,0),(G$31-G$31/G$29*(G$29-(YEAR(G$22)-YEAR($M76)+1)))*VLOOKUP($M76,$A:$L,7,0)/VLOOKUP(G$28,$M$7:$O$10,2,0)))</f>
        <v>0.29545454545454508</v>
      </c>
      <c r="AI76" s="66">
        <f>+IF($M76&gt;G$22,"FIN",IF($M76&lt;=G$22,IFERROR(IF($M76&lt;G$30,0,IF(MONTH($M76)=MONTH(G$30),G$31/G$29,0)),0),0))</f>
        <v>9.0909090909090917</v>
      </c>
      <c r="AJ76" s="66">
        <f t="shared" si="29"/>
        <v>9.3863636363636367</v>
      </c>
      <c r="AK76" s="85">
        <f>AJ76/(1+$B$18)^(YEARFRAC($M$37,$M76))</f>
        <v>1.4633223795040817</v>
      </c>
      <c r="AL76" s="66">
        <f t="shared" si="13"/>
        <v>0.87053571428571419</v>
      </c>
      <c r="AM76" s="66">
        <f t="shared" si="14"/>
        <v>7.1428571428571432</v>
      </c>
      <c r="AN76" s="66">
        <f t="shared" si="24"/>
        <v>8.0133928571428577</v>
      </c>
      <c r="AO76" s="85">
        <f t="shared" si="25"/>
        <v>1.2492779480849228</v>
      </c>
      <c r="AP76" s="66">
        <f>+IF($M76&gt;I$22,"FIN",IF($M76&lt;I$30,I$31*VLOOKUP($M76,$A:$L,9,0)/VLOOKUP(I$28,$M$7:$O$10,2,0),(I$31-I$31/I$29*(I$29-(YEAR(I$22)-YEAR($M76)+1)))*VLOOKUP($M76,$A:$L,9,0)/VLOOKUP(I$28,$M$7:$O$10,2,0)))</f>
        <v>1.3839285714285712</v>
      </c>
      <c r="AQ76" s="66">
        <f>+IF($M76&gt;I$22,"FIN",IF($M76&lt;=I$22,IFERROR(IF($M76&lt;I$30,0,IF(MONTH($M76)=MONTH(I$30),I$31/I$29,0)),0),0))</f>
        <v>7.1428571428571432</v>
      </c>
      <c r="AR76" s="66">
        <f t="shared" si="30"/>
        <v>8.5267857142857153</v>
      </c>
      <c r="AS76" s="85">
        <f>AR76/(1+$B$18)^(YEARFRAC($M$37,$M76))</f>
        <v>1.3293152539510877</v>
      </c>
      <c r="AT76" s="66">
        <f t="shared" si="34"/>
        <v>1.0153125000000001</v>
      </c>
      <c r="AU76" s="66">
        <f t="shared" si="35"/>
        <v>4.75</v>
      </c>
      <c r="AV76" s="66">
        <f t="shared" si="26"/>
        <v>5.7653125000000003</v>
      </c>
      <c r="AW76" s="85">
        <f t="shared" si="36"/>
        <v>0.8988050253455776</v>
      </c>
      <c r="AX76" s="66">
        <f>+IF($M76&gt;K$22,"FIN",IF($M76&lt;K$30,K$31*VLOOKUP($M76,$A:$L,11,0)/VLOOKUP(K$28,$M$7:$O$10,2,0),(K$31-K$31/K$29*(K$29-(YEAR(K$22)-YEAR($M76)+1)))*VLOOKUP($M76,$A:$L,11,0)/VLOOKUP(K$28,$M$7:$O$10,2,0)))</f>
        <v>1.4962500000000001</v>
      </c>
      <c r="AY76" s="66">
        <f>+IF($M76&gt;K$22,"FIN",IF($M76&lt;=K$22,IFERROR(IF($M76&lt;K$30,0,IF(MONTH($M76)=MONTH(K$30),K$31/K$29,0)),0),0))</f>
        <v>4.75</v>
      </c>
      <c r="AZ76" s="66">
        <f t="shared" si="31"/>
        <v>6.2462499999999999</v>
      </c>
      <c r="BA76" s="85">
        <f>AZ76/(1+$B$18)^(YEARFRAC($M$37,$M76))</f>
        <v>0.97378258152785535</v>
      </c>
    </row>
    <row r="77" spans="1:54" s="50" customFormat="1" x14ac:dyDescent="0.25">
      <c r="A77" s="60">
        <f t="shared" si="32"/>
        <v>51271</v>
      </c>
      <c r="B77" s="51"/>
      <c r="C77" s="51"/>
      <c r="D77" s="51"/>
      <c r="E77" s="51"/>
      <c r="F77" s="62"/>
      <c r="G77" s="62"/>
      <c r="H77" s="69">
        <v>4.8750000000000002E-2</v>
      </c>
      <c r="I77" s="69">
        <v>3.875E-2</v>
      </c>
      <c r="J77" s="62">
        <v>4.7500000000000001E-2</v>
      </c>
      <c r="K77" s="62">
        <v>3.5000000000000003E-2</v>
      </c>
      <c r="L77" s="68"/>
      <c r="M77" s="64">
        <f t="shared" si="33"/>
        <v>51271</v>
      </c>
      <c r="N77" s="65"/>
      <c r="O77" s="66"/>
      <c r="P77" s="66"/>
      <c r="Q77" s="70"/>
      <c r="R77" s="66"/>
      <c r="S77" s="66"/>
      <c r="T77" s="66"/>
      <c r="U77" s="70"/>
      <c r="V77" s="66"/>
      <c r="W77" s="66"/>
      <c r="X77" s="66"/>
      <c r="Y77" s="70"/>
      <c r="Z77" s="66"/>
      <c r="AA77" s="66"/>
      <c r="AB77" s="66"/>
      <c r="AC77" s="70"/>
      <c r="AD77" s="66"/>
      <c r="AE77" s="66"/>
      <c r="AF77" s="66"/>
      <c r="AG77" s="67"/>
      <c r="AH77" s="66"/>
      <c r="AI77" s="66"/>
      <c r="AJ77" s="66"/>
      <c r="AK77" s="67"/>
      <c r="AL77" s="66">
        <f t="shared" si="13"/>
        <v>0.6964285714285714</v>
      </c>
      <c r="AM77" s="66">
        <f t="shared" si="14"/>
        <v>0</v>
      </c>
      <c r="AN77" s="66">
        <f t="shared" si="24"/>
        <v>0.6964285714285714</v>
      </c>
      <c r="AO77" s="85">
        <f t="shared" si="25"/>
        <v>0.10351966951681421</v>
      </c>
      <c r="AP77" s="66"/>
      <c r="AQ77" s="66"/>
      <c r="AR77" s="66"/>
      <c r="AS77" s="85"/>
      <c r="AT77" s="66">
        <f t="shared" si="34"/>
        <v>0.90249999999999997</v>
      </c>
      <c r="AU77" s="66">
        <f t="shared" si="35"/>
        <v>0</v>
      </c>
      <c r="AV77" s="66">
        <f t="shared" si="26"/>
        <v>0.90249999999999997</v>
      </c>
      <c r="AW77" s="85">
        <f t="shared" si="36"/>
        <v>0.13415087429178948</v>
      </c>
      <c r="AX77" s="66"/>
      <c r="AY77" s="66"/>
      <c r="AZ77" s="66"/>
      <c r="BA77" s="85"/>
    </row>
    <row r="78" spans="1:54" s="50" customFormat="1" x14ac:dyDescent="0.25">
      <c r="A78" s="60">
        <f t="shared" si="32"/>
        <v>51455</v>
      </c>
      <c r="B78" s="51"/>
      <c r="C78" s="51"/>
      <c r="D78" s="51"/>
      <c r="E78" s="51"/>
      <c r="F78" s="51"/>
      <c r="G78" s="62"/>
      <c r="H78" s="69">
        <v>4.8750000000000002E-2</v>
      </c>
      <c r="I78" s="69">
        <v>3.875E-2</v>
      </c>
      <c r="J78" s="62">
        <v>4.7500000000000001E-2</v>
      </c>
      <c r="K78" s="62">
        <v>3.5000000000000003E-2</v>
      </c>
      <c r="L78" s="68"/>
      <c r="M78" s="64">
        <f t="shared" si="33"/>
        <v>51455</v>
      </c>
      <c r="N78" s="65"/>
      <c r="O78" s="66"/>
      <c r="P78" s="66"/>
      <c r="Q78" s="70"/>
      <c r="R78" s="66"/>
      <c r="S78" s="66"/>
      <c r="T78" s="66"/>
      <c r="U78" s="70"/>
      <c r="V78" s="66"/>
      <c r="W78" s="66"/>
      <c r="X78" s="66"/>
      <c r="Y78" s="70"/>
      <c r="Z78" s="66"/>
      <c r="AA78" s="66"/>
      <c r="AB78" s="66"/>
      <c r="AC78" s="70"/>
      <c r="AD78" s="66"/>
      <c r="AE78" s="66"/>
      <c r="AF78" s="66"/>
      <c r="AG78" s="70"/>
      <c r="AH78" s="66"/>
      <c r="AI78" s="66"/>
      <c r="AJ78" s="66"/>
      <c r="AK78" s="70"/>
      <c r="AL78" s="66">
        <f t="shared" si="13"/>
        <v>0.6964285714285714</v>
      </c>
      <c r="AM78" s="66">
        <f t="shared" si="14"/>
        <v>7.1428571428571432</v>
      </c>
      <c r="AN78" s="66">
        <f t="shared" si="24"/>
        <v>7.8392857142857144</v>
      </c>
      <c r="AO78" s="85">
        <f t="shared" si="25"/>
        <v>1.1110316924979107</v>
      </c>
      <c r="AP78" s="66">
        <f>+IF($M78&gt;I$22,"FIN",IF($M78&lt;I$30,I$31*VLOOKUP($M78,$A:$L,9,0)/VLOOKUP(I$28,$M$7:$O$10,2,0),(I$31-I$31/I$29*(I$29-(YEAR(I$22)-YEAR($M78)+1)))*VLOOKUP($M78,$A:$L,9,0)/VLOOKUP(I$28,$M$7:$O$10,2,0)))</f>
        <v>1.107142857142857</v>
      </c>
      <c r="AQ78" s="66">
        <f>+IF($M78&gt;I$22,"FIN",IF($M78&lt;=I$22,IFERROR(IF($M78&lt;I$30,0,IF(MONTH($M78)=MONTH(I$30),I$31/I$29,0)),0),0))</f>
        <v>7.1428571428571432</v>
      </c>
      <c r="AR78" s="66">
        <f t="shared" si="30"/>
        <v>8.25</v>
      </c>
      <c r="AS78" s="85">
        <f>AR78/(1+$B$18)^(YEARFRAC($M$37,$M78))</f>
        <v>1.1692406422187578</v>
      </c>
      <c r="AT78" s="66">
        <f t="shared" si="34"/>
        <v>0.90249999999999997</v>
      </c>
      <c r="AU78" s="66">
        <f t="shared" si="35"/>
        <v>4.75</v>
      </c>
      <c r="AV78" s="66">
        <f t="shared" si="26"/>
        <v>5.6524999999999999</v>
      </c>
      <c r="AW78" s="85">
        <f t="shared" si="36"/>
        <v>0.80110699759291248</v>
      </c>
      <c r="AX78" s="66">
        <f>+IF($M78&gt;K$22,"FIN",IF($M78&lt;K$30,K$31*VLOOKUP($M78,$A:$L,11,0)/VLOOKUP(K$28,$M$7:$O$10,2,0),(K$31-K$31/K$29*(K$29-(YEAR(K$22)-YEAR($M78)+1)))*VLOOKUP($M78,$A:$L,11,0)/VLOOKUP(K$28,$M$7:$O$10,2,0)))</f>
        <v>1.33</v>
      </c>
      <c r="AY78" s="66">
        <f>+IF($M78&gt;K$22,"FIN",IF($M78&lt;=K$22,IFERROR(IF($M78&lt;K$30,0,IF(MONTH($M78)=MONTH(K$30),K$31/K$29,0)),0),0))</f>
        <v>4.75</v>
      </c>
      <c r="AZ78" s="66">
        <f t="shared" si="31"/>
        <v>6.08</v>
      </c>
      <c r="BA78" s="85">
        <f>AZ78/(1+$B$18)^(YEARFRAC($M$37,$M78))</f>
        <v>0.8616949217806118</v>
      </c>
    </row>
    <row r="79" spans="1:54" s="50" customFormat="1" x14ac:dyDescent="0.25">
      <c r="A79" s="60">
        <f t="shared" si="32"/>
        <v>51636</v>
      </c>
      <c r="B79" s="51"/>
      <c r="C79" s="51"/>
      <c r="D79" s="51"/>
      <c r="E79" s="51"/>
      <c r="F79" s="51"/>
      <c r="G79" s="62"/>
      <c r="H79" s="69">
        <v>4.8750000000000002E-2</v>
      </c>
      <c r="I79" s="69">
        <v>3.875E-2</v>
      </c>
      <c r="J79" s="62">
        <v>4.7500000000000001E-2</v>
      </c>
      <c r="K79" s="62">
        <v>3.5000000000000003E-2</v>
      </c>
      <c r="L79" s="68"/>
      <c r="M79" s="64">
        <f t="shared" si="33"/>
        <v>51636</v>
      </c>
      <c r="N79" s="65"/>
      <c r="O79" s="66"/>
      <c r="P79" s="66"/>
      <c r="Q79" s="70"/>
      <c r="R79" s="66"/>
      <c r="S79" s="66"/>
      <c r="T79" s="66"/>
      <c r="U79" s="70"/>
      <c r="V79" s="66"/>
      <c r="W79" s="66"/>
      <c r="X79" s="66"/>
      <c r="Y79" s="70"/>
      <c r="Z79" s="66"/>
      <c r="AA79" s="66"/>
      <c r="AB79" s="66"/>
      <c r="AC79" s="70"/>
      <c r="AD79" s="66"/>
      <c r="AE79" s="66"/>
      <c r="AF79" s="66"/>
      <c r="AG79" s="70"/>
      <c r="AH79" s="66"/>
      <c r="AI79" s="66"/>
      <c r="AJ79" s="66"/>
      <c r="AK79" s="70"/>
      <c r="AL79" s="66">
        <f t="shared" si="13"/>
        <v>0.5223214285714286</v>
      </c>
      <c r="AM79" s="66">
        <f t="shared" si="14"/>
        <v>0</v>
      </c>
      <c r="AN79" s="66">
        <f t="shared" si="24"/>
        <v>0.5223214285714286</v>
      </c>
      <c r="AO79" s="85">
        <f t="shared" si="25"/>
        <v>7.0581592852373323E-2</v>
      </c>
      <c r="AP79" s="66"/>
      <c r="AQ79" s="66"/>
      <c r="AR79" s="66"/>
      <c r="AS79" s="85"/>
      <c r="AT79" s="66">
        <f t="shared" si="34"/>
        <v>0.78968749999999999</v>
      </c>
      <c r="AU79" s="66">
        <f t="shared" si="35"/>
        <v>0</v>
      </c>
      <c r="AV79" s="66">
        <f t="shared" si="26"/>
        <v>0.78968749999999999</v>
      </c>
      <c r="AW79" s="85">
        <f t="shared" si="36"/>
        <v>0.10671092273210527</v>
      </c>
      <c r="AX79" s="66"/>
      <c r="AY79" s="66"/>
      <c r="AZ79" s="66"/>
      <c r="BA79" s="85"/>
    </row>
    <row r="80" spans="1:54" s="50" customFormat="1" x14ac:dyDescent="0.25">
      <c r="A80" s="60">
        <f t="shared" si="32"/>
        <v>51820</v>
      </c>
      <c r="B80" s="51"/>
      <c r="C80" s="51"/>
      <c r="D80" s="51"/>
      <c r="E80" s="51"/>
      <c r="F80" s="51"/>
      <c r="G80" s="62"/>
      <c r="H80" s="69">
        <v>4.8750000000000002E-2</v>
      </c>
      <c r="I80" s="69">
        <v>3.875E-2</v>
      </c>
      <c r="J80" s="62">
        <v>4.7500000000000001E-2</v>
      </c>
      <c r="K80" s="62">
        <v>3.5000000000000003E-2</v>
      </c>
      <c r="L80" s="68"/>
      <c r="M80" s="64">
        <f t="shared" si="33"/>
        <v>51820</v>
      </c>
      <c r="N80" s="65"/>
      <c r="O80" s="66"/>
      <c r="P80" s="66"/>
      <c r="Q80" s="70"/>
      <c r="R80" s="66"/>
      <c r="S80" s="66"/>
      <c r="T80" s="66"/>
      <c r="U80" s="70"/>
      <c r="V80" s="66"/>
      <c r="W80" s="66"/>
      <c r="X80" s="66"/>
      <c r="Y80" s="70"/>
      <c r="Z80" s="66"/>
      <c r="AA80" s="66"/>
      <c r="AB80" s="66"/>
      <c r="AC80" s="70"/>
      <c r="AD80" s="66"/>
      <c r="AE80" s="66"/>
      <c r="AF80" s="66"/>
      <c r="AG80" s="70"/>
      <c r="AH80" s="66"/>
      <c r="AI80" s="66"/>
      <c r="AJ80" s="66"/>
      <c r="AK80" s="70"/>
      <c r="AL80" s="66">
        <f t="shared" si="13"/>
        <v>0.5223214285714286</v>
      </c>
      <c r="AM80" s="66">
        <f t="shared" si="14"/>
        <v>7.1428571428571432</v>
      </c>
      <c r="AN80" s="66">
        <f t="shared" si="24"/>
        <v>7.6651785714285721</v>
      </c>
      <c r="AO80" s="85">
        <f t="shared" si="25"/>
        <v>0.98759650860370285</v>
      </c>
      <c r="AP80" s="66">
        <f>+IF($M80&gt;I$22,"FIN",IF($M80&lt;I$30,I$31*VLOOKUP($M80,$A:$L,9,0)/VLOOKUP(I$28,$M$7:$O$10,2,0),(I$31-I$31/I$29*(I$29-(YEAR(I$22)-YEAR($M80)+1)))*VLOOKUP($M80,$A:$L,9,0)/VLOOKUP(I$28,$M$7:$O$10,2,0)))</f>
        <v>0.8303571428571429</v>
      </c>
      <c r="AQ80" s="66">
        <f>+IF($M80&gt;I$22,"FIN",IF($M80&lt;=I$22,IFERROR(IF($M80&lt;I$30,0,IF(MONTH($M80)=MONTH(I$30),I$31/I$29,0)),0),0))</f>
        <v>7.1428571428571432</v>
      </c>
      <c r="AR80" s="66">
        <f t="shared" si="30"/>
        <v>7.9732142857142865</v>
      </c>
      <c r="AS80" s="85">
        <f>AR80/(1+$B$18)^(YEARFRAC($M$37,$M80))</f>
        <v>1.0272844288679168</v>
      </c>
      <c r="AT80" s="66">
        <f t="shared" si="34"/>
        <v>0.78968749999999999</v>
      </c>
      <c r="AU80" s="66">
        <f t="shared" si="35"/>
        <v>4.75</v>
      </c>
      <c r="AV80" s="66">
        <f t="shared" si="26"/>
        <v>5.5396875000000003</v>
      </c>
      <c r="AW80" s="85">
        <f t="shared" si="36"/>
        <v>0.71374410690812395</v>
      </c>
      <c r="AX80" s="66">
        <f>+IF($M80&gt;K$22,"FIN",IF($M80&lt;K$30,K$31*VLOOKUP($M80,$A:$L,11,0)/VLOOKUP(K$28,$M$7:$O$10,2,0),(K$31-K$31/K$29*(K$29-(YEAR(K$22)-YEAR($M80)+1)))*VLOOKUP($M80,$A:$L,11,0)/VLOOKUP(K$28,$M$7:$O$10,2,0)))</f>
        <v>1.1637500000000001</v>
      </c>
      <c r="AY80" s="66">
        <f>+IF($M80&gt;K$22,"FIN",IF($M80&lt;=K$22,IFERROR(IF($M80&lt;K$30,0,IF(MONTH($M80)=MONTH(K$30),K$31/K$29,0)),0),0))</f>
        <v>4.75</v>
      </c>
      <c r="AZ80" s="66">
        <f t="shared" si="31"/>
        <v>5.9137500000000003</v>
      </c>
      <c r="BA80" s="85">
        <f>AZ80/(1+$B$18)^(YEARFRAC($M$37,$M80))</f>
        <v>0.7619390466028847</v>
      </c>
    </row>
    <row r="81" spans="1:53" s="50" customFormat="1" x14ac:dyDescent="0.25">
      <c r="A81" s="60">
        <f t="shared" si="32"/>
        <v>52001</v>
      </c>
      <c r="B81" s="51"/>
      <c r="C81" s="51"/>
      <c r="D81" s="51"/>
      <c r="E81" s="51"/>
      <c r="F81" s="51"/>
      <c r="G81" s="62"/>
      <c r="H81" s="69">
        <v>4.8750000000000002E-2</v>
      </c>
      <c r="I81" s="69">
        <v>3.875E-2</v>
      </c>
      <c r="J81" s="62">
        <v>4.7500000000000001E-2</v>
      </c>
      <c r="K81" s="62">
        <v>3.5000000000000003E-2</v>
      </c>
      <c r="L81" s="68"/>
      <c r="M81" s="64">
        <f t="shared" si="33"/>
        <v>52001</v>
      </c>
      <c r="N81" s="65"/>
      <c r="O81" s="66"/>
      <c r="P81" s="66"/>
      <c r="Q81" s="70"/>
      <c r="R81" s="66"/>
      <c r="S81" s="66"/>
      <c r="T81" s="66"/>
      <c r="U81" s="70"/>
      <c r="V81" s="66"/>
      <c r="W81" s="66"/>
      <c r="X81" s="66"/>
      <c r="Y81" s="70"/>
      <c r="Z81" s="66"/>
      <c r="AA81" s="66"/>
      <c r="AB81" s="66"/>
      <c r="AC81" s="70"/>
      <c r="AD81" s="66"/>
      <c r="AE81" s="66"/>
      <c r="AF81" s="66"/>
      <c r="AG81" s="70"/>
      <c r="AH81" s="66"/>
      <c r="AI81" s="66"/>
      <c r="AJ81" s="66"/>
      <c r="AK81" s="70"/>
      <c r="AL81" s="66">
        <f t="shared" si="13"/>
        <v>0.34821428571428553</v>
      </c>
      <c r="AM81" s="66">
        <f t="shared" si="14"/>
        <v>0</v>
      </c>
      <c r="AN81" s="66">
        <f t="shared" si="24"/>
        <v>0.34821428571428553</v>
      </c>
      <c r="AO81" s="85">
        <f t="shared" si="25"/>
        <v>4.277672294083229E-2</v>
      </c>
      <c r="AP81" s="66"/>
      <c r="AQ81" s="66"/>
      <c r="AR81" s="66"/>
      <c r="AS81" s="85"/>
      <c r="AT81" s="66">
        <f t="shared" si="34"/>
        <v>0.676875</v>
      </c>
      <c r="AU81" s="66">
        <f t="shared" si="35"/>
        <v>0</v>
      </c>
      <c r="AV81" s="66">
        <f t="shared" si="26"/>
        <v>0.676875</v>
      </c>
      <c r="AW81" s="85">
        <f t="shared" si="36"/>
        <v>8.3151368362679418E-2</v>
      </c>
      <c r="AX81" s="66"/>
      <c r="AY81" s="66"/>
      <c r="AZ81" s="66"/>
      <c r="BA81" s="85"/>
    </row>
    <row r="82" spans="1:53" s="50" customFormat="1" x14ac:dyDescent="0.25">
      <c r="A82" s="60">
        <f t="shared" si="32"/>
        <v>52185</v>
      </c>
      <c r="B82" s="51"/>
      <c r="C82" s="51"/>
      <c r="D82" s="51"/>
      <c r="E82" s="51"/>
      <c r="F82" s="51"/>
      <c r="G82" s="62"/>
      <c r="H82" s="69">
        <v>4.8750000000000002E-2</v>
      </c>
      <c r="I82" s="69">
        <v>3.875E-2</v>
      </c>
      <c r="J82" s="62">
        <v>4.7500000000000001E-2</v>
      </c>
      <c r="K82" s="62">
        <v>3.5000000000000003E-2</v>
      </c>
      <c r="L82" s="68"/>
      <c r="M82" s="64">
        <f t="shared" si="33"/>
        <v>52185</v>
      </c>
      <c r="N82" s="65"/>
      <c r="O82" s="66"/>
      <c r="P82" s="66"/>
      <c r="Q82" s="70"/>
      <c r="R82" s="66"/>
      <c r="S82" s="66"/>
      <c r="T82" s="66"/>
      <c r="U82" s="70"/>
      <c r="V82" s="66"/>
      <c r="W82" s="66"/>
      <c r="X82" s="66"/>
      <c r="Y82" s="70"/>
      <c r="Z82" s="66"/>
      <c r="AA82" s="66"/>
      <c r="AB82" s="66"/>
      <c r="AC82" s="70"/>
      <c r="AD82" s="66"/>
      <c r="AE82" s="66"/>
      <c r="AF82" s="66"/>
      <c r="AG82" s="70"/>
      <c r="AH82" s="66"/>
      <c r="AI82" s="66"/>
      <c r="AJ82" s="66"/>
      <c r="AK82" s="70"/>
      <c r="AL82" s="66">
        <f t="shared" si="13"/>
        <v>0.34821428571428553</v>
      </c>
      <c r="AM82" s="66">
        <f t="shared" si="14"/>
        <v>7.1428571428571432</v>
      </c>
      <c r="AN82" s="66">
        <f t="shared" si="24"/>
        <v>7.4910714285714288</v>
      </c>
      <c r="AO82" s="85">
        <f t="shared" si="25"/>
        <v>0.8774220053142443</v>
      </c>
      <c r="AP82" s="66">
        <f>+IF($M82&gt;I$22,"FIN",IF($M82&lt;I$30,I$31*VLOOKUP($M82,$A:$L,9,0)/VLOOKUP(I$28,$M$7:$O$10,2,0),(I$31-I$31/I$29*(I$29-(YEAR(I$22)-YEAR($M82)+1)))*VLOOKUP($M82,$A:$L,9,0)/VLOOKUP(I$28,$M$7:$O$10,2,0)))</f>
        <v>0.55357142857142827</v>
      </c>
      <c r="AQ82" s="66">
        <f>+IF($M82&gt;I$22,"FIN",IF($M82&lt;=I$22,IFERROR(IF($M82&lt;I$30,0,IF(MONTH($M82)=MONTH(I$30),I$31/I$29,0)),0),0))</f>
        <v>7.1428571428571432</v>
      </c>
      <c r="AR82" s="66">
        <f t="shared" si="30"/>
        <v>7.6964285714285712</v>
      </c>
      <c r="AS82" s="85">
        <f>AR82/(1+$B$18)^(YEARFRAC($M$37,$M82))</f>
        <v>0.90147529032285889</v>
      </c>
      <c r="AT82" s="66">
        <f t="shared" si="34"/>
        <v>0.676875</v>
      </c>
      <c r="AU82" s="66">
        <f t="shared" si="35"/>
        <v>4.75</v>
      </c>
      <c r="AV82" s="66">
        <f t="shared" si="26"/>
        <v>5.4268749999999999</v>
      </c>
      <c r="AW82" s="85">
        <f t="shared" si="36"/>
        <v>0.635644659177653</v>
      </c>
      <c r="AX82" s="66">
        <f>+IF($M82&gt;K$22,"FIN",IF($M82&lt;K$30,K$31*VLOOKUP($M82,$A:$L,11,0)/VLOOKUP(K$28,$M$7:$O$10,2,0),(K$31-K$31/K$29*(K$29-(YEAR(K$22)-YEAR($M82)+1)))*VLOOKUP($M82,$A:$L,11,0)/VLOOKUP(K$28,$M$7:$O$10,2,0)))</f>
        <v>0.99750000000000005</v>
      </c>
      <c r="AY82" s="66">
        <f>+IF($M82&gt;K$22,"FIN",IF($M82&lt;=K$22,IFERROR(IF($M82&lt;K$30,0,IF(MONTH($M82)=MONTH(K$30),K$31/K$29,0)),0),0))</f>
        <v>4.75</v>
      </c>
      <c r="AZ82" s="66">
        <f t="shared" si="31"/>
        <v>5.7475000000000005</v>
      </c>
      <c r="BA82" s="85">
        <f>AZ82/(1+$B$18)^(YEARFRAC($M$37,$M82))</f>
        <v>0.67319915764110294</v>
      </c>
    </row>
    <row r="83" spans="1:53" s="50" customFormat="1" x14ac:dyDescent="0.25">
      <c r="A83" s="60">
        <f t="shared" si="32"/>
        <v>52366</v>
      </c>
      <c r="B83" s="51"/>
      <c r="C83" s="51"/>
      <c r="D83" s="51"/>
      <c r="E83" s="51"/>
      <c r="F83" s="51"/>
      <c r="G83" s="62"/>
      <c r="H83" s="69">
        <v>4.8750000000000002E-2</v>
      </c>
      <c r="I83" s="69">
        <v>3.875E-2</v>
      </c>
      <c r="J83" s="62">
        <v>4.7500000000000001E-2</v>
      </c>
      <c r="K83" s="62">
        <v>3.5000000000000003E-2</v>
      </c>
      <c r="L83" s="68"/>
      <c r="M83" s="64">
        <f t="shared" si="33"/>
        <v>52366</v>
      </c>
      <c r="N83" s="65"/>
      <c r="O83" s="66"/>
      <c r="P83" s="66"/>
      <c r="Q83" s="70"/>
      <c r="R83" s="66"/>
      <c r="S83" s="66"/>
      <c r="T83" s="66"/>
      <c r="U83" s="70"/>
      <c r="V83" s="66"/>
      <c r="W83" s="66"/>
      <c r="X83" s="66"/>
      <c r="Y83" s="70"/>
      <c r="Z83" s="66"/>
      <c r="AA83" s="66"/>
      <c r="AB83" s="66"/>
      <c r="AC83" s="70"/>
      <c r="AD83" s="66"/>
      <c r="AE83" s="66"/>
      <c r="AF83" s="66"/>
      <c r="AG83" s="70"/>
      <c r="AH83" s="66"/>
      <c r="AI83" s="66"/>
      <c r="AJ83" s="66"/>
      <c r="AK83" s="70"/>
      <c r="AL83" s="66">
        <f t="shared" si="13"/>
        <v>0.17410714285714277</v>
      </c>
      <c r="AM83" s="66">
        <f t="shared" si="14"/>
        <v>0</v>
      </c>
      <c r="AN83" s="66">
        <f t="shared" si="24"/>
        <v>0.17410714285714277</v>
      </c>
      <c r="AO83" s="85">
        <f t="shared" si="25"/>
        <v>1.9443964973105583E-2</v>
      </c>
      <c r="AP83" s="66"/>
      <c r="AQ83" s="66"/>
      <c r="AR83" s="66"/>
      <c r="AS83" s="85"/>
      <c r="AT83" s="66">
        <f t="shared" si="34"/>
        <v>0.56406250000000002</v>
      </c>
      <c r="AU83" s="66">
        <f t="shared" si="35"/>
        <v>0</v>
      </c>
      <c r="AV83" s="66">
        <f t="shared" si="26"/>
        <v>0.56406250000000002</v>
      </c>
      <c r="AW83" s="85">
        <f t="shared" si="36"/>
        <v>6.2993460880817739E-2</v>
      </c>
      <c r="AX83" s="66"/>
      <c r="AY83" s="66"/>
      <c r="AZ83" s="66"/>
      <c r="BA83" s="85"/>
    </row>
    <row r="84" spans="1:53" s="50" customFormat="1" x14ac:dyDescent="0.25">
      <c r="A84" s="60">
        <f t="shared" si="32"/>
        <v>52550</v>
      </c>
      <c r="B84" s="51"/>
      <c r="C84" s="51"/>
      <c r="D84" s="51"/>
      <c r="E84" s="51"/>
      <c r="F84" s="51"/>
      <c r="G84" s="62"/>
      <c r="H84" s="69">
        <v>4.8750000000000002E-2</v>
      </c>
      <c r="I84" s="69">
        <v>3.875E-2</v>
      </c>
      <c r="J84" s="62">
        <v>4.7500000000000001E-2</v>
      </c>
      <c r="K84" s="62">
        <v>3.5000000000000003E-2</v>
      </c>
      <c r="L84" s="68"/>
      <c r="M84" s="64">
        <f t="shared" si="33"/>
        <v>52550</v>
      </c>
      <c r="N84" s="65"/>
      <c r="O84" s="66"/>
      <c r="P84" s="66"/>
      <c r="Q84" s="70"/>
      <c r="R84" s="66"/>
      <c r="S84" s="66"/>
      <c r="T84" s="66"/>
      <c r="U84" s="70"/>
      <c r="V84" s="66"/>
      <c r="W84" s="66"/>
      <c r="X84" s="66"/>
      <c r="Y84" s="70"/>
      <c r="Z84" s="66"/>
      <c r="AA84" s="66"/>
      <c r="AB84" s="66"/>
      <c r="AC84" s="70"/>
      <c r="AD84" s="66"/>
      <c r="AE84" s="66"/>
      <c r="AF84" s="66"/>
      <c r="AG84" s="70"/>
      <c r="AH84" s="66"/>
      <c r="AI84" s="66"/>
      <c r="AJ84" s="66"/>
      <c r="AK84" s="70"/>
      <c r="AL84" s="66">
        <f t="shared" si="13"/>
        <v>0.17410714285714277</v>
      </c>
      <c r="AM84" s="66">
        <f t="shared" si="14"/>
        <v>7.1428571428571432</v>
      </c>
      <c r="AN84" s="66">
        <f t="shared" si="24"/>
        <v>7.3169642857142856</v>
      </c>
      <c r="AO84" s="85">
        <f t="shared" si="25"/>
        <v>0.77911727527903674</v>
      </c>
      <c r="AP84" s="66">
        <f>+IF($M84&gt;I$22,"FIN",IF($M84&lt;I$30,I$31*VLOOKUP($M84,$A:$L,9,0)/VLOOKUP(I$28,$M$7:$O$10,2,0),(I$31-I$31/I$29*(I$29-(YEAR(I$22)-YEAR($M84)+1)))*VLOOKUP($M84,$A:$L,9,0)/VLOOKUP(I$28,$M$7:$O$10,2,0)))</f>
        <v>0.27678571428571414</v>
      </c>
      <c r="AQ84" s="66">
        <f>+IF($M84&gt;I$22,"FIN",IF($M84&lt;=I$22,IFERROR(IF($M84&lt;I$30,0,IF(MONTH($M84)=MONTH(I$30),I$31/I$29,0)),0),0))</f>
        <v>7.1428571428571432</v>
      </c>
      <c r="AR84" s="66">
        <f t="shared" si="30"/>
        <v>7.4196428571428577</v>
      </c>
      <c r="AS84" s="85">
        <f>AR84/(1+$B$18)^(YEARFRAC($M$37,$M84))</f>
        <v>0.79005058664658889</v>
      </c>
      <c r="AT84" s="66">
        <f t="shared" si="34"/>
        <v>0.56406250000000002</v>
      </c>
      <c r="AU84" s="66">
        <f t="shared" si="35"/>
        <v>4.75</v>
      </c>
      <c r="AV84" s="66">
        <f t="shared" si="26"/>
        <v>5.3140625000000004</v>
      </c>
      <c r="AW84" s="85">
        <f t="shared" si="36"/>
        <v>0.56584639940720038</v>
      </c>
      <c r="AX84" s="66">
        <f>+IF($M84&gt;K$22,"FIN",IF($M84&lt;K$30,K$31*VLOOKUP($M84,$A:$L,11,0)/VLOOKUP(K$28,$M$7:$O$10,2,0),(K$31-K$31/K$29*(K$29-(YEAR(K$22)-YEAR($M84)+1)))*VLOOKUP($M84,$A:$L,11,0)/VLOOKUP(K$28,$M$7:$O$10,2,0)))</f>
        <v>0.83125000000000004</v>
      </c>
      <c r="AY84" s="66">
        <f>+IF($M84&gt;K$22,"FIN",IF($M84&lt;=K$22,IFERROR(IF($M84&lt;K$30,0,IF(MONTH($M84)=MONTH(K$30),K$31/K$29,0)),0),0))</f>
        <v>4.75</v>
      </c>
      <c r="AZ84" s="66">
        <f t="shared" si="31"/>
        <v>5.5812499999999998</v>
      </c>
      <c r="BA84" s="85">
        <f>AZ84/(1+$B$18)^(YEARFRAC($M$37,$M84))</f>
        <v>0.59429677703102612</v>
      </c>
    </row>
    <row r="85" spans="1:53" s="50" customFormat="1" x14ac:dyDescent="0.25">
      <c r="A85" s="60">
        <f t="shared" si="32"/>
        <v>52732</v>
      </c>
      <c r="B85" s="51"/>
      <c r="C85" s="51"/>
      <c r="D85" s="51"/>
      <c r="E85" s="51"/>
      <c r="F85" s="51"/>
      <c r="G85" s="62"/>
      <c r="H85" s="51"/>
      <c r="I85" s="51"/>
      <c r="J85" s="62">
        <v>4.7500000000000001E-2</v>
      </c>
      <c r="K85" s="62">
        <v>3.5000000000000003E-2</v>
      </c>
      <c r="L85" s="68"/>
      <c r="M85" s="64">
        <f t="shared" si="33"/>
        <v>52732</v>
      </c>
      <c r="N85" s="65"/>
      <c r="O85" s="66"/>
      <c r="P85" s="66"/>
      <c r="Q85" s="70"/>
      <c r="R85" s="66"/>
      <c r="S85" s="66"/>
      <c r="T85" s="66"/>
      <c r="U85" s="70"/>
      <c r="V85" s="66"/>
      <c r="W85" s="66"/>
      <c r="X85" s="66"/>
      <c r="Y85" s="70"/>
      <c r="Z85" s="66"/>
      <c r="AA85" s="66"/>
      <c r="AB85" s="66"/>
      <c r="AC85" s="70"/>
      <c r="AD85" s="66"/>
      <c r="AE85" s="66"/>
      <c r="AF85" s="66"/>
      <c r="AG85" s="70"/>
      <c r="AH85" s="66"/>
      <c r="AI85" s="66"/>
      <c r="AJ85" s="66"/>
      <c r="AK85" s="70"/>
      <c r="AL85" s="66"/>
      <c r="AM85" s="66"/>
      <c r="AN85" s="66"/>
      <c r="AO85" s="67"/>
      <c r="AP85" s="66"/>
      <c r="AQ85" s="66"/>
      <c r="AR85" s="66"/>
      <c r="AS85" s="67"/>
      <c r="AT85" s="66">
        <f t="shared" si="34"/>
        <v>0.45124999999999998</v>
      </c>
      <c r="AU85" s="66">
        <f t="shared" si="35"/>
        <v>0</v>
      </c>
      <c r="AV85" s="66">
        <f t="shared" si="26"/>
        <v>0.45124999999999998</v>
      </c>
      <c r="AW85" s="85">
        <f t="shared" si="36"/>
        <v>4.5813426095140178E-2</v>
      </c>
      <c r="AX85" s="66"/>
      <c r="AY85" s="66"/>
      <c r="AZ85" s="66"/>
      <c r="BA85" s="85"/>
    </row>
    <row r="86" spans="1:53" s="50" customFormat="1" x14ac:dyDescent="0.25">
      <c r="A86" s="60">
        <f t="shared" si="32"/>
        <v>52916</v>
      </c>
      <c r="B86" s="51"/>
      <c r="C86" s="51"/>
      <c r="D86" s="51"/>
      <c r="E86" s="51"/>
      <c r="F86" s="51"/>
      <c r="G86" s="62"/>
      <c r="H86" s="51"/>
      <c r="I86" s="51"/>
      <c r="J86" s="62">
        <v>4.7500000000000001E-2</v>
      </c>
      <c r="K86" s="62">
        <v>3.5000000000000003E-2</v>
      </c>
      <c r="L86" s="68"/>
      <c r="M86" s="64">
        <f t="shared" si="33"/>
        <v>52916</v>
      </c>
      <c r="N86" s="65"/>
      <c r="O86" s="66"/>
      <c r="P86" s="66"/>
      <c r="Q86" s="70"/>
      <c r="R86" s="66"/>
      <c r="S86" s="66"/>
      <c r="T86" s="66"/>
      <c r="U86" s="70"/>
      <c r="V86" s="66"/>
      <c r="W86" s="66"/>
      <c r="X86" s="66"/>
      <c r="Y86" s="70"/>
      <c r="Z86" s="66"/>
      <c r="AA86" s="66"/>
      <c r="AB86" s="66"/>
      <c r="AC86" s="70"/>
      <c r="AD86" s="66"/>
      <c r="AE86" s="66"/>
      <c r="AF86" s="66"/>
      <c r="AG86" s="70"/>
      <c r="AH86" s="66"/>
      <c r="AI86" s="66"/>
      <c r="AJ86" s="66"/>
      <c r="AK86" s="70"/>
      <c r="AL86" s="66"/>
      <c r="AM86" s="66"/>
      <c r="AN86" s="66"/>
      <c r="AO86" s="70"/>
      <c r="AP86" s="66"/>
      <c r="AQ86" s="66"/>
      <c r="AR86" s="66"/>
      <c r="AS86" s="70"/>
      <c r="AT86" s="66">
        <f t="shared" si="34"/>
        <v>0.45124999999999998</v>
      </c>
      <c r="AU86" s="66">
        <f t="shared" si="35"/>
        <v>4.75</v>
      </c>
      <c r="AV86" s="66">
        <f t="shared" si="26"/>
        <v>5.2012499999999999</v>
      </c>
      <c r="AW86" s="85">
        <f t="shared" si="36"/>
        <v>0.50348547067618854</v>
      </c>
      <c r="AX86" s="66">
        <f>+IF($M86&gt;K$22,"FIN",IF($M86&lt;K$30,K$31*VLOOKUP($M86,$A:$L,11,0)/VLOOKUP(K$28,$M$7:$O$10,2,0),(K$31-K$31/K$29*(K$29-(YEAR(K$22)-YEAR($M86)+1)))*VLOOKUP($M86,$A:$L,11,0)/VLOOKUP(K$28,$M$7:$O$10,2,0)))</f>
        <v>0.66500000000000004</v>
      </c>
      <c r="AY86" s="66">
        <f>+IF($M86&gt;K$22,"FIN",IF($M86&lt;=K$22,IFERROR(IF($M86&lt;K$30,0,IF(MONTH($M86)=MONTH(K$30),K$31/K$29,0)),0),0))</f>
        <v>4.75</v>
      </c>
      <c r="AZ86" s="66">
        <f t="shared" si="31"/>
        <v>5.415</v>
      </c>
      <c r="BA86" s="85">
        <f>AZ86/(1+$B$18)^(YEARFRAC($M$37,$M86))</f>
        <v>0.52417665440260719</v>
      </c>
    </row>
    <row r="87" spans="1:53" s="50" customFormat="1" x14ac:dyDescent="0.25">
      <c r="A87" s="60">
        <f t="shared" si="32"/>
        <v>53097</v>
      </c>
      <c r="B87" s="51"/>
      <c r="C87" s="51"/>
      <c r="D87" s="51"/>
      <c r="E87" s="51"/>
      <c r="F87" s="51"/>
      <c r="G87" s="62"/>
      <c r="H87" s="51"/>
      <c r="I87" s="51"/>
      <c r="J87" s="62">
        <v>4.7500000000000001E-2</v>
      </c>
      <c r="K87" s="62">
        <v>3.5000000000000003E-2</v>
      </c>
      <c r="L87" s="68"/>
      <c r="M87" s="64">
        <f t="shared" si="33"/>
        <v>53097</v>
      </c>
      <c r="N87" s="65"/>
      <c r="O87" s="66"/>
      <c r="P87" s="66"/>
      <c r="Q87" s="70"/>
      <c r="R87" s="66"/>
      <c r="S87" s="66"/>
      <c r="T87" s="66"/>
      <c r="U87" s="70"/>
      <c r="V87" s="66"/>
      <c r="W87" s="66"/>
      <c r="X87" s="66"/>
      <c r="Y87" s="70"/>
      <c r="Z87" s="66"/>
      <c r="AA87" s="66"/>
      <c r="AB87" s="66"/>
      <c r="AC87" s="70"/>
      <c r="AD87" s="66"/>
      <c r="AE87" s="66"/>
      <c r="AF87" s="66"/>
      <c r="AG87" s="70"/>
      <c r="AH87" s="66"/>
      <c r="AI87" s="66"/>
      <c r="AJ87" s="66"/>
      <c r="AK87" s="70"/>
      <c r="AL87" s="66"/>
      <c r="AM87" s="66"/>
      <c r="AN87" s="66"/>
      <c r="AO87" s="70"/>
      <c r="AP87" s="66"/>
      <c r="AQ87" s="66"/>
      <c r="AR87" s="66"/>
      <c r="AS87" s="70"/>
      <c r="AT87" s="66">
        <f t="shared" si="34"/>
        <v>0.3384375</v>
      </c>
      <c r="AU87" s="66">
        <f t="shared" si="35"/>
        <v>0</v>
      </c>
      <c r="AV87" s="66">
        <f t="shared" si="26"/>
        <v>0.3384375</v>
      </c>
      <c r="AW87" s="85">
        <f t="shared" si="36"/>
        <v>3.1236426883050117E-2</v>
      </c>
      <c r="AX87" s="66"/>
      <c r="AY87" s="66"/>
      <c r="AZ87" s="66"/>
      <c r="BA87" s="85"/>
    </row>
    <row r="88" spans="1:53" s="50" customFormat="1" x14ac:dyDescent="0.25">
      <c r="A88" s="60">
        <f t="shared" si="32"/>
        <v>53281</v>
      </c>
      <c r="B88" s="51"/>
      <c r="C88" s="51"/>
      <c r="D88" s="51"/>
      <c r="E88" s="51"/>
      <c r="F88" s="51"/>
      <c r="G88" s="62"/>
      <c r="H88" s="51"/>
      <c r="I88" s="51"/>
      <c r="J88" s="62">
        <v>4.7500000000000001E-2</v>
      </c>
      <c r="K88" s="62">
        <v>3.5000000000000003E-2</v>
      </c>
      <c r="L88" s="68"/>
      <c r="M88" s="64">
        <f t="shared" si="33"/>
        <v>53281</v>
      </c>
      <c r="N88" s="65"/>
      <c r="O88" s="66"/>
      <c r="P88" s="66"/>
      <c r="Q88" s="70"/>
      <c r="R88" s="66"/>
      <c r="S88" s="66"/>
      <c r="T88" s="66"/>
      <c r="U88" s="70"/>
      <c r="V88" s="66"/>
      <c r="W88" s="66"/>
      <c r="X88" s="66"/>
      <c r="Y88" s="70"/>
      <c r="Z88" s="66"/>
      <c r="AA88" s="66"/>
      <c r="AB88" s="66"/>
      <c r="AC88" s="70"/>
      <c r="AD88" s="66"/>
      <c r="AE88" s="66"/>
      <c r="AF88" s="66"/>
      <c r="AG88" s="70"/>
      <c r="AH88" s="66"/>
      <c r="AI88" s="66"/>
      <c r="AJ88" s="66"/>
      <c r="AK88" s="70"/>
      <c r="AL88" s="66"/>
      <c r="AM88" s="66"/>
      <c r="AN88" s="66"/>
      <c r="AO88" s="70"/>
      <c r="AP88" s="66"/>
      <c r="AQ88" s="66"/>
      <c r="AR88" s="66"/>
      <c r="AS88" s="70"/>
      <c r="AT88" s="66">
        <f t="shared" si="34"/>
        <v>0.3384375</v>
      </c>
      <c r="AU88" s="66">
        <f t="shared" si="35"/>
        <v>4.75</v>
      </c>
      <c r="AV88" s="66">
        <f t="shared" si="26"/>
        <v>5.0884375000000004</v>
      </c>
      <c r="AW88" s="85">
        <f t="shared" si="36"/>
        <v>0.44778647609951577</v>
      </c>
      <c r="AX88" s="66">
        <f>+IF($M88&gt;K$22,"FIN",IF($M88&lt;K$30,K$31*VLOOKUP($M88,$A:$L,11,0)/VLOOKUP(K$28,$M$7:$O$10,2,0),(K$31-K$31/K$29*(K$29-(YEAR(K$22)-YEAR($M88)+1)))*VLOOKUP($M88,$A:$L,11,0)/VLOOKUP(K$28,$M$7:$O$10,2,0)))</f>
        <v>0.49875000000000003</v>
      </c>
      <c r="AY88" s="66">
        <f>+IF($M88&gt;K$22,"FIN",IF($M88&lt;=K$22,IFERROR(IF($M88&lt;K$30,0,IF(MONTH($M88)=MONTH(K$30),K$31/K$29,0)),0),0))</f>
        <v>4.75</v>
      </c>
      <c r="AZ88" s="66">
        <f t="shared" si="31"/>
        <v>5.2487500000000002</v>
      </c>
      <c r="BA88" s="85">
        <f>AZ88/(1+$B$18)^(YEARFRAC($M$37,$M88))</f>
        <v>0.46189410136752851</v>
      </c>
    </row>
    <row r="89" spans="1:53" s="50" customFormat="1" x14ac:dyDescent="0.25">
      <c r="A89" s="60">
        <f t="shared" si="32"/>
        <v>53462</v>
      </c>
      <c r="B89" s="51"/>
      <c r="C89" s="51"/>
      <c r="D89" s="51"/>
      <c r="E89" s="51"/>
      <c r="F89" s="51"/>
      <c r="G89" s="62"/>
      <c r="H89" s="51"/>
      <c r="I89" s="51"/>
      <c r="J89" s="62">
        <v>4.7500000000000001E-2</v>
      </c>
      <c r="K89" s="62">
        <v>3.5000000000000003E-2</v>
      </c>
      <c r="L89" s="68"/>
      <c r="M89" s="64">
        <f t="shared" si="33"/>
        <v>53462</v>
      </c>
      <c r="N89" s="65"/>
      <c r="O89" s="66"/>
      <c r="P89" s="66"/>
      <c r="Q89" s="70"/>
      <c r="R89" s="66"/>
      <c r="S89" s="66"/>
      <c r="T89" s="66"/>
      <c r="U89" s="70"/>
      <c r="V89" s="66"/>
      <c r="W89" s="66"/>
      <c r="X89" s="66"/>
      <c r="Y89" s="70"/>
      <c r="Z89" s="66"/>
      <c r="AA89" s="66"/>
      <c r="AB89" s="66"/>
      <c r="AC89" s="70"/>
      <c r="AD89" s="66"/>
      <c r="AE89" s="66"/>
      <c r="AF89" s="66"/>
      <c r="AG89" s="70"/>
      <c r="AH89" s="66"/>
      <c r="AI89" s="66"/>
      <c r="AJ89" s="66"/>
      <c r="AK89" s="70"/>
      <c r="AL89" s="66"/>
      <c r="AM89" s="66"/>
      <c r="AN89" s="66"/>
      <c r="AO89" s="70"/>
      <c r="AP89" s="66"/>
      <c r="AQ89" s="66"/>
      <c r="AR89" s="66"/>
      <c r="AS89" s="70"/>
      <c r="AT89" s="66">
        <f t="shared" si="34"/>
        <v>0.22562499999999999</v>
      </c>
      <c r="AU89" s="66">
        <f t="shared" si="35"/>
        <v>0</v>
      </c>
      <c r="AV89" s="66">
        <f t="shared" si="26"/>
        <v>0.22562499999999999</v>
      </c>
      <c r="AW89" s="85">
        <f t="shared" si="36"/>
        <v>1.8931167807909158E-2</v>
      </c>
      <c r="AX89" s="66"/>
      <c r="AY89" s="66"/>
      <c r="AZ89" s="66"/>
      <c r="BA89" s="85"/>
    </row>
    <row r="90" spans="1:53" s="50" customFormat="1" x14ac:dyDescent="0.25">
      <c r="A90" s="60">
        <f t="shared" si="32"/>
        <v>53646</v>
      </c>
      <c r="B90" s="51"/>
      <c r="C90" s="51"/>
      <c r="D90" s="51"/>
      <c r="E90" s="51"/>
      <c r="F90" s="51"/>
      <c r="G90" s="62"/>
      <c r="H90" s="51"/>
      <c r="I90" s="51"/>
      <c r="J90" s="62">
        <v>4.7500000000000001E-2</v>
      </c>
      <c r="K90" s="62">
        <v>3.5000000000000003E-2</v>
      </c>
      <c r="L90" s="68"/>
      <c r="M90" s="64">
        <f t="shared" si="33"/>
        <v>53646</v>
      </c>
      <c r="N90" s="65"/>
      <c r="O90" s="66"/>
      <c r="P90" s="66"/>
      <c r="Q90" s="70"/>
      <c r="R90" s="66"/>
      <c r="S90" s="66"/>
      <c r="T90" s="66"/>
      <c r="U90" s="70"/>
      <c r="V90" s="66"/>
      <c r="W90" s="66"/>
      <c r="X90" s="66"/>
      <c r="Y90" s="70"/>
      <c r="Z90" s="66"/>
      <c r="AA90" s="66"/>
      <c r="AB90" s="66"/>
      <c r="AC90" s="70"/>
      <c r="AD90" s="66"/>
      <c r="AE90" s="66"/>
      <c r="AF90" s="66"/>
      <c r="AG90" s="70"/>
      <c r="AH90" s="66"/>
      <c r="AI90" s="66"/>
      <c r="AJ90" s="66"/>
      <c r="AK90" s="70"/>
      <c r="AL90" s="66"/>
      <c r="AM90" s="66"/>
      <c r="AN90" s="66"/>
      <c r="AO90" s="70"/>
      <c r="AP90" s="66"/>
      <c r="AQ90" s="66"/>
      <c r="AR90" s="66"/>
      <c r="AS90" s="70"/>
      <c r="AT90" s="66">
        <f t="shared" si="34"/>
        <v>0.22562499999999999</v>
      </c>
      <c r="AU90" s="66">
        <f t="shared" si="35"/>
        <v>4.75</v>
      </c>
      <c r="AV90" s="66">
        <f t="shared" si="26"/>
        <v>4.975625</v>
      </c>
      <c r="AW90" s="85">
        <f t="shared" si="36"/>
        <v>0.39805353449813752</v>
      </c>
      <c r="AX90" s="66">
        <f>+IF($M90&gt;K$22,"FIN",IF($M90&lt;K$30,K$31*VLOOKUP($M90,$A:$L,11,0)/VLOOKUP(K$28,$M$7:$O$10,2,0),(K$31-K$31/K$29*(K$29-(YEAR(K$22)-YEAR($M90)+1)))*VLOOKUP($M90,$A:$L,11,0)/VLOOKUP(K$28,$M$7:$O$10,2,0)))</f>
        <v>0.33250000000000002</v>
      </c>
      <c r="AY90" s="66">
        <f>+IF($M90&gt;K$22,"FIN",IF($M90&lt;=K$22,IFERROR(IF($M90&lt;K$30,0,IF(MONTH($M90)=MONTH(K$30),K$31/K$29,0)),0),0))</f>
        <v>4.75</v>
      </c>
      <c r="AZ90" s="66">
        <f t="shared" si="31"/>
        <v>5.0824999999999996</v>
      </c>
      <c r="BA90" s="85">
        <f>AZ90/(1+$B$18)^(YEARFRAC($M$37,$M90))</f>
        <v>0.40660361041814519</v>
      </c>
    </row>
    <row r="91" spans="1:53" s="50" customFormat="1" x14ac:dyDescent="0.25">
      <c r="A91" s="60">
        <f t="shared" si="32"/>
        <v>53827</v>
      </c>
      <c r="B91" s="51"/>
      <c r="C91" s="51"/>
      <c r="D91" s="51"/>
      <c r="E91" s="51"/>
      <c r="F91" s="51"/>
      <c r="G91" s="62"/>
      <c r="H91" s="51"/>
      <c r="I91" s="51"/>
      <c r="J91" s="62">
        <v>4.7500000000000001E-2</v>
      </c>
      <c r="K91" s="62">
        <v>3.5000000000000003E-2</v>
      </c>
      <c r="L91" s="68"/>
      <c r="M91" s="64">
        <f t="shared" si="33"/>
        <v>53827</v>
      </c>
      <c r="N91" s="65"/>
      <c r="O91" s="66"/>
      <c r="P91" s="66"/>
      <c r="Q91" s="70"/>
      <c r="R91" s="66"/>
      <c r="S91" s="66"/>
      <c r="T91" s="66"/>
      <c r="U91" s="70"/>
      <c r="V91" s="66"/>
      <c r="W91" s="66"/>
      <c r="X91" s="66"/>
      <c r="Y91" s="70"/>
      <c r="Z91" s="66"/>
      <c r="AA91" s="66"/>
      <c r="AB91" s="66"/>
      <c r="AC91" s="70"/>
      <c r="AD91" s="66"/>
      <c r="AE91" s="66"/>
      <c r="AF91" s="66"/>
      <c r="AG91" s="70"/>
      <c r="AH91" s="66"/>
      <c r="AI91" s="66"/>
      <c r="AJ91" s="66"/>
      <c r="AK91" s="70"/>
      <c r="AL91" s="66"/>
      <c r="AM91" s="66"/>
      <c r="AN91" s="66"/>
      <c r="AO91" s="70"/>
      <c r="AP91" s="66"/>
      <c r="AQ91" s="66"/>
      <c r="AR91" s="66"/>
      <c r="AS91" s="70"/>
      <c r="AT91" s="66">
        <f t="shared" si="34"/>
        <v>0.1128125</v>
      </c>
      <c r="AU91" s="66">
        <f t="shared" si="35"/>
        <v>0</v>
      </c>
      <c r="AV91" s="66">
        <f t="shared" si="26"/>
        <v>0.1128125</v>
      </c>
      <c r="AW91" s="85">
        <f t="shared" si="36"/>
        <v>8.6050762763223432E-3</v>
      </c>
      <c r="AX91" s="66"/>
      <c r="AY91" s="66"/>
      <c r="AZ91" s="66"/>
      <c r="BA91" s="85"/>
    </row>
    <row r="92" spans="1:53" s="50" customFormat="1" x14ac:dyDescent="0.25">
      <c r="A92" s="72">
        <f t="shared" si="32"/>
        <v>54011</v>
      </c>
      <c r="B92" s="73"/>
      <c r="C92" s="73"/>
      <c r="D92" s="73"/>
      <c r="E92" s="73"/>
      <c r="F92" s="73"/>
      <c r="G92" s="74"/>
      <c r="H92" s="73"/>
      <c r="I92" s="73"/>
      <c r="J92" s="74">
        <v>4.7500000000000001E-2</v>
      </c>
      <c r="K92" s="74">
        <v>3.5000000000000003E-2</v>
      </c>
      <c r="L92" s="68"/>
      <c r="M92" s="64">
        <f t="shared" si="33"/>
        <v>54011</v>
      </c>
      <c r="N92" s="65"/>
      <c r="O92" s="66"/>
      <c r="P92" s="66"/>
      <c r="Q92" s="70"/>
      <c r="R92" s="66"/>
      <c r="S92" s="66"/>
      <c r="T92" s="66"/>
      <c r="U92" s="70"/>
      <c r="V92" s="66"/>
      <c r="W92" s="66"/>
      <c r="X92" s="66"/>
      <c r="Y92" s="70"/>
      <c r="Z92" s="66"/>
      <c r="AA92" s="66"/>
      <c r="AB92" s="66"/>
      <c r="AC92" s="70"/>
      <c r="AD92" s="66"/>
      <c r="AE92" s="66"/>
      <c r="AF92" s="66"/>
      <c r="AG92" s="70"/>
      <c r="AH92" s="66"/>
      <c r="AI92" s="66"/>
      <c r="AJ92" s="66"/>
      <c r="AK92" s="70"/>
      <c r="AL92" s="66"/>
      <c r="AM92" s="66"/>
      <c r="AN92" s="66"/>
      <c r="AO92" s="70"/>
      <c r="AP92" s="66"/>
      <c r="AQ92" s="66"/>
      <c r="AR92" s="66"/>
      <c r="AS92" s="70"/>
      <c r="AT92" s="66">
        <f t="shared" si="34"/>
        <v>0.1128125</v>
      </c>
      <c r="AU92" s="66">
        <f t="shared" si="35"/>
        <v>4.75</v>
      </c>
      <c r="AV92" s="66">
        <f t="shared" si="26"/>
        <v>4.8628125000000004</v>
      </c>
      <c r="AW92" s="85">
        <f t="shared" si="36"/>
        <v>0.35366223123668328</v>
      </c>
      <c r="AX92" s="66">
        <f>+IF($M92&gt;K$22,"FIN",IF($M92&lt;K$30,K$31*VLOOKUP($M92,$A:$L,11,0)/VLOOKUP(K$28,$M$7:$O$10,2,0),(K$31-K$31/K$29*(K$29-(YEAR(K$22)-YEAR($M92)+1)))*VLOOKUP($M92,$A:$L,11,0)/VLOOKUP(K$28,$M$7:$O$10,2,0)))</f>
        <v>0.16625000000000001</v>
      </c>
      <c r="AY92" s="66">
        <f>+IF($M92&gt;K$22,"FIN",IF($M92&lt;=K$22,IFERROR(IF($M92&lt;K$30,0,IF(MONTH($M92)=MONTH(K$30),K$31/K$29,0)),0),0))</f>
        <v>4.75</v>
      </c>
      <c r="AZ92" s="66">
        <f t="shared" si="31"/>
        <v>4.9162499999999998</v>
      </c>
      <c r="BA92" s="85">
        <f>AZ92/(1+$B$18)^(YEARFRAC($M$37,$M92))</f>
        <v>0.35754862938214127</v>
      </c>
    </row>
    <row r="93" spans="1:53" s="20" customFormat="1" x14ac:dyDescent="0.25">
      <c r="A93" s="1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9"/>
      <c r="N93" s="30"/>
      <c r="O93" s="31"/>
      <c r="P93" s="31"/>
      <c r="Q93" s="28"/>
      <c r="R93" s="31"/>
      <c r="S93" s="31"/>
      <c r="T93" s="31"/>
      <c r="U93" s="28"/>
      <c r="V93" s="31"/>
      <c r="W93" s="31"/>
      <c r="X93" s="31"/>
      <c r="Y93" s="28"/>
      <c r="Z93" s="31"/>
      <c r="AA93" s="31"/>
      <c r="AB93" s="31"/>
      <c r="AC93" s="28"/>
      <c r="AD93" s="31"/>
      <c r="AE93" s="31"/>
      <c r="AF93" s="31"/>
      <c r="AG93" s="28"/>
      <c r="AH93" s="31"/>
      <c r="AI93" s="31"/>
      <c r="AJ93" s="31"/>
      <c r="AK93" s="28"/>
      <c r="AL93" s="31"/>
      <c r="AM93" s="27"/>
      <c r="AN93" s="27"/>
      <c r="AO93" s="28"/>
      <c r="AP93" s="31"/>
      <c r="AQ93" s="31"/>
      <c r="AR93" s="31"/>
      <c r="AS93" s="28"/>
      <c r="AT93" s="27"/>
      <c r="AU93" s="31"/>
      <c r="AV93" s="31"/>
      <c r="AW93" s="28"/>
      <c r="AX93" s="31"/>
      <c r="AY93" s="31"/>
      <c r="AZ93" s="31"/>
      <c r="BA93" s="28"/>
    </row>
    <row r="94" spans="1:53" s="20" customForma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32" t="s">
        <v>66</v>
      </c>
      <c r="N94" s="33">
        <f t="shared" ref="N94:BA94" si="37">+SUM(N37:N93)</f>
        <v>4.7519999999999998</v>
      </c>
      <c r="O94" s="34">
        <f t="shared" si="37"/>
        <v>88</v>
      </c>
      <c r="P94" s="34"/>
      <c r="Q94" s="35">
        <f t="shared" si="37"/>
        <v>42.012126140577394</v>
      </c>
      <c r="R94" s="34">
        <f t="shared" si="37"/>
        <v>3.0749999999999997</v>
      </c>
      <c r="S94" s="34">
        <f t="shared" si="37"/>
        <v>82</v>
      </c>
      <c r="T94" s="34"/>
      <c r="U94" s="35">
        <f t="shared" si="37"/>
        <v>38.48953623568417</v>
      </c>
      <c r="V94" s="34">
        <f t="shared" si="37"/>
        <v>32.478124999999999</v>
      </c>
      <c r="W94" s="34">
        <f t="shared" si="37"/>
        <v>95</v>
      </c>
      <c r="X94" s="34"/>
      <c r="Y94" s="35">
        <f t="shared" si="37"/>
        <v>38.650951245983265</v>
      </c>
      <c r="Z94" s="34">
        <f t="shared" si="37"/>
        <v>20.662500000000001</v>
      </c>
      <c r="AA94" s="34">
        <f t="shared" si="37"/>
        <v>95</v>
      </c>
      <c r="AB94" s="34"/>
      <c r="AC94" s="35">
        <f t="shared" si="37"/>
        <v>33.515216386574188</v>
      </c>
      <c r="AD94" s="34">
        <f t="shared" si="37"/>
        <v>43.6</v>
      </c>
      <c r="AE94" s="34">
        <f t="shared" si="37"/>
        <v>100.00000000000001</v>
      </c>
      <c r="AF94" s="34"/>
      <c r="AG94" s="35">
        <f t="shared" si="37"/>
        <v>43.590611932817076</v>
      </c>
      <c r="AH94" s="34">
        <f t="shared" si="37"/>
        <v>29.85</v>
      </c>
      <c r="AI94" s="34">
        <f t="shared" si="37"/>
        <v>100.00000000000001</v>
      </c>
      <c r="AJ94" s="34"/>
      <c r="AK94" s="35">
        <f t="shared" si="37"/>
        <v>37.668212572842315</v>
      </c>
      <c r="AL94" s="34">
        <f t="shared" si="37"/>
        <v>58.287500000000001</v>
      </c>
      <c r="AM94" s="34">
        <f t="shared" si="37"/>
        <v>99.999999999999986</v>
      </c>
      <c r="AN94" s="34"/>
      <c r="AO94" s="35">
        <f t="shared" si="37"/>
        <v>42.327739243141082</v>
      </c>
      <c r="AP94" s="34">
        <f t="shared" si="37"/>
        <v>42.912500000000001</v>
      </c>
      <c r="AQ94" s="34">
        <f t="shared" si="37"/>
        <v>99.999999999999986</v>
      </c>
      <c r="AR94" s="34"/>
      <c r="AS94" s="35">
        <f t="shared" si="37"/>
        <v>35.84295621691777</v>
      </c>
      <c r="AT94" s="34">
        <f t="shared" si="37"/>
        <v>58.306250000000006</v>
      </c>
      <c r="AU94" s="34">
        <f t="shared" si="37"/>
        <v>95</v>
      </c>
      <c r="AV94" s="34"/>
      <c r="AW94" s="35">
        <f t="shared" si="37"/>
        <v>38.991430516407974</v>
      </c>
      <c r="AX94" s="34">
        <f t="shared" si="37"/>
        <v>42.51250000000001</v>
      </c>
      <c r="AY94" s="34">
        <f t="shared" si="37"/>
        <v>95</v>
      </c>
      <c r="AZ94" s="34"/>
      <c r="BA94" s="35">
        <f t="shared" si="37"/>
        <v>33.335070715138066</v>
      </c>
    </row>
  </sheetData>
  <mergeCells count="14">
    <mergeCell ref="A5:A6"/>
    <mergeCell ref="B5:B6"/>
    <mergeCell ref="C5:I5"/>
    <mergeCell ref="N35:Q35"/>
    <mergeCell ref="R35:U35"/>
    <mergeCell ref="AL35:AO35"/>
    <mergeCell ref="AP35:AS35"/>
    <mergeCell ref="AT35:AW35"/>
    <mergeCell ref="AX35:BA35"/>
    <mergeCell ref="B36:K36"/>
    <mergeCell ref="V35:Y35"/>
    <mergeCell ref="Z35:AC35"/>
    <mergeCell ref="AD35:AG35"/>
    <mergeCell ref="AH35:AK35"/>
  </mergeCells>
  <conditionalFormatting sqref="C7:I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B18" xr:uid="{C84DC4C6-34BE-4644-B2C7-3204EF644300}">
      <formula1>$C$6:$I$6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C833-15A3-45DE-A30B-965C33D78623}">
  <dimension ref="A1:Q36"/>
  <sheetViews>
    <sheetView showGridLines="0" zoomScale="90" zoomScaleNormal="90" workbookViewId="0"/>
  </sheetViews>
  <sheetFormatPr baseColWidth="10" defaultColWidth="11.42578125" defaultRowHeight="15" x14ac:dyDescent="0.25"/>
  <cols>
    <col min="1" max="1" width="21.42578125" bestFit="1" customWidth="1"/>
    <col min="2" max="2" width="11.7109375" bestFit="1" customWidth="1"/>
    <col min="6" max="7" width="11.42578125" style="98"/>
    <col min="8" max="8" width="19.140625" style="98" bestFit="1" customWidth="1"/>
    <col min="9" max="11" width="13.7109375" style="197" customWidth="1"/>
    <col min="12" max="12" width="4.140625" style="98" customWidth="1"/>
    <col min="13" max="13" width="11.42578125" style="98"/>
    <col min="14" max="14" width="13.7109375" style="189" customWidth="1"/>
    <col min="15" max="15" width="11.42578125" style="98"/>
  </cols>
  <sheetData>
    <row r="1" spans="1:16" s="177" customFormat="1" x14ac:dyDescent="0.2">
      <c r="A1" s="177" t="s">
        <v>112</v>
      </c>
      <c r="F1" s="183"/>
      <c r="G1" s="183"/>
      <c r="H1" s="183"/>
      <c r="I1" s="195"/>
      <c r="J1" s="195"/>
      <c r="K1" s="195"/>
      <c r="L1" s="183"/>
      <c r="M1" s="183"/>
      <c r="N1" s="187"/>
      <c r="O1" s="183"/>
    </row>
    <row r="2" spans="1:16" s="118" customFormat="1" ht="11.25" x14ac:dyDescent="0.15">
      <c r="A2" s="118" t="s">
        <v>124</v>
      </c>
      <c r="F2" s="121"/>
      <c r="G2" s="121"/>
      <c r="H2" s="121"/>
      <c r="I2" s="196"/>
      <c r="J2" s="196"/>
      <c r="K2" s="196"/>
      <c r="L2" s="121"/>
      <c r="M2" s="121"/>
      <c r="N2" s="188"/>
      <c r="O2" s="121"/>
    </row>
    <row r="3" spans="1:16" x14ac:dyDescent="0.25">
      <c r="A3" s="98"/>
      <c r="B3" s="98"/>
      <c r="C3" s="98"/>
      <c r="D3" s="98"/>
      <c r="E3" s="98"/>
      <c r="P3" s="98"/>
    </row>
    <row r="4" spans="1:16" s="108" customFormat="1" ht="15" customHeight="1" x14ac:dyDescent="0.2">
      <c r="A4" s="237" t="s">
        <v>110</v>
      </c>
      <c r="B4" s="237" t="s">
        <v>111</v>
      </c>
      <c r="C4" s="237"/>
      <c r="D4" s="237"/>
      <c r="E4" s="237"/>
      <c r="F4" s="237"/>
      <c r="G4" s="105"/>
      <c r="H4" s="99" t="s">
        <v>92</v>
      </c>
      <c r="I4" s="198"/>
      <c r="J4" s="198"/>
      <c r="K4" s="198"/>
      <c r="N4" s="190"/>
      <c r="O4" s="107"/>
      <c r="P4" s="105"/>
    </row>
    <row r="5" spans="1:16" ht="33.75" x14ac:dyDescent="0.25">
      <c r="A5" s="237"/>
      <c r="B5" s="1" t="s">
        <v>69</v>
      </c>
      <c r="C5" s="1" t="s">
        <v>71</v>
      </c>
      <c r="D5" s="1" t="s">
        <v>73</v>
      </c>
      <c r="E5" s="1" t="s">
        <v>75</v>
      </c>
      <c r="F5" s="1" t="s">
        <v>77</v>
      </c>
      <c r="H5" s="99"/>
      <c r="I5" s="199" t="s">
        <v>32</v>
      </c>
      <c r="J5" s="199" t="s">
        <v>120</v>
      </c>
      <c r="K5" s="199" t="s">
        <v>121</v>
      </c>
      <c r="L5" s="106"/>
      <c r="M5" s="106" t="s">
        <v>93</v>
      </c>
      <c r="N5" s="191" t="s">
        <v>126</v>
      </c>
      <c r="O5" s="107"/>
      <c r="P5" s="98"/>
    </row>
    <row r="6" spans="1:16" x14ac:dyDescent="0.25">
      <c r="A6" s="112" t="s">
        <v>16</v>
      </c>
      <c r="B6" s="91">
        <f t="shared" ref="B6:C13" si="0">+VLOOKUP(B$5,$M$6:$N$10,2,FALSE)/VLOOKUP($A6,$H$6:$I$18,2,FALSE)-1</f>
        <v>0.13484943653639636</v>
      </c>
      <c r="C6" s="89">
        <f t="shared" si="0"/>
        <v>4.405594937826196E-2</v>
      </c>
      <c r="D6" s="90"/>
      <c r="E6" s="90"/>
      <c r="F6" s="92">
        <f t="shared" ref="F6:F18" si="1">+VLOOKUP(F$5,$M$6:$N$10,2,FALSE)/VLOOKUP($A6,$H$6:$I$18,2,FALSE)-1</f>
        <v>5.3253120378389251E-2</v>
      </c>
      <c r="H6" s="109" t="s">
        <v>16</v>
      </c>
      <c r="I6" s="200">
        <f t="shared" ref="I6:I18" si="2">+J6+K6</f>
        <v>37.020000000000003</v>
      </c>
      <c r="J6" s="200">
        <v>33.6</v>
      </c>
      <c r="K6" s="200">
        <v>3.42</v>
      </c>
      <c r="L6" s="109"/>
      <c r="M6" s="109" t="s">
        <v>69</v>
      </c>
      <c r="N6" s="192">
        <f>+VLOOKUP(M6,'VP nuevos bonos '!$A$7:$I$16,5,FALSE)</f>
        <v>42.012126140577394</v>
      </c>
      <c r="O6" s="101"/>
      <c r="P6" s="98"/>
    </row>
    <row r="7" spans="1:16" x14ac:dyDescent="0.25">
      <c r="A7" s="112" t="s">
        <v>18</v>
      </c>
      <c r="B7" s="91">
        <f t="shared" si="0"/>
        <v>0.19590453004774844</v>
      </c>
      <c r="C7" s="89">
        <f t="shared" si="0"/>
        <v>0.1002263377735062</v>
      </c>
      <c r="D7" s="90"/>
      <c r="E7" s="90"/>
      <c r="F7" s="92">
        <f t="shared" si="1"/>
        <v>0.10991831814426356</v>
      </c>
      <c r="H7" s="109" t="s">
        <v>18</v>
      </c>
      <c r="I7" s="200">
        <f t="shared" si="2"/>
        <v>35.129999999999995</v>
      </c>
      <c r="J7" s="200">
        <v>33.799999999999997</v>
      </c>
      <c r="K7" s="200">
        <v>1.33</v>
      </c>
      <c r="L7" s="109"/>
      <c r="M7" s="109" t="s">
        <v>71</v>
      </c>
      <c r="N7" s="192">
        <f>+VLOOKUP(M7,'VP nuevos bonos '!$A$7:$I$16,5,FALSE)</f>
        <v>38.650951245983265</v>
      </c>
      <c r="O7" s="101"/>
      <c r="P7" s="98"/>
    </row>
    <row r="8" spans="1:16" x14ac:dyDescent="0.25">
      <c r="A8" s="112" t="s">
        <v>19</v>
      </c>
      <c r="B8" s="91">
        <f t="shared" si="0"/>
        <v>0.22914353834339951</v>
      </c>
      <c r="C8" s="89">
        <f t="shared" si="0"/>
        <v>0.13080606336990241</v>
      </c>
      <c r="D8" s="90"/>
      <c r="E8" s="90"/>
      <c r="F8" s="92">
        <f t="shared" si="1"/>
        <v>0.14076742294932632</v>
      </c>
      <c r="H8" s="109" t="s">
        <v>19</v>
      </c>
      <c r="I8" s="200">
        <f t="shared" si="2"/>
        <v>34.18</v>
      </c>
      <c r="J8" s="200">
        <v>32.9</v>
      </c>
      <c r="K8" s="200">
        <v>1.28</v>
      </c>
      <c r="L8" s="109"/>
      <c r="M8" s="109" t="s">
        <v>73</v>
      </c>
      <c r="N8" s="192">
        <f>+VLOOKUP(M8,'VP nuevos bonos '!$A$7:$I$16,5,FALSE)</f>
        <v>43.590611932817076</v>
      </c>
      <c r="O8" s="101"/>
      <c r="P8" s="98"/>
    </row>
    <row r="9" spans="1:16" x14ac:dyDescent="0.25">
      <c r="A9" s="112" t="s">
        <v>21</v>
      </c>
      <c r="B9" s="91">
        <f t="shared" si="0"/>
        <v>0.19590453004774844</v>
      </c>
      <c r="C9" s="89">
        <f t="shared" si="0"/>
        <v>0.1002263377735062</v>
      </c>
      <c r="D9" s="90"/>
      <c r="E9" s="90"/>
      <c r="F9" s="92">
        <f t="shared" si="1"/>
        <v>0.10991831814426356</v>
      </c>
      <c r="H9" s="109" t="s">
        <v>21</v>
      </c>
      <c r="I9" s="200">
        <f t="shared" si="2"/>
        <v>35.129999999999995</v>
      </c>
      <c r="J9" s="200">
        <v>31.4</v>
      </c>
      <c r="K9" s="200">
        <v>3.73</v>
      </c>
      <c r="L9" s="109"/>
      <c r="M9" s="109" t="s">
        <v>75</v>
      </c>
      <c r="N9" s="192">
        <f>+VLOOKUP(M9,'VP nuevos bonos '!$A$7:$I$16,5,FALSE)</f>
        <v>42.327739243141082</v>
      </c>
      <c r="O9" s="101"/>
      <c r="P9" s="98"/>
    </row>
    <row r="10" spans="1:16" x14ac:dyDescent="0.25">
      <c r="A10" s="112" t="s">
        <v>23</v>
      </c>
      <c r="B10" s="91">
        <f t="shared" si="0"/>
        <v>0.23856503952173935</v>
      </c>
      <c r="C10" s="89">
        <f t="shared" si="0"/>
        <v>0.13947379852545017</v>
      </c>
      <c r="D10" s="90"/>
      <c r="E10" s="90"/>
      <c r="F10" s="92">
        <f t="shared" si="1"/>
        <v>0.14951151286580133</v>
      </c>
      <c r="H10" s="109" t="s">
        <v>23</v>
      </c>
      <c r="I10" s="200">
        <f t="shared" si="2"/>
        <v>33.919999999999995</v>
      </c>
      <c r="J10" s="200">
        <v>32.299999999999997</v>
      </c>
      <c r="K10" s="200">
        <v>1.62</v>
      </c>
      <c r="L10" s="109"/>
      <c r="M10" s="109" t="s">
        <v>77</v>
      </c>
      <c r="N10" s="192">
        <f>+VLOOKUP(M10,'VP nuevos bonos '!$A$7:$I$16,5,FALSE)</f>
        <v>38.991430516407974</v>
      </c>
      <c r="O10" s="101"/>
      <c r="P10" s="98"/>
    </row>
    <row r="11" spans="1:16" x14ac:dyDescent="0.25">
      <c r="A11" s="112" t="s">
        <v>113</v>
      </c>
      <c r="B11" s="91">
        <f t="shared" si="0"/>
        <v>0.26428306170861848</v>
      </c>
      <c r="C11" s="89">
        <f t="shared" si="0"/>
        <v>0.16313425356555111</v>
      </c>
      <c r="D11" s="90"/>
      <c r="E11" s="90"/>
      <c r="F11" s="92">
        <f t="shared" si="1"/>
        <v>0.17338039471585831</v>
      </c>
      <c r="H11" s="109" t="s">
        <v>113</v>
      </c>
      <c r="I11" s="200">
        <f t="shared" si="2"/>
        <v>33.230000000000004</v>
      </c>
      <c r="J11" s="200">
        <v>31.6</v>
      </c>
      <c r="K11" s="200">
        <v>1.63</v>
      </c>
      <c r="L11" s="109"/>
      <c r="M11" s="111"/>
      <c r="N11" s="193"/>
      <c r="O11" s="101"/>
      <c r="P11" s="98"/>
    </row>
    <row r="12" spans="1:16" x14ac:dyDescent="0.25">
      <c r="A12" s="112" t="s">
        <v>114</v>
      </c>
      <c r="B12" s="91">
        <f t="shared" si="0"/>
        <v>0.24186006918644387</v>
      </c>
      <c r="C12" s="89">
        <f t="shared" si="0"/>
        <v>0.14250520975416103</v>
      </c>
      <c r="D12" s="90"/>
      <c r="E12" s="90"/>
      <c r="F12" s="92">
        <f t="shared" si="1"/>
        <v>0.15256962803452478</v>
      </c>
      <c r="H12" s="109" t="s">
        <v>114</v>
      </c>
      <c r="I12" s="200">
        <f t="shared" si="2"/>
        <v>33.83</v>
      </c>
      <c r="J12" s="200">
        <v>31.9</v>
      </c>
      <c r="K12" s="200">
        <v>1.93</v>
      </c>
      <c r="L12" s="109"/>
      <c r="M12" s="109"/>
      <c r="N12" s="193"/>
      <c r="O12" s="101"/>
      <c r="P12" s="98"/>
    </row>
    <row r="13" spans="1:16" x14ac:dyDescent="0.25">
      <c r="A13" s="112" t="s">
        <v>26</v>
      </c>
      <c r="B13" s="91">
        <f t="shared" si="0"/>
        <v>0.30960492956912078</v>
      </c>
      <c r="C13" s="89">
        <f t="shared" si="0"/>
        <v>0.20483015105932867</v>
      </c>
      <c r="D13" s="90"/>
      <c r="E13" s="90"/>
      <c r="F13" s="92">
        <f t="shared" si="1"/>
        <v>0.21544359465112151</v>
      </c>
      <c r="H13" s="109" t="s">
        <v>26</v>
      </c>
      <c r="I13" s="200">
        <f t="shared" si="2"/>
        <v>32.08</v>
      </c>
      <c r="J13" s="200">
        <v>30</v>
      </c>
      <c r="K13" s="200">
        <v>2.08</v>
      </c>
      <c r="L13" s="109"/>
      <c r="M13" s="109"/>
      <c r="N13" s="193"/>
      <c r="O13" s="101"/>
      <c r="P13" s="98"/>
    </row>
    <row r="14" spans="1:16" x14ac:dyDescent="0.25">
      <c r="A14" s="112" t="s">
        <v>27</v>
      </c>
      <c r="B14" s="93"/>
      <c r="C14" s="89">
        <f>+VLOOKUP(C$5,$M$6:$N$10,2,FALSE)/VLOOKUP($A14,$H$6:$I$18,2,FALSE)-1</f>
        <v>0.15756068421633018</v>
      </c>
      <c r="D14" s="90"/>
      <c r="E14" s="90"/>
      <c r="F14" s="92">
        <f t="shared" si="1"/>
        <v>0.16775772735573447</v>
      </c>
      <c r="H14" s="109" t="s">
        <v>27</v>
      </c>
      <c r="I14" s="200">
        <f t="shared" si="2"/>
        <v>33.39</v>
      </c>
      <c r="J14" s="200">
        <v>29.6</v>
      </c>
      <c r="K14" s="200">
        <v>3.79</v>
      </c>
      <c r="L14" s="109"/>
      <c r="M14" s="109"/>
      <c r="N14" s="193"/>
      <c r="O14" s="101"/>
      <c r="P14" s="98"/>
    </row>
    <row r="15" spans="1:16" x14ac:dyDescent="0.25">
      <c r="A15" s="112" t="s">
        <v>29</v>
      </c>
      <c r="B15" s="93"/>
      <c r="C15" s="89">
        <f>+VLOOKUP(C$5,$M$6:$N$10,2,FALSE)/VLOOKUP($A15,$H$6:$I$18,2,FALSE)-1</f>
        <v>0.19996744011124701</v>
      </c>
      <c r="D15" s="90"/>
      <c r="E15" s="90"/>
      <c r="F15" s="92">
        <f t="shared" si="1"/>
        <v>0.21053804769971962</v>
      </c>
      <c r="H15" s="109" t="s">
        <v>29</v>
      </c>
      <c r="I15" s="200">
        <f t="shared" si="2"/>
        <v>32.21</v>
      </c>
      <c r="J15" s="200">
        <v>30.3</v>
      </c>
      <c r="K15" s="200">
        <v>1.91</v>
      </c>
      <c r="L15" s="109"/>
      <c r="M15" s="109"/>
      <c r="N15" s="193"/>
      <c r="O15" s="101"/>
      <c r="P15" s="98"/>
    </row>
    <row r="16" spans="1:16" x14ac:dyDescent="0.25">
      <c r="A16" s="112" t="s">
        <v>30</v>
      </c>
      <c r="B16" s="93"/>
      <c r="C16" s="89">
        <f>+VLOOKUP(C$5,$M$6:$N$10,2,FALSE)/VLOOKUP($A16,$H$6:$I$18,2,FALSE)-1</f>
        <v>0.19514382331426283</v>
      </c>
      <c r="D16" s="90"/>
      <c r="E16" s="90"/>
      <c r="F16" s="92">
        <f t="shared" si="1"/>
        <v>0.20567193928286853</v>
      </c>
      <c r="H16" s="109" t="s">
        <v>30</v>
      </c>
      <c r="I16" s="200">
        <f t="shared" si="2"/>
        <v>32.340000000000003</v>
      </c>
      <c r="J16" s="200">
        <v>30.1</v>
      </c>
      <c r="K16" s="200">
        <v>2.2400000000000002</v>
      </c>
      <c r="L16" s="109"/>
      <c r="M16" s="109"/>
      <c r="N16" s="193"/>
      <c r="O16" s="101"/>
      <c r="P16" s="98"/>
    </row>
    <row r="17" spans="1:17" x14ac:dyDescent="0.25">
      <c r="A17" s="112" t="s">
        <v>94</v>
      </c>
      <c r="B17" s="93"/>
      <c r="C17" s="90"/>
      <c r="D17" s="89">
        <f>+VLOOKUP(D$5,$M$6:$N$10,2,FALSE)/VLOOKUP($A17,$H$6:$I$18,2,FALSE)-1</f>
        <v>0.10355979576752095</v>
      </c>
      <c r="E17" s="89">
        <f>+VLOOKUP(E$5,$M$6:$N$10,2,FALSE)/VLOOKUP($A17,$H$6:$I$18,2,FALSE)-1</f>
        <v>7.1588335269394454E-2</v>
      </c>
      <c r="F17" s="92">
        <f t="shared" si="1"/>
        <v>-1.2875176799798105E-2</v>
      </c>
      <c r="H17" s="109" t="s">
        <v>94</v>
      </c>
      <c r="I17" s="200">
        <f t="shared" si="2"/>
        <v>39.5</v>
      </c>
      <c r="J17" s="200">
        <v>37.25</v>
      </c>
      <c r="K17" s="200">
        <v>2.25</v>
      </c>
      <c r="L17" s="109"/>
      <c r="M17" s="109"/>
      <c r="N17" s="193"/>
      <c r="O17" s="101"/>
      <c r="P17" s="98"/>
    </row>
    <row r="18" spans="1:17" x14ac:dyDescent="0.25">
      <c r="A18" s="113" t="s">
        <v>95</v>
      </c>
      <c r="B18" s="94"/>
      <c r="C18" s="95"/>
      <c r="D18" s="95"/>
      <c r="E18" s="96">
        <f>+VLOOKUP(E$5,$M$6:$N$10,2,FALSE)/VLOOKUP($A18,$H$6:$I$18,2,FALSE)-1</f>
        <v>0.38235595176816095</v>
      </c>
      <c r="F18" s="97">
        <f t="shared" si="1"/>
        <v>0.27339746951038468</v>
      </c>
      <c r="H18" s="109" t="s">
        <v>95</v>
      </c>
      <c r="I18" s="200">
        <f t="shared" si="2"/>
        <v>30.619999999999997</v>
      </c>
      <c r="J18" s="200">
        <v>30.4</v>
      </c>
      <c r="K18" s="200">
        <v>0.22</v>
      </c>
      <c r="L18" s="109"/>
      <c r="M18" s="109"/>
      <c r="N18" s="193"/>
      <c r="O18" s="101"/>
      <c r="P18" s="98"/>
    </row>
    <row r="19" spans="1:17" ht="20.25" customHeight="1" x14ac:dyDescent="0.25">
      <c r="A19" s="103"/>
      <c r="B19" s="103"/>
      <c r="C19" s="103"/>
      <c r="D19" s="103"/>
      <c r="E19" s="103"/>
      <c r="F19" s="103"/>
      <c r="H19" s="101"/>
      <c r="I19" s="201"/>
      <c r="J19" s="201"/>
      <c r="K19" s="201"/>
      <c r="L19" s="101"/>
      <c r="M19" s="101"/>
      <c r="N19" s="194"/>
      <c r="O19" s="101"/>
      <c r="P19" s="98"/>
    </row>
    <row r="20" spans="1:17" x14ac:dyDescent="0.25">
      <c r="A20" s="237" t="s">
        <v>110</v>
      </c>
      <c r="B20" s="237" t="s">
        <v>111</v>
      </c>
      <c r="C20" s="237"/>
      <c r="D20" s="237"/>
      <c r="E20" s="237"/>
      <c r="F20" s="237"/>
      <c r="H20" s="99" t="s">
        <v>92</v>
      </c>
      <c r="O20" s="107"/>
      <c r="P20" s="110"/>
      <c r="Q20" s="88"/>
    </row>
    <row r="21" spans="1:17" ht="33.75" x14ac:dyDescent="0.25">
      <c r="A21" s="237"/>
      <c r="B21" s="1" t="s">
        <v>70</v>
      </c>
      <c r="C21" s="1" t="s">
        <v>72</v>
      </c>
      <c r="D21" s="1" t="s">
        <v>74</v>
      </c>
      <c r="E21" s="1" t="s">
        <v>76</v>
      </c>
      <c r="F21" s="1" t="s">
        <v>78</v>
      </c>
      <c r="H21" s="99"/>
      <c r="I21" s="199" t="s">
        <v>32</v>
      </c>
      <c r="J21" s="199" t="s">
        <v>120</v>
      </c>
      <c r="K21" s="199" t="s">
        <v>121</v>
      </c>
      <c r="L21" s="106"/>
      <c r="M21" s="106" t="s">
        <v>93</v>
      </c>
      <c r="N21" s="191" t="s">
        <v>126</v>
      </c>
      <c r="O21" s="110"/>
      <c r="P21" s="110"/>
      <c r="Q21" s="88"/>
    </row>
    <row r="22" spans="1:17" x14ac:dyDescent="0.25">
      <c r="A22" s="112" t="s">
        <v>17</v>
      </c>
      <c r="B22" s="91">
        <f t="shared" ref="B22:C25" si="3">+VLOOKUP(B$21,$M$22:$N$26,2,FALSE)/VLOOKUP($A22,$H$22:$I$29,2,FALSE)-1</f>
        <v>0.26902526329324661</v>
      </c>
      <c r="C22" s="89">
        <f t="shared" si="3"/>
        <v>0.10501867413696631</v>
      </c>
      <c r="D22" s="90"/>
      <c r="E22" s="90"/>
      <c r="F22" s="92">
        <f t="shared" ref="F22:F29" si="4">+VLOOKUP(F$21,$M$22:$N$26,2,FALSE)/VLOOKUP($A22,$H$22:$I$29,2,FALSE)-1</f>
        <v>9.9079153153249777E-2</v>
      </c>
      <c r="H22" s="109" t="s">
        <v>17</v>
      </c>
      <c r="I22" s="200">
        <f>+J22+K22</f>
        <v>30.330000000000002</v>
      </c>
      <c r="J22" s="200">
        <v>29.3</v>
      </c>
      <c r="K22" s="200">
        <v>1.03</v>
      </c>
      <c r="L22" s="109"/>
      <c r="M22" s="109" t="s">
        <v>70</v>
      </c>
      <c r="N22" s="192">
        <f>+VLOOKUP(M22,'VP nuevos bonos '!$A$7:$I$16,5,FALSE)</f>
        <v>38.48953623568417</v>
      </c>
      <c r="O22" s="204"/>
      <c r="P22" s="110"/>
      <c r="Q22" s="88"/>
    </row>
    <row r="23" spans="1:17" x14ac:dyDescent="0.25">
      <c r="A23" s="112" t="s">
        <v>20</v>
      </c>
      <c r="B23" s="91">
        <f t="shared" si="3"/>
        <v>0.24159794308658622</v>
      </c>
      <c r="C23" s="89">
        <f t="shared" si="3"/>
        <v>8.1136012470135022E-2</v>
      </c>
      <c r="D23" s="90"/>
      <c r="E23" s="90"/>
      <c r="F23" s="92">
        <f t="shared" si="4"/>
        <v>7.5324861778647278E-2</v>
      </c>
      <c r="H23" s="109" t="s">
        <v>20</v>
      </c>
      <c r="I23" s="200">
        <f t="shared" ref="I23:I29" si="5">+J23+K23</f>
        <v>31</v>
      </c>
      <c r="J23" s="200">
        <v>30.1</v>
      </c>
      <c r="K23" s="200">
        <v>0.9</v>
      </c>
      <c r="L23" s="109"/>
      <c r="M23" s="109" t="s">
        <v>72</v>
      </c>
      <c r="N23" s="192">
        <f>+VLOOKUP(M23,'VP nuevos bonos '!$A$7:$I$16,5,FALSE)</f>
        <v>33.515216386574188</v>
      </c>
      <c r="O23" s="204"/>
      <c r="P23" s="110"/>
      <c r="Q23" s="88"/>
    </row>
    <row r="24" spans="1:17" x14ac:dyDescent="0.25">
      <c r="A24" s="112" t="s">
        <v>22</v>
      </c>
      <c r="B24" s="91">
        <f t="shared" si="3"/>
        <v>0.3078333753205631</v>
      </c>
      <c r="C24" s="89">
        <f t="shared" si="3"/>
        <v>0.13881129414115501</v>
      </c>
      <c r="D24" s="90"/>
      <c r="E24" s="90"/>
      <c r="F24" s="92">
        <f t="shared" si="4"/>
        <v>0.13269013643010763</v>
      </c>
      <c r="H24" s="109" t="s">
        <v>22</v>
      </c>
      <c r="I24" s="200">
        <f t="shared" si="5"/>
        <v>29.43</v>
      </c>
      <c r="J24" s="200">
        <v>28.1</v>
      </c>
      <c r="K24" s="200">
        <v>1.33</v>
      </c>
      <c r="L24" s="109"/>
      <c r="M24" s="109" t="s">
        <v>74</v>
      </c>
      <c r="N24" s="192">
        <f>+VLOOKUP(M24,'VP nuevos bonos '!$A$7:$I$16,5,FALSE)</f>
        <v>37.668212572842315</v>
      </c>
      <c r="O24" s="204"/>
      <c r="P24" s="110"/>
      <c r="Q24" s="88"/>
    </row>
    <row r="25" spans="1:17" x14ac:dyDescent="0.25">
      <c r="A25" s="112" t="s">
        <v>25</v>
      </c>
      <c r="B25" s="91">
        <f t="shared" si="3"/>
        <v>0.27448795482397914</v>
      </c>
      <c r="C25" s="89">
        <f t="shared" si="3"/>
        <v>0.10977537703888052</v>
      </c>
      <c r="D25" s="90"/>
      <c r="E25" s="90"/>
      <c r="F25" s="92">
        <f t="shared" si="4"/>
        <v>0.1038102885807306</v>
      </c>
      <c r="H25" s="109" t="s">
        <v>25</v>
      </c>
      <c r="I25" s="200">
        <f t="shared" si="5"/>
        <v>30.2</v>
      </c>
      <c r="J25" s="200">
        <v>28.8</v>
      </c>
      <c r="K25" s="200">
        <v>1.4</v>
      </c>
      <c r="L25" s="109"/>
      <c r="M25" s="109" t="s">
        <v>76</v>
      </c>
      <c r="N25" s="192">
        <f>+VLOOKUP(M25,'VP nuevos bonos '!$A$7:$I$16,5,FALSE)</f>
        <v>35.84295621691777</v>
      </c>
      <c r="O25" s="204"/>
      <c r="P25" s="109"/>
    </row>
    <row r="26" spans="1:17" x14ac:dyDescent="0.25">
      <c r="A26" s="112" t="s">
        <v>28</v>
      </c>
      <c r="B26" s="93"/>
      <c r="C26" s="89">
        <f>+VLOOKUP(C$21,$M$22:$N$26,2,FALSE)/VLOOKUP($A26,$H$22:$I$29,2,FALSE)-1</f>
        <v>9.4910695412420365E-2</v>
      </c>
      <c r="D26" s="90"/>
      <c r="E26" s="90"/>
      <c r="F26" s="92">
        <f t="shared" si="4"/>
        <v>8.9025505231560498E-2</v>
      </c>
      <c r="H26" s="109" t="s">
        <v>28</v>
      </c>
      <c r="I26" s="200">
        <f t="shared" si="5"/>
        <v>30.61</v>
      </c>
      <c r="J26" s="200">
        <v>27.8</v>
      </c>
      <c r="K26" s="200">
        <v>2.81</v>
      </c>
      <c r="L26" s="109"/>
      <c r="M26" s="109" t="s">
        <v>78</v>
      </c>
      <c r="N26" s="192">
        <f>+VLOOKUP(M26,'VP nuevos bonos '!$A$7:$I$16,5,FALSE)</f>
        <v>33.335070715138066</v>
      </c>
      <c r="O26" s="200"/>
      <c r="P26" s="109"/>
    </row>
    <row r="27" spans="1:17" x14ac:dyDescent="0.25">
      <c r="A27" s="112" t="s">
        <v>14</v>
      </c>
      <c r="B27" s="91">
        <f>+VLOOKUP(B$21,$M$22:$N$26,2,FALSE)/VLOOKUP($A27,$H$22:$I$29,2,FALSE)-1</f>
        <v>3.5761869249659739E-3</v>
      </c>
      <c r="C27" s="89">
        <f>+VLOOKUP(C$21,$M$22:$N$26,2,FALSE)/VLOOKUP($A27,$H$22:$I$29,2,FALSE)-1</f>
        <v>-0.12612423129121197</v>
      </c>
      <c r="D27" s="90"/>
      <c r="E27" s="90"/>
      <c r="F27" s="92">
        <f t="shared" si="4"/>
        <v>-0.13082134961770631</v>
      </c>
      <c r="H27" s="109" t="s">
        <v>14</v>
      </c>
      <c r="I27" s="193">
        <f>+(J27+K27)/1.05</f>
        <v>38.352380952380955</v>
      </c>
      <c r="J27" s="200">
        <v>38.5</v>
      </c>
      <c r="K27" s="200">
        <v>1.77</v>
      </c>
      <c r="L27" s="109"/>
      <c r="M27" s="111"/>
      <c r="N27" s="193"/>
      <c r="O27" s="109"/>
      <c r="P27" s="109"/>
    </row>
    <row r="28" spans="1:17" x14ac:dyDescent="0.25">
      <c r="A28" s="112" t="s">
        <v>96</v>
      </c>
      <c r="B28" s="93"/>
      <c r="C28" s="90"/>
      <c r="D28" s="89">
        <f>+VLOOKUP(D$21,$M$22:$N$26,2,FALSE)/VLOOKUP($A28,$H$22:$I$29,2,FALSE)-1</f>
        <v>2.0542199210032974E-2</v>
      </c>
      <c r="E28" s="89">
        <f>+VLOOKUP(E$21,$M$22:$N$26,2,FALSE)/VLOOKUP($A28,$H$22:$I$29,2,FALSE)-1</f>
        <v>-2.8909341183479431E-2</v>
      </c>
      <c r="F28" s="92">
        <f t="shared" si="4"/>
        <v>-9.6855304385313756E-2</v>
      </c>
      <c r="H28" s="109" t="s">
        <v>96</v>
      </c>
      <c r="I28" s="200">
        <f t="shared" si="5"/>
        <v>36.909999999999997</v>
      </c>
      <c r="J28" s="200">
        <v>34.5</v>
      </c>
      <c r="K28" s="200">
        <v>2.41</v>
      </c>
      <c r="L28" s="109"/>
      <c r="M28" s="109"/>
      <c r="N28" s="193"/>
      <c r="O28" s="109"/>
      <c r="P28" s="109"/>
    </row>
    <row r="29" spans="1:17" x14ac:dyDescent="0.25">
      <c r="A29" s="113" t="s">
        <v>97</v>
      </c>
      <c r="B29" s="94"/>
      <c r="C29" s="95"/>
      <c r="D29" s="95"/>
      <c r="E29" s="96">
        <f>+VLOOKUP(E$21,$M$22:$N$26,2,FALSE)/VLOOKUP($A29,$H$22:$I$29,2,FALSE)-1</f>
        <v>0.24024069954732785</v>
      </c>
      <c r="F29" s="97">
        <f t="shared" si="4"/>
        <v>0.1534626545030473</v>
      </c>
      <c r="H29" s="109" t="s">
        <v>97</v>
      </c>
      <c r="I29" s="200">
        <f t="shared" si="5"/>
        <v>28.9</v>
      </c>
      <c r="J29" s="200">
        <v>28.7</v>
      </c>
      <c r="K29" s="200">
        <v>0.2</v>
      </c>
      <c r="L29" s="109"/>
      <c r="M29" s="109"/>
      <c r="N29" s="193"/>
      <c r="O29" s="109"/>
      <c r="P29" s="109"/>
    </row>
    <row r="30" spans="1:17" x14ac:dyDescent="0.25">
      <c r="H30" s="109"/>
      <c r="I30" s="200"/>
      <c r="J30" s="200"/>
      <c r="K30" s="200"/>
      <c r="L30" s="109"/>
      <c r="M30" s="109"/>
      <c r="N30" s="193"/>
      <c r="O30" s="109"/>
      <c r="P30" s="109"/>
    </row>
    <row r="31" spans="1:17" x14ac:dyDescent="0.25">
      <c r="H31" s="109"/>
      <c r="I31" s="200"/>
      <c r="J31" s="200"/>
      <c r="K31" s="200"/>
      <c r="L31" s="109"/>
      <c r="M31" s="109"/>
      <c r="N31" s="193"/>
      <c r="O31" s="109"/>
    </row>
    <row r="32" spans="1:17" x14ac:dyDescent="0.25">
      <c r="H32" s="109"/>
      <c r="I32" s="200"/>
      <c r="J32" s="200"/>
      <c r="K32" s="200"/>
      <c r="L32" s="109"/>
      <c r="M32" s="109"/>
      <c r="N32" s="193"/>
    </row>
    <row r="36" spans="8:8" x14ac:dyDescent="0.25">
      <c r="H36" s="100"/>
    </row>
  </sheetData>
  <mergeCells count="4">
    <mergeCell ref="A20:A21"/>
    <mergeCell ref="B20:F20"/>
    <mergeCell ref="A4:A5"/>
    <mergeCell ref="B4:F4"/>
  </mergeCells>
  <conditionalFormatting sqref="B6:F1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:A1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F28 E29:F29 D22:D27 F22:F2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2:A2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D26 B22:D25 C23:C27 D28:F28 E29:F29 F22:F29 B27:D2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C2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B2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C2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:E2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F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:D2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ignoredErrors>
    <ignoredError sqref="I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94F5-3C09-4FE3-A58A-B1485CBB5192}">
  <dimension ref="A1:R32"/>
  <sheetViews>
    <sheetView showGridLines="0" workbookViewId="0"/>
  </sheetViews>
  <sheetFormatPr baseColWidth="10" defaultColWidth="11.42578125" defaultRowHeight="12.75" x14ac:dyDescent="0.2"/>
  <cols>
    <col min="1" max="1" width="7.7109375" style="114" customWidth="1"/>
    <col min="2" max="2" width="8.85546875" style="114" bestFit="1" customWidth="1"/>
    <col min="3" max="3" width="18.85546875" style="114" bestFit="1" customWidth="1"/>
    <col min="4" max="4" width="12.5703125" style="114" customWidth="1"/>
    <col min="5" max="5" width="11.28515625" style="114" bestFit="1" customWidth="1"/>
    <col min="6" max="14" width="10.7109375" style="114" bestFit="1" customWidth="1"/>
    <col min="15" max="15" width="21.42578125" style="114" customWidth="1"/>
    <col min="16" max="16384" width="11.42578125" style="114"/>
  </cols>
  <sheetData>
    <row r="1" spans="1:18" s="180" customFormat="1" ht="15" x14ac:dyDescent="0.25">
      <c r="A1" s="180" t="s">
        <v>130</v>
      </c>
      <c r="O1" s="181"/>
      <c r="Q1" s="205"/>
      <c r="R1" s="206"/>
    </row>
    <row r="2" spans="1:18" s="118" customFormat="1" ht="11.25" x14ac:dyDescent="0.15">
      <c r="A2" s="143" t="s">
        <v>116</v>
      </c>
      <c r="E2" s="142"/>
      <c r="O2" s="50"/>
      <c r="Q2" s="205"/>
      <c r="R2" s="207"/>
    </row>
    <row r="3" spans="1:18" ht="12.75" customHeight="1" x14ac:dyDescent="0.2">
      <c r="E3" s="242" t="s">
        <v>98</v>
      </c>
      <c r="F3" s="243"/>
      <c r="G3" s="243"/>
      <c r="H3" s="243"/>
      <c r="I3" s="243"/>
      <c r="J3" s="243"/>
      <c r="K3" s="243"/>
      <c r="L3" s="243"/>
      <c r="M3" s="243"/>
      <c r="N3" s="243"/>
      <c r="O3" s="115"/>
      <c r="Q3" s="209"/>
      <c r="R3" s="207"/>
    </row>
    <row r="4" spans="1:18" s="116" customFormat="1" ht="34.5" customHeight="1" x14ac:dyDescent="0.25">
      <c r="E4" s="213">
        <v>0.88</v>
      </c>
      <c r="F4" s="213">
        <v>0.95</v>
      </c>
      <c r="G4" s="213">
        <v>1</v>
      </c>
      <c r="H4" s="213">
        <v>1</v>
      </c>
      <c r="I4" s="213">
        <v>0.95</v>
      </c>
      <c r="J4" s="213">
        <v>0.82</v>
      </c>
      <c r="K4" s="213">
        <v>0.95</v>
      </c>
      <c r="L4" s="213">
        <v>1</v>
      </c>
      <c r="M4" s="213">
        <v>1</v>
      </c>
      <c r="N4" s="214">
        <v>0.95</v>
      </c>
      <c r="Q4" s="208"/>
      <c r="R4" s="208"/>
    </row>
    <row r="5" spans="1:18" s="116" customFormat="1" ht="34.5" customHeight="1" x14ac:dyDescent="0.25">
      <c r="A5" s="128" t="s">
        <v>99</v>
      </c>
      <c r="B5" s="128" t="s">
        <v>2</v>
      </c>
      <c r="C5" s="128" t="s">
        <v>100</v>
      </c>
      <c r="D5" s="129" t="s">
        <v>115</v>
      </c>
      <c r="E5" s="128" t="s">
        <v>69</v>
      </c>
      <c r="F5" s="128" t="s">
        <v>71</v>
      </c>
      <c r="G5" s="128" t="s">
        <v>73</v>
      </c>
      <c r="H5" s="128" t="s">
        <v>75</v>
      </c>
      <c r="I5" s="128" t="s">
        <v>77</v>
      </c>
      <c r="J5" s="128" t="s">
        <v>70</v>
      </c>
      <c r="K5" s="128" t="s">
        <v>72</v>
      </c>
      <c r="L5" s="128" t="s">
        <v>74</v>
      </c>
      <c r="M5" s="128" t="s">
        <v>76</v>
      </c>
      <c r="N5" s="130" t="s">
        <v>78</v>
      </c>
      <c r="O5" s="215" t="s">
        <v>132</v>
      </c>
      <c r="Q5" s="208"/>
      <c r="R5" s="208"/>
    </row>
    <row r="6" spans="1:18" s="118" customFormat="1" ht="11.25" x14ac:dyDescent="0.15">
      <c r="A6" s="133">
        <v>1</v>
      </c>
      <c r="B6" s="133" t="s">
        <v>6</v>
      </c>
      <c r="C6" s="134" t="s">
        <v>16</v>
      </c>
      <c r="D6" s="144">
        <v>4500</v>
      </c>
      <c r="E6" s="148">
        <f>+D6*E4</f>
        <v>3960</v>
      </c>
      <c r="F6" s="148"/>
      <c r="G6" s="152"/>
      <c r="H6" s="152"/>
      <c r="I6" s="148"/>
      <c r="J6" s="152"/>
      <c r="K6" s="152"/>
      <c r="L6" s="152"/>
      <c r="M6" s="152"/>
      <c r="N6" s="132"/>
      <c r="O6" s="131">
        <f>+SUM(E6:I6)+SUM(J6:N6)/0.9211</f>
        <v>3960</v>
      </c>
    </row>
    <row r="7" spans="1:18" s="118" customFormat="1" ht="11.25" x14ac:dyDescent="0.15">
      <c r="A7" s="135">
        <v>1</v>
      </c>
      <c r="B7" s="135" t="s">
        <v>6</v>
      </c>
      <c r="C7" s="136" t="s">
        <v>18</v>
      </c>
      <c r="D7" s="145">
        <v>3250</v>
      </c>
      <c r="E7" s="149">
        <f>+D7*E4</f>
        <v>2860</v>
      </c>
      <c r="F7" s="149"/>
      <c r="G7" s="150"/>
      <c r="H7" s="150"/>
      <c r="I7" s="149"/>
      <c r="J7" s="150"/>
      <c r="K7" s="150"/>
      <c r="L7" s="150"/>
      <c r="M7" s="150"/>
      <c r="N7" s="125"/>
      <c r="O7" s="122">
        <f t="shared" ref="O7:O26" si="0">+SUM(E7:I7)+SUM(J7:N7)/0.9211</f>
        <v>2860</v>
      </c>
    </row>
    <row r="8" spans="1:18" s="118" customFormat="1" ht="11.25" x14ac:dyDescent="0.15">
      <c r="A8" s="135">
        <v>1</v>
      </c>
      <c r="B8" s="135" t="s">
        <v>6</v>
      </c>
      <c r="C8" s="136" t="s">
        <v>19</v>
      </c>
      <c r="D8" s="145">
        <v>1750</v>
      </c>
      <c r="E8" s="149">
        <f>+D8*E4</f>
        <v>1540</v>
      </c>
      <c r="F8" s="149"/>
      <c r="G8" s="150"/>
      <c r="H8" s="150"/>
      <c r="I8" s="149"/>
      <c r="J8" s="150"/>
      <c r="K8" s="150"/>
      <c r="L8" s="150"/>
      <c r="M8" s="150"/>
      <c r="N8" s="125"/>
      <c r="O8" s="122">
        <f t="shared" si="0"/>
        <v>1540</v>
      </c>
    </row>
    <row r="9" spans="1:18" s="118" customFormat="1" ht="11.25" x14ac:dyDescent="0.15">
      <c r="A9" s="135">
        <v>1</v>
      </c>
      <c r="B9" s="135" t="s">
        <v>9</v>
      </c>
      <c r="C9" s="136" t="s">
        <v>17</v>
      </c>
      <c r="D9" s="145">
        <v>1250</v>
      </c>
      <c r="E9" s="150"/>
      <c r="F9" s="150"/>
      <c r="G9" s="150"/>
      <c r="H9" s="150"/>
      <c r="I9" s="150"/>
      <c r="J9" s="149">
        <f>+D9*J4</f>
        <v>1025</v>
      </c>
      <c r="K9" s="149"/>
      <c r="L9" s="150"/>
      <c r="M9" s="150"/>
      <c r="N9" s="126"/>
      <c r="O9" s="122">
        <f t="shared" si="0"/>
        <v>1112.7999131473239</v>
      </c>
    </row>
    <row r="10" spans="1:18" s="118" customFormat="1" ht="11.25" x14ac:dyDescent="0.15">
      <c r="A10" s="135">
        <v>1</v>
      </c>
      <c r="B10" s="135" t="s">
        <v>9</v>
      </c>
      <c r="C10" s="136" t="s">
        <v>20</v>
      </c>
      <c r="D10" s="145">
        <v>1000</v>
      </c>
      <c r="E10" s="150"/>
      <c r="F10" s="150"/>
      <c r="G10" s="150"/>
      <c r="H10" s="150"/>
      <c r="I10" s="150"/>
      <c r="J10" s="149">
        <f>+D10*J4</f>
        <v>820</v>
      </c>
      <c r="K10" s="149"/>
      <c r="L10" s="150"/>
      <c r="M10" s="150"/>
      <c r="N10" s="126"/>
      <c r="O10" s="122">
        <f t="shared" si="0"/>
        <v>890.23993051785908</v>
      </c>
    </row>
    <row r="11" spans="1:18" s="118" customFormat="1" ht="11.25" x14ac:dyDescent="0.15">
      <c r="A11" s="137">
        <v>1</v>
      </c>
      <c r="B11" s="137" t="s">
        <v>15</v>
      </c>
      <c r="C11" s="138" t="s">
        <v>14</v>
      </c>
      <c r="D11" s="146">
        <v>400</v>
      </c>
      <c r="E11" s="151"/>
      <c r="F11" s="151"/>
      <c r="G11" s="151"/>
      <c r="H11" s="151"/>
      <c r="I11" s="151"/>
      <c r="J11" s="153">
        <f>+D11*77.96159/100</f>
        <v>311.84636</v>
      </c>
      <c r="K11" s="153"/>
      <c r="L11" s="151"/>
      <c r="M11" s="151"/>
      <c r="N11" s="127"/>
      <c r="O11" s="124">
        <f t="shared" si="0"/>
        <v>338.55863641298447</v>
      </c>
    </row>
    <row r="12" spans="1:18" s="118" customFormat="1" ht="11.25" x14ac:dyDescent="0.15">
      <c r="A12" s="133">
        <v>2</v>
      </c>
      <c r="B12" s="133" t="s">
        <v>6</v>
      </c>
      <c r="C12" s="134" t="s">
        <v>21</v>
      </c>
      <c r="D12" s="144">
        <v>6500</v>
      </c>
      <c r="E12" s="148">
        <f>+(($E$28-SUM($E$6:$E$8)))*(D12/SUM($D$12:$D$16))</f>
        <v>1145.5072463768115</v>
      </c>
      <c r="F12" s="148">
        <f>+(D12-E12/$E$4)*$F$4</f>
        <v>4938.3728590250321</v>
      </c>
      <c r="G12" s="152"/>
      <c r="H12" s="152"/>
      <c r="I12" s="148"/>
      <c r="J12" s="152"/>
      <c r="K12" s="152"/>
      <c r="L12" s="152"/>
      <c r="M12" s="152"/>
      <c r="N12" s="132"/>
      <c r="O12" s="131">
        <f t="shared" si="0"/>
        <v>6083.880105401844</v>
      </c>
    </row>
    <row r="13" spans="1:18" s="118" customFormat="1" ht="11.25" x14ac:dyDescent="0.15">
      <c r="A13" s="135">
        <v>2</v>
      </c>
      <c r="B13" s="135" t="s">
        <v>6</v>
      </c>
      <c r="C13" s="136" t="s">
        <v>23</v>
      </c>
      <c r="D13" s="145">
        <v>3750</v>
      </c>
      <c r="E13" s="149">
        <f t="shared" ref="E13:E16" si="1">+(($E$28-SUM($E$6:$E$8)))*(D13/SUM($D$12:$D$16))</f>
        <v>660.86956521739125</v>
      </c>
      <c r="F13" s="149">
        <f t="shared" ref="F13:F16" si="2">+(D13-E13/$E$4)*$F$4</f>
        <v>2849.0612648221345</v>
      </c>
      <c r="G13" s="150"/>
      <c r="H13" s="150"/>
      <c r="I13" s="149"/>
      <c r="J13" s="150"/>
      <c r="K13" s="150"/>
      <c r="L13" s="150"/>
      <c r="M13" s="150"/>
      <c r="N13" s="125"/>
      <c r="O13" s="122">
        <f t="shared" si="0"/>
        <v>3509.930830039526</v>
      </c>
    </row>
    <row r="14" spans="1:18" s="118" customFormat="1" ht="11.25" x14ac:dyDescent="0.15">
      <c r="A14" s="135">
        <v>2</v>
      </c>
      <c r="B14" s="135" t="s">
        <v>6</v>
      </c>
      <c r="C14" s="136" t="s">
        <v>113</v>
      </c>
      <c r="D14" s="145">
        <v>4250</v>
      </c>
      <c r="E14" s="149">
        <f t="shared" si="1"/>
        <v>748.98550724637687</v>
      </c>
      <c r="F14" s="149">
        <f t="shared" si="2"/>
        <v>3228.936100131752</v>
      </c>
      <c r="G14" s="150"/>
      <c r="H14" s="150"/>
      <c r="I14" s="149"/>
      <c r="J14" s="150"/>
      <c r="K14" s="150"/>
      <c r="L14" s="150"/>
      <c r="M14" s="150"/>
      <c r="N14" s="125"/>
      <c r="O14" s="122">
        <f t="shared" si="0"/>
        <v>3977.921607378129</v>
      </c>
    </row>
    <row r="15" spans="1:18" s="118" customFormat="1" ht="11.25" x14ac:dyDescent="0.15">
      <c r="A15" s="135">
        <v>2</v>
      </c>
      <c r="B15" s="135" t="s">
        <v>6</v>
      </c>
      <c r="C15" s="136" t="s">
        <v>114</v>
      </c>
      <c r="D15" s="145">
        <v>1000</v>
      </c>
      <c r="E15" s="149">
        <f t="shared" si="1"/>
        <v>176.23188405797103</v>
      </c>
      <c r="F15" s="149">
        <f t="shared" si="2"/>
        <v>759.74967061923576</v>
      </c>
      <c r="G15" s="150"/>
      <c r="H15" s="150"/>
      <c r="I15" s="149"/>
      <c r="J15" s="150"/>
      <c r="K15" s="150"/>
      <c r="L15" s="150"/>
      <c r="M15" s="150"/>
      <c r="N15" s="125"/>
      <c r="O15" s="122">
        <f t="shared" si="0"/>
        <v>935.98155467720676</v>
      </c>
    </row>
    <row r="16" spans="1:18" s="118" customFormat="1" ht="11.25" x14ac:dyDescent="0.15">
      <c r="A16" s="135">
        <v>2</v>
      </c>
      <c r="B16" s="135" t="s">
        <v>6</v>
      </c>
      <c r="C16" s="136" t="s">
        <v>26</v>
      </c>
      <c r="D16" s="147">
        <v>1750</v>
      </c>
      <c r="E16" s="149">
        <f t="shared" si="1"/>
        <v>308.40579710144931</v>
      </c>
      <c r="F16" s="149">
        <f t="shared" si="2"/>
        <v>1329.5619235836625</v>
      </c>
      <c r="G16" s="150"/>
      <c r="H16" s="150"/>
      <c r="I16" s="149"/>
      <c r="J16" s="150"/>
      <c r="K16" s="150"/>
      <c r="L16" s="150"/>
      <c r="M16" s="150"/>
      <c r="N16" s="125"/>
      <c r="O16" s="123">
        <f t="shared" si="0"/>
        <v>1637.9677206851118</v>
      </c>
    </row>
    <row r="17" spans="1:15" s="118" customFormat="1" ht="11.25" x14ac:dyDescent="0.15">
      <c r="A17" s="135">
        <v>2</v>
      </c>
      <c r="B17" s="135" t="s">
        <v>9</v>
      </c>
      <c r="C17" s="136" t="s">
        <v>22</v>
      </c>
      <c r="D17" s="145">
        <v>1250</v>
      </c>
      <c r="E17" s="150"/>
      <c r="F17" s="150"/>
      <c r="G17" s="150"/>
      <c r="H17" s="150"/>
      <c r="I17" s="150"/>
      <c r="J17" s="149">
        <f>+(($J$28-SUM(J$9:J$11))*(D17/SUM($D$17:$D$18)))</f>
        <v>579.52980000000002</v>
      </c>
      <c r="K17" s="149">
        <f>(D17-J$17/$J$4)*$K$4</f>
        <v>516.09352439024372</v>
      </c>
      <c r="L17" s="150"/>
      <c r="M17" s="150"/>
      <c r="N17" s="126"/>
      <c r="O17" s="122">
        <f t="shared" si="0"/>
        <v>1189.4727221694102</v>
      </c>
    </row>
    <row r="18" spans="1:15" s="118" customFormat="1" ht="11.25" x14ac:dyDescent="0.15">
      <c r="A18" s="137">
        <v>2</v>
      </c>
      <c r="B18" s="137" t="s">
        <v>9</v>
      </c>
      <c r="C18" s="138" t="s">
        <v>25</v>
      </c>
      <c r="D18" s="146">
        <v>1000</v>
      </c>
      <c r="E18" s="151"/>
      <c r="F18" s="151"/>
      <c r="G18" s="151"/>
      <c r="H18" s="151"/>
      <c r="I18" s="151"/>
      <c r="J18" s="153">
        <f>+(($J$28-SUM(J$9:J$11))*(D18/SUM($D$17:$D$18)))</f>
        <v>463.62383999999997</v>
      </c>
      <c r="K18" s="153">
        <f>(D18-J$17/$J$4)*$K$4</f>
        <v>278.59352439024377</v>
      </c>
      <c r="L18" s="151"/>
      <c r="M18" s="151"/>
      <c r="N18" s="127"/>
      <c r="O18" s="124">
        <f t="shared" si="0"/>
        <v>805.79455476087696</v>
      </c>
    </row>
    <row r="19" spans="1:15" s="118" customFormat="1" ht="11.25" x14ac:dyDescent="0.15">
      <c r="A19" s="133">
        <v>3</v>
      </c>
      <c r="B19" s="133" t="s">
        <v>6</v>
      </c>
      <c r="C19" s="134" t="s">
        <v>27</v>
      </c>
      <c r="D19" s="144">
        <v>2750</v>
      </c>
      <c r="E19" s="152"/>
      <c r="F19" s="148"/>
      <c r="G19" s="152"/>
      <c r="H19" s="152"/>
      <c r="I19" s="148">
        <f>+D19*$F$4</f>
        <v>2612.5</v>
      </c>
      <c r="J19" s="152"/>
      <c r="K19" s="152"/>
      <c r="L19" s="152"/>
      <c r="M19" s="152"/>
      <c r="N19" s="132"/>
      <c r="O19" s="131">
        <f t="shared" si="0"/>
        <v>2612.5</v>
      </c>
    </row>
    <row r="20" spans="1:15" s="118" customFormat="1" ht="11.25" x14ac:dyDescent="0.15">
      <c r="A20" s="135">
        <v>3</v>
      </c>
      <c r="B20" s="135" t="s">
        <v>6</v>
      </c>
      <c r="C20" s="136" t="s">
        <v>29</v>
      </c>
      <c r="D20" s="145">
        <v>3000</v>
      </c>
      <c r="E20" s="150"/>
      <c r="F20" s="149"/>
      <c r="G20" s="150"/>
      <c r="H20" s="150"/>
      <c r="I20" s="149">
        <f t="shared" ref="I20:I21" si="3">+D20*$F$4</f>
        <v>2850</v>
      </c>
      <c r="J20" s="150"/>
      <c r="K20" s="150"/>
      <c r="L20" s="150"/>
      <c r="M20" s="150"/>
      <c r="N20" s="125"/>
      <c r="O20" s="122">
        <f t="shared" si="0"/>
        <v>2850</v>
      </c>
    </row>
    <row r="21" spans="1:15" s="118" customFormat="1" ht="11.25" x14ac:dyDescent="0.15">
      <c r="A21" s="135">
        <v>3</v>
      </c>
      <c r="B21" s="135" t="s">
        <v>6</v>
      </c>
      <c r="C21" s="136" t="s">
        <v>30</v>
      </c>
      <c r="D21" s="145">
        <v>2750</v>
      </c>
      <c r="E21" s="150"/>
      <c r="F21" s="149"/>
      <c r="G21" s="150"/>
      <c r="H21" s="150"/>
      <c r="I21" s="149">
        <f t="shared" si="3"/>
        <v>2612.5</v>
      </c>
      <c r="J21" s="150"/>
      <c r="K21" s="150"/>
      <c r="L21" s="150"/>
      <c r="M21" s="150"/>
      <c r="N21" s="125"/>
      <c r="O21" s="122">
        <f t="shared" si="0"/>
        <v>2612.5</v>
      </c>
    </row>
    <row r="22" spans="1:15" s="118" customFormat="1" ht="11.25" x14ac:dyDescent="0.15">
      <c r="A22" s="137">
        <v>3</v>
      </c>
      <c r="B22" s="137" t="s">
        <v>9</v>
      </c>
      <c r="C22" s="138" t="s">
        <v>28</v>
      </c>
      <c r="D22" s="146">
        <v>750</v>
      </c>
      <c r="E22" s="151"/>
      <c r="F22" s="151"/>
      <c r="G22" s="151"/>
      <c r="H22" s="151"/>
      <c r="I22" s="151"/>
      <c r="J22" s="151"/>
      <c r="K22" s="153">
        <f>+D22*K4</f>
        <v>712.5</v>
      </c>
      <c r="L22" s="151"/>
      <c r="M22" s="151"/>
      <c r="N22" s="127"/>
      <c r="O22" s="124">
        <f t="shared" si="0"/>
        <v>773.53164694387146</v>
      </c>
    </row>
    <row r="23" spans="1:15" s="118" customFormat="1" ht="11.25" x14ac:dyDescent="0.15">
      <c r="A23" s="133">
        <v>4</v>
      </c>
      <c r="B23" s="133" t="s">
        <v>6</v>
      </c>
      <c r="C23" s="134" t="s">
        <v>94</v>
      </c>
      <c r="D23" s="144">
        <v>5565.2917364499999</v>
      </c>
      <c r="E23" s="152"/>
      <c r="F23" s="152"/>
      <c r="G23" s="148">
        <f>+D23*G4</f>
        <v>5565.2917364499999</v>
      </c>
      <c r="H23" s="148"/>
      <c r="I23" s="148"/>
      <c r="J23" s="152"/>
      <c r="K23" s="152"/>
      <c r="L23" s="152"/>
      <c r="M23" s="152"/>
      <c r="N23" s="132"/>
      <c r="O23" s="131">
        <f t="shared" si="0"/>
        <v>5565.2917364499999</v>
      </c>
    </row>
    <row r="24" spans="1:15" s="118" customFormat="1" ht="11.25" x14ac:dyDescent="0.15">
      <c r="A24" s="137">
        <v>4</v>
      </c>
      <c r="B24" s="137" t="s">
        <v>9</v>
      </c>
      <c r="C24" s="138" t="s">
        <v>96</v>
      </c>
      <c r="D24" s="146">
        <v>5776.2840187699994</v>
      </c>
      <c r="E24" s="151"/>
      <c r="F24" s="151"/>
      <c r="G24" s="151"/>
      <c r="H24" s="151"/>
      <c r="I24" s="151"/>
      <c r="J24" s="151"/>
      <c r="K24" s="151"/>
      <c r="L24" s="153">
        <f>+D24*L4</f>
        <v>5776.2840187699994</v>
      </c>
      <c r="M24" s="153"/>
      <c r="N24" s="127"/>
      <c r="O24" s="124">
        <f t="shared" si="0"/>
        <v>6271.0715652697854</v>
      </c>
    </row>
    <row r="25" spans="1:15" s="118" customFormat="1" ht="11.25" x14ac:dyDescent="0.15">
      <c r="A25" s="133">
        <v>5</v>
      </c>
      <c r="B25" s="133" t="s">
        <v>6</v>
      </c>
      <c r="C25" s="134" t="s">
        <v>95</v>
      </c>
      <c r="D25" s="144">
        <v>5393.6283739999999</v>
      </c>
      <c r="E25" s="152"/>
      <c r="F25" s="152"/>
      <c r="G25" s="152"/>
      <c r="H25" s="148">
        <f>+D25*H4</f>
        <v>5393.6283739999999</v>
      </c>
      <c r="I25" s="148"/>
      <c r="J25" s="152"/>
      <c r="K25" s="152"/>
      <c r="L25" s="152"/>
      <c r="M25" s="152"/>
      <c r="N25" s="132"/>
      <c r="O25" s="131">
        <f t="shared" si="0"/>
        <v>5393.6283739999999</v>
      </c>
    </row>
    <row r="26" spans="1:15" s="118" customFormat="1" ht="11.25" x14ac:dyDescent="0.15">
      <c r="A26" s="137">
        <v>5</v>
      </c>
      <c r="B26" s="137" t="s">
        <v>9</v>
      </c>
      <c r="C26" s="138" t="s">
        <v>97</v>
      </c>
      <c r="D26" s="146">
        <v>6473.2230979999995</v>
      </c>
      <c r="E26" s="151"/>
      <c r="F26" s="151"/>
      <c r="G26" s="151"/>
      <c r="H26" s="151"/>
      <c r="I26" s="151"/>
      <c r="J26" s="151"/>
      <c r="K26" s="151"/>
      <c r="L26" s="151"/>
      <c r="M26" s="153">
        <f>D26*M4</f>
        <v>6473.2230979999995</v>
      </c>
      <c r="N26" s="127"/>
      <c r="O26" s="124">
        <f t="shared" si="0"/>
        <v>7027.7093670611221</v>
      </c>
    </row>
    <row r="27" spans="1:15" s="116" customFormat="1" ht="18" customHeight="1" x14ac:dyDescent="0.25">
      <c r="A27" s="238" t="s">
        <v>66</v>
      </c>
      <c r="B27" s="239"/>
      <c r="C27" s="239"/>
      <c r="D27" s="239"/>
      <c r="E27" s="202">
        <f>+SUM(E6:E26)</f>
        <v>11400.000000000002</v>
      </c>
      <c r="F27" s="202">
        <f t="shared" ref="F27:N27" si="4">+SUM(F6:F26)</f>
        <v>13105.681818181816</v>
      </c>
      <c r="G27" s="202">
        <f t="shared" si="4"/>
        <v>5565.2917364499999</v>
      </c>
      <c r="H27" s="202">
        <f t="shared" si="4"/>
        <v>5393.6283739999999</v>
      </c>
      <c r="I27" s="202">
        <f t="shared" si="4"/>
        <v>8075</v>
      </c>
      <c r="J27" s="202">
        <f t="shared" si="4"/>
        <v>3200</v>
      </c>
      <c r="K27" s="202">
        <f t="shared" si="4"/>
        <v>1507.1870487804874</v>
      </c>
      <c r="L27" s="202">
        <f t="shared" si="4"/>
        <v>5776.2840187699994</v>
      </c>
      <c r="M27" s="202">
        <f t="shared" si="4"/>
        <v>6473.2230979999995</v>
      </c>
      <c r="N27" s="203">
        <f t="shared" si="4"/>
        <v>0</v>
      </c>
      <c r="O27" s="202">
        <f>+SUM(O6:O26)</f>
        <v>61948.780264915054</v>
      </c>
    </row>
    <row r="28" spans="1:15" s="116" customFormat="1" ht="18" customHeight="1" x14ac:dyDescent="0.25">
      <c r="A28" s="240" t="s">
        <v>127</v>
      </c>
      <c r="B28" s="241"/>
      <c r="C28" s="241"/>
      <c r="D28" s="241" t="s">
        <v>101</v>
      </c>
      <c r="E28" s="210">
        <v>11400</v>
      </c>
      <c r="F28" s="210">
        <v>20700</v>
      </c>
      <c r="G28" s="210"/>
      <c r="H28" s="210"/>
      <c r="I28" s="210"/>
      <c r="J28" s="210">
        <v>3200</v>
      </c>
      <c r="K28" s="210">
        <v>2700</v>
      </c>
      <c r="L28" s="210"/>
      <c r="M28" s="210"/>
      <c r="N28" s="211"/>
      <c r="O28" s="210"/>
    </row>
    <row r="29" spans="1:15" s="38" customFormat="1" ht="11.25" x14ac:dyDescent="0.15">
      <c r="D29" s="140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  <row r="30" spans="1:15" s="102" customFormat="1" ht="12" x14ac:dyDescent="0.2">
      <c r="A30" s="102" t="s">
        <v>122</v>
      </c>
      <c r="L30" s="139"/>
    </row>
    <row r="31" spans="1:15" x14ac:dyDescent="0.2">
      <c r="A31" s="114" t="s">
        <v>123</v>
      </c>
      <c r="D31" s="119"/>
      <c r="J31" s="120"/>
    </row>
    <row r="32" spans="1:15" x14ac:dyDescent="0.2">
      <c r="J32" s="120"/>
    </row>
  </sheetData>
  <mergeCells count="3">
    <mergeCell ref="A27:D27"/>
    <mergeCell ref="A28:D28"/>
    <mergeCell ref="E3:N3"/>
  </mergeCells>
  <pageMargins left="0.7" right="0.7" top="0.75" bottom="0.75" header="0.3" footer="0.3"/>
  <pageSetup orientation="portrait" r:id="rId1"/>
  <ignoredErrors>
    <ignoredError sqref="O9:O11 O17:O18 O22 O24 O26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62EE-B24F-45CD-B78C-04B5BACC5E0A}">
  <dimension ref="A1:G103"/>
  <sheetViews>
    <sheetView showGridLines="0" workbookViewId="0"/>
  </sheetViews>
  <sheetFormatPr baseColWidth="10" defaultColWidth="11.42578125" defaultRowHeight="15" x14ac:dyDescent="0.25"/>
  <cols>
    <col min="1" max="1" width="16.85546875" customWidth="1"/>
    <col min="2" max="3" width="16.85546875" style="15" customWidth="1"/>
    <col min="4" max="4" width="16.85546875" style="163" customWidth="1"/>
    <col min="5" max="6" width="16.85546875" style="15" customWidth="1"/>
    <col min="7" max="7" width="16.85546875" style="163" customWidth="1"/>
  </cols>
  <sheetData>
    <row r="1" spans="1:7" s="177" customFormat="1" x14ac:dyDescent="0.2">
      <c r="A1" s="178" t="s">
        <v>131</v>
      </c>
    </row>
    <row r="2" spans="1:7" s="118" customFormat="1" ht="11.25" x14ac:dyDescent="0.15">
      <c r="A2" s="184" t="s">
        <v>103</v>
      </c>
    </row>
    <row r="3" spans="1:7" x14ac:dyDescent="0.25">
      <c r="A3" s="154"/>
      <c r="D3" s="15"/>
      <c r="G3" s="15"/>
    </row>
    <row r="4" spans="1:7" s="158" customFormat="1" ht="18" customHeight="1" x14ac:dyDescent="0.25">
      <c r="A4" s="245" t="s">
        <v>106</v>
      </c>
      <c r="B4" s="244" t="s">
        <v>107</v>
      </c>
      <c r="C4" s="244"/>
      <c r="D4" s="244"/>
      <c r="E4" s="244" t="s">
        <v>129</v>
      </c>
      <c r="F4" s="244"/>
      <c r="G4" s="244"/>
    </row>
    <row r="5" spans="1:7" s="158" customFormat="1" ht="18" customHeight="1" x14ac:dyDescent="0.25">
      <c r="A5" s="245"/>
      <c r="B5" s="128" t="s">
        <v>104</v>
      </c>
      <c r="C5" s="128" t="s">
        <v>105</v>
      </c>
      <c r="D5" s="128" t="s">
        <v>32</v>
      </c>
      <c r="E5" s="128" t="s">
        <v>104</v>
      </c>
      <c r="F5" s="128" t="s">
        <v>105</v>
      </c>
      <c r="G5" s="128" t="s">
        <v>32</v>
      </c>
    </row>
    <row r="6" spans="1:7" x14ac:dyDescent="0.25">
      <c r="A6" s="156">
        <v>2020</v>
      </c>
      <c r="B6" s="159">
        <v>3022.7758911970946</v>
      </c>
      <c r="C6" s="159">
        <v>412.58380608561112</v>
      </c>
      <c r="D6" s="161">
        <f>+B6+C6</f>
        <v>3435.3596972827058</v>
      </c>
      <c r="E6" s="159">
        <v>0</v>
      </c>
      <c r="F6" s="159">
        <v>0</v>
      </c>
      <c r="G6" s="161">
        <f>+E6+F6</f>
        <v>0</v>
      </c>
    </row>
    <row r="7" spans="1:7" x14ac:dyDescent="0.25">
      <c r="A7" s="156">
        <v>2021</v>
      </c>
      <c r="B7" s="159">
        <v>3872.8066245473874</v>
      </c>
      <c r="C7" s="159">
        <v>4500</v>
      </c>
      <c r="D7" s="161">
        <f t="shared" ref="D7:D70" si="0">+B7+C7</f>
        <v>8372.8066245473874</v>
      </c>
      <c r="E7" s="159">
        <v>0</v>
      </c>
      <c r="F7" s="159">
        <v>0</v>
      </c>
      <c r="G7" s="161">
        <f t="shared" ref="G7:G70" si="1">+E7+F7</f>
        <v>0</v>
      </c>
    </row>
    <row r="8" spans="1:7" x14ac:dyDescent="0.25">
      <c r="A8" s="156">
        <v>2022</v>
      </c>
      <c r="B8" s="159">
        <v>3626.1263587184872</v>
      </c>
      <c r="C8" s="159">
        <v>4607.0730648138097</v>
      </c>
      <c r="D8" s="161">
        <f t="shared" si="0"/>
        <v>8233.1994235322964</v>
      </c>
      <c r="E8" s="159">
        <v>0</v>
      </c>
      <c r="F8" s="159">
        <v>0</v>
      </c>
      <c r="G8" s="161">
        <f t="shared" si="1"/>
        <v>0</v>
      </c>
    </row>
    <row r="9" spans="1:7" x14ac:dyDescent="0.25">
      <c r="A9" s="156">
        <v>2023</v>
      </c>
      <c r="B9" s="159">
        <v>3441.6647774569519</v>
      </c>
      <c r="C9" s="159">
        <v>2835.6584518510476</v>
      </c>
      <c r="D9" s="161">
        <f t="shared" si="0"/>
        <v>6277.323229308</v>
      </c>
      <c r="E9" s="159">
        <v>334.00160236735621</v>
      </c>
      <c r="F9" s="159">
        <v>0</v>
      </c>
      <c r="G9" s="161">
        <f t="shared" si="1"/>
        <v>334.00160236735621</v>
      </c>
    </row>
    <row r="10" spans="1:7" x14ac:dyDescent="0.25">
      <c r="A10" s="156">
        <v>2024</v>
      </c>
      <c r="B10" s="159">
        <v>3340.9143812272491</v>
      </c>
      <c r="C10" s="159">
        <v>1183.6363301535225</v>
      </c>
      <c r="D10" s="161">
        <f t="shared" si="0"/>
        <v>4524.5507113807716</v>
      </c>
      <c r="E10" s="159">
        <v>872.23984268097934</v>
      </c>
      <c r="F10" s="159">
        <v>0</v>
      </c>
      <c r="G10" s="161">
        <f t="shared" si="1"/>
        <v>872.23984268097934</v>
      </c>
    </row>
    <row r="11" spans="1:7" x14ac:dyDescent="0.25">
      <c r="A11" s="156">
        <v>2025</v>
      </c>
      <c r="B11" s="159">
        <v>3245.9966174787774</v>
      </c>
      <c r="C11" s="159">
        <v>1183.6363301535225</v>
      </c>
      <c r="D11" s="161">
        <f t="shared" si="0"/>
        <v>4429.6329476322999</v>
      </c>
      <c r="E11" s="159">
        <v>872.23984268097934</v>
      </c>
      <c r="F11" s="159">
        <v>0</v>
      </c>
      <c r="G11" s="161">
        <f t="shared" si="1"/>
        <v>872.23984268097934</v>
      </c>
    </row>
    <row r="12" spans="1:7" x14ac:dyDescent="0.25">
      <c r="A12" s="156">
        <v>2026</v>
      </c>
      <c r="B12" s="159">
        <v>2906.784165477131</v>
      </c>
      <c r="C12" s="159">
        <v>7683.6363301535221</v>
      </c>
      <c r="D12" s="161">
        <f t="shared" si="0"/>
        <v>10590.420495630653</v>
      </c>
      <c r="E12" s="159">
        <v>1555.2452235024282</v>
      </c>
      <c r="F12" s="159">
        <v>2974.8214091846712</v>
      </c>
      <c r="G12" s="161">
        <f t="shared" si="1"/>
        <v>4530.0666326870996</v>
      </c>
    </row>
    <row r="13" spans="1:7" x14ac:dyDescent="0.25">
      <c r="A13" s="156">
        <v>2027</v>
      </c>
      <c r="B13" s="159">
        <v>2439.0075202662774</v>
      </c>
      <c r="C13" s="159">
        <v>6290.7093949673317</v>
      </c>
      <c r="D13" s="161">
        <f t="shared" si="0"/>
        <v>8729.7169152336101</v>
      </c>
      <c r="E13" s="159">
        <v>1527.2340629335431</v>
      </c>
      <c r="F13" s="159">
        <v>2974.8214091846712</v>
      </c>
      <c r="G13" s="161">
        <f t="shared" si="1"/>
        <v>4502.0554721182143</v>
      </c>
    </row>
    <row r="14" spans="1:7" x14ac:dyDescent="0.25">
      <c r="A14" s="156">
        <v>2028</v>
      </c>
      <c r="B14" s="159">
        <v>2022.4228971322884</v>
      </c>
      <c r="C14" s="159">
        <v>7519.2947820045702</v>
      </c>
      <c r="D14" s="161">
        <f t="shared" si="0"/>
        <v>9541.7176791368584</v>
      </c>
      <c r="E14" s="159">
        <v>1893.1081278574709</v>
      </c>
      <c r="F14" s="159">
        <v>3378.5714091846712</v>
      </c>
      <c r="G14" s="161">
        <f t="shared" si="1"/>
        <v>5271.6795370421423</v>
      </c>
    </row>
    <row r="15" spans="1:7" x14ac:dyDescent="0.25">
      <c r="A15" s="156">
        <v>2029</v>
      </c>
      <c r="B15" s="159">
        <v>1767.3128943649108</v>
      </c>
      <c r="C15" s="159">
        <v>1804.7032172065788</v>
      </c>
      <c r="D15" s="161">
        <f t="shared" si="0"/>
        <v>3572.0161115714895</v>
      </c>
      <c r="E15" s="159">
        <v>1862.529019626086</v>
      </c>
      <c r="F15" s="159">
        <v>4454.604436613743</v>
      </c>
      <c r="G15" s="161">
        <f t="shared" si="1"/>
        <v>6317.1334562398288</v>
      </c>
    </row>
    <row r="16" spans="1:7" x14ac:dyDescent="0.25">
      <c r="A16" s="156">
        <v>2030</v>
      </c>
      <c r="B16" s="159">
        <v>1714.2122171184212</v>
      </c>
      <c r="C16" s="159">
        <v>2425.7701042596345</v>
      </c>
      <c r="D16" s="161">
        <f t="shared" si="0"/>
        <v>4139.9823213780555</v>
      </c>
      <c r="E16" s="159">
        <v>1887.2856466452895</v>
      </c>
      <c r="F16" s="159">
        <v>5341.8428466895366</v>
      </c>
      <c r="G16" s="161">
        <f t="shared" si="1"/>
        <v>7229.1284933348261</v>
      </c>
    </row>
    <row r="17" spans="1:7" x14ac:dyDescent="0.25">
      <c r="A17" s="156">
        <v>2031</v>
      </c>
      <c r="B17" s="159">
        <v>1557.4639305273922</v>
      </c>
      <c r="C17" s="159">
        <v>2425.7701042596345</v>
      </c>
      <c r="D17" s="161">
        <f t="shared" si="0"/>
        <v>3983.2340347870268</v>
      </c>
      <c r="E17" s="159">
        <v>1743.4680124437516</v>
      </c>
      <c r="F17" s="159">
        <v>4824.0168002066639</v>
      </c>
      <c r="G17" s="161">
        <f t="shared" si="1"/>
        <v>6567.4848126504157</v>
      </c>
    </row>
    <row r="18" spans="1:7" x14ac:dyDescent="0.25">
      <c r="A18" s="156">
        <v>2032</v>
      </c>
      <c r="B18" s="159">
        <v>1400.8550692756312</v>
      </c>
      <c r="C18" s="159">
        <v>2425.7701042596345</v>
      </c>
      <c r="D18" s="161">
        <f t="shared" si="0"/>
        <v>3826.6251735352657</v>
      </c>
      <c r="E18" s="159">
        <v>1553.3028005768872</v>
      </c>
      <c r="F18" s="159">
        <v>4824.0168002066639</v>
      </c>
      <c r="G18" s="161">
        <f t="shared" si="1"/>
        <v>6377.3196007835513</v>
      </c>
    </row>
    <row r="19" spans="1:7" x14ac:dyDescent="0.25">
      <c r="A19" s="156">
        <v>2033</v>
      </c>
      <c r="B19" s="159">
        <v>1243.9673573779037</v>
      </c>
      <c r="C19" s="159">
        <v>2425.7701042596345</v>
      </c>
      <c r="D19" s="161">
        <f t="shared" si="0"/>
        <v>3669.7374616375382</v>
      </c>
      <c r="E19" s="159">
        <v>1363.1375887100226</v>
      </c>
      <c r="F19" s="159">
        <v>4824.0168002066639</v>
      </c>
      <c r="G19" s="161">
        <f t="shared" si="1"/>
        <v>6187.154388916686</v>
      </c>
    </row>
    <row r="20" spans="1:7" x14ac:dyDescent="0.25">
      <c r="A20" s="156">
        <v>2034</v>
      </c>
      <c r="B20" s="159">
        <v>1110.9991695841595</v>
      </c>
      <c r="C20" s="159">
        <v>1242.1337741061122</v>
      </c>
      <c r="D20" s="161">
        <f t="shared" si="0"/>
        <v>2353.1329436902715</v>
      </c>
      <c r="E20" s="159">
        <v>1172.9723768431577</v>
      </c>
      <c r="F20" s="159">
        <v>4824.0168002066639</v>
      </c>
      <c r="G20" s="161">
        <f t="shared" si="1"/>
        <v>5996.9891770498216</v>
      </c>
    </row>
    <row r="21" spans="1:7" x14ac:dyDescent="0.25">
      <c r="A21" s="156">
        <v>2035</v>
      </c>
      <c r="B21" s="159">
        <v>1049.3712782256969</v>
      </c>
      <c r="C21" s="159">
        <v>1242.1337741061122</v>
      </c>
      <c r="D21" s="161">
        <f t="shared" si="0"/>
        <v>2291.5050523318091</v>
      </c>
      <c r="E21" s="159">
        <v>982.80716497629328</v>
      </c>
      <c r="F21" s="159">
        <v>4824.0168002066639</v>
      </c>
      <c r="G21" s="161">
        <f t="shared" si="1"/>
        <v>5806.8239651829572</v>
      </c>
    </row>
    <row r="22" spans="1:7" x14ac:dyDescent="0.25">
      <c r="A22" s="156">
        <v>2036</v>
      </c>
      <c r="B22" s="159">
        <v>987.8828121630761</v>
      </c>
      <c r="C22" s="159">
        <v>2992.1337741061125</v>
      </c>
      <c r="D22" s="161">
        <f t="shared" si="0"/>
        <v>3980.0165862691883</v>
      </c>
      <c r="E22" s="159">
        <v>792.64195310942887</v>
      </c>
      <c r="F22" s="159">
        <v>4824.0168002066639</v>
      </c>
      <c r="G22" s="161">
        <f t="shared" si="1"/>
        <v>5616.6587533160928</v>
      </c>
    </row>
    <row r="23" spans="1:7" x14ac:dyDescent="0.25">
      <c r="A23" s="156">
        <v>2037</v>
      </c>
      <c r="B23" s="159">
        <v>801.4279955087718</v>
      </c>
      <c r="C23" s="159">
        <v>1242.1337741061122</v>
      </c>
      <c r="D23" s="161">
        <f t="shared" si="0"/>
        <v>2043.561769614884</v>
      </c>
      <c r="E23" s="159">
        <v>602.47674124256423</v>
      </c>
      <c r="F23" s="159">
        <v>2367.0214375048658</v>
      </c>
      <c r="G23" s="161">
        <f t="shared" si="1"/>
        <v>2969.4981787474298</v>
      </c>
    </row>
    <row r="24" spans="1:7" x14ac:dyDescent="0.25">
      <c r="A24" s="156">
        <v>2038</v>
      </c>
      <c r="B24" s="159">
        <v>747.50359056468881</v>
      </c>
      <c r="C24" s="159">
        <v>1863.2006611591682</v>
      </c>
      <c r="D24" s="161">
        <f t="shared" si="0"/>
        <v>2610.7042517238569</v>
      </c>
      <c r="E24" s="159">
        <v>503.77026760991112</v>
      </c>
      <c r="F24" s="159">
        <v>2367.0214375048658</v>
      </c>
      <c r="G24" s="161">
        <f t="shared" si="1"/>
        <v>2870.791705114777</v>
      </c>
    </row>
    <row r="25" spans="1:7" x14ac:dyDescent="0.25">
      <c r="A25" s="156">
        <v>2039</v>
      </c>
      <c r="B25" s="159">
        <v>662.76523993051785</v>
      </c>
      <c r="C25" s="159">
        <v>0</v>
      </c>
      <c r="D25" s="161">
        <f t="shared" si="0"/>
        <v>662.76523993051785</v>
      </c>
      <c r="E25" s="159">
        <v>405.06379397725823</v>
      </c>
      <c r="F25" s="159">
        <v>2367.0214375048658</v>
      </c>
      <c r="G25" s="161">
        <f t="shared" si="1"/>
        <v>2772.0852314821241</v>
      </c>
    </row>
    <row r="26" spans="1:7" x14ac:dyDescent="0.25">
      <c r="A26" s="156">
        <v>2040</v>
      </c>
      <c r="B26" s="159">
        <v>662.90466524807289</v>
      </c>
      <c r="C26" s="159">
        <v>0</v>
      </c>
      <c r="D26" s="161">
        <f t="shared" si="0"/>
        <v>662.90466524807289</v>
      </c>
      <c r="E26" s="159">
        <v>306.35732034460528</v>
      </c>
      <c r="F26" s="159">
        <v>1290.9884100757945</v>
      </c>
      <c r="G26" s="161">
        <f t="shared" si="1"/>
        <v>1597.3457304203998</v>
      </c>
    </row>
    <row r="27" spans="1:7" x14ac:dyDescent="0.25">
      <c r="A27" s="156">
        <v>2041</v>
      </c>
      <c r="B27" s="159">
        <v>662.76523993051785</v>
      </c>
      <c r="C27" s="159">
        <v>0</v>
      </c>
      <c r="D27" s="161">
        <f t="shared" si="0"/>
        <v>662.76523993051785</v>
      </c>
      <c r="E27" s="159">
        <v>248.94611525845391</v>
      </c>
      <c r="F27" s="159">
        <v>1290.9884100757945</v>
      </c>
      <c r="G27" s="161">
        <f t="shared" si="1"/>
        <v>1539.9345253342485</v>
      </c>
    </row>
    <row r="28" spans="1:7" x14ac:dyDescent="0.25">
      <c r="A28" s="156">
        <v>2042</v>
      </c>
      <c r="B28" s="159">
        <v>662.76523993051785</v>
      </c>
      <c r="C28" s="159">
        <v>0</v>
      </c>
      <c r="D28" s="161">
        <f t="shared" si="0"/>
        <v>662.76523993051785</v>
      </c>
      <c r="E28" s="159">
        <v>191.53491017230263</v>
      </c>
      <c r="F28" s="159">
        <v>1290.9884100757945</v>
      </c>
      <c r="G28" s="161">
        <f t="shared" si="1"/>
        <v>1482.5233202480972</v>
      </c>
    </row>
    <row r="29" spans="1:7" x14ac:dyDescent="0.25">
      <c r="A29" s="156">
        <v>2043</v>
      </c>
      <c r="B29" s="159">
        <v>662.76523993051785</v>
      </c>
      <c r="C29" s="159">
        <v>0</v>
      </c>
      <c r="D29" s="161">
        <f t="shared" si="0"/>
        <v>662.76523993051785</v>
      </c>
      <c r="E29" s="159">
        <v>134.12370508615129</v>
      </c>
      <c r="F29" s="159">
        <v>1290.9884100757945</v>
      </c>
      <c r="G29" s="161">
        <f t="shared" si="1"/>
        <v>1425.1121151619459</v>
      </c>
    </row>
    <row r="30" spans="1:7" x14ac:dyDescent="0.25">
      <c r="A30" s="156">
        <v>2044</v>
      </c>
      <c r="B30" s="159">
        <v>662.90466524807289</v>
      </c>
      <c r="C30" s="159">
        <v>0</v>
      </c>
      <c r="D30" s="161">
        <f t="shared" si="0"/>
        <v>662.90466524807289</v>
      </c>
      <c r="E30" s="159">
        <v>76.712500000000006</v>
      </c>
      <c r="F30" s="159">
        <v>403.75</v>
      </c>
      <c r="G30" s="161">
        <f t="shared" si="1"/>
        <v>480.46249999999998</v>
      </c>
    </row>
    <row r="31" spans="1:7" x14ac:dyDescent="0.25">
      <c r="A31" s="156">
        <v>2045</v>
      </c>
      <c r="B31" s="159">
        <v>662.76523993051785</v>
      </c>
      <c r="C31" s="159">
        <v>0</v>
      </c>
      <c r="D31" s="161">
        <f t="shared" si="0"/>
        <v>662.76523993051785</v>
      </c>
      <c r="E31" s="159">
        <v>57.534374999999997</v>
      </c>
      <c r="F31" s="159">
        <v>403.75</v>
      </c>
      <c r="G31" s="161">
        <f t="shared" si="1"/>
        <v>461.28437500000001</v>
      </c>
    </row>
    <row r="32" spans="1:7" x14ac:dyDescent="0.25">
      <c r="A32" s="156">
        <v>2046</v>
      </c>
      <c r="B32" s="159">
        <v>557.92148993051785</v>
      </c>
      <c r="C32" s="159">
        <v>2750</v>
      </c>
      <c r="D32" s="161">
        <f t="shared" si="0"/>
        <v>3307.921489930518</v>
      </c>
      <c r="E32" s="159">
        <v>38.356250000000003</v>
      </c>
      <c r="F32" s="159">
        <v>403.75</v>
      </c>
      <c r="G32" s="161">
        <f t="shared" si="1"/>
        <v>442.10624999999999</v>
      </c>
    </row>
    <row r="33" spans="1:7" x14ac:dyDescent="0.25">
      <c r="A33" s="156">
        <v>2047</v>
      </c>
      <c r="B33" s="159">
        <v>453.07773993051785</v>
      </c>
      <c r="C33" s="159">
        <v>814.24383888828572</v>
      </c>
      <c r="D33" s="161">
        <f t="shared" si="0"/>
        <v>1267.3215788188036</v>
      </c>
      <c r="E33" s="159">
        <v>19.178125000000001</v>
      </c>
      <c r="F33" s="159">
        <v>403.75</v>
      </c>
      <c r="G33" s="161">
        <f t="shared" si="1"/>
        <v>422.92812500000002</v>
      </c>
    </row>
    <row r="34" spans="1:7" x14ac:dyDescent="0.25">
      <c r="A34" s="156">
        <v>2048</v>
      </c>
      <c r="B34" s="159">
        <v>299.0625</v>
      </c>
      <c r="C34" s="159">
        <v>3000</v>
      </c>
      <c r="D34" s="161">
        <f t="shared" si="0"/>
        <v>3299.0625</v>
      </c>
      <c r="E34" s="159">
        <v>0</v>
      </c>
      <c r="F34" s="159">
        <v>0</v>
      </c>
      <c r="G34" s="161">
        <f t="shared" si="1"/>
        <v>0</v>
      </c>
    </row>
    <row r="35" spans="1:7" x14ac:dyDescent="0.25">
      <c r="A35" s="156">
        <v>2049</v>
      </c>
      <c r="B35" s="159">
        <v>195.9375</v>
      </c>
      <c r="C35" s="159">
        <v>0</v>
      </c>
      <c r="D35" s="161">
        <f t="shared" si="0"/>
        <v>195.9375</v>
      </c>
      <c r="E35" s="159">
        <v>0</v>
      </c>
      <c r="F35" s="159">
        <v>0</v>
      </c>
      <c r="G35" s="161">
        <f t="shared" si="1"/>
        <v>0</v>
      </c>
    </row>
    <row r="36" spans="1:7" x14ac:dyDescent="0.25">
      <c r="A36" s="156">
        <v>2050</v>
      </c>
      <c r="B36" s="159">
        <v>195.9375</v>
      </c>
      <c r="C36" s="159">
        <v>0</v>
      </c>
      <c r="D36" s="161">
        <f t="shared" si="0"/>
        <v>195.9375</v>
      </c>
      <c r="E36" s="159">
        <v>0</v>
      </c>
      <c r="F36" s="159">
        <v>0</v>
      </c>
      <c r="G36" s="161">
        <f t="shared" si="1"/>
        <v>0</v>
      </c>
    </row>
    <row r="37" spans="1:7" x14ac:dyDescent="0.25">
      <c r="A37" s="156">
        <v>2051</v>
      </c>
      <c r="B37" s="159">
        <v>195.9375</v>
      </c>
      <c r="C37" s="159">
        <v>0</v>
      </c>
      <c r="D37" s="161">
        <f t="shared" si="0"/>
        <v>195.9375</v>
      </c>
      <c r="E37" s="159">
        <v>0</v>
      </c>
      <c r="F37" s="159">
        <v>0</v>
      </c>
      <c r="G37" s="161">
        <f t="shared" si="1"/>
        <v>0</v>
      </c>
    </row>
    <row r="38" spans="1:7" x14ac:dyDescent="0.25">
      <c r="A38" s="156">
        <v>2052</v>
      </c>
      <c r="B38" s="159">
        <v>195.9375</v>
      </c>
      <c r="C38" s="159">
        <v>0</v>
      </c>
      <c r="D38" s="161">
        <f t="shared" si="0"/>
        <v>195.9375</v>
      </c>
      <c r="E38" s="159">
        <v>0</v>
      </c>
      <c r="F38" s="159">
        <v>0</v>
      </c>
      <c r="G38" s="161">
        <f t="shared" si="1"/>
        <v>0</v>
      </c>
    </row>
    <row r="39" spans="1:7" x14ac:dyDescent="0.25">
      <c r="A39" s="156">
        <v>2053</v>
      </c>
      <c r="B39" s="159">
        <v>195.9375</v>
      </c>
      <c r="C39" s="159">
        <v>0</v>
      </c>
      <c r="D39" s="161">
        <f t="shared" si="0"/>
        <v>195.9375</v>
      </c>
      <c r="E39" s="159">
        <v>0</v>
      </c>
      <c r="F39" s="159">
        <v>0</v>
      </c>
      <c r="G39" s="161">
        <f t="shared" si="1"/>
        <v>0</v>
      </c>
    </row>
    <row r="40" spans="1:7" x14ac:dyDescent="0.25">
      <c r="A40" s="156">
        <v>2054</v>
      </c>
      <c r="B40" s="159">
        <v>195.9375</v>
      </c>
      <c r="C40" s="159">
        <v>0</v>
      </c>
      <c r="D40" s="161">
        <f t="shared" si="0"/>
        <v>195.9375</v>
      </c>
      <c r="E40" s="159">
        <v>0</v>
      </c>
      <c r="F40" s="159">
        <v>0</v>
      </c>
      <c r="G40" s="161">
        <f t="shared" si="1"/>
        <v>0</v>
      </c>
    </row>
    <row r="41" spans="1:7" x14ac:dyDescent="0.25">
      <c r="A41" s="156">
        <v>2055</v>
      </c>
      <c r="B41" s="159">
        <v>195.9375</v>
      </c>
      <c r="C41" s="159">
        <v>0</v>
      </c>
      <c r="D41" s="161">
        <f t="shared" si="0"/>
        <v>195.9375</v>
      </c>
      <c r="E41" s="159">
        <v>0</v>
      </c>
      <c r="F41" s="159">
        <v>0</v>
      </c>
      <c r="G41" s="161">
        <f t="shared" si="1"/>
        <v>0</v>
      </c>
    </row>
    <row r="42" spans="1:7" x14ac:dyDescent="0.25">
      <c r="A42" s="156">
        <v>2056</v>
      </c>
      <c r="B42" s="159">
        <v>195.9375</v>
      </c>
      <c r="C42" s="159">
        <v>0</v>
      </c>
      <c r="D42" s="161">
        <f t="shared" si="0"/>
        <v>195.9375</v>
      </c>
      <c r="E42" s="159">
        <v>0</v>
      </c>
      <c r="F42" s="159">
        <v>0</v>
      </c>
      <c r="G42" s="161">
        <f t="shared" si="1"/>
        <v>0</v>
      </c>
    </row>
    <row r="43" spans="1:7" x14ac:dyDescent="0.25">
      <c r="A43" s="156">
        <v>2057</v>
      </c>
      <c r="B43" s="159">
        <v>195.9375</v>
      </c>
      <c r="C43" s="159">
        <v>0</v>
      </c>
      <c r="D43" s="161">
        <f t="shared" si="0"/>
        <v>195.9375</v>
      </c>
      <c r="E43" s="159">
        <v>0</v>
      </c>
      <c r="F43" s="159">
        <v>0</v>
      </c>
      <c r="G43" s="161">
        <f t="shared" si="1"/>
        <v>0</v>
      </c>
    </row>
    <row r="44" spans="1:7" x14ac:dyDescent="0.25">
      <c r="A44" s="156">
        <v>2058</v>
      </c>
      <c r="B44" s="159">
        <v>195.9375</v>
      </c>
      <c r="C44" s="159">
        <v>0</v>
      </c>
      <c r="D44" s="161">
        <f t="shared" si="0"/>
        <v>195.9375</v>
      </c>
      <c r="E44" s="159">
        <v>0</v>
      </c>
      <c r="F44" s="159">
        <v>0</v>
      </c>
      <c r="G44" s="161">
        <f t="shared" si="1"/>
        <v>0</v>
      </c>
    </row>
    <row r="45" spans="1:7" x14ac:dyDescent="0.25">
      <c r="A45" s="156">
        <v>2059</v>
      </c>
      <c r="B45" s="159">
        <v>195.9375</v>
      </c>
      <c r="C45" s="159">
        <v>0</v>
      </c>
      <c r="D45" s="161">
        <f t="shared" si="0"/>
        <v>195.9375</v>
      </c>
      <c r="E45" s="159">
        <v>0</v>
      </c>
      <c r="F45" s="159">
        <v>0</v>
      </c>
      <c r="G45" s="161">
        <f t="shared" si="1"/>
        <v>0</v>
      </c>
    </row>
    <row r="46" spans="1:7" x14ac:dyDescent="0.25">
      <c r="A46" s="156">
        <v>2060</v>
      </c>
      <c r="B46" s="159">
        <v>195.9375</v>
      </c>
      <c r="C46" s="159">
        <v>0</v>
      </c>
      <c r="D46" s="161">
        <f t="shared" si="0"/>
        <v>195.9375</v>
      </c>
      <c r="E46" s="159">
        <v>0</v>
      </c>
      <c r="F46" s="159">
        <v>0</v>
      </c>
      <c r="G46" s="161">
        <f t="shared" si="1"/>
        <v>0</v>
      </c>
    </row>
    <row r="47" spans="1:7" x14ac:dyDescent="0.25">
      <c r="A47" s="156">
        <v>2061</v>
      </c>
      <c r="B47" s="159">
        <v>195.9375</v>
      </c>
      <c r="C47" s="159">
        <v>0</v>
      </c>
      <c r="D47" s="161">
        <f t="shared" si="0"/>
        <v>195.9375</v>
      </c>
      <c r="E47" s="159">
        <v>0</v>
      </c>
      <c r="F47" s="159">
        <v>0</v>
      </c>
      <c r="G47" s="161">
        <f t="shared" si="1"/>
        <v>0</v>
      </c>
    </row>
    <row r="48" spans="1:7" x14ac:dyDescent="0.25">
      <c r="A48" s="156">
        <v>2062</v>
      </c>
      <c r="B48" s="159">
        <v>195.9375</v>
      </c>
      <c r="C48" s="159">
        <v>0</v>
      </c>
      <c r="D48" s="161">
        <f t="shared" si="0"/>
        <v>195.9375</v>
      </c>
      <c r="E48" s="159">
        <v>0</v>
      </c>
      <c r="F48" s="159">
        <v>0</v>
      </c>
      <c r="G48" s="161">
        <f t="shared" si="1"/>
        <v>0</v>
      </c>
    </row>
    <row r="49" spans="1:7" x14ac:dyDescent="0.25">
      <c r="A49" s="156">
        <v>2063</v>
      </c>
      <c r="B49" s="159">
        <v>195.9375</v>
      </c>
      <c r="C49" s="159">
        <v>0</v>
      </c>
      <c r="D49" s="161">
        <f t="shared" si="0"/>
        <v>195.9375</v>
      </c>
      <c r="E49" s="159">
        <v>0</v>
      </c>
      <c r="F49" s="159">
        <v>0</v>
      </c>
      <c r="G49" s="161">
        <f t="shared" si="1"/>
        <v>0</v>
      </c>
    </row>
    <row r="50" spans="1:7" x14ac:dyDescent="0.25">
      <c r="A50" s="156">
        <v>2064</v>
      </c>
      <c r="B50" s="159">
        <v>195.9375</v>
      </c>
      <c r="C50" s="159">
        <v>0</v>
      </c>
      <c r="D50" s="161">
        <f t="shared" si="0"/>
        <v>195.9375</v>
      </c>
      <c r="E50" s="159">
        <v>0</v>
      </c>
      <c r="F50" s="159">
        <v>0</v>
      </c>
      <c r="G50" s="161">
        <f t="shared" si="1"/>
        <v>0</v>
      </c>
    </row>
    <row r="51" spans="1:7" x14ac:dyDescent="0.25">
      <c r="A51" s="156">
        <v>2065</v>
      </c>
      <c r="B51" s="159">
        <v>195.9375</v>
      </c>
      <c r="C51" s="159">
        <v>0</v>
      </c>
      <c r="D51" s="161">
        <f t="shared" si="0"/>
        <v>195.9375</v>
      </c>
      <c r="E51" s="159">
        <v>0</v>
      </c>
      <c r="F51" s="159">
        <v>0</v>
      </c>
      <c r="G51" s="161">
        <f t="shared" si="1"/>
        <v>0</v>
      </c>
    </row>
    <row r="52" spans="1:7" x14ac:dyDescent="0.25">
      <c r="A52" s="156">
        <v>2066</v>
      </c>
      <c r="B52" s="159">
        <v>195.9375</v>
      </c>
      <c r="C52" s="159">
        <v>0</v>
      </c>
      <c r="D52" s="161">
        <f t="shared" si="0"/>
        <v>195.9375</v>
      </c>
      <c r="E52" s="159">
        <v>0</v>
      </c>
      <c r="F52" s="159">
        <v>0</v>
      </c>
      <c r="G52" s="161">
        <f t="shared" si="1"/>
        <v>0</v>
      </c>
    </row>
    <row r="53" spans="1:7" x14ac:dyDescent="0.25">
      <c r="A53" s="156">
        <v>2067</v>
      </c>
      <c r="B53" s="159">
        <v>195.9375</v>
      </c>
      <c r="C53" s="159">
        <v>0</v>
      </c>
      <c r="D53" s="161">
        <f t="shared" si="0"/>
        <v>195.9375</v>
      </c>
      <c r="E53" s="159">
        <v>0</v>
      </c>
      <c r="F53" s="159">
        <v>0</v>
      </c>
      <c r="G53" s="161">
        <f t="shared" si="1"/>
        <v>0</v>
      </c>
    </row>
    <row r="54" spans="1:7" x14ac:dyDescent="0.25">
      <c r="A54" s="156">
        <v>2068</v>
      </c>
      <c r="B54" s="159">
        <v>195.9375</v>
      </c>
      <c r="C54" s="159">
        <v>0</v>
      </c>
      <c r="D54" s="161">
        <f t="shared" si="0"/>
        <v>195.9375</v>
      </c>
      <c r="E54" s="159">
        <v>0</v>
      </c>
      <c r="F54" s="159">
        <v>0</v>
      </c>
      <c r="G54" s="161">
        <f t="shared" si="1"/>
        <v>0</v>
      </c>
    </row>
    <row r="55" spans="1:7" x14ac:dyDescent="0.25">
      <c r="A55" s="156">
        <v>2069</v>
      </c>
      <c r="B55" s="159">
        <v>195.9375</v>
      </c>
      <c r="C55" s="159">
        <v>0</v>
      </c>
      <c r="D55" s="161">
        <f t="shared" si="0"/>
        <v>195.9375</v>
      </c>
      <c r="E55" s="159">
        <v>0</v>
      </c>
      <c r="F55" s="159">
        <v>0</v>
      </c>
      <c r="G55" s="161">
        <f t="shared" si="1"/>
        <v>0</v>
      </c>
    </row>
    <row r="56" spans="1:7" x14ac:dyDescent="0.25">
      <c r="A56" s="156">
        <v>2070</v>
      </c>
      <c r="B56" s="159">
        <v>195.9375</v>
      </c>
      <c r="C56" s="159">
        <v>0</v>
      </c>
      <c r="D56" s="161">
        <f t="shared" si="0"/>
        <v>195.9375</v>
      </c>
      <c r="E56" s="159">
        <v>0</v>
      </c>
      <c r="F56" s="159">
        <v>0</v>
      </c>
      <c r="G56" s="161">
        <f t="shared" si="1"/>
        <v>0</v>
      </c>
    </row>
    <row r="57" spans="1:7" x14ac:dyDescent="0.25">
      <c r="A57" s="156">
        <v>2071</v>
      </c>
      <c r="B57" s="159">
        <v>195.9375</v>
      </c>
      <c r="C57" s="159">
        <v>0</v>
      </c>
      <c r="D57" s="161">
        <f t="shared" si="0"/>
        <v>195.9375</v>
      </c>
      <c r="E57" s="159">
        <v>0</v>
      </c>
      <c r="F57" s="159">
        <v>0</v>
      </c>
      <c r="G57" s="161">
        <f t="shared" si="1"/>
        <v>0</v>
      </c>
    </row>
    <row r="58" spans="1:7" x14ac:dyDescent="0.25">
      <c r="A58" s="156">
        <v>2072</v>
      </c>
      <c r="B58" s="159">
        <v>195.9375</v>
      </c>
      <c r="C58" s="159">
        <v>0</v>
      </c>
      <c r="D58" s="161">
        <f t="shared" si="0"/>
        <v>195.9375</v>
      </c>
      <c r="E58" s="159">
        <v>0</v>
      </c>
      <c r="F58" s="159">
        <v>0</v>
      </c>
      <c r="G58" s="161">
        <f t="shared" si="1"/>
        <v>0</v>
      </c>
    </row>
    <row r="59" spans="1:7" x14ac:dyDescent="0.25">
      <c r="A59" s="156">
        <v>2073</v>
      </c>
      <c r="B59" s="159">
        <v>195.9375</v>
      </c>
      <c r="C59" s="159">
        <v>0</v>
      </c>
      <c r="D59" s="161">
        <f t="shared" si="0"/>
        <v>195.9375</v>
      </c>
      <c r="E59" s="159">
        <v>0</v>
      </c>
      <c r="F59" s="159">
        <v>0</v>
      </c>
      <c r="G59" s="161">
        <f t="shared" si="1"/>
        <v>0</v>
      </c>
    </row>
    <row r="60" spans="1:7" x14ac:dyDescent="0.25">
      <c r="A60" s="156">
        <v>2074</v>
      </c>
      <c r="B60" s="159">
        <v>195.9375</v>
      </c>
      <c r="C60" s="159">
        <v>0</v>
      </c>
      <c r="D60" s="161">
        <f t="shared" si="0"/>
        <v>195.9375</v>
      </c>
      <c r="E60" s="159">
        <v>0</v>
      </c>
      <c r="F60" s="159">
        <v>0</v>
      </c>
      <c r="G60" s="161">
        <f t="shared" si="1"/>
        <v>0</v>
      </c>
    </row>
    <row r="61" spans="1:7" x14ac:dyDescent="0.25">
      <c r="A61" s="156">
        <v>2075</v>
      </c>
      <c r="B61" s="159">
        <v>195.9375</v>
      </c>
      <c r="C61" s="159">
        <v>0</v>
      </c>
      <c r="D61" s="161">
        <f t="shared" si="0"/>
        <v>195.9375</v>
      </c>
      <c r="E61" s="159">
        <v>0</v>
      </c>
      <c r="F61" s="159">
        <v>0</v>
      </c>
      <c r="G61" s="161">
        <f t="shared" si="1"/>
        <v>0</v>
      </c>
    </row>
    <row r="62" spans="1:7" x14ac:dyDescent="0.25">
      <c r="A62" s="156">
        <v>2076</v>
      </c>
      <c r="B62" s="159">
        <v>195.9375</v>
      </c>
      <c r="C62" s="159">
        <v>0</v>
      </c>
      <c r="D62" s="161">
        <f t="shared" si="0"/>
        <v>195.9375</v>
      </c>
      <c r="E62" s="159">
        <v>0</v>
      </c>
      <c r="F62" s="159">
        <v>0</v>
      </c>
      <c r="G62" s="161">
        <f t="shared" si="1"/>
        <v>0</v>
      </c>
    </row>
    <row r="63" spans="1:7" x14ac:dyDescent="0.25">
      <c r="A63" s="156">
        <v>2077</v>
      </c>
      <c r="B63" s="159">
        <v>195.9375</v>
      </c>
      <c r="C63" s="159">
        <v>0</v>
      </c>
      <c r="D63" s="161">
        <f t="shared" si="0"/>
        <v>195.9375</v>
      </c>
      <c r="E63" s="159">
        <v>0</v>
      </c>
      <c r="F63" s="159">
        <v>0</v>
      </c>
      <c r="G63" s="161">
        <f t="shared" si="1"/>
        <v>0</v>
      </c>
    </row>
    <row r="64" spans="1:7" x14ac:dyDescent="0.25">
      <c r="A64" s="156">
        <v>2078</v>
      </c>
      <c r="B64" s="159">
        <v>195.9375</v>
      </c>
      <c r="C64" s="159">
        <v>0</v>
      </c>
      <c r="D64" s="161">
        <f t="shared" si="0"/>
        <v>195.9375</v>
      </c>
      <c r="E64" s="159">
        <v>0</v>
      </c>
      <c r="F64" s="159">
        <v>0</v>
      </c>
      <c r="G64" s="161">
        <f t="shared" si="1"/>
        <v>0</v>
      </c>
    </row>
    <row r="65" spans="1:7" x14ac:dyDescent="0.25">
      <c r="A65" s="156">
        <v>2079</v>
      </c>
      <c r="B65" s="159">
        <v>195.9375</v>
      </c>
      <c r="C65" s="159">
        <v>0</v>
      </c>
      <c r="D65" s="161">
        <f t="shared" si="0"/>
        <v>195.9375</v>
      </c>
      <c r="E65" s="159">
        <v>0</v>
      </c>
      <c r="F65" s="159">
        <v>0</v>
      </c>
      <c r="G65" s="161">
        <f t="shared" si="1"/>
        <v>0</v>
      </c>
    </row>
    <row r="66" spans="1:7" x14ac:dyDescent="0.25">
      <c r="A66" s="156">
        <v>2080</v>
      </c>
      <c r="B66" s="159">
        <v>195.9375</v>
      </c>
      <c r="C66" s="159">
        <v>0</v>
      </c>
      <c r="D66" s="161">
        <f t="shared" si="0"/>
        <v>195.9375</v>
      </c>
      <c r="E66" s="159">
        <v>0</v>
      </c>
      <c r="F66" s="159">
        <v>0</v>
      </c>
      <c r="G66" s="161">
        <f t="shared" si="1"/>
        <v>0</v>
      </c>
    </row>
    <row r="67" spans="1:7" x14ac:dyDescent="0.25">
      <c r="A67" s="156">
        <v>2081</v>
      </c>
      <c r="B67" s="159">
        <v>195.9375</v>
      </c>
      <c r="C67" s="159">
        <v>0</v>
      </c>
      <c r="D67" s="161">
        <f t="shared" si="0"/>
        <v>195.9375</v>
      </c>
      <c r="E67" s="159">
        <v>0</v>
      </c>
      <c r="F67" s="159">
        <v>0</v>
      </c>
      <c r="G67" s="161">
        <f t="shared" si="1"/>
        <v>0</v>
      </c>
    </row>
    <row r="68" spans="1:7" x14ac:dyDescent="0.25">
      <c r="A68" s="156">
        <v>2082</v>
      </c>
      <c r="B68" s="159">
        <v>195.9375</v>
      </c>
      <c r="C68" s="159">
        <v>0</v>
      </c>
      <c r="D68" s="161">
        <f t="shared" si="0"/>
        <v>195.9375</v>
      </c>
      <c r="E68" s="159">
        <v>0</v>
      </c>
      <c r="F68" s="159">
        <v>0</v>
      </c>
      <c r="G68" s="161">
        <f t="shared" si="1"/>
        <v>0</v>
      </c>
    </row>
    <row r="69" spans="1:7" x14ac:dyDescent="0.25">
      <c r="A69" s="156">
        <v>2083</v>
      </c>
      <c r="B69" s="159">
        <v>195.9375</v>
      </c>
      <c r="C69" s="159">
        <v>0</v>
      </c>
      <c r="D69" s="161">
        <f t="shared" si="0"/>
        <v>195.9375</v>
      </c>
      <c r="E69" s="159">
        <v>0</v>
      </c>
      <c r="F69" s="159">
        <v>0</v>
      </c>
      <c r="G69" s="161">
        <f t="shared" si="1"/>
        <v>0</v>
      </c>
    </row>
    <row r="70" spans="1:7" x14ac:dyDescent="0.25">
      <c r="A70" s="156">
        <v>2084</v>
      </c>
      <c r="B70" s="159">
        <v>195.9375</v>
      </c>
      <c r="C70" s="159">
        <v>0</v>
      </c>
      <c r="D70" s="161">
        <f t="shared" si="0"/>
        <v>195.9375</v>
      </c>
      <c r="E70" s="159">
        <v>0</v>
      </c>
      <c r="F70" s="159">
        <v>0</v>
      </c>
      <c r="G70" s="161">
        <f t="shared" si="1"/>
        <v>0</v>
      </c>
    </row>
    <row r="71" spans="1:7" x14ac:dyDescent="0.25">
      <c r="A71" s="156">
        <v>2085</v>
      </c>
      <c r="B71" s="159">
        <v>195.9375</v>
      </c>
      <c r="C71" s="159">
        <v>0</v>
      </c>
      <c r="D71" s="161">
        <f t="shared" ref="D71:D103" si="2">+B71+C71</f>
        <v>195.9375</v>
      </c>
      <c r="E71" s="159">
        <v>0</v>
      </c>
      <c r="F71" s="159">
        <v>0</v>
      </c>
      <c r="G71" s="161">
        <f t="shared" ref="G71:G103" si="3">+E71+F71</f>
        <v>0</v>
      </c>
    </row>
    <row r="72" spans="1:7" x14ac:dyDescent="0.25">
      <c r="A72" s="156">
        <v>2086</v>
      </c>
      <c r="B72" s="159">
        <v>195.9375</v>
      </c>
      <c r="C72" s="159">
        <v>0</v>
      </c>
      <c r="D72" s="161">
        <f t="shared" si="2"/>
        <v>195.9375</v>
      </c>
      <c r="E72" s="159">
        <v>0</v>
      </c>
      <c r="F72" s="159">
        <v>0</v>
      </c>
      <c r="G72" s="161">
        <f t="shared" si="3"/>
        <v>0</v>
      </c>
    </row>
    <row r="73" spans="1:7" x14ac:dyDescent="0.25">
      <c r="A73" s="156">
        <v>2087</v>
      </c>
      <c r="B73" s="159">
        <v>195.9375</v>
      </c>
      <c r="C73" s="159">
        <v>0</v>
      </c>
      <c r="D73" s="161">
        <f t="shared" si="2"/>
        <v>195.9375</v>
      </c>
      <c r="E73" s="159">
        <v>0</v>
      </c>
      <c r="F73" s="159">
        <v>0</v>
      </c>
      <c r="G73" s="161">
        <f t="shared" si="3"/>
        <v>0</v>
      </c>
    </row>
    <row r="74" spans="1:7" x14ac:dyDescent="0.25">
      <c r="A74" s="156">
        <v>2088</v>
      </c>
      <c r="B74" s="159">
        <v>195.9375</v>
      </c>
      <c r="C74" s="159">
        <v>0</v>
      </c>
      <c r="D74" s="161">
        <f t="shared" si="2"/>
        <v>195.9375</v>
      </c>
      <c r="E74" s="159">
        <v>0</v>
      </c>
      <c r="F74" s="159">
        <v>0</v>
      </c>
      <c r="G74" s="161">
        <f t="shared" si="3"/>
        <v>0</v>
      </c>
    </row>
    <row r="75" spans="1:7" x14ac:dyDescent="0.25">
      <c r="A75" s="156">
        <v>2089</v>
      </c>
      <c r="B75" s="159">
        <v>195.9375</v>
      </c>
      <c r="C75" s="159">
        <v>0</v>
      </c>
      <c r="D75" s="161">
        <f t="shared" si="2"/>
        <v>195.9375</v>
      </c>
      <c r="E75" s="159">
        <v>0</v>
      </c>
      <c r="F75" s="159">
        <v>0</v>
      </c>
      <c r="G75" s="161">
        <f t="shared" si="3"/>
        <v>0</v>
      </c>
    </row>
    <row r="76" spans="1:7" x14ac:dyDescent="0.25">
      <c r="A76" s="156">
        <v>2090</v>
      </c>
      <c r="B76" s="159">
        <v>195.9375</v>
      </c>
      <c r="C76" s="159">
        <v>0</v>
      </c>
      <c r="D76" s="161">
        <f t="shared" si="2"/>
        <v>195.9375</v>
      </c>
      <c r="E76" s="159">
        <v>0</v>
      </c>
      <c r="F76" s="159">
        <v>0</v>
      </c>
      <c r="G76" s="161">
        <f t="shared" si="3"/>
        <v>0</v>
      </c>
    </row>
    <row r="77" spans="1:7" x14ac:dyDescent="0.25">
      <c r="A77" s="156">
        <v>2091</v>
      </c>
      <c r="B77" s="159">
        <v>195.9375</v>
      </c>
      <c r="C77" s="159">
        <v>0</v>
      </c>
      <c r="D77" s="161">
        <f t="shared" si="2"/>
        <v>195.9375</v>
      </c>
      <c r="E77" s="159">
        <v>0</v>
      </c>
      <c r="F77" s="159">
        <v>0</v>
      </c>
      <c r="G77" s="161">
        <f t="shared" si="3"/>
        <v>0</v>
      </c>
    </row>
    <row r="78" spans="1:7" x14ac:dyDescent="0.25">
      <c r="A78" s="156">
        <v>2092</v>
      </c>
      <c r="B78" s="159">
        <v>195.9375</v>
      </c>
      <c r="C78" s="159">
        <v>0</v>
      </c>
      <c r="D78" s="161">
        <f t="shared" si="2"/>
        <v>195.9375</v>
      </c>
      <c r="E78" s="159">
        <v>0</v>
      </c>
      <c r="F78" s="159">
        <v>0</v>
      </c>
      <c r="G78" s="161">
        <f t="shared" si="3"/>
        <v>0</v>
      </c>
    </row>
    <row r="79" spans="1:7" x14ac:dyDescent="0.25">
      <c r="A79" s="156">
        <v>2093</v>
      </c>
      <c r="B79" s="159">
        <v>195.9375</v>
      </c>
      <c r="C79" s="159">
        <v>0</v>
      </c>
      <c r="D79" s="161">
        <f t="shared" si="2"/>
        <v>195.9375</v>
      </c>
      <c r="E79" s="159">
        <v>0</v>
      </c>
      <c r="F79" s="159">
        <v>0</v>
      </c>
      <c r="G79" s="161">
        <f t="shared" si="3"/>
        <v>0</v>
      </c>
    </row>
    <row r="80" spans="1:7" x14ac:dyDescent="0.25">
      <c r="A80" s="156">
        <v>2094</v>
      </c>
      <c r="B80" s="159">
        <v>195.9375</v>
      </c>
      <c r="C80" s="159">
        <v>0</v>
      </c>
      <c r="D80" s="161">
        <f t="shared" si="2"/>
        <v>195.9375</v>
      </c>
      <c r="E80" s="159">
        <v>0</v>
      </c>
      <c r="F80" s="159">
        <v>0</v>
      </c>
      <c r="G80" s="161">
        <f t="shared" si="3"/>
        <v>0</v>
      </c>
    </row>
    <row r="81" spans="1:7" x14ac:dyDescent="0.25">
      <c r="A81" s="156">
        <v>2095</v>
      </c>
      <c r="B81" s="159">
        <v>195.9375</v>
      </c>
      <c r="C81" s="159">
        <v>0</v>
      </c>
      <c r="D81" s="161">
        <f t="shared" si="2"/>
        <v>195.9375</v>
      </c>
      <c r="E81" s="159">
        <v>0</v>
      </c>
      <c r="F81" s="159">
        <v>0</v>
      </c>
      <c r="G81" s="161">
        <f t="shared" si="3"/>
        <v>0</v>
      </c>
    </row>
    <row r="82" spans="1:7" x14ac:dyDescent="0.25">
      <c r="A82" s="156">
        <v>2096</v>
      </c>
      <c r="B82" s="159">
        <v>195.9375</v>
      </c>
      <c r="C82" s="159">
        <v>0</v>
      </c>
      <c r="D82" s="161">
        <f t="shared" si="2"/>
        <v>195.9375</v>
      </c>
      <c r="E82" s="159">
        <v>0</v>
      </c>
      <c r="F82" s="159">
        <v>0</v>
      </c>
      <c r="G82" s="161">
        <f t="shared" si="3"/>
        <v>0</v>
      </c>
    </row>
    <row r="83" spans="1:7" x14ac:dyDescent="0.25">
      <c r="A83" s="156">
        <v>2097</v>
      </c>
      <c r="B83" s="159">
        <v>195.9375</v>
      </c>
      <c r="C83" s="159">
        <v>0</v>
      </c>
      <c r="D83" s="161">
        <f t="shared" si="2"/>
        <v>195.9375</v>
      </c>
      <c r="E83" s="159">
        <v>0</v>
      </c>
      <c r="F83" s="159">
        <v>0</v>
      </c>
      <c r="G83" s="161">
        <f t="shared" si="3"/>
        <v>0</v>
      </c>
    </row>
    <row r="84" spans="1:7" x14ac:dyDescent="0.25">
      <c r="A84" s="156">
        <v>2098</v>
      </c>
      <c r="B84" s="159">
        <v>195.9375</v>
      </c>
      <c r="C84" s="159">
        <v>0</v>
      </c>
      <c r="D84" s="161">
        <f t="shared" si="2"/>
        <v>195.9375</v>
      </c>
      <c r="E84" s="159">
        <v>0</v>
      </c>
      <c r="F84" s="159">
        <v>0</v>
      </c>
      <c r="G84" s="161">
        <f t="shared" si="3"/>
        <v>0</v>
      </c>
    </row>
    <row r="85" spans="1:7" x14ac:dyDescent="0.25">
      <c r="A85" s="156">
        <v>2099</v>
      </c>
      <c r="B85" s="159">
        <v>195.9375</v>
      </c>
      <c r="C85" s="159">
        <v>0</v>
      </c>
      <c r="D85" s="161">
        <f t="shared" si="2"/>
        <v>195.9375</v>
      </c>
      <c r="E85" s="159">
        <v>0</v>
      </c>
      <c r="F85" s="159">
        <v>0</v>
      </c>
      <c r="G85" s="161">
        <f t="shared" si="3"/>
        <v>0</v>
      </c>
    </row>
    <row r="86" spans="1:7" x14ac:dyDescent="0.25">
      <c r="A86" s="156">
        <v>2100</v>
      </c>
      <c r="B86" s="159">
        <v>195.9375</v>
      </c>
      <c r="C86" s="159">
        <v>0</v>
      </c>
      <c r="D86" s="161">
        <f t="shared" si="2"/>
        <v>195.9375</v>
      </c>
      <c r="E86" s="159">
        <v>0</v>
      </c>
      <c r="F86" s="159">
        <v>0</v>
      </c>
      <c r="G86" s="161">
        <f t="shared" si="3"/>
        <v>0</v>
      </c>
    </row>
    <row r="87" spans="1:7" x14ac:dyDescent="0.25">
      <c r="A87" s="156">
        <v>2101</v>
      </c>
      <c r="B87" s="159">
        <v>195.9375</v>
      </c>
      <c r="C87" s="159">
        <v>0</v>
      </c>
      <c r="D87" s="161">
        <f t="shared" si="2"/>
        <v>195.9375</v>
      </c>
      <c r="E87" s="159">
        <v>0</v>
      </c>
      <c r="F87" s="159">
        <v>0</v>
      </c>
      <c r="G87" s="161">
        <f t="shared" si="3"/>
        <v>0</v>
      </c>
    </row>
    <row r="88" spans="1:7" x14ac:dyDescent="0.25">
      <c r="A88" s="156">
        <v>2102</v>
      </c>
      <c r="B88" s="159">
        <v>195.9375</v>
      </c>
      <c r="C88" s="159">
        <v>0</v>
      </c>
      <c r="D88" s="161">
        <f t="shared" si="2"/>
        <v>195.9375</v>
      </c>
      <c r="E88" s="159">
        <v>0</v>
      </c>
      <c r="F88" s="159">
        <v>0</v>
      </c>
      <c r="G88" s="161">
        <f t="shared" si="3"/>
        <v>0</v>
      </c>
    </row>
    <row r="89" spans="1:7" x14ac:dyDescent="0.25">
      <c r="A89" s="156">
        <v>2103</v>
      </c>
      <c r="B89" s="159">
        <v>195.9375</v>
      </c>
      <c r="C89" s="159">
        <v>0</v>
      </c>
      <c r="D89" s="161">
        <f t="shared" si="2"/>
        <v>195.9375</v>
      </c>
      <c r="E89" s="159">
        <v>0</v>
      </c>
      <c r="F89" s="159">
        <v>0</v>
      </c>
      <c r="G89" s="161">
        <f t="shared" si="3"/>
        <v>0</v>
      </c>
    </row>
    <row r="90" spans="1:7" x14ac:dyDescent="0.25">
      <c r="A90" s="156">
        <v>2104</v>
      </c>
      <c r="B90" s="159">
        <v>195.9375</v>
      </c>
      <c r="C90" s="159">
        <v>0</v>
      </c>
      <c r="D90" s="161">
        <f t="shared" si="2"/>
        <v>195.9375</v>
      </c>
      <c r="E90" s="159">
        <v>0</v>
      </c>
      <c r="F90" s="159">
        <v>0</v>
      </c>
      <c r="G90" s="161">
        <f t="shared" si="3"/>
        <v>0</v>
      </c>
    </row>
    <row r="91" spans="1:7" x14ac:dyDescent="0.25">
      <c r="A91" s="156">
        <v>2105</v>
      </c>
      <c r="B91" s="159">
        <v>195.9375</v>
      </c>
      <c r="C91" s="159">
        <v>0</v>
      </c>
      <c r="D91" s="161">
        <f t="shared" si="2"/>
        <v>195.9375</v>
      </c>
      <c r="E91" s="159">
        <v>0</v>
      </c>
      <c r="F91" s="159">
        <v>0</v>
      </c>
      <c r="G91" s="161">
        <f t="shared" si="3"/>
        <v>0</v>
      </c>
    </row>
    <row r="92" spans="1:7" x14ac:dyDescent="0.25">
      <c r="A92" s="156">
        <v>2106</v>
      </c>
      <c r="B92" s="159">
        <v>195.9375</v>
      </c>
      <c r="C92" s="159">
        <v>0</v>
      </c>
      <c r="D92" s="161">
        <f t="shared" si="2"/>
        <v>195.9375</v>
      </c>
      <c r="E92" s="159">
        <v>0</v>
      </c>
      <c r="F92" s="159">
        <v>0</v>
      </c>
      <c r="G92" s="161">
        <f t="shared" si="3"/>
        <v>0</v>
      </c>
    </row>
    <row r="93" spans="1:7" x14ac:dyDescent="0.25">
      <c r="A93" s="156">
        <v>2107</v>
      </c>
      <c r="B93" s="159">
        <v>195.9375</v>
      </c>
      <c r="C93" s="159">
        <v>0</v>
      </c>
      <c r="D93" s="161">
        <f t="shared" si="2"/>
        <v>195.9375</v>
      </c>
      <c r="E93" s="159">
        <v>0</v>
      </c>
      <c r="F93" s="159">
        <v>0</v>
      </c>
      <c r="G93" s="161">
        <f t="shared" si="3"/>
        <v>0</v>
      </c>
    </row>
    <row r="94" spans="1:7" x14ac:dyDescent="0.25">
      <c r="A94" s="156">
        <v>2108</v>
      </c>
      <c r="B94" s="159">
        <v>195.9375</v>
      </c>
      <c r="C94" s="159">
        <v>0</v>
      </c>
      <c r="D94" s="161">
        <f t="shared" si="2"/>
        <v>195.9375</v>
      </c>
      <c r="E94" s="159">
        <v>0</v>
      </c>
      <c r="F94" s="159">
        <v>0</v>
      </c>
      <c r="G94" s="161">
        <f t="shared" si="3"/>
        <v>0</v>
      </c>
    </row>
    <row r="95" spans="1:7" x14ac:dyDescent="0.25">
      <c r="A95" s="156">
        <v>2109</v>
      </c>
      <c r="B95" s="159">
        <v>195.9375</v>
      </c>
      <c r="C95" s="159">
        <v>0</v>
      </c>
      <c r="D95" s="161">
        <f t="shared" si="2"/>
        <v>195.9375</v>
      </c>
      <c r="E95" s="159">
        <v>0</v>
      </c>
      <c r="F95" s="159">
        <v>0</v>
      </c>
      <c r="G95" s="161">
        <f t="shared" si="3"/>
        <v>0</v>
      </c>
    </row>
    <row r="96" spans="1:7" x14ac:dyDescent="0.25">
      <c r="A96" s="156">
        <v>2110</v>
      </c>
      <c r="B96" s="159">
        <v>195.9375</v>
      </c>
      <c r="C96" s="159">
        <v>0</v>
      </c>
      <c r="D96" s="161">
        <f t="shared" si="2"/>
        <v>195.9375</v>
      </c>
      <c r="E96" s="159">
        <v>0</v>
      </c>
      <c r="F96" s="159">
        <v>0</v>
      </c>
      <c r="G96" s="161">
        <f t="shared" si="3"/>
        <v>0</v>
      </c>
    </row>
    <row r="97" spans="1:7" x14ac:dyDescent="0.25">
      <c r="A97" s="156">
        <v>2111</v>
      </c>
      <c r="B97" s="159">
        <v>195.9375</v>
      </c>
      <c r="C97" s="159">
        <v>0</v>
      </c>
      <c r="D97" s="161">
        <f t="shared" si="2"/>
        <v>195.9375</v>
      </c>
      <c r="E97" s="159">
        <v>0</v>
      </c>
      <c r="F97" s="159">
        <v>0</v>
      </c>
      <c r="G97" s="161">
        <f t="shared" si="3"/>
        <v>0</v>
      </c>
    </row>
    <row r="98" spans="1:7" x14ac:dyDescent="0.25">
      <c r="A98" s="156">
        <v>2112</v>
      </c>
      <c r="B98" s="159">
        <v>195.9375</v>
      </c>
      <c r="C98" s="159">
        <v>0</v>
      </c>
      <c r="D98" s="161">
        <f t="shared" si="2"/>
        <v>195.9375</v>
      </c>
      <c r="E98" s="159">
        <v>0</v>
      </c>
      <c r="F98" s="159">
        <v>0</v>
      </c>
      <c r="G98" s="161">
        <f t="shared" si="3"/>
        <v>0</v>
      </c>
    </row>
    <row r="99" spans="1:7" x14ac:dyDescent="0.25">
      <c r="A99" s="156">
        <v>2113</v>
      </c>
      <c r="B99" s="159">
        <v>195.9375</v>
      </c>
      <c r="C99" s="159">
        <v>0</v>
      </c>
      <c r="D99" s="161">
        <f t="shared" si="2"/>
        <v>195.9375</v>
      </c>
      <c r="E99" s="159">
        <v>0</v>
      </c>
      <c r="F99" s="159">
        <v>0</v>
      </c>
      <c r="G99" s="161">
        <f t="shared" si="3"/>
        <v>0</v>
      </c>
    </row>
    <row r="100" spans="1:7" x14ac:dyDescent="0.25">
      <c r="A100" s="156">
        <v>2114</v>
      </c>
      <c r="B100" s="159">
        <v>195.9375</v>
      </c>
      <c r="C100" s="159">
        <v>0</v>
      </c>
      <c r="D100" s="161">
        <f t="shared" si="2"/>
        <v>195.9375</v>
      </c>
      <c r="E100" s="159">
        <v>0</v>
      </c>
      <c r="F100" s="159">
        <v>0</v>
      </c>
      <c r="G100" s="161">
        <f t="shared" si="3"/>
        <v>0</v>
      </c>
    </row>
    <row r="101" spans="1:7" x14ac:dyDescent="0.25">
      <c r="A101" s="156">
        <v>2115</v>
      </c>
      <c r="B101" s="159">
        <v>195.9375</v>
      </c>
      <c r="C101" s="159">
        <v>0</v>
      </c>
      <c r="D101" s="161">
        <f t="shared" si="2"/>
        <v>195.9375</v>
      </c>
      <c r="E101" s="159">
        <v>0</v>
      </c>
      <c r="F101" s="159">
        <v>0</v>
      </c>
      <c r="G101" s="161">
        <f t="shared" si="3"/>
        <v>0</v>
      </c>
    </row>
    <row r="102" spans="1:7" x14ac:dyDescent="0.25">
      <c r="A102" s="156">
        <v>2116</v>
      </c>
      <c r="B102" s="159">
        <v>195.9375</v>
      </c>
      <c r="C102" s="159">
        <v>0</v>
      </c>
      <c r="D102" s="161">
        <f t="shared" si="2"/>
        <v>195.9375</v>
      </c>
      <c r="E102" s="159">
        <v>0</v>
      </c>
      <c r="F102" s="159">
        <v>0</v>
      </c>
      <c r="G102" s="161">
        <f t="shared" si="3"/>
        <v>0</v>
      </c>
    </row>
    <row r="103" spans="1:7" x14ac:dyDescent="0.25">
      <c r="A103" s="157">
        <v>2117</v>
      </c>
      <c r="B103" s="160">
        <v>97.96875</v>
      </c>
      <c r="C103" s="160">
        <v>2750</v>
      </c>
      <c r="D103" s="162">
        <f t="shared" si="2"/>
        <v>2847.96875</v>
      </c>
      <c r="E103" s="160">
        <v>0</v>
      </c>
      <c r="F103" s="160">
        <v>0</v>
      </c>
      <c r="G103" s="162">
        <f t="shared" si="3"/>
        <v>0</v>
      </c>
    </row>
  </sheetData>
  <mergeCells count="3">
    <mergeCell ref="B4:D4"/>
    <mergeCell ref="E4:G4"/>
    <mergeCell ref="A4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4C71-CBD1-4188-B4EA-6E80A35D7BF9}">
  <dimension ref="A1:K33"/>
  <sheetViews>
    <sheetView showGridLines="0" workbookViewId="0"/>
  </sheetViews>
  <sheetFormatPr baseColWidth="10" defaultColWidth="11.42578125" defaultRowHeight="15" x14ac:dyDescent="0.25"/>
  <sheetData>
    <row r="1" spans="1:11" s="177" customFormat="1" x14ac:dyDescent="0.2">
      <c r="A1" s="179" t="s">
        <v>102</v>
      </c>
    </row>
    <row r="2" spans="1:11" s="177" customFormat="1" x14ac:dyDescent="0.2">
      <c r="A2" s="212" t="s">
        <v>128</v>
      </c>
    </row>
    <row r="3" spans="1:11" s="118" customFormat="1" ht="11.25" x14ac:dyDescent="0.15">
      <c r="A3" s="185"/>
    </row>
    <row r="4" spans="1:11" s="164" customFormat="1" ht="17.25" customHeight="1" x14ac:dyDescent="0.25">
      <c r="A4" s="245" t="s">
        <v>106</v>
      </c>
      <c r="B4" s="246" t="s">
        <v>103</v>
      </c>
      <c r="C4" s="244"/>
      <c r="D4" s="244"/>
      <c r="E4" s="244"/>
      <c r="F4" s="244"/>
      <c r="G4" s="244" t="s">
        <v>108</v>
      </c>
      <c r="H4" s="244"/>
      <c r="I4" s="244"/>
      <c r="J4" s="244"/>
      <c r="K4" s="244"/>
    </row>
    <row r="5" spans="1:11" s="104" customFormat="1" ht="17.25" customHeight="1" x14ac:dyDescent="0.25">
      <c r="A5" s="245"/>
      <c r="B5" s="130" t="s">
        <v>69</v>
      </c>
      <c r="C5" s="128" t="s">
        <v>71</v>
      </c>
      <c r="D5" s="128" t="s">
        <v>73</v>
      </c>
      <c r="E5" s="128" t="s">
        <v>75</v>
      </c>
      <c r="F5" s="128" t="s">
        <v>77</v>
      </c>
      <c r="G5" s="128" t="s">
        <v>70</v>
      </c>
      <c r="H5" s="128" t="s">
        <v>72</v>
      </c>
      <c r="I5" s="128" t="s">
        <v>74</v>
      </c>
      <c r="J5" s="128" t="s">
        <v>76</v>
      </c>
      <c r="K5" s="128" t="s">
        <v>78</v>
      </c>
    </row>
    <row r="6" spans="1:11" s="155" customFormat="1" x14ac:dyDescent="0.25">
      <c r="A6" s="165">
        <v>2020</v>
      </c>
      <c r="B6" s="167">
        <v>0</v>
      </c>
      <c r="C6" s="168">
        <v>0</v>
      </c>
      <c r="D6" s="168">
        <v>0</v>
      </c>
      <c r="E6" s="168">
        <v>0</v>
      </c>
      <c r="F6" s="169">
        <v>0</v>
      </c>
      <c r="G6" s="167">
        <v>0</v>
      </c>
      <c r="H6" s="168">
        <v>0</v>
      </c>
      <c r="I6" s="168">
        <v>0</v>
      </c>
      <c r="J6" s="168">
        <v>0</v>
      </c>
      <c r="K6" s="169">
        <v>0</v>
      </c>
    </row>
    <row r="7" spans="1:11" s="155" customFormat="1" x14ac:dyDescent="0.25">
      <c r="A7" s="165">
        <v>2021</v>
      </c>
      <c r="B7" s="170">
        <v>0</v>
      </c>
      <c r="C7" s="171">
        <v>0</v>
      </c>
      <c r="D7" s="171">
        <v>0</v>
      </c>
      <c r="E7" s="171">
        <v>0</v>
      </c>
      <c r="F7" s="172">
        <v>0</v>
      </c>
      <c r="G7" s="170">
        <v>0</v>
      </c>
      <c r="H7" s="171">
        <v>0</v>
      </c>
      <c r="I7" s="171">
        <v>0</v>
      </c>
      <c r="J7" s="171">
        <v>0</v>
      </c>
      <c r="K7" s="172">
        <v>0</v>
      </c>
    </row>
    <row r="8" spans="1:11" s="155" customFormat="1" x14ac:dyDescent="0.25">
      <c r="A8" s="165">
        <v>2022</v>
      </c>
      <c r="B8" s="170">
        <v>0</v>
      </c>
      <c r="C8" s="171">
        <v>0</v>
      </c>
      <c r="D8" s="171">
        <v>0</v>
      </c>
      <c r="E8" s="171">
        <v>0</v>
      </c>
      <c r="F8" s="172">
        <v>0</v>
      </c>
      <c r="G8" s="170">
        <v>0</v>
      </c>
      <c r="H8" s="171">
        <v>0</v>
      </c>
      <c r="I8" s="171">
        <v>0</v>
      </c>
      <c r="J8" s="171">
        <v>0</v>
      </c>
      <c r="K8" s="172">
        <v>0</v>
      </c>
    </row>
    <row r="9" spans="1:11" s="155" customFormat="1" x14ac:dyDescent="0.25">
      <c r="A9" s="165">
        <v>2023</v>
      </c>
      <c r="B9" s="170">
        <v>57.000000000000007</v>
      </c>
      <c r="C9" s="171">
        <v>65.528409090909079</v>
      </c>
      <c r="D9" s="171">
        <v>33.391750418699999</v>
      </c>
      <c r="E9" s="171">
        <v>32.361770243999999</v>
      </c>
      <c r="F9" s="172">
        <v>40.375</v>
      </c>
      <c r="G9" s="170">
        <v>16.000000000000004</v>
      </c>
      <c r="H9" s="171">
        <v>7.5359352439024372</v>
      </c>
      <c r="I9" s="171">
        <v>34.657704112619996</v>
      </c>
      <c r="J9" s="171">
        <v>38.839338587999997</v>
      </c>
      <c r="K9" s="172">
        <v>0</v>
      </c>
    </row>
    <row r="10" spans="1:11" s="155" customFormat="1" x14ac:dyDescent="0.25">
      <c r="A10" s="165">
        <v>2024</v>
      </c>
      <c r="B10" s="170">
        <v>57.000000000000007</v>
      </c>
      <c r="C10" s="171">
        <v>196.58522727272722</v>
      </c>
      <c r="D10" s="171">
        <v>97.392605387875008</v>
      </c>
      <c r="E10" s="171">
        <v>161.80885121999998</v>
      </c>
      <c r="F10" s="172">
        <v>141.3125</v>
      </c>
      <c r="G10" s="170">
        <v>16.000000000000004</v>
      </c>
      <c r="H10" s="171">
        <v>7.5359352439024372</v>
      </c>
      <c r="I10" s="171">
        <v>72.203550234624998</v>
      </c>
      <c r="J10" s="171">
        <v>105.18987534249999</v>
      </c>
      <c r="K10" s="172">
        <v>0</v>
      </c>
    </row>
    <row r="11" spans="1:11" s="155" customFormat="1" x14ac:dyDescent="0.25">
      <c r="A11" s="165">
        <v>2025</v>
      </c>
      <c r="B11" s="170">
        <v>57.000000000000007</v>
      </c>
      <c r="C11" s="171">
        <v>196.58522727272722</v>
      </c>
      <c r="D11" s="171">
        <v>97.392605387875008</v>
      </c>
      <c r="E11" s="171">
        <v>161.80885121999998</v>
      </c>
      <c r="F11" s="172">
        <v>141.3125</v>
      </c>
      <c r="G11" s="170">
        <v>16.000000000000004</v>
      </c>
      <c r="H11" s="171">
        <v>7.5359352439024372</v>
      </c>
      <c r="I11" s="171">
        <v>72.203550234624998</v>
      </c>
      <c r="J11" s="171">
        <v>105.18987534249999</v>
      </c>
      <c r="K11" s="172">
        <v>0</v>
      </c>
    </row>
    <row r="12" spans="1:11" s="155" customFormat="1" x14ac:dyDescent="0.25">
      <c r="A12" s="165">
        <v>2026</v>
      </c>
      <c r="B12" s="170">
        <v>2394.0000000000005</v>
      </c>
      <c r="C12" s="171">
        <v>360.40624999999994</v>
      </c>
      <c r="D12" s="171">
        <v>222.61166945799999</v>
      </c>
      <c r="E12" s="171">
        <v>195.51902855749998</v>
      </c>
      <c r="F12" s="172">
        <v>302.8125</v>
      </c>
      <c r="G12" s="170">
        <v>664.00000000000011</v>
      </c>
      <c r="H12" s="171">
        <v>30.143740975609749</v>
      </c>
      <c r="I12" s="171">
        <v>115.52568037539999</v>
      </c>
      <c r="J12" s="171">
        <v>161.83057744999999</v>
      </c>
      <c r="K12" s="172">
        <v>0</v>
      </c>
    </row>
    <row r="13" spans="1:11" s="155" customFormat="1" x14ac:dyDescent="0.25">
      <c r="A13" s="165">
        <v>2027</v>
      </c>
      <c r="B13" s="170">
        <v>2371.2000000000003</v>
      </c>
      <c r="C13" s="171">
        <v>360.40624999999994</v>
      </c>
      <c r="D13" s="171">
        <v>222.61166945799999</v>
      </c>
      <c r="E13" s="171">
        <v>195.51902855749998</v>
      </c>
      <c r="F13" s="172">
        <v>302.8125</v>
      </c>
      <c r="G13" s="170">
        <v>659.20000000000016</v>
      </c>
      <c r="H13" s="171">
        <v>30.143740975609749</v>
      </c>
      <c r="I13" s="171">
        <v>115.52568037539999</v>
      </c>
      <c r="J13" s="171">
        <v>161.83057744999999</v>
      </c>
      <c r="K13" s="172">
        <v>0</v>
      </c>
    </row>
    <row r="14" spans="1:11" s="155" customFormat="1" x14ac:dyDescent="0.25">
      <c r="A14" s="165">
        <v>2028</v>
      </c>
      <c r="B14" s="170">
        <v>2399.7000000000003</v>
      </c>
      <c r="C14" s="171">
        <v>507.84517045454538</v>
      </c>
      <c r="D14" s="171">
        <v>250.43812814025</v>
      </c>
      <c r="E14" s="171">
        <v>195.51902855749998</v>
      </c>
      <c r="F14" s="172">
        <v>787.3125</v>
      </c>
      <c r="G14" s="170">
        <v>654.40000000000009</v>
      </c>
      <c r="H14" s="171">
        <v>37.679676219512189</v>
      </c>
      <c r="I14" s="171">
        <v>187.72923061002498</v>
      </c>
      <c r="J14" s="171">
        <v>161.83057744999999</v>
      </c>
      <c r="K14" s="172">
        <v>0</v>
      </c>
    </row>
    <row r="15" spans="1:11" s="155" customFormat="1" x14ac:dyDescent="0.25">
      <c r="A15" s="165">
        <v>2029</v>
      </c>
      <c r="B15" s="170">
        <v>2359.8000000000006</v>
      </c>
      <c r="C15" s="171">
        <v>507.84517045454538</v>
      </c>
      <c r="D15" s="171">
        <v>756.3737405447954</v>
      </c>
      <c r="E15" s="171">
        <v>229.22920589500001</v>
      </c>
      <c r="F15" s="172">
        <v>768.13437500000009</v>
      </c>
      <c r="G15" s="170">
        <v>649.60000000000014</v>
      </c>
      <c r="H15" s="171">
        <v>37.679676219512189</v>
      </c>
      <c r="I15" s="171">
        <v>712.84595958911586</v>
      </c>
      <c r="J15" s="171">
        <v>161.83057744999999</v>
      </c>
      <c r="K15" s="172">
        <v>0</v>
      </c>
    </row>
    <row r="16" spans="1:11" s="155" customFormat="1" x14ac:dyDescent="0.25">
      <c r="A16" s="165">
        <v>2030</v>
      </c>
      <c r="B16" s="170">
        <v>2319.9</v>
      </c>
      <c r="C16" s="171">
        <v>507.84517045454538</v>
      </c>
      <c r="D16" s="171">
        <v>733.60663798659084</v>
      </c>
      <c r="E16" s="171">
        <v>648.19855280392858</v>
      </c>
      <c r="F16" s="172">
        <v>748.95624999999995</v>
      </c>
      <c r="G16" s="170">
        <v>644.80000000000007</v>
      </c>
      <c r="H16" s="171">
        <v>37.679676219512189</v>
      </c>
      <c r="I16" s="171">
        <v>695.77966589729544</v>
      </c>
      <c r="J16" s="171">
        <v>713.21047347607134</v>
      </c>
      <c r="K16" s="172">
        <v>0</v>
      </c>
    </row>
    <row r="17" spans="1:11" s="155" customFormat="1" x14ac:dyDescent="0.25">
      <c r="A17" s="165">
        <v>2031</v>
      </c>
      <c r="B17" s="170">
        <v>0</v>
      </c>
      <c r="C17" s="171">
        <v>2692.1254734848476</v>
      </c>
      <c r="D17" s="171">
        <v>710.8395354283864</v>
      </c>
      <c r="E17" s="171">
        <v>629.41716828732149</v>
      </c>
      <c r="F17" s="172">
        <v>729.77812500000005</v>
      </c>
      <c r="G17" s="170">
        <v>0</v>
      </c>
      <c r="H17" s="171">
        <v>288.87751768292674</v>
      </c>
      <c r="I17" s="171">
        <v>678.71337220547503</v>
      </c>
      <c r="J17" s="171">
        <v>695.29351668696427</v>
      </c>
      <c r="K17" s="172">
        <v>0</v>
      </c>
    </row>
    <row r="18" spans="1:11" s="155" customFormat="1" x14ac:dyDescent="0.25">
      <c r="A18" s="165">
        <v>2032</v>
      </c>
      <c r="B18" s="170">
        <v>0</v>
      </c>
      <c r="C18" s="171">
        <v>2607.4846117424236</v>
      </c>
      <c r="D18" s="171">
        <v>688.07243287018184</v>
      </c>
      <c r="E18" s="171">
        <v>610.63578377071428</v>
      </c>
      <c r="F18" s="172">
        <v>710.59999999999991</v>
      </c>
      <c r="G18" s="170">
        <v>0</v>
      </c>
      <c r="H18" s="171">
        <v>282.59757164634141</v>
      </c>
      <c r="I18" s="171">
        <v>661.64707851365449</v>
      </c>
      <c r="J18" s="171">
        <v>677.37655989785708</v>
      </c>
      <c r="K18" s="172">
        <v>0</v>
      </c>
    </row>
    <row r="19" spans="1:11" s="155" customFormat="1" x14ac:dyDescent="0.25">
      <c r="A19" s="165">
        <v>2033</v>
      </c>
      <c r="B19" s="170">
        <v>0</v>
      </c>
      <c r="C19" s="171">
        <v>2522.8437499999995</v>
      </c>
      <c r="D19" s="171">
        <v>665.30533031197729</v>
      </c>
      <c r="E19" s="171">
        <v>591.85439925410719</v>
      </c>
      <c r="F19" s="172">
        <v>691.421875</v>
      </c>
      <c r="G19" s="170">
        <v>0</v>
      </c>
      <c r="H19" s="171">
        <v>276.31762560975602</v>
      </c>
      <c r="I19" s="171">
        <v>644.58078482183407</v>
      </c>
      <c r="J19" s="171">
        <v>659.45960310874989</v>
      </c>
      <c r="K19" s="172">
        <v>0</v>
      </c>
    </row>
    <row r="20" spans="1:11" s="155" customFormat="1" x14ac:dyDescent="0.25">
      <c r="A20" s="165">
        <v>2034</v>
      </c>
      <c r="B20" s="170">
        <v>0</v>
      </c>
      <c r="C20" s="171">
        <v>2438.2028882575755</v>
      </c>
      <c r="D20" s="171">
        <v>642.53822775377273</v>
      </c>
      <c r="E20" s="171">
        <v>573.07301473749999</v>
      </c>
      <c r="F20" s="172">
        <v>672.24375000000009</v>
      </c>
      <c r="G20" s="170">
        <v>0</v>
      </c>
      <c r="H20" s="171">
        <v>270.03767957317064</v>
      </c>
      <c r="I20" s="171">
        <v>627.51449113001365</v>
      </c>
      <c r="J20" s="171">
        <v>641.54264631964281</v>
      </c>
      <c r="K20" s="172">
        <v>0</v>
      </c>
    </row>
    <row r="21" spans="1:11" s="155" customFormat="1" x14ac:dyDescent="0.25">
      <c r="A21" s="165">
        <v>2035</v>
      </c>
      <c r="B21" s="170">
        <v>0</v>
      </c>
      <c r="C21" s="171">
        <v>2353.5620265151506</v>
      </c>
      <c r="D21" s="171">
        <v>619.77112519556817</v>
      </c>
      <c r="E21" s="171">
        <v>554.2916302208929</v>
      </c>
      <c r="F21" s="172">
        <v>653.06562499999995</v>
      </c>
      <c r="G21" s="170">
        <v>0</v>
      </c>
      <c r="H21" s="171">
        <v>263.75773353658531</v>
      </c>
      <c r="I21" s="171">
        <v>610.44819743819312</v>
      </c>
      <c r="J21" s="171">
        <v>623.62568953053562</v>
      </c>
      <c r="K21" s="172">
        <v>0</v>
      </c>
    </row>
    <row r="22" spans="1:11" s="155" customFormat="1" x14ac:dyDescent="0.25">
      <c r="A22" s="165">
        <v>2036</v>
      </c>
      <c r="B22" s="170">
        <v>0</v>
      </c>
      <c r="C22" s="171">
        <v>2268.9211647727266</v>
      </c>
      <c r="D22" s="171">
        <v>597.00402263736362</v>
      </c>
      <c r="E22" s="171">
        <v>535.51024570428569</v>
      </c>
      <c r="F22" s="172">
        <v>633.88750000000005</v>
      </c>
      <c r="G22" s="170">
        <v>0</v>
      </c>
      <c r="H22" s="171">
        <v>257.47778749999992</v>
      </c>
      <c r="I22" s="171">
        <v>593.3819037463727</v>
      </c>
      <c r="J22" s="171">
        <v>605.70873274142855</v>
      </c>
      <c r="K22" s="172">
        <v>0</v>
      </c>
    </row>
    <row r="23" spans="1:11" s="155" customFormat="1" x14ac:dyDescent="0.25">
      <c r="A23" s="165">
        <v>2037</v>
      </c>
      <c r="B23" s="170">
        <v>0</v>
      </c>
      <c r="C23" s="171">
        <v>0</v>
      </c>
      <c r="D23" s="171">
        <v>574.23692007915906</v>
      </c>
      <c r="E23" s="171">
        <v>516.7288611876786</v>
      </c>
      <c r="F23" s="172">
        <v>614.70937500000002</v>
      </c>
      <c r="G23" s="170">
        <v>0</v>
      </c>
      <c r="H23" s="171">
        <v>0</v>
      </c>
      <c r="I23" s="171">
        <v>576.31561005455228</v>
      </c>
      <c r="J23" s="171">
        <v>587.79177595232136</v>
      </c>
      <c r="K23" s="172">
        <v>0</v>
      </c>
    </row>
    <row r="24" spans="1:11" s="155" customFormat="1" x14ac:dyDescent="0.25">
      <c r="A24" s="165">
        <v>2038</v>
      </c>
      <c r="B24" s="170">
        <v>0</v>
      </c>
      <c r="C24" s="171">
        <v>0</v>
      </c>
      <c r="D24" s="171">
        <v>551.46981752095451</v>
      </c>
      <c r="E24" s="171">
        <v>497.94747667107146</v>
      </c>
      <c r="F24" s="172">
        <v>595.53125</v>
      </c>
      <c r="G24" s="170">
        <v>0</v>
      </c>
      <c r="H24" s="171">
        <v>0</v>
      </c>
      <c r="I24" s="171">
        <v>559.24931636273175</v>
      </c>
      <c r="J24" s="171">
        <v>569.87481916321417</v>
      </c>
      <c r="K24" s="172">
        <v>0</v>
      </c>
    </row>
    <row r="25" spans="1:11" s="155" customFormat="1" x14ac:dyDescent="0.25">
      <c r="A25" s="165">
        <v>2039</v>
      </c>
      <c r="B25" s="170">
        <v>0</v>
      </c>
      <c r="C25" s="171">
        <v>0</v>
      </c>
      <c r="D25" s="171">
        <v>528.70271496274995</v>
      </c>
      <c r="E25" s="171">
        <v>479.16609215446425</v>
      </c>
      <c r="F25" s="172">
        <v>576.35312499999998</v>
      </c>
      <c r="G25" s="170">
        <v>0</v>
      </c>
      <c r="H25" s="171">
        <v>0</v>
      </c>
      <c r="I25" s="171">
        <v>542.18302267091133</v>
      </c>
      <c r="J25" s="171">
        <v>551.95786237410709</v>
      </c>
      <c r="K25" s="172">
        <v>0</v>
      </c>
    </row>
    <row r="26" spans="1:11" s="155" customFormat="1" x14ac:dyDescent="0.25">
      <c r="A26" s="165">
        <v>2040</v>
      </c>
      <c r="B26" s="170">
        <v>0</v>
      </c>
      <c r="C26" s="171">
        <v>0</v>
      </c>
      <c r="D26" s="171">
        <v>0</v>
      </c>
      <c r="E26" s="171">
        <v>460.38470763785716</v>
      </c>
      <c r="F26" s="172">
        <v>557.17499999999995</v>
      </c>
      <c r="G26" s="170">
        <v>0</v>
      </c>
      <c r="H26" s="171">
        <v>0</v>
      </c>
      <c r="I26" s="171">
        <v>0</v>
      </c>
      <c r="J26" s="171">
        <v>534.04090558500002</v>
      </c>
      <c r="K26" s="172">
        <v>0</v>
      </c>
    </row>
    <row r="27" spans="1:11" s="155" customFormat="1" x14ac:dyDescent="0.25">
      <c r="A27" s="165">
        <v>2041</v>
      </c>
      <c r="B27" s="170">
        <v>0</v>
      </c>
      <c r="C27" s="171">
        <v>0</v>
      </c>
      <c r="D27" s="171">
        <v>0</v>
      </c>
      <c r="E27" s="171">
        <v>441.60332312124996</v>
      </c>
      <c r="F27" s="172">
        <v>537.99687500000005</v>
      </c>
      <c r="G27" s="170">
        <v>0</v>
      </c>
      <c r="H27" s="171">
        <v>0</v>
      </c>
      <c r="I27" s="171">
        <v>0</v>
      </c>
      <c r="J27" s="171">
        <v>516.12394879589283</v>
      </c>
      <c r="K27" s="172">
        <v>0</v>
      </c>
    </row>
    <row r="28" spans="1:11" s="155" customFormat="1" x14ac:dyDescent="0.25">
      <c r="A28" s="165">
        <v>2042</v>
      </c>
      <c r="B28" s="170">
        <v>0</v>
      </c>
      <c r="C28" s="171">
        <v>0</v>
      </c>
      <c r="D28" s="171">
        <v>0</v>
      </c>
      <c r="E28" s="171">
        <v>422.82193860464287</v>
      </c>
      <c r="F28" s="172">
        <v>518.81875000000002</v>
      </c>
      <c r="G28" s="170">
        <v>0</v>
      </c>
      <c r="H28" s="171">
        <v>0</v>
      </c>
      <c r="I28" s="171">
        <v>0</v>
      </c>
      <c r="J28" s="171">
        <v>498.20699200678564</v>
      </c>
      <c r="K28" s="172">
        <v>0</v>
      </c>
    </row>
    <row r="29" spans="1:11" s="155" customFormat="1" x14ac:dyDescent="0.25">
      <c r="A29" s="165">
        <v>2043</v>
      </c>
      <c r="B29" s="170">
        <v>0</v>
      </c>
      <c r="C29" s="171">
        <v>0</v>
      </c>
      <c r="D29" s="171">
        <v>0</v>
      </c>
      <c r="E29" s="171">
        <v>404.04055408803566</v>
      </c>
      <c r="F29" s="172">
        <v>499.640625</v>
      </c>
      <c r="G29" s="170">
        <v>0</v>
      </c>
      <c r="H29" s="171">
        <v>0</v>
      </c>
      <c r="I29" s="171">
        <v>0</v>
      </c>
      <c r="J29" s="171">
        <v>480.29003521767851</v>
      </c>
      <c r="K29" s="172">
        <v>0</v>
      </c>
    </row>
    <row r="30" spans="1:11" s="155" customFormat="1" x14ac:dyDescent="0.25">
      <c r="A30" s="165">
        <v>2044</v>
      </c>
      <c r="B30" s="170">
        <v>0</v>
      </c>
      <c r="C30" s="171">
        <v>0</v>
      </c>
      <c r="D30" s="171">
        <v>0</v>
      </c>
      <c r="E30" s="171">
        <v>0</v>
      </c>
      <c r="F30" s="172">
        <v>480.46249999999998</v>
      </c>
      <c r="G30" s="170">
        <v>0</v>
      </c>
      <c r="H30" s="171">
        <v>0</v>
      </c>
      <c r="I30" s="171">
        <v>0</v>
      </c>
      <c r="J30" s="171">
        <v>0</v>
      </c>
      <c r="K30" s="172">
        <v>0</v>
      </c>
    </row>
    <row r="31" spans="1:11" s="155" customFormat="1" x14ac:dyDescent="0.25">
      <c r="A31" s="165">
        <v>2045</v>
      </c>
      <c r="B31" s="170">
        <v>0</v>
      </c>
      <c r="C31" s="171">
        <v>0</v>
      </c>
      <c r="D31" s="171">
        <v>0</v>
      </c>
      <c r="E31" s="171">
        <v>0</v>
      </c>
      <c r="F31" s="172">
        <v>461.28437499999995</v>
      </c>
      <c r="G31" s="170">
        <v>0</v>
      </c>
      <c r="H31" s="171">
        <v>0</v>
      </c>
      <c r="I31" s="171">
        <v>0</v>
      </c>
      <c r="J31" s="171">
        <v>0</v>
      </c>
      <c r="K31" s="172">
        <v>0</v>
      </c>
    </row>
    <row r="32" spans="1:11" s="155" customFormat="1" x14ac:dyDescent="0.25">
      <c r="A32" s="165">
        <v>2046</v>
      </c>
      <c r="B32" s="170">
        <v>0</v>
      </c>
      <c r="C32" s="171">
        <v>0</v>
      </c>
      <c r="D32" s="171">
        <v>0</v>
      </c>
      <c r="E32" s="171">
        <v>0</v>
      </c>
      <c r="F32" s="172">
        <v>442.10625000000005</v>
      </c>
      <c r="G32" s="170">
        <v>0</v>
      </c>
      <c r="H32" s="171">
        <v>0</v>
      </c>
      <c r="I32" s="171">
        <v>0</v>
      </c>
      <c r="J32" s="171">
        <v>0</v>
      </c>
      <c r="K32" s="172">
        <v>0</v>
      </c>
    </row>
    <row r="33" spans="1:11" s="155" customFormat="1" x14ac:dyDescent="0.25">
      <c r="A33" s="166">
        <v>2047</v>
      </c>
      <c r="B33" s="173">
        <v>0</v>
      </c>
      <c r="C33" s="174">
        <v>0</v>
      </c>
      <c r="D33" s="174">
        <v>0</v>
      </c>
      <c r="E33" s="174">
        <v>0</v>
      </c>
      <c r="F33" s="175">
        <v>422.92812500000002</v>
      </c>
      <c r="G33" s="173">
        <v>0</v>
      </c>
      <c r="H33" s="174">
        <v>0</v>
      </c>
      <c r="I33" s="174">
        <v>0</v>
      </c>
      <c r="J33" s="174">
        <v>0</v>
      </c>
      <c r="K33" s="175">
        <v>0</v>
      </c>
    </row>
  </sheetData>
  <mergeCells count="3">
    <mergeCell ref="B4:F4"/>
    <mergeCell ref="G4:K4"/>
    <mergeCell ref="A4:A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Bonos elegibles</vt:lpstr>
      <vt:lpstr>VP nuevos bonos </vt:lpstr>
      <vt:lpstr>Valor oferta</vt:lpstr>
      <vt:lpstr>Escenario aceptación 100%</vt:lpstr>
      <vt:lpstr>Comparación vencimientos</vt:lpstr>
      <vt:lpstr>Vencimientos bonos nuevos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</dc:creator>
  <cp:lastModifiedBy>Florencia Calligaro</cp:lastModifiedBy>
  <dcterms:created xsi:type="dcterms:W3CDTF">2015-06-05T18:19:34Z</dcterms:created>
  <dcterms:modified xsi:type="dcterms:W3CDTF">2020-06-23T18:13:50Z</dcterms:modified>
</cp:coreProperties>
</file>