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opc1\Nextcloud2\DASDP\Deuda pública\Reestructuraciones y acuerdos\Reestructuración 2020\Argentina IV (2020-07-05)\"/>
    </mc:Choice>
  </mc:AlternateContent>
  <xr:revisionPtr revIDLastSave="0" documentId="13_ncr:1_{F5D5DF4F-FB1D-4CE3-A600-449C1146423C}" xr6:coauthVersionLast="44" xr6:coauthVersionMax="45" xr10:uidLastSave="{00000000-0000-0000-0000-000000000000}"/>
  <bookViews>
    <workbookView xWindow="-120" yWindow="-120" windowWidth="20730" windowHeight="11160" tabRatio="797" xr2:uid="{00000000-000D-0000-FFFF-FFFF00000000}"/>
  </bookViews>
  <sheets>
    <sheet name="Resumen" sheetId="8" r:id="rId1"/>
    <sheet name="Perfil" sheetId="9" r:id="rId2"/>
    <sheet name="Arg IV - Nuevos Bonos 100VN" sheetId="3" r:id="rId3"/>
    <sheet name="Intereses corridos" sheetId="5" r:id="rId4"/>
    <sheet name="Arg IV - Valor propuesta" sheetId="7" r:id="rId5"/>
    <sheet name="Arg IV - Canje optimo" sheetId="6" r:id="rId6"/>
    <sheet name="Arg IV - Nuevos Bonos" sheetId="4" r:id="rId7"/>
    <sheet name="Cupones promedio" sheetId="20" r:id="rId8"/>
  </sheets>
  <externalReferences>
    <externalReference r:id="rId9"/>
    <externalReference r:id="rId10"/>
  </externalReferences>
  <definedNames>
    <definedName name="_xlnm._FilterDatabase" localSheetId="5" hidden="1">'Arg IV - Canje optimo'!$B$5:$Q$5</definedName>
    <definedName name="_xlnm._FilterDatabase" localSheetId="4" hidden="1">'Arg IV - Valor propuesta'!$P$24:$Q$29</definedName>
    <definedName name="_Order1" hidden="1">255</definedName>
    <definedName name="_Order2" hidden="1">255</definedName>
    <definedName name="ACwvu.PLA2." hidden="1">'[1]COP FED'!$A$1:$N$49</definedName>
    <definedName name="Swvu.PLA2." hidden="1">'[1]COP FED'!$A$1:$N$49</definedName>
    <definedName name="Z_0C2BA18A_21C0_43A0_BA72_AEF5075BA836_.wvu.Cols" hidden="1">'[2]Prog. Fin.'!$E:$E,'[2]Prog. Fin.'!$I:$J,'[2]Prog. Fin.'!$N:$N,'[2]Prog. Fin.'!$R:$S</definedName>
    <definedName name="Z_0C2BA18A_21C0_43A0_BA72_AEF5075BA836_.wvu.Rows" hidden="1">'[2]Prog. Fin.'!$9:$14,'[2]Prog. Fin.'!$17:$26,'[2]Prog. Fin.'!$31:$33,'[2]Prog. Fin.'!$40:$41,'[2]Prog. Fin.'!$44:$46,'[2]Prog. Fin.'!$81:$83,'[2]Prog. Fin.'!$157:$159</definedName>
    <definedName name="Z_AB0CFEEA_4F19_4F6A_9BEA_953016B5C36F_.wvu.Cols" hidden="1">'[2]Prog. Fin.'!$E:$E,'[2]Prog. Fin.'!$I:$J,'[2]Prog. Fin.'!$N:$N,'[2]Prog. Fin.'!$R:$S</definedName>
    <definedName name="Z_AB0CFEEA_4F19_4F6A_9BEA_953016B5C36F_.wvu.Rows" hidden="1">'[2]Prog. Fin.'!$9:$14,'[2]Prog. Fin.'!$17:$26,'[2]Prog. Fin.'!$31:$33,'[2]Prog. Fin.'!$40:$41,'[2]Prog. Fin.'!$44:$46,'[2]Prog. Fin.'!$81:$83,'[2]Prog. Fin.'!$157:$159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8" i="9" l="1"/>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7" i="9"/>
  <c r="G9" i="6" l="1"/>
  <c r="M9" i="6"/>
  <c r="AJ27" i="3" l="1"/>
  <c r="G9" i="20" l="1"/>
  <c r="M9" i="20"/>
  <c r="W9" i="20"/>
  <c r="AE9" i="20"/>
  <c r="AM9" i="20"/>
  <c r="AS9" i="20"/>
  <c r="BI9" i="20"/>
  <c r="BR9" i="20"/>
  <c r="G10" i="20"/>
  <c r="M10" i="20"/>
  <c r="W10" i="20"/>
  <c r="AE10" i="20"/>
  <c r="AM10" i="20"/>
  <c r="AS10" i="20"/>
  <c r="BI10" i="20"/>
  <c r="BR10" i="20"/>
  <c r="G11" i="20"/>
  <c r="M11" i="20"/>
  <c r="W11" i="20"/>
  <c r="AE11" i="20"/>
  <c r="AM11" i="20"/>
  <c r="AS11" i="20"/>
  <c r="BI11" i="20"/>
  <c r="BR11" i="20"/>
  <c r="G12" i="20"/>
  <c r="M12" i="20"/>
  <c r="W12" i="20"/>
  <c r="AE12" i="20"/>
  <c r="AM12" i="20"/>
  <c r="AS12" i="20"/>
  <c r="BI12" i="20"/>
  <c r="BR12" i="20"/>
  <c r="G13" i="20"/>
  <c r="M13" i="20"/>
  <c r="W13" i="20"/>
  <c r="AE13" i="20"/>
  <c r="AM13" i="20"/>
  <c r="AS13" i="20"/>
  <c r="BI13" i="20"/>
  <c r="BR13" i="20"/>
  <c r="G14" i="20"/>
  <c r="M14" i="20"/>
  <c r="W14" i="20"/>
  <c r="AE14" i="20"/>
  <c r="AM14" i="20"/>
  <c r="AS14" i="20"/>
  <c r="BI14" i="20"/>
  <c r="BR14" i="20"/>
  <c r="G15" i="20"/>
  <c r="M15" i="20"/>
  <c r="W15" i="20"/>
  <c r="AE15" i="20"/>
  <c r="AM15" i="20"/>
  <c r="AS15" i="20"/>
  <c r="BI15" i="20"/>
  <c r="BR15" i="20"/>
  <c r="G16" i="20"/>
  <c r="M16" i="20"/>
  <c r="W16" i="20"/>
  <c r="AE16" i="20"/>
  <c r="AM16" i="20"/>
  <c r="AS16" i="20"/>
  <c r="BI16" i="20"/>
  <c r="BR16" i="20"/>
  <c r="G17" i="20"/>
  <c r="M17" i="20"/>
  <c r="W17" i="20"/>
  <c r="AE17" i="20"/>
  <c r="AM17" i="20"/>
  <c r="AS17" i="20"/>
  <c r="BI17" i="20"/>
  <c r="BR17" i="20"/>
  <c r="G18" i="20"/>
  <c r="M18" i="20"/>
  <c r="W18" i="20"/>
  <c r="AE18" i="20"/>
  <c r="AM18" i="20"/>
  <c r="AS18" i="20"/>
  <c r="BI18" i="20"/>
  <c r="BR18" i="20"/>
  <c r="G19" i="20"/>
  <c r="M19" i="20"/>
  <c r="W19" i="20"/>
  <c r="AE19" i="20"/>
  <c r="AM19" i="20"/>
  <c r="AS19" i="20"/>
  <c r="BI19" i="20"/>
  <c r="BR19" i="20"/>
  <c r="G20" i="20"/>
  <c r="M20" i="20"/>
  <c r="W20" i="20"/>
  <c r="AE20" i="20"/>
  <c r="AM20" i="20"/>
  <c r="AS20" i="20"/>
  <c r="BI20" i="20"/>
  <c r="BR20" i="20"/>
  <c r="G21" i="20"/>
  <c r="M21" i="20"/>
  <c r="W21" i="20"/>
  <c r="AE21" i="20"/>
  <c r="AM21" i="20"/>
  <c r="AS21" i="20"/>
  <c r="BI21" i="20"/>
  <c r="BR21" i="20"/>
  <c r="G22" i="20"/>
  <c r="M22" i="20"/>
  <c r="W22" i="20"/>
  <c r="AE22" i="20"/>
  <c r="AM22" i="20"/>
  <c r="AS22" i="20"/>
  <c r="BI22" i="20"/>
  <c r="BR22" i="20"/>
  <c r="G23" i="20"/>
  <c r="M23" i="20"/>
  <c r="W23" i="20"/>
  <c r="AE23" i="20"/>
  <c r="AM23" i="20"/>
  <c r="AS23" i="20"/>
  <c r="BI23" i="20"/>
  <c r="BR23" i="20"/>
  <c r="G24" i="20"/>
  <c r="M24" i="20"/>
  <c r="W24" i="20"/>
  <c r="AE24" i="20"/>
  <c r="AM24" i="20"/>
  <c r="AS24" i="20"/>
  <c r="BI24" i="20"/>
  <c r="BR24" i="20"/>
  <c r="G25" i="20"/>
  <c r="M25" i="20"/>
  <c r="W25" i="20"/>
  <c r="AE25" i="20"/>
  <c r="AM25" i="20"/>
  <c r="AS25" i="20"/>
  <c r="BI25" i="20"/>
  <c r="BR25" i="20"/>
  <c r="G26" i="20"/>
  <c r="M26" i="20"/>
  <c r="W26" i="20"/>
  <c r="AE26" i="20"/>
  <c r="AM26" i="20"/>
  <c r="AS26" i="20"/>
  <c r="BI26" i="20"/>
  <c r="BR26" i="20"/>
  <c r="G27" i="20"/>
  <c r="M27" i="20"/>
  <c r="W27" i="20"/>
  <c r="AE27" i="20"/>
  <c r="AM27" i="20"/>
  <c r="AS27" i="20"/>
  <c r="BI27" i="20"/>
  <c r="BR27" i="20"/>
  <c r="G28" i="20"/>
  <c r="M28" i="20"/>
  <c r="W28" i="20"/>
  <c r="AE28" i="20"/>
  <c r="AM28" i="20"/>
  <c r="AS28" i="20"/>
  <c r="BI28" i="20"/>
  <c r="BR28" i="20"/>
  <c r="G29" i="20"/>
  <c r="M29" i="20"/>
  <c r="W29" i="20"/>
  <c r="AE29" i="20"/>
  <c r="AM29" i="20"/>
  <c r="AS29" i="20"/>
  <c r="BI29" i="20"/>
  <c r="BR29" i="20"/>
  <c r="G30" i="20"/>
  <c r="M30" i="20"/>
  <c r="W30" i="20"/>
  <c r="AE30" i="20"/>
  <c r="AM30" i="20"/>
  <c r="AS30" i="20"/>
  <c r="BI30" i="20"/>
  <c r="BR30" i="20"/>
  <c r="G31" i="20"/>
  <c r="M31" i="20"/>
  <c r="W31" i="20"/>
  <c r="AE31" i="20"/>
  <c r="AM31" i="20"/>
  <c r="AS31" i="20"/>
  <c r="BI31" i="20"/>
  <c r="BR31" i="20"/>
  <c r="G32" i="20"/>
  <c r="M32" i="20"/>
  <c r="W32" i="20"/>
  <c r="AE32" i="20"/>
  <c r="AM32" i="20"/>
  <c r="AS32" i="20"/>
  <c r="BI32" i="20"/>
  <c r="BR32" i="20"/>
  <c r="G33" i="20"/>
  <c r="M33" i="20"/>
  <c r="W33" i="20"/>
  <c r="AE33" i="20"/>
  <c r="AM33" i="20"/>
  <c r="AS33" i="20"/>
  <c r="BI33" i="20"/>
  <c r="BR33" i="20"/>
  <c r="G34" i="20"/>
  <c r="M34" i="20"/>
  <c r="W34" i="20"/>
  <c r="AE34" i="20"/>
  <c r="AM34" i="20"/>
  <c r="AS34" i="20"/>
  <c r="BI34" i="20"/>
  <c r="BR34" i="20"/>
  <c r="G35" i="20"/>
  <c r="M35" i="20"/>
  <c r="W35" i="20"/>
  <c r="AE35" i="20"/>
  <c r="AM35" i="20"/>
  <c r="AS35" i="20"/>
  <c r="BI35" i="20"/>
  <c r="BR35" i="20"/>
  <c r="G36" i="20"/>
  <c r="M36" i="20"/>
  <c r="W36" i="20"/>
  <c r="AE36" i="20"/>
  <c r="AM36" i="20"/>
  <c r="AS36" i="20"/>
  <c r="BI36" i="20"/>
  <c r="BR36" i="20"/>
  <c r="G37" i="20"/>
  <c r="M37" i="20"/>
  <c r="W37" i="20"/>
  <c r="AE37" i="20"/>
  <c r="AM37" i="20"/>
  <c r="AS37" i="20"/>
  <c r="BI37" i="20"/>
  <c r="BR37" i="20"/>
  <c r="G38" i="20"/>
  <c r="M38" i="20"/>
  <c r="W38" i="20"/>
  <c r="AE38" i="20"/>
  <c r="AM38" i="20"/>
  <c r="AS38" i="20"/>
  <c r="BI38" i="20"/>
  <c r="BR38" i="20"/>
  <c r="G39" i="20"/>
  <c r="M39" i="20"/>
  <c r="W39" i="20"/>
  <c r="AE39" i="20"/>
  <c r="AM39" i="20"/>
  <c r="AS39" i="20"/>
  <c r="BI39" i="20"/>
  <c r="BR39" i="20"/>
  <c r="G40" i="20"/>
  <c r="M40" i="20"/>
  <c r="W40" i="20"/>
  <c r="AE40" i="20"/>
  <c r="AM40" i="20"/>
  <c r="AS40" i="20"/>
  <c r="BI40" i="20"/>
  <c r="BR40" i="20"/>
  <c r="G41" i="20"/>
  <c r="M41" i="20"/>
  <c r="W41" i="20"/>
  <c r="AE41" i="20"/>
  <c r="AM41" i="20"/>
  <c r="AS41" i="20"/>
  <c r="BI41" i="20"/>
  <c r="BR41" i="20"/>
  <c r="G42" i="20"/>
  <c r="M42" i="20"/>
  <c r="W42" i="20"/>
  <c r="AE42" i="20"/>
  <c r="AM42" i="20"/>
  <c r="AS42" i="20"/>
  <c r="BI42" i="20"/>
  <c r="BR42" i="20"/>
  <c r="G43" i="20"/>
  <c r="M43" i="20"/>
  <c r="W43" i="20"/>
  <c r="AE43" i="20"/>
  <c r="AM43" i="20"/>
  <c r="AS43" i="20"/>
  <c r="BI43" i="20"/>
  <c r="BR43" i="20"/>
  <c r="G44" i="20"/>
  <c r="M44" i="20"/>
  <c r="W44" i="20"/>
  <c r="AE44" i="20"/>
  <c r="AM44" i="20"/>
  <c r="AS44" i="20"/>
  <c r="BI44" i="20"/>
  <c r="BR44" i="20"/>
  <c r="G45" i="20"/>
  <c r="M45" i="20"/>
  <c r="W45" i="20"/>
  <c r="AE45" i="20"/>
  <c r="AM45" i="20"/>
  <c r="AS45" i="20"/>
  <c r="BI45" i="20"/>
  <c r="BR45" i="20"/>
  <c r="G46" i="20"/>
  <c r="M46" i="20"/>
  <c r="W46" i="20"/>
  <c r="AE46" i="20"/>
  <c r="AM46" i="20"/>
  <c r="AS46" i="20"/>
  <c r="BI46" i="20"/>
  <c r="BR46" i="20"/>
  <c r="G47" i="20"/>
  <c r="M47" i="20"/>
  <c r="W47" i="20"/>
  <c r="AE47" i="20"/>
  <c r="AM47" i="20"/>
  <c r="AS47" i="20"/>
  <c r="BI47" i="20"/>
  <c r="BR47" i="20"/>
  <c r="G48" i="20"/>
  <c r="M48" i="20"/>
  <c r="W48" i="20"/>
  <c r="AE48" i="20"/>
  <c r="AM48" i="20"/>
  <c r="AS48" i="20"/>
  <c r="BI48" i="20"/>
  <c r="BR48" i="20"/>
  <c r="G49" i="20"/>
  <c r="M49" i="20"/>
  <c r="W49" i="20"/>
  <c r="AE49" i="20"/>
  <c r="AM49" i="20"/>
  <c r="AS49" i="20"/>
  <c r="BI49" i="20"/>
  <c r="BR49" i="20"/>
  <c r="G50" i="20"/>
  <c r="M50" i="20"/>
  <c r="W50" i="20"/>
  <c r="AE50" i="20"/>
  <c r="AM50" i="20"/>
  <c r="AS50" i="20"/>
  <c r="BI50" i="20"/>
  <c r="BR50" i="20"/>
  <c r="G51" i="20"/>
  <c r="M51" i="20"/>
  <c r="W51" i="20"/>
  <c r="AE51" i="20"/>
  <c r="AM51" i="20"/>
  <c r="AS51" i="20"/>
  <c r="BI51" i="20"/>
  <c r="BR51" i="20"/>
  <c r="G52" i="20"/>
  <c r="M52" i="20"/>
  <c r="W52" i="20"/>
  <c r="AE52" i="20"/>
  <c r="AM52" i="20"/>
  <c r="AS52" i="20"/>
  <c r="BI52" i="20"/>
  <c r="BR52" i="20"/>
  <c r="G53" i="20"/>
  <c r="M53" i="20"/>
  <c r="W53" i="20"/>
  <c r="AE53" i="20"/>
  <c r="AM53" i="20"/>
  <c r="AS53" i="20"/>
  <c r="BI53" i="20"/>
  <c r="BR53" i="20"/>
  <c r="G54" i="20"/>
  <c r="M54" i="20"/>
  <c r="W54" i="20"/>
  <c r="AE54" i="20"/>
  <c r="AM54" i="20"/>
  <c r="AS54" i="20"/>
  <c r="BI54" i="20"/>
  <c r="BR54" i="20"/>
  <c r="G55" i="20"/>
  <c r="M55" i="20"/>
  <c r="W55" i="20"/>
  <c r="AE55" i="20"/>
  <c r="AM55" i="20"/>
  <c r="AS55" i="20"/>
  <c r="BI55" i="20"/>
  <c r="BR55" i="20"/>
  <c r="G56" i="20"/>
  <c r="M56" i="20"/>
  <c r="W56" i="20"/>
  <c r="AE56" i="20"/>
  <c r="AM56" i="20"/>
  <c r="AS56" i="20"/>
  <c r="BI56" i="20"/>
  <c r="BR56" i="20"/>
  <c r="G57" i="20"/>
  <c r="M57" i="20"/>
  <c r="W57" i="20"/>
  <c r="AE57" i="20"/>
  <c r="AM57" i="20"/>
  <c r="AS57" i="20"/>
  <c r="BI57" i="20"/>
  <c r="BR57" i="20"/>
  <c r="G58" i="20"/>
  <c r="M58" i="20"/>
  <c r="W58" i="20"/>
  <c r="AE58" i="20"/>
  <c r="AM58" i="20"/>
  <c r="AS58" i="20"/>
  <c r="BI58" i="20"/>
  <c r="BR58" i="20"/>
  <c r="G59" i="20"/>
  <c r="M59" i="20"/>
  <c r="W59" i="20"/>
  <c r="AE59" i="20"/>
  <c r="AM59" i="20"/>
  <c r="AS59" i="20"/>
  <c r="BI59" i="20"/>
  <c r="BR59" i="20"/>
  <c r="G60" i="20"/>
  <c r="M60" i="20"/>
  <c r="AM60" i="20"/>
  <c r="AS60" i="20"/>
  <c r="BI60" i="20"/>
  <c r="BR60" i="20"/>
  <c r="G61" i="20"/>
  <c r="M61" i="20"/>
  <c r="AM61" i="20"/>
  <c r="AS61" i="20"/>
  <c r="BI61" i="20"/>
  <c r="BR61" i="20"/>
  <c r="BI62" i="20"/>
  <c r="BR62" i="20"/>
  <c r="BI63" i="20"/>
  <c r="BR63" i="20"/>
  <c r="BI64" i="20"/>
  <c r="BR64" i="20"/>
  <c r="BI65" i="20"/>
  <c r="BR65" i="20"/>
  <c r="BI66" i="20"/>
  <c r="BR66" i="20"/>
  <c r="BI67" i="20"/>
  <c r="BR67" i="20"/>
  <c r="BI68" i="20"/>
  <c r="BR68" i="20"/>
  <c r="BI69" i="20"/>
  <c r="BR69" i="20"/>
  <c r="BI70" i="20"/>
  <c r="BR70" i="20"/>
  <c r="BI71" i="20"/>
  <c r="BR71" i="20"/>
  <c r="BI72" i="20"/>
  <c r="BR72" i="20"/>
  <c r="BI73" i="20"/>
  <c r="BR73" i="20"/>
  <c r="BI74" i="20"/>
  <c r="BR74" i="20"/>
  <c r="BI75" i="20"/>
  <c r="BR75" i="20"/>
  <c r="BI76" i="20"/>
  <c r="BR76" i="20"/>
  <c r="BI77" i="20"/>
  <c r="BR77" i="20"/>
  <c r="BI78" i="20"/>
  <c r="BR78" i="20"/>
  <c r="BI79" i="20"/>
  <c r="BR79" i="20"/>
  <c r="BI80" i="20"/>
  <c r="BR80" i="20"/>
  <c r="BI81" i="20"/>
  <c r="BR81" i="20"/>
  <c r="BI82" i="20"/>
  <c r="BR82" i="20"/>
  <c r="BI83" i="20"/>
  <c r="BR83" i="20"/>
  <c r="BI84" i="20"/>
  <c r="BR84" i="20"/>
  <c r="BI85" i="20"/>
  <c r="BR85" i="20"/>
  <c r="BI86" i="20"/>
  <c r="BR86" i="20"/>
  <c r="BI87" i="20"/>
  <c r="BR87" i="20"/>
  <c r="BI88" i="20"/>
  <c r="BR88" i="20"/>
  <c r="BI89" i="20"/>
  <c r="BR89" i="20"/>
  <c r="BI90" i="20"/>
  <c r="BR90" i="20"/>
  <c r="BI91" i="20"/>
  <c r="BR91" i="20"/>
  <c r="BI92" i="20"/>
  <c r="BR92" i="20"/>
  <c r="BI93" i="20"/>
  <c r="BR93" i="20"/>
  <c r="BI94" i="20"/>
  <c r="BR94" i="20"/>
  <c r="BI95" i="20"/>
  <c r="BR95" i="20"/>
  <c r="BI96" i="20"/>
  <c r="BR96" i="20"/>
  <c r="BI97" i="20"/>
  <c r="BR97" i="20"/>
  <c r="BI98" i="20"/>
  <c r="BR98" i="20"/>
  <c r="BI99" i="20"/>
  <c r="BR99" i="20"/>
  <c r="BI100" i="20"/>
  <c r="BR100" i="20"/>
  <c r="BI101" i="20"/>
  <c r="BR101" i="20"/>
  <c r="BI102" i="20"/>
  <c r="BR102" i="20"/>
  <c r="BI103" i="20"/>
  <c r="BR103" i="20"/>
  <c r="BI104" i="20"/>
  <c r="BR104" i="20"/>
  <c r="BI105" i="20"/>
  <c r="BR105" i="20"/>
  <c r="BI106" i="20"/>
  <c r="BR106" i="20"/>
  <c r="BI107" i="20"/>
  <c r="BR107" i="20"/>
  <c r="BI108" i="20"/>
  <c r="BR108" i="20"/>
  <c r="BI109" i="20"/>
  <c r="BR109" i="20"/>
  <c r="BI110" i="20"/>
  <c r="BR110" i="20"/>
  <c r="BI111" i="20"/>
  <c r="BR111" i="20"/>
  <c r="BI112" i="20"/>
  <c r="BR112" i="20"/>
  <c r="BI113" i="20"/>
  <c r="BR113" i="20"/>
  <c r="BI114" i="20"/>
  <c r="BR114" i="20"/>
  <c r="BI115" i="20"/>
  <c r="BR115" i="20"/>
  <c r="BI116" i="20"/>
  <c r="BR116" i="20"/>
  <c r="BI117" i="20"/>
  <c r="BR117" i="20"/>
  <c r="BI118" i="20"/>
  <c r="BR118" i="20"/>
  <c r="BI119" i="20"/>
  <c r="BR119" i="20"/>
  <c r="BI120" i="20"/>
  <c r="BR120" i="20"/>
  <c r="BI121" i="20"/>
  <c r="BR121" i="20"/>
  <c r="BI122" i="20"/>
  <c r="BR122" i="20"/>
  <c r="BI123" i="20"/>
  <c r="BR123" i="20"/>
  <c r="BI124" i="20"/>
  <c r="BR124" i="20"/>
  <c r="BI125" i="20"/>
  <c r="BR125" i="20"/>
  <c r="BI126" i="20"/>
  <c r="BR126" i="20"/>
  <c r="BI127" i="20"/>
  <c r="BR127" i="20"/>
  <c r="BI128" i="20"/>
  <c r="BR128" i="20"/>
  <c r="BI129" i="20"/>
  <c r="BR129" i="20"/>
  <c r="BI130" i="20"/>
  <c r="BR130" i="20"/>
  <c r="BI131" i="20"/>
  <c r="BR131" i="20"/>
  <c r="BI132" i="20"/>
  <c r="BR132" i="20"/>
  <c r="BI133" i="20"/>
  <c r="BR133" i="20"/>
  <c r="BI134" i="20"/>
  <c r="BR134" i="20"/>
  <c r="BI135" i="20"/>
  <c r="BR135" i="20"/>
  <c r="BI136" i="20"/>
  <c r="BR136" i="20"/>
  <c r="BI137" i="20"/>
  <c r="BR137" i="20"/>
  <c r="BI138" i="20"/>
  <c r="BR138" i="20"/>
  <c r="BI139" i="20"/>
  <c r="BR139" i="20"/>
  <c r="BI140" i="20"/>
  <c r="BR140" i="20"/>
  <c r="BI141" i="20"/>
  <c r="BR141" i="20"/>
  <c r="BI142" i="20"/>
  <c r="BR142" i="20"/>
  <c r="BI143" i="20"/>
  <c r="BR143" i="20"/>
  <c r="BI144" i="20"/>
  <c r="BR144" i="20"/>
  <c r="BI145" i="20"/>
  <c r="BR145" i="20"/>
  <c r="BI146" i="20"/>
  <c r="BR146" i="20"/>
  <c r="BI147" i="20"/>
  <c r="BR147" i="20"/>
  <c r="BI148" i="20"/>
  <c r="BR148" i="20"/>
  <c r="BI149" i="20"/>
  <c r="BR149" i="20"/>
  <c r="BI150" i="20"/>
  <c r="BR150" i="20"/>
  <c r="BI151" i="20"/>
  <c r="BR151" i="20"/>
  <c r="BI152" i="20"/>
  <c r="BR152" i="20"/>
  <c r="BI153" i="20"/>
  <c r="BR153" i="20"/>
  <c r="BI154" i="20"/>
  <c r="BR154" i="20"/>
  <c r="BI155" i="20"/>
  <c r="BR155" i="20"/>
  <c r="BI156" i="20"/>
  <c r="BR156" i="20"/>
  <c r="BI157" i="20"/>
  <c r="BR157" i="20"/>
  <c r="BI158" i="20"/>
  <c r="BR158" i="20"/>
  <c r="BI159" i="20"/>
  <c r="BR159" i="20"/>
  <c r="BI160" i="20"/>
  <c r="BR160" i="20"/>
  <c r="BI161" i="20"/>
  <c r="BR161" i="20"/>
  <c r="BI162" i="20"/>
  <c r="BR162" i="20"/>
  <c r="BI163" i="20"/>
  <c r="BR163" i="20"/>
  <c r="BI164" i="20"/>
  <c r="BR164" i="20"/>
  <c r="BI165" i="20"/>
  <c r="BR165" i="20"/>
  <c r="BI166" i="20"/>
  <c r="BR166" i="20"/>
  <c r="BI167" i="20"/>
  <c r="BR167" i="20"/>
  <c r="BI168" i="20"/>
  <c r="BR168" i="20"/>
  <c r="BI169" i="20"/>
  <c r="BR169" i="20"/>
  <c r="BI170" i="20"/>
  <c r="BR170" i="20"/>
  <c r="BI171" i="20"/>
  <c r="BR171" i="20"/>
  <c r="BI172" i="20"/>
  <c r="BR172" i="20"/>
  <c r="BI173" i="20"/>
  <c r="BR173" i="20"/>
  <c r="BI174" i="20"/>
  <c r="BR174" i="20"/>
  <c r="BI175" i="20"/>
  <c r="BR175" i="20"/>
  <c r="BI176" i="20"/>
  <c r="BR176" i="20"/>
  <c r="BI177" i="20"/>
  <c r="BR177" i="20"/>
  <c r="BI178" i="20"/>
  <c r="BR178" i="20"/>
  <c r="BI179" i="20"/>
  <c r="BR179" i="20"/>
  <c r="BI180" i="20"/>
  <c r="BR180" i="20"/>
  <c r="BI181" i="20"/>
  <c r="BR181" i="20"/>
  <c r="BI182" i="20"/>
  <c r="BR182" i="20"/>
  <c r="BI183" i="20"/>
  <c r="BR183" i="20"/>
  <c r="BI184" i="20"/>
  <c r="BR184" i="20"/>
  <c r="BI185" i="20"/>
  <c r="BR185" i="20"/>
  <c r="BI186" i="20"/>
  <c r="BR186" i="20"/>
  <c r="BI187" i="20"/>
  <c r="BR187" i="20"/>
  <c r="BI188" i="20"/>
  <c r="BR188" i="20"/>
  <c r="BI189" i="20"/>
  <c r="BR189" i="20"/>
  <c r="BI190" i="20"/>
  <c r="BR190" i="20"/>
  <c r="BI191" i="20"/>
  <c r="BR191" i="20"/>
  <c r="BI192" i="20"/>
  <c r="BR192" i="20"/>
  <c r="BI193" i="20"/>
  <c r="BR193" i="20"/>
  <c r="BI194" i="20"/>
  <c r="BR194" i="20"/>
  <c r="BI195" i="20"/>
  <c r="BR195" i="20"/>
  <c r="BI196" i="20"/>
  <c r="BR196" i="20"/>
  <c r="BI197" i="20"/>
  <c r="BR197" i="20"/>
  <c r="BI198" i="20"/>
  <c r="BR198" i="20"/>
  <c r="BI199" i="20"/>
  <c r="BR199" i="20"/>
  <c r="BI200" i="20"/>
  <c r="BR200" i="20"/>
  <c r="BI201" i="20"/>
  <c r="BR201" i="20"/>
  <c r="BI202" i="20"/>
  <c r="BR202" i="20"/>
  <c r="BI203" i="20"/>
  <c r="BR203" i="20"/>
  <c r="BI204" i="20"/>
  <c r="BR204" i="20"/>
  <c r="BI205" i="20"/>
  <c r="BR205" i="20"/>
  <c r="BI206" i="20"/>
  <c r="BR206" i="20"/>
  <c r="BI207" i="20"/>
  <c r="BR207" i="20"/>
  <c r="BI208" i="20"/>
  <c r="BR208" i="20"/>
  <c r="BI209" i="20"/>
  <c r="BR209" i="20"/>
  <c r="BI210" i="20"/>
  <c r="BR210" i="20"/>
  <c r="BI211" i="20"/>
  <c r="BR211" i="20"/>
  <c r="BI212" i="20"/>
  <c r="BR212" i="20"/>
  <c r="BI213" i="20"/>
  <c r="BR213" i="20"/>
  <c r="BI214" i="20"/>
  <c r="BR214" i="20"/>
  <c r="BI215" i="20"/>
  <c r="BR215" i="20"/>
  <c r="BI216" i="20"/>
  <c r="BR216" i="20"/>
  <c r="BI217" i="20"/>
  <c r="BR217" i="20"/>
  <c r="BI218" i="20"/>
  <c r="BR218" i="20"/>
  <c r="BI219" i="20"/>
  <c r="BR219" i="20"/>
  <c r="BI220" i="20"/>
  <c r="BR220" i="20"/>
  <c r="BI221" i="20"/>
  <c r="BR221" i="20"/>
  <c r="BI222" i="20"/>
  <c r="BR222" i="20"/>
  <c r="BI223" i="20"/>
  <c r="BR223" i="20"/>
  <c r="BI224" i="20"/>
  <c r="BR224" i="20"/>
  <c r="BI225" i="20"/>
  <c r="BR225" i="20"/>
  <c r="BI226" i="20"/>
  <c r="BR226" i="20"/>
  <c r="BI227" i="20"/>
  <c r="BR227" i="20"/>
  <c r="BI228" i="20"/>
  <c r="BR228" i="20"/>
  <c r="BI229" i="20"/>
  <c r="BR229" i="20"/>
  <c r="BI230" i="20"/>
  <c r="BR230" i="20"/>
  <c r="BI231" i="20"/>
  <c r="BR231" i="20"/>
  <c r="BI232" i="20"/>
  <c r="BR232" i="20"/>
  <c r="BI233" i="20"/>
  <c r="BR233" i="20"/>
  <c r="BI234" i="20"/>
  <c r="BR234" i="20"/>
  <c r="BI235" i="20"/>
  <c r="BR235" i="20"/>
  <c r="BI236" i="20"/>
  <c r="BR236" i="20"/>
  <c r="BI237" i="20"/>
  <c r="BR237" i="20"/>
  <c r="BI238" i="20"/>
  <c r="BR238" i="20"/>
  <c r="BI239" i="20"/>
  <c r="BR239" i="20"/>
  <c r="BI240" i="20"/>
  <c r="BR240" i="20"/>
  <c r="BI241" i="20"/>
  <c r="BR241" i="20"/>
  <c r="BI242" i="20"/>
  <c r="BR242" i="20"/>
  <c r="BI243" i="20"/>
  <c r="BR243" i="20"/>
  <c r="BI244" i="20"/>
  <c r="BR244" i="20"/>
  <c r="BI245" i="20"/>
  <c r="BR245" i="20"/>
  <c r="BI246" i="20"/>
  <c r="BR246" i="20"/>
  <c r="BI247" i="20"/>
  <c r="BR247" i="20"/>
  <c r="BI248" i="20"/>
  <c r="BR248" i="20"/>
  <c r="BI249" i="20"/>
  <c r="BR249" i="20"/>
  <c r="BI250" i="20"/>
  <c r="BR250" i="20"/>
  <c r="BI251" i="20"/>
  <c r="BR251" i="20"/>
  <c r="BI252" i="20"/>
  <c r="BR252" i="20"/>
  <c r="BI253" i="20"/>
  <c r="BR253" i="20"/>
  <c r="BI254" i="20"/>
  <c r="BR254" i="20"/>
  <c r="BI255" i="20"/>
  <c r="BR255" i="20"/>
  <c r="BI256" i="20"/>
  <c r="BR256" i="20"/>
  <c r="BI257" i="20"/>
  <c r="BR257" i="20"/>
  <c r="BI258" i="20"/>
  <c r="BR258" i="20"/>
  <c r="BI259" i="20"/>
  <c r="BR259" i="20"/>
  <c r="BI260" i="20"/>
  <c r="BR260" i="20"/>
  <c r="BI261" i="20"/>
  <c r="BR261" i="20"/>
  <c r="BI262" i="20"/>
  <c r="BR262" i="20"/>
  <c r="BI263" i="20"/>
  <c r="BR263" i="20"/>
  <c r="BI264" i="20"/>
  <c r="BR264" i="20"/>
  <c r="BI265" i="20"/>
  <c r="BR265" i="20"/>
  <c r="BI266" i="20"/>
  <c r="BR266" i="20"/>
  <c r="BI267" i="20"/>
  <c r="BR267" i="20"/>
  <c r="BI268" i="20"/>
  <c r="BR268" i="20"/>
  <c r="BI269" i="20"/>
  <c r="BR269" i="20"/>
  <c r="BI270" i="20"/>
  <c r="BR270" i="20"/>
  <c r="BI271" i="20"/>
  <c r="BR271" i="20"/>
  <c r="BI272" i="20"/>
  <c r="BR272" i="20"/>
  <c r="BI273" i="20"/>
  <c r="BR273" i="20"/>
  <c r="BI274" i="20"/>
  <c r="BR274" i="20"/>
  <c r="BI275" i="20"/>
  <c r="BR275" i="20"/>
  <c r="BI276" i="20"/>
  <c r="BR276" i="20"/>
  <c r="BI277" i="20"/>
  <c r="BR277" i="20"/>
  <c r="BI278" i="20"/>
  <c r="BR278" i="20"/>
  <c r="BI279" i="20"/>
  <c r="BR279" i="20"/>
  <c r="BI280" i="20"/>
  <c r="BR280" i="20"/>
  <c r="BI281" i="20"/>
  <c r="BR281" i="20"/>
  <c r="BI282" i="20"/>
  <c r="BR282" i="20"/>
  <c r="BI283" i="20"/>
  <c r="BR283" i="20"/>
  <c r="BI284" i="20"/>
  <c r="BR284" i="20"/>
  <c r="BI285" i="20"/>
  <c r="BR285" i="20"/>
  <c r="BI286" i="20"/>
  <c r="BR286" i="20"/>
  <c r="BI287" i="20"/>
  <c r="BR287" i="20"/>
  <c r="BI288" i="20"/>
  <c r="BR288" i="20"/>
  <c r="BI289" i="20"/>
  <c r="BR289" i="20"/>
  <c r="BI290" i="20"/>
  <c r="BR290" i="20"/>
  <c r="BI291" i="20"/>
  <c r="BR291" i="20"/>
  <c r="BI292" i="20"/>
  <c r="BR292" i="20"/>
  <c r="BI293" i="20"/>
  <c r="BR293" i="20"/>
  <c r="BI294" i="20"/>
  <c r="BR294" i="20"/>
  <c r="BI295" i="20"/>
  <c r="BR295" i="20"/>
  <c r="BI296" i="20"/>
  <c r="BR296" i="20"/>
  <c r="BI297" i="20"/>
  <c r="BR297" i="20"/>
  <c r="BI298" i="20"/>
  <c r="BR298" i="20"/>
  <c r="BI299" i="20"/>
  <c r="BR299" i="20"/>
  <c r="BI300" i="20"/>
  <c r="BR300" i="20"/>
  <c r="BI301" i="20"/>
  <c r="BR301" i="20"/>
  <c r="BI302" i="20"/>
  <c r="BR302" i="20"/>
  <c r="BI303" i="20"/>
  <c r="BR303" i="20"/>
  <c r="BI304" i="20"/>
  <c r="BR304" i="20"/>
  <c r="BI305" i="20"/>
  <c r="BR305" i="20"/>
  <c r="BI306" i="20"/>
  <c r="BR306" i="20"/>
  <c r="BI307" i="20"/>
  <c r="BR307" i="20"/>
  <c r="BI308" i="20"/>
  <c r="BR308" i="20"/>
  <c r="BI309" i="20"/>
  <c r="BR309" i="20"/>
  <c r="BI310" i="20"/>
  <c r="BR310" i="20"/>
  <c r="BI311" i="20"/>
  <c r="BR311" i="20"/>
  <c r="BI312" i="20"/>
  <c r="BR312" i="20"/>
  <c r="BI313" i="20"/>
  <c r="BR313" i="20"/>
  <c r="BI314" i="20"/>
  <c r="BR314" i="20"/>
  <c r="BI315" i="20"/>
  <c r="BR315" i="20"/>
  <c r="BI316" i="20"/>
  <c r="BR316" i="20"/>
  <c r="BI317" i="20"/>
  <c r="BR317" i="20"/>
  <c r="BI318" i="20"/>
  <c r="BR318" i="20"/>
  <c r="BI319" i="20"/>
  <c r="BR319" i="20"/>
  <c r="BI320" i="20"/>
  <c r="BR320" i="20"/>
  <c r="BI321" i="20"/>
  <c r="BR321" i="20"/>
  <c r="BI322" i="20"/>
  <c r="BR322" i="20"/>
  <c r="BI323" i="20"/>
  <c r="BR323" i="20"/>
  <c r="BI324" i="20"/>
  <c r="BR324" i="20"/>
  <c r="BI325" i="20"/>
  <c r="BR325" i="20"/>
  <c r="BI326" i="20"/>
  <c r="BR326" i="20"/>
  <c r="BI327" i="20"/>
  <c r="BR327" i="20"/>
  <c r="BI328" i="20"/>
  <c r="BR328" i="20"/>
  <c r="BI329" i="20"/>
  <c r="BR329" i="20"/>
  <c r="BI330" i="20"/>
  <c r="BR330" i="20"/>
  <c r="BI331" i="20"/>
  <c r="BR331" i="20"/>
  <c r="BI332" i="20"/>
  <c r="BR332" i="20"/>
  <c r="BI333" i="20"/>
  <c r="BR333" i="20"/>
  <c r="BI334" i="20"/>
  <c r="BR334" i="20"/>
  <c r="BI335" i="20"/>
  <c r="BR335" i="20"/>
  <c r="BI336" i="20"/>
  <c r="BR336" i="20"/>
  <c r="BI337" i="20"/>
  <c r="BR337" i="20"/>
  <c r="BI338" i="20"/>
  <c r="BR338" i="20"/>
  <c r="BI339" i="20"/>
  <c r="BI340" i="20"/>
  <c r="BI341" i="20"/>
  <c r="BI342" i="20"/>
  <c r="BI343" i="20"/>
  <c r="BI344" i="20"/>
  <c r="BI345" i="20"/>
  <c r="BI346" i="20"/>
  <c r="BI347" i="20"/>
  <c r="BI348" i="20"/>
  <c r="BI349" i="20"/>
  <c r="BI350" i="20"/>
  <c r="BI351" i="20"/>
  <c r="BI352" i="20"/>
  <c r="BI353" i="20"/>
  <c r="BI354" i="20"/>
  <c r="BI355" i="20"/>
  <c r="BI356" i="20"/>
  <c r="BI357" i="20"/>
  <c r="BI358" i="20"/>
  <c r="BI359" i="20"/>
  <c r="BI360" i="20"/>
  <c r="BI361" i="20"/>
  <c r="BI362" i="20"/>
  <c r="BI363" i="20"/>
  <c r="BI364" i="20"/>
  <c r="BI365" i="20"/>
  <c r="BI366" i="20"/>
  <c r="BI367" i="20"/>
  <c r="BI368" i="20"/>
  <c r="BI369" i="20"/>
  <c r="BI370" i="20"/>
  <c r="BI371" i="20"/>
  <c r="BI372" i="20"/>
  <c r="BI373" i="20"/>
  <c r="BI374" i="20"/>
  <c r="BI375" i="20"/>
  <c r="BI376" i="20"/>
  <c r="BI377" i="20"/>
  <c r="BI378" i="20"/>
  <c r="BI379" i="20"/>
  <c r="BI380" i="20"/>
  <c r="BI381" i="20"/>
  <c r="BI382" i="20"/>
  <c r="BI383" i="20"/>
  <c r="BI384" i="20"/>
  <c r="BI385" i="20"/>
  <c r="BI386" i="20"/>
  <c r="BI387" i="20"/>
  <c r="BI388" i="20"/>
  <c r="BI389" i="20"/>
  <c r="BI390" i="20"/>
  <c r="BI391" i="20"/>
  <c r="BI392" i="20"/>
  <c r="BI393" i="20"/>
  <c r="BI394" i="20"/>
  <c r="BI395" i="20"/>
  <c r="BI396" i="20"/>
  <c r="BI397" i="20"/>
  <c r="BI398" i="20"/>
  <c r="BI399" i="20"/>
  <c r="BI400" i="20"/>
  <c r="BI401" i="20"/>
  <c r="BI402" i="20"/>
  <c r="BI403" i="20"/>
  <c r="BI404" i="20"/>
  <c r="BI405" i="20"/>
  <c r="BI406" i="20"/>
  <c r="BI407" i="20"/>
  <c r="BI408" i="20"/>
  <c r="BI409" i="20"/>
  <c r="BI410" i="20"/>
  <c r="BI411" i="20"/>
  <c r="BI412" i="20"/>
  <c r="BI413" i="20"/>
  <c r="BI414" i="20"/>
  <c r="BI415" i="20"/>
  <c r="BI416" i="20"/>
  <c r="BI417" i="20"/>
  <c r="BI418" i="20"/>
  <c r="BI419" i="20"/>
  <c r="BI420" i="20"/>
  <c r="BI421" i="20"/>
  <c r="BI422" i="20"/>
  <c r="BI423" i="20"/>
  <c r="BI424" i="20"/>
  <c r="BI425" i="20"/>
  <c r="BI426" i="20"/>
  <c r="BI427" i="20"/>
  <c r="BI428" i="20"/>
  <c r="BI429" i="20"/>
  <c r="BI430" i="20"/>
  <c r="BI431" i="20"/>
  <c r="BI432" i="20"/>
  <c r="BI433" i="20"/>
  <c r="BI434" i="20"/>
  <c r="BI435" i="20"/>
  <c r="BI436" i="20"/>
  <c r="BI437" i="20"/>
  <c r="BI438" i="20"/>
  <c r="BI439" i="20"/>
  <c r="BI440" i="20"/>
  <c r="BI441" i="20"/>
  <c r="BI442" i="20"/>
  <c r="BI443" i="20"/>
  <c r="BI444" i="20"/>
  <c r="BI445" i="20"/>
  <c r="BI446" i="20"/>
  <c r="BI447" i="20"/>
  <c r="BI448" i="20"/>
  <c r="BI449" i="20"/>
  <c r="BI450" i="20"/>
  <c r="BI451" i="20"/>
  <c r="BI452" i="20"/>
  <c r="BI453" i="20"/>
  <c r="BI454" i="20"/>
  <c r="BI455" i="20"/>
  <c r="BI456" i="20"/>
  <c r="BI457" i="20"/>
  <c r="BI458" i="20"/>
  <c r="BI459" i="20"/>
  <c r="BI460" i="20"/>
  <c r="BI461" i="20"/>
  <c r="BI462" i="20"/>
  <c r="BI463" i="20"/>
  <c r="BI464" i="20"/>
  <c r="BI465" i="20"/>
  <c r="BI466" i="20"/>
  <c r="BI467" i="20"/>
  <c r="BI468" i="20"/>
  <c r="BI469" i="20"/>
  <c r="BI470" i="20"/>
  <c r="BI471" i="20"/>
  <c r="BI472" i="20"/>
  <c r="BI473" i="20"/>
  <c r="BI474" i="20"/>
  <c r="BI475" i="20"/>
  <c r="BI476" i="20"/>
  <c r="BI477" i="20"/>
  <c r="BI478" i="20"/>
  <c r="BI479" i="20"/>
  <c r="BI480" i="20"/>
  <c r="BI481" i="20"/>
  <c r="BI482" i="20"/>
  <c r="BI483" i="20"/>
  <c r="BI484" i="20"/>
  <c r="BI485" i="20"/>
  <c r="BI486" i="20"/>
  <c r="BI487" i="20"/>
  <c r="BI488" i="20"/>
  <c r="BI489" i="20"/>
  <c r="BI490" i="20"/>
  <c r="BI491" i="20"/>
  <c r="BI492" i="20"/>
  <c r="BI493" i="20"/>
  <c r="BI494" i="20"/>
  <c r="BI495" i="20"/>
  <c r="BI496" i="20"/>
  <c r="BI497" i="20"/>
  <c r="BI498" i="20"/>
  <c r="BI499" i="20"/>
  <c r="BI500" i="20"/>
  <c r="BI501" i="20"/>
  <c r="BI502" i="20"/>
  <c r="BI503" i="20"/>
  <c r="BI504" i="20"/>
  <c r="BI505" i="20"/>
  <c r="BI506" i="20"/>
  <c r="BI507" i="20"/>
  <c r="BI508" i="20"/>
  <c r="BI509" i="20"/>
  <c r="BI510" i="20"/>
  <c r="BI511" i="20"/>
  <c r="BI512" i="20"/>
  <c r="BI513" i="20"/>
  <c r="BI514" i="20"/>
  <c r="BI515" i="20"/>
  <c r="BI516" i="20"/>
  <c r="BI517" i="20"/>
  <c r="BI518" i="20"/>
  <c r="BI519" i="20"/>
  <c r="BI520" i="20"/>
  <c r="BI521" i="20"/>
  <c r="BI522" i="20"/>
  <c r="BI523" i="20"/>
  <c r="BI524" i="20"/>
  <c r="BI525" i="20"/>
  <c r="BI526" i="20"/>
  <c r="BI527" i="20"/>
  <c r="BI528" i="20"/>
  <c r="BI529" i="20"/>
  <c r="BI530" i="20"/>
  <c r="BI531" i="20"/>
  <c r="BI532" i="20"/>
  <c r="BI533" i="20"/>
  <c r="BI534" i="20"/>
  <c r="BI535" i="20"/>
  <c r="BI536" i="20"/>
  <c r="BI537" i="20"/>
  <c r="BI538" i="20"/>
  <c r="BI539" i="20"/>
  <c r="BI540" i="20"/>
  <c r="BI541" i="20"/>
  <c r="BI542" i="20"/>
  <c r="BI543" i="20"/>
  <c r="BI544" i="20"/>
  <c r="BI545" i="20"/>
  <c r="BI546" i="20"/>
  <c r="BI547" i="20"/>
  <c r="BI548" i="20"/>
  <c r="BI549" i="20"/>
  <c r="BI550" i="20"/>
  <c r="BI551" i="20"/>
  <c r="BI552" i="20"/>
  <c r="BI553" i="20"/>
  <c r="BI554" i="20"/>
  <c r="BI555" i="20"/>
  <c r="BI556" i="20"/>
  <c r="BI557" i="20"/>
  <c r="BI558" i="20"/>
  <c r="BI559" i="20"/>
  <c r="BI560" i="20"/>
  <c r="BI561" i="20"/>
  <c r="BI562" i="20"/>
  <c r="BI563" i="20"/>
  <c r="BI564" i="20"/>
  <c r="BI565" i="20"/>
  <c r="BI566" i="20"/>
  <c r="BI567" i="20"/>
  <c r="BI568" i="20"/>
  <c r="BI569" i="20"/>
  <c r="BI570" i="20"/>
  <c r="BI571" i="20"/>
  <c r="BI572" i="20"/>
  <c r="BI573" i="20"/>
  <c r="BI574" i="20"/>
  <c r="BI575" i="20"/>
  <c r="BI576" i="20"/>
  <c r="BI577" i="20"/>
  <c r="BI578" i="20"/>
  <c r="BI579" i="20"/>
  <c r="BI580" i="20"/>
  <c r="BI581" i="20"/>
  <c r="BI582" i="20"/>
  <c r="BI583" i="20"/>
  <c r="BI584" i="20"/>
  <c r="BI585" i="20"/>
  <c r="BI586" i="20"/>
  <c r="BI587" i="20"/>
  <c r="BI588" i="20"/>
  <c r="BI589" i="20"/>
  <c r="BI590" i="20"/>
  <c r="BI591" i="20"/>
  <c r="BI592" i="20"/>
  <c r="BI593" i="20"/>
  <c r="BI594" i="20"/>
  <c r="BI595" i="20"/>
  <c r="BI596" i="20"/>
  <c r="BI597" i="20"/>
  <c r="BI598" i="20"/>
  <c r="BI599" i="20"/>
  <c r="BI600" i="20"/>
  <c r="BI601" i="20"/>
  <c r="BI602" i="20"/>
  <c r="BI603" i="20"/>
  <c r="BI604" i="20"/>
  <c r="BI605" i="20"/>
  <c r="BI606" i="20"/>
  <c r="BI607" i="20"/>
  <c r="BI608" i="20"/>
  <c r="BI609" i="20"/>
  <c r="BI610" i="20"/>
  <c r="BI611" i="20"/>
  <c r="BI612" i="20"/>
  <c r="BI613" i="20"/>
  <c r="BI614" i="20"/>
  <c r="BI615" i="20"/>
  <c r="BI616" i="20"/>
  <c r="BI617" i="20"/>
  <c r="BI618" i="20"/>
  <c r="BI619" i="20"/>
  <c r="BI620" i="20"/>
  <c r="BI621" i="20"/>
  <c r="BI622" i="20"/>
  <c r="BI623" i="20"/>
  <c r="BI624" i="20"/>
  <c r="BI625" i="20"/>
  <c r="BI626" i="20"/>
  <c r="BI627" i="20"/>
  <c r="BI628" i="20"/>
  <c r="BI629" i="20"/>
  <c r="BI630" i="20"/>
  <c r="BI631" i="20"/>
  <c r="BI632" i="20"/>
  <c r="BI633" i="20"/>
  <c r="BI634" i="20"/>
  <c r="BI635" i="20"/>
  <c r="BI636" i="20"/>
  <c r="BI637" i="20"/>
  <c r="BI638" i="20"/>
  <c r="BI639" i="20"/>
  <c r="BI640" i="20"/>
  <c r="BI641" i="20"/>
  <c r="BI642" i="20"/>
  <c r="BI643" i="20"/>
  <c r="BI644" i="20"/>
  <c r="BI645" i="20"/>
  <c r="BI646" i="20"/>
  <c r="BI647" i="20"/>
  <c r="BI648" i="20"/>
  <c r="BI649" i="20"/>
  <c r="BI650" i="20"/>
  <c r="BI651" i="20"/>
  <c r="BI652" i="20"/>
  <c r="BI653" i="20"/>
  <c r="BI654" i="20"/>
  <c r="BI655" i="20"/>
  <c r="BI656" i="20"/>
  <c r="BI657" i="20"/>
  <c r="BI658" i="20"/>
  <c r="BI659" i="20"/>
  <c r="BI660" i="20"/>
  <c r="BI661" i="20"/>
  <c r="BI662" i="20"/>
  <c r="BI663" i="20"/>
  <c r="BI664" i="20"/>
  <c r="BI665" i="20"/>
  <c r="BI666" i="20"/>
  <c r="BI667" i="20"/>
  <c r="BI668" i="20"/>
  <c r="BI669" i="20"/>
  <c r="BI670" i="20"/>
  <c r="BI671" i="20"/>
  <c r="BI672" i="20"/>
  <c r="BI673" i="20"/>
  <c r="BI674" i="20"/>
  <c r="BI675" i="20"/>
  <c r="BI676" i="20"/>
  <c r="BI677" i="20"/>
  <c r="BI678" i="20"/>
  <c r="BI679" i="20"/>
  <c r="BI680" i="20"/>
  <c r="BI681" i="20"/>
  <c r="BI682" i="20"/>
  <c r="BI683" i="20"/>
  <c r="BI684" i="20"/>
  <c r="BI685" i="20"/>
  <c r="BI686" i="20"/>
  <c r="BI687" i="20"/>
  <c r="BI688" i="20"/>
  <c r="BI689" i="20"/>
  <c r="BI690" i="20"/>
  <c r="BI691" i="20"/>
  <c r="BI692" i="20"/>
  <c r="BI693" i="20"/>
  <c r="BI694" i="20"/>
  <c r="BI695" i="20"/>
  <c r="BI696" i="20"/>
  <c r="BI697" i="20"/>
  <c r="BI698" i="20"/>
  <c r="BI699" i="20"/>
  <c r="BI700" i="20"/>
  <c r="BI701" i="20"/>
  <c r="BI702" i="20"/>
  <c r="BI703" i="20"/>
  <c r="BI704" i="20"/>
  <c r="BI705" i="20"/>
  <c r="BI706" i="20"/>
  <c r="BI707" i="20"/>
  <c r="BI708" i="20"/>
  <c r="BI709" i="20"/>
  <c r="BI710" i="20"/>
  <c r="BI711" i="20"/>
  <c r="BI712" i="20"/>
  <c r="BI713" i="20"/>
  <c r="BI714" i="20"/>
  <c r="BI715" i="20"/>
  <c r="BI716" i="20"/>
  <c r="BI717" i="20"/>
  <c r="BI718" i="20"/>
  <c r="BI719" i="20"/>
  <c r="BI720" i="20"/>
  <c r="BI721" i="20"/>
  <c r="BI722" i="20"/>
  <c r="BI723" i="20"/>
  <c r="BI724" i="20"/>
  <c r="BI725" i="20"/>
  <c r="BI726" i="20"/>
  <c r="BI727" i="20"/>
  <c r="BI728" i="20"/>
  <c r="BI729" i="20"/>
  <c r="BI730" i="20"/>
  <c r="BI731" i="20"/>
  <c r="BI732" i="20"/>
  <c r="BI733" i="20"/>
  <c r="BI734" i="20"/>
  <c r="BI735" i="20"/>
  <c r="BI736" i="20"/>
  <c r="BI737" i="20"/>
  <c r="BI738" i="20"/>
  <c r="BI739" i="20"/>
  <c r="BI740" i="20"/>
  <c r="BI741" i="20"/>
  <c r="BI742" i="20"/>
  <c r="BI743" i="20"/>
  <c r="BI744" i="20"/>
  <c r="BI745" i="20"/>
  <c r="BI746" i="20"/>
  <c r="BI747" i="20"/>
  <c r="BI748" i="20"/>
  <c r="BI749" i="20"/>
  <c r="BI750" i="20"/>
  <c r="BI751" i="20"/>
  <c r="BI752" i="20"/>
  <c r="BI753" i="20"/>
  <c r="BI754" i="20"/>
  <c r="BI755" i="20"/>
  <c r="BI756" i="20"/>
  <c r="BI757" i="20"/>
  <c r="BI758" i="20"/>
  <c r="BI759" i="20"/>
  <c r="BI760" i="20"/>
  <c r="BI761" i="20"/>
  <c r="BI762" i="20"/>
  <c r="BI763" i="20"/>
  <c r="BI764" i="20"/>
  <c r="BI765" i="20"/>
  <c r="BI766" i="20"/>
  <c r="BI767" i="20"/>
  <c r="BI768" i="20"/>
  <c r="BI769" i="20"/>
  <c r="BI770" i="20"/>
  <c r="BI771" i="20"/>
  <c r="BI772" i="20"/>
  <c r="BI773" i="20"/>
  <c r="BI774" i="20"/>
  <c r="BI775" i="20"/>
  <c r="BI776" i="20"/>
  <c r="BI777" i="20"/>
  <c r="BI778" i="20"/>
  <c r="BI779" i="20"/>
  <c r="BI780" i="20"/>
  <c r="BI781" i="20"/>
  <c r="BI782" i="20"/>
  <c r="BI783" i="20"/>
  <c r="BI784" i="20"/>
  <c r="BI785" i="20"/>
  <c r="BI786" i="20"/>
  <c r="BI787" i="20"/>
  <c r="BI788" i="20"/>
  <c r="BI789" i="20"/>
  <c r="BI790" i="20"/>
  <c r="BI791" i="20"/>
  <c r="BI792" i="20"/>
  <c r="BI793" i="20"/>
  <c r="BI794" i="20"/>
  <c r="BI795" i="20"/>
  <c r="BI796" i="20"/>
  <c r="BI797" i="20"/>
  <c r="BI798" i="20"/>
  <c r="BI799" i="20"/>
  <c r="BI800" i="20"/>
  <c r="BI801" i="20"/>
  <c r="BI802" i="20"/>
  <c r="BI803" i="20"/>
  <c r="BI804" i="20"/>
  <c r="BI805" i="20"/>
  <c r="BI806" i="20"/>
  <c r="BI807" i="20"/>
  <c r="BI808" i="20"/>
  <c r="BI809" i="20"/>
  <c r="BI810" i="20"/>
  <c r="BI811" i="20"/>
  <c r="BI812" i="20"/>
  <c r="BI813" i="20"/>
  <c r="BI814" i="20"/>
  <c r="BI815" i="20"/>
  <c r="BI816" i="20"/>
  <c r="BI817" i="20"/>
  <c r="BI818" i="20"/>
  <c r="BI819" i="20"/>
  <c r="BI820" i="20"/>
  <c r="BI821" i="20"/>
  <c r="BI822" i="20"/>
  <c r="BI823" i="20"/>
  <c r="BI824" i="20"/>
  <c r="BI825" i="20"/>
  <c r="BI826" i="20"/>
  <c r="BI827" i="20"/>
  <c r="BI828" i="20"/>
  <c r="BI829" i="20"/>
  <c r="BI830" i="20"/>
  <c r="BI831" i="20"/>
  <c r="BI832" i="20"/>
  <c r="BI833" i="20"/>
  <c r="BI834" i="20"/>
  <c r="BI835" i="20"/>
  <c r="BI836" i="20"/>
  <c r="BI837" i="20"/>
  <c r="BI838" i="20"/>
  <c r="BI839" i="20"/>
  <c r="BI840" i="20"/>
  <c r="BI841" i="20"/>
  <c r="BI842" i="20"/>
  <c r="BI843" i="20"/>
  <c r="BI844" i="20"/>
  <c r="BI845" i="20"/>
  <c r="BI846" i="20"/>
  <c r="BI847" i="20"/>
  <c r="BI848" i="20"/>
  <c r="BI849" i="20"/>
  <c r="BI850" i="20"/>
  <c r="BI851" i="20"/>
  <c r="BI852" i="20"/>
  <c r="BI853" i="20"/>
  <c r="BI854" i="20"/>
  <c r="BI855" i="20"/>
  <c r="BI856" i="20"/>
  <c r="BI857" i="20"/>
  <c r="BI858" i="20"/>
  <c r="BI859" i="20"/>
  <c r="BI860" i="20"/>
  <c r="BI861" i="20"/>
  <c r="BI862" i="20"/>
  <c r="BI863" i="20"/>
  <c r="BI864" i="20"/>
  <c r="BI865" i="20"/>
  <c r="BI866" i="20"/>
  <c r="BI867" i="20"/>
  <c r="BI868" i="20"/>
  <c r="BI869" i="20"/>
  <c r="BI870" i="20"/>
  <c r="BI871" i="20"/>
  <c r="BI872" i="20"/>
  <c r="BI873" i="20"/>
  <c r="BI874" i="20"/>
  <c r="BI875" i="20"/>
  <c r="BI876" i="20"/>
  <c r="BI877" i="20"/>
  <c r="BI878" i="20"/>
  <c r="BI879" i="20"/>
  <c r="BI880" i="20"/>
  <c r="BI881" i="20"/>
  <c r="BI882" i="20"/>
  <c r="BI883" i="20"/>
  <c r="BI884" i="20"/>
  <c r="BI885" i="20"/>
  <c r="BI886" i="20"/>
  <c r="BI887" i="20"/>
  <c r="BI888" i="20"/>
  <c r="BI889" i="20"/>
  <c r="BI890" i="20"/>
  <c r="BI891" i="20"/>
  <c r="BI892" i="20"/>
  <c r="BI893" i="20"/>
  <c r="BI894" i="20"/>
  <c r="BI895" i="20"/>
  <c r="BI896" i="20"/>
  <c r="BI897" i="20"/>
  <c r="BI898" i="20"/>
  <c r="BI899" i="20"/>
  <c r="BI900" i="20"/>
  <c r="BI901" i="20"/>
  <c r="BI902" i="20"/>
  <c r="BI903" i="20"/>
  <c r="BI904" i="20"/>
  <c r="BI905" i="20"/>
  <c r="BI906" i="20"/>
  <c r="BI907" i="20"/>
  <c r="BI908" i="20"/>
  <c r="BI909" i="20"/>
  <c r="BI910" i="20"/>
  <c r="BI911" i="20"/>
  <c r="BI912" i="20"/>
  <c r="BI913" i="20"/>
  <c r="BI914" i="20"/>
  <c r="BI915" i="20"/>
  <c r="BI916" i="20"/>
  <c r="BI917" i="20"/>
  <c r="BI918" i="20"/>
  <c r="BI919" i="20"/>
  <c r="BI920" i="20"/>
  <c r="BI921" i="20"/>
  <c r="BI922" i="20"/>
  <c r="BI923" i="20"/>
  <c r="BI924" i="20"/>
  <c r="BI925" i="20"/>
  <c r="BI926" i="20"/>
  <c r="BI927" i="20"/>
  <c r="BI928" i="20"/>
  <c r="BI929" i="20"/>
  <c r="BI930" i="20"/>
  <c r="BI931" i="20"/>
  <c r="BI932" i="20"/>
  <c r="BI933" i="20"/>
  <c r="BI934" i="20"/>
  <c r="BI935" i="20"/>
  <c r="BI936" i="20"/>
  <c r="BI937" i="20"/>
  <c r="BI938" i="20"/>
  <c r="BI939" i="20"/>
  <c r="BI940" i="20"/>
  <c r="BI941" i="20"/>
  <c r="BI942" i="20"/>
  <c r="BI943" i="20"/>
  <c r="BI944" i="20"/>
  <c r="BI945" i="20"/>
  <c r="BI946" i="20"/>
  <c r="BI947" i="20"/>
  <c r="BI948" i="20"/>
  <c r="BI949" i="20"/>
  <c r="BI950" i="20"/>
  <c r="BI951" i="20"/>
  <c r="BI952" i="20"/>
  <c r="BI953" i="20"/>
  <c r="BI954" i="20"/>
  <c r="BI955" i="20"/>
  <c r="BI956" i="20"/>
  <c r="BI957" i="20"/>
  <c r="BI958" i="20"/>
  <c r="BI959" i="20"/>
  <c r="BI960" i="20"/>
  <c r="BI961" i="20"/>
  <c r="BI962" i="20"/>
  <c r="BI963" i="20"/>
  <c r="BI964" i="20"/>
  <c r="BI965" i="20"/>
  <c r="BI966" i="20"/>
  <c r="BI967" i="20"/>
  <c r="BI968" i="20"/>
  <c r="BI969" i="20"/>
  <c r="BI970" i="20"/>
  <c r="BI971" i="20"/>
  <c r="BI972" i="20"/>
  <c r="BI973" i="20"/>
  <c r="BI974" i="20"/>
  <c r="BI975" i="20"/>
  <c r="BI976" i="20"/>
  <c r="BI977" i="20"/>
  <c r="BI978" i="20"/>
  <c r="BI979" i="20"/>
  <c r="BI980" i="20"/>
  <c r="BI981" i="20"/>
  <c r="BI982" i="20"/>
  <c r="BI983" i="20"/>
  <c r="BI984" i="20"/>
  <c r="BI985" i="20"/>
  <c r="BI986" i="20"/>
  <c r="BI987" i="20"/>
  <c r="BI988" i="20"/>
  <c r="BI989" i="20"/>
  <c r="BI990" i="20"/>
  <c r="BI991" i="20"/>
  <c r="BI992" i="20"/>
  <c r="BI993" i="20"/>
  <c r="BI994" i="20"/>
  <c r="BI995" i="20"/>
  <c r="BI996" i="20"/>
  <c r="BI997" i="20"/>
  <c r="BI998" i="20"/>
  <c r="BI999" i="20"/>
  <c r="BI1000" i="20"/>
  <c r="BI1001" i="20"/>
  <c r="BI1002" i="20"/>
  <c r="BI1003" i="20"/>
  <c r="BI1004" i="20"/>
  <c r="BI1005" i="20"/>
  <c r="BI1006" i="20"/>
  <c r="BI1007" i="20"/>
  <c r="BI1008" i="20"/>
  <c r="BI1009" i="20"/>
  <c r="BI1010" i="20"/>
  <c r="BI1011" i="20"/>
  <c r="BI1012" i="20"/>
  <c r="BI1013" i="20"/>
  <c r="BI1014" i="20"/>
  <c r="BI1015" i="20"/>
  <c r="BI1016" i="20"/>
  <c r="BI1017" i="20"/>
  <c r="BI1018" i="20"/>
  <c r="BI1019" i="20"/>
  <c r="BI1020" i="20"/>
  <c r="BI1021" i="20"/>
  <c r="BI1022" i="20"/>
  <c r="BI1023" i="20"/>
  <c r="BI1024" i="20"/>
  <c r="BI1025" i="20"/>
  <c r="BI1026" i="20"/>
  <c r="BI1027" i="20"/>
  <c r="BI1028" i="20"/>
  <c r="BI1029" i="20"/>
  <c r="BI1030" i="20"/>
  <c r="BI1031" i="20"/>
  <c r="BI1032" i="20"/>
  <c r="BI1033" i="20"/>
  <c r="BI1034" i="20"/>
  <c r="BI1035" i="20"/>
  <c r="BI1036" i="20"/>
  <c r="BI1037" i="20"/>
  <c r="BI1038" i="20"/>
  <c r="BI1039" i="20"/>
  <c r="BI1040" i="20"/>
  <c r="BI1041" i="20"/>
  <c r="BI1042" i="20"/>
  <c r="BI1043" i="20"/>
  <c r="BI1044" i="20"/>
  <c r="BI1045" i="20"/>
  <c r="BI1046" i="20"/>
  <c r="BI1047" i="20"/>
  <c r="BI1048" i="20"/>
  <c r="BI1049" i="20"/>
  <c r="BI1050" i="20"/>
  <c r="BI1051" i="20"/>
  <c r="BI1052" i="20"/>
  <c r="BI1053" i="20"/>
  <c r="BI1054" i="20"/>
  <c r="BI1055" i="20"/>
  <c r="BI1056" i="20"/>
  <c r="BI1057" i="20"/>
  <c r="BI1058" i="20"/>
  <c r="BI1059" i="20"/>
  <c r="BI1060" i="20"/>
  <c r="BI1061" i="20"/>
  <c r="BI1062" i="20"/>
  <c r="BI1063" i="20"/>
  <c r="BI1064" i="20"/>
  <c r="BI1065" i="20"/>
  <c r="BI1066" i="20"/>
  <c r="BI1067" i="20"/>
  <c r="BI1068" i="20"/>
  <c r="BI1069" i="20"/>
  <c r="BI1070" i="20"/>
  <c r="BI1071" i="20"/>
  <c r="BI1072" i="20"/>
  <c r="BI1073" i="20"/>
  <c r="BI1074" i="20"/>
  <c r="BI1075" i="20"/>
  <c r="BI1076" i="20"/>
  <c r="BI1077" i="20"/>
  <c r="BI1078" i="20"/>
  <c r="BI1079" i="20"/>
  <c r="BI1080" i="20"/>
  <c r="BI1081" i="20"/>
  <c r="BI1082" i="20"/>
  <c r="BI1083" i="20"/>
  <c r="BI1084" i="20"/>
  <c r="BI1085" i="20"/>
  <c r="BI1086" i="20"/>
  <c r="BI1087" i="20"/>
  <c r="BI1088" i="20"/>
  <c r="BI1089" i="20"/>
  <c r="BI1090" i="20"/>
  <c r="BI1091" i="20"/>
  <c r="BI1092" i="20"/>
  <c r="BI1093" i="20"/>
  <c r="BI1094" i="20"/>
  <c r="BI1095" i="20"/>
  <c r="BI1096" i="20"/>
  <c r="BI1097" i="20"/>
  <c r="BI1098" i="20"/>
  <c r="BI1099" i="20"/>
  <c r="BI1100" i="20"/>
  <c r="BI1101" i="20"/>
  <c r="BI1102" i="20"/>
  <c r="BI1103" i="20"/>
  <c r="BI1104" i="20"/>
  <c r="BI1105" i="20"/>
  <c r="BI1106" i="20"/>
  <c r="BI1107" i="20"/>
  <c r="BI1108" i="20"/>
  <c r="BI1109" i="20"/>
  <c r="BI1110" i="20"/>
  <c r="BI1111" i="20"/>
  <c r="BI1112" i="20"/>
  <c r="BI1113" i="20"/>
  <c r="BI1114" i="20"/>
  <c r="BI1115" i="20"/>
  <c r="BI1116" i="20"/>
  <c r="BI1117" i="20"/>
  <c r="BI1118" i="20"/>
  <c r="BI1119" i="20"/>
  <c r="BI1120" i="20"/>
  <c r="BI1121" i="20"/>
  <c r="BI1122" i="20"/>
  <c r="BI1123" i="20"/>
  <c r="BI1124" i="20"/>
  <c r="BI1125" i="20"/>
  <c r="BI1126" i="20"/>
  <c r="BI1127" i="20"/>
  <c r="BI1128" i="20"/>
  <c r="BI1129" i="20"/>
  <c r="BI1130" i="20"/>
  <c r="BI1131" i="20"/>
  <c r="BI1132" i="20"/>
  <c r="BI1133" i="20"/>
  <c r="BI1134" i="20"/>
  <c r="BI1135" i="20"/>
  <c r="BI1136" i="20"/>
  <c r="BI1137" i="20"/>
  <c r="BI1138" i="20"/>
  <c r="BI1139" i="20"/>
  <c r="BI1140" i="20"/>
  <c r="BI1141" i="20"/>
  <c r="BI1142" i="20"/>
  <c r="BI1143" i="20"/>
  <c r="BI1144" i="20"/>
  <c r="BI1145" i="20"/>
  <c r="BI1146" i="20"/>
  <c r="BI1147" i="20"/>
  <c r="BI1148" i="20"/>
  <c r="BI1149" i="20"/>
  <c r="BI1150" i="20"/>
  <c r="BI1151" i="20"/>
  <c r="BI1152" i="20"/>
  <c r="BI1153" i="20"/>
  <c r="BI1154" i="20"/>
  <c r="BI1155" i="20"/>
  <c r="BI1156" i="20"/>
  <c r="BI1157" i="20"/>
  <c r="BI1158" i="20"/>
  <c r="BI1159" i="20"/>
  <c r="BI1160" i="20"/>
  <c r="BI1161" i="20"/>
  <c r="BI1162" i="20"/>
  <c r="BI1163" i="20"/>
  <c r="BI1164" i="20"/>
  <c r="BI1165" i="20"/>
  <c r="BI1166" i="20"/>
  <c r="BI1167" i="20"/>
  <c r="BI1168" i="20"/>
  <c r="BI1169" i="20"/>
  <c r="BI1170" i="20"/>
  <c r="BI1171" i="20"/>
  <c r="BI1172" i="20"/>
  <c r="BI1173" i="20"/>
  <c r="BI1174" i="20"/>
  <c r="P36" i="9" l="1"/>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M7" i="9"/>
  <c r="J7" i="9"/>
  <c r="B24" i="8" l="1"/>
  <c r="C24" i="8"/>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H7" i="5" l="1"/>
  <c r="H8" i="5"/>
  <c r="H9" i="5"/>
  <c r="H10" i="5"/>
  <c r="H11" i="5"/>
  <c r="H12" i="5"/>
  <c r="H13" i="5"/>
  <c r="H14" i="5"/>
  <c r="H15" i="5"/>
  <c r="H16" i="5"/>
  <c r="H17" i="5"/>
  <c r="H18" i="5"/>
  <c r="H19" i="5"/>
  <c r="H20" i="5"/>
  <c r="H21" i="5"/>
  <c r="H22" i="5"/>
  <c r="H23" i="5"/>
  <c r="H24" i="5"/>
  <c r="H25" i="5"/>
  <c r="H26" i="5"/>
  <c r="G7" i="5"/>
  <c r="G8" i="5"/>
  <c r="G9" i="5"/>
  <c r="G10" i="5"/>
  <c r="G11" i="5"/>
  <c r="G12" i="5"/>
  <c r="G13" i="5"/>
  <c r="G14" i="5"/>
  <c r="G15" i="5"/>
  <c r="G16" i="5"/>
  <c r="G17" i="5"/>
  <c r="G18" i="5"/>
  <c r="G19" i="5"/>
  <c r="G20" i="5"/>
  <c r="G21" i="5"/>
  <c r="G22" i="5"/>
  <c r="G23" i="5"/>
  <c r="G24" i="5"/>
  <c r="G25" i="5"/>
  <c r="G26" i="5"/>
  <c r="H6" i="5"/>
  <c r="G6" i="5"/>
  <c r="F7" i="5" l="1"/>
  <c r="I7" i="5" s="1"/>
  <c r="E7" i="6" s="1"/>
  <c r="F8" i="5"/>
  <c r="I8" i="5" s="1"/>
  <c r="E14" i="6" s="1"/>
  <c r="F9" i="5"/>
  <c r="I9" i="5" s="1"/>
  <c r="E15" i="6" s="1"/>
  <c r="F10" i="5"/>
  <c r="I10" i="5" s="1"/>
  <c r="E20" i="6" s="1"/>
  <c r="F11" i="5"/>
  <c r="I11" i="5" s="1"/>
  <c r="E6" i="6" s="1"/>
  <c r="F6" i="6" s="1"/>
  <c r="F12" i="5"/>
  <c r="I12" i="5" s="1"/>
  <c r="E13" i="6" s="1"/>
  <c r="F13" i="5"/>
  <c r="I13" i="5" s="1"/>
  <c r="E16" i="6" s="1"/>
  <c r="F14" i="5"/>
  <c r="I14" i="5" s="1"/>
  <c r="E21" i="6" s="1"/>
  <c r="F15" i="5"/>
  <c r="I15" i="5" s="1"/>
  <c r="E12" i="6" s="1"/>
  <c r="F16" i="5"/>
  <c r="I16" i="5" s="1"/>
  <c r="E19" i="6" s="1"/>
  <c r="F17" i="5"/>
  <c r="I17" i="5" s="1"/>
  <c r="E11" i="6" s="1"/>
  <c r="F18" i="5"/>
  <c r="I18" i="5" s="1"/>
  <c r="E10" i="6" s="1"/>
  <c r="F19" i="5"/>
  <c r="I19" i="5" s="1"/>
  <c r="E17" i="6" s="1"/>
  <c r="F20" i="5"/>
  <c r="I20" i="5" s="1"/>
  <c r="E18" i="6" s="1"/>
  <c r="F21" i="5"/>
  <c r="I21" i="5" s="1"/>
  <c r="E22" i="6" s="1"/>
  <c r="F22" i="5"/>
  <c r="I22" i="5" s="1"/>
  <c r="E9" i="6" s="1"/>
  <c r="F23" i="5"/>
  <c r="I23" i="5" s="1"/>
  <c r="E24" i="6" s="1"/>
  <c r="F24" i="5"/>
  <c r="I24" i="5" s="1"/>
  <c r="E23" i="6" s="1"/>
  <c r="F25" i="5"/>
  <c r="I25" i="5" s="1"/>
  <c r="E26" i="6" s="1"/>
  <c r="F26" i="5"/>
  <c r="I26" i="5" s="1"/>
  <c r="E25" i="6" s="1"/>
  <c r="F6" i="5"/>
  <c r="I6" i="5" s="1"/>
  <c r="E8" i="6" s="1"/>
  <c r="N22" i="6"/>
  <c r="C25" i="8" l="1"/>
  <c r="B25" i="8"/>
  <c r="B37" i="9"/>
  <c r="C37" i="9"/>
  <c r="E37" i="9"/>
  <c r="F37" i="9"/>
  <c r="G37" i="9"/>
  <c r="N37" i="9"/>
  <c r="E24" i="8" s="1"/>
  <c r="O37" i="9"/>
  <c r="D24" i="8" s="1"/>
  <c r="P37" i="9"/>
  <c r="Q37" i="9"/>
  <c r="E25" i="8" s="1"/>
  <c r="R37" i="9"/>
  <c r="D25" i="8" s="1"/>
  <c r="F24" i="8" l="1"/>
  <c r="F25" i="8"/>
  <c r="S37" i="9"/>
  <c r="I20" i="6" l="1"/>
  <c r="I21" i="6"/>
  <c r="I19" i="6"/>
  <c r="B12" i="3" l="1"/>
  <c r="D7" i="3" l="1"/>
  <c r="D12" i="3" s="1"/>
  <c r="E7" i="3"/>
  <c r="E12" i="3" s="1"/>
  <c r="F7" i="3"/>
  <c r="F12" i="3" s="1"/>
  <c r="G7" i="3"/>
  <c r="G12" i="3" s="1"/>
  <c r="H7" i="3"/>
  <c r="H12" i="3" s="1"/>
  <c r="I7" i="3"/>
  <c r="I12" i="3" s="1"/>
  <c r="J7" i="3"/>
  <c r="J12" i="3" s="1"/>
  <c r="K7" i="3"/>
  <c r="K12" i="3" s="1"/>
  <c r="L7" i="3"/>
  <c r="L12" i="3" s="1"/>
  <c r="M7" i="3"/>
  <c r="M12" i="3" s="1"/>
  <c r="C7" i="3"/>
  <c r="C12" i="3" s="1"/>
  <c r="O25" i="3"/>
  <c r="A25" i="3"/>
  <c r="D21" i="8" l="1"/>
  <c r="E21" i="8"/>
  <c r="F21" i="8" l="1"/>
  <c r="D36" i="9" l="1"/>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l="1"/>
  <c r="D37" i="9" l="1"/>
  <c r="C21" i="8"/>
  <c r="B21" i="8"/>
  <c r="P26" i="6" l="1"/>
  <c r="P27" i="6" s="1"/>
  <c r="K25" i="6"/>
  <c r="K27" i="6" s="1"/>
  <c r="O24" i="6"/>
  <c r="T24" i="6" s="1"/>
  <c r="J23" i="6"/>
  <c r="T23" i="6" s="1"/>
  <c r="Q27" i="6"/>
  <c r="T19" i="6"/>
  <c r="M11" i="6"/>
  <c r="T11" i="6" s="1"/>
  <c r="M26" i="7" s="1"/>
  <c r="M10" i="6"/>
  <c r="H8" i="6"/>
  <c r="H7" i="6"/>
  <c r="H6" i="6"/>
  <c r="J25" i="5"/>
  <c r="J21" i="5"/>
  <c r="F13" i="6"/>
  <c r="J9" i="5"/>
  <c r="O25" i="4"/>
  <c r="A25" i="4"/>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BH23" i="4"/>
  <c r="BD23" i="4"/>
  <c r="AZ23" i="4"/>
  <c r="AV23" i="4"/>
  <c r="AR23" i="4"/>
  <c r="AN23" i="4"/>
  <c r="AJ23" i="4"/>
  <c r="AF23" i="4"/>
  <c r="AB23" i="4"/>
  <c r="X23" i="4"/>
  <c r="M11" i="4"/>
  <c r="L11" i="4"/>
  <c r="K11" i="4"/>
  <c r="J11" i="4"/>
  <c r="I11" i="4"/>
  <c r="H11" i="4"/>
  <c r="G11" i="4"/>
  <c r="F11" i="4"/>
  <c r="E11" i="4"/>
  <c r="D11" i="4"/>
  <c r="C11" i="4"/>
  <c r="B11" i="4"/>
  <c r="M10" i="4"/>
  <c r="L10" i="4"/>
  <c r="K10" i="4"/>
  <c r="J10" i="4"/>
  <c r="I10" i="4"/>
  <c r="H10" i="4"/>
  <c r="G10" i="4"/>
  <c r="F10" i="4"/>
  <c r="E10" i="4"/>
  <c r="D10" i="4"/>
  <c r="C10" i="4"/>
  <c r="B10" i="4"/>
  <c r="O26" i="3"/>
  <c r="A26" i="3"/>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BH23" i="3"/>
  <c r="BD23" i="3"/>
  <c r="AZ23" i="3"/>
  <c r="AV23" i="3"/>
  <c r="AR23" i="3"/>
  <c r="AN23" i="3"/>
  <c r="AJ23" i="3"/>
  <c r="AF23" i="3"/>
  <c r="AB23" i="3"/>
  <c r="X23" i="3"/>
  <c r="M19" i="3"/>
  <c r="L19" i="3"/>
  <c r="K19" i="3"/>
  <c r="J19" i="3"/>
  <c r="I19" i="3"/>
  <c r="H19" i="3"/>
  <c r="G19" i="3"/>
  <c r="F19" i="3"/>
  <c r="E19" i="3"/>
  <c r="D19" i="3"/>
  <c r="C19" i="3"/>
  <c r="B19" i="3"/>
  <c r="M11" i="3"/>
  <c r="L11" i="3"/>
  <c r="K11" i="3"/>
  <c r="J11" i="3"/>
  <c r="I11" i="3"/>
  <c r="H11" i="3"/>
  <c r="G11" i="3"/>
  <c r="F11" i="3"/>
  <c r="E11" i="3"/>
  <c r="D11" i="3"/>
  <c r="C11" i="3"/>
  <c r="B11" i="3"/>
  <c r="M10" i="3"/>
  <c r="L10" i="3"/>
  <c r="K10" i="3"/>
  <c r="J10" i="3"/>
  <c r="I10" i="3"/>
  <c r="H10" i="3"/>
  <c r="G10" i="3"/>
  <c r="F10" i="3"/>
  <c r="E10" i="3"/>
  <c r="D10" i="3"/>
  <c r="C10" i="3"/>
  <c r="B10" i="3"/>
  <c r="H14" i="6" l="1"/>
  <c r="I14" i="6" s="1"/>
  <c r="H13" i="6"/>
  <c r="I13" i="6" s="1"/>
  <c r="H15" i="6"/>
  <c r="I15" i="6" s="1"/>
  <c r="H12" i="6"/>
  <c r="I12" i="6" s="1"/>
  <c r="H16" i="6"/>
  <c r="I16" i="6" s="1"/>
  <c r="M18" i="6"/>
  <c r="N18" i="6" s="1"/>
  <c r="M17" i="6"/>
  <c r="N17" i="6" s="1"/>
  <c r="J18" i="4"/>
  <c r="J19" i="4" s="1"/>
  <c r="K18" i="4"/>
  <c r="K19" i="4" s="1"/>
  <c r="J15" i="5"/>
  <c r="F12" i="6"/>
  <c r="J19" i="5"/>
  <c r="G17" i="6"/>
  <c r="M18" i="4"/>
  <c r="M19" i="4" s="1"/>
  <c r="N25" i="4"/>
  <c r="BP25" i="4"/>
  <c r="K15" i="7"/>
  <c r="J13" i="5"/>
  <c r="T26" i="6"/>
  <c r="T22" i="6"/>
  <c r="I29" i="7" s="1"/>
  <c r="F21" i="6"/>
  <c r="R21" i="6" s="1"/>
  <c r="S21" i="6" s="1"/>
  <c r="J14" i="5"/>
  <c r="J7" i="5"/>
  <c r="F7" i="6"/>
  <c r="R7" i="6" s="1"/>
  <c r="S7" i="6" s="1"/>
  <c r="T6" i="6"/>
  <c r="M7" i="7" s="1"/>
  <c r="E18" i="7"/>
  <c r="G18" i="7"/>
  <c r="K18" i="7"/>
  <c r="AO26" i="3"/>
  <c r="Q26" i="3"/>
  <c r="M15" i="7"/>
  <c r="I18" i="7"/>
  <c r="J12" i="5"/>
  <c r="J27" i="6"/>
  <c r="E15" i="7"/>
  <c r="T7" i="6"/>
  <c r="E8" i="7" s="1"/>
  <c r="T10" i="6"/>
  <c r="T25" i="6"/>
  <c r="O27" i="6"/>
  <c r="BI26" i="3"/>
  <c r="BA26" i="3"/>
  <c r="AS26" i="3"/>
  <c r="AK26" i="3"/>
  <c r="AC26" i="3"/>
  <c r="U26" i="3"/>
  <c r="BE26" i="3"/>
  <c r="O27" i="3"/>
  <c r="X27" i="3" s="1"/>
  <c r="Y26" i="3"/>
  <c r="AG26" i="3"/>
  <c r="AW26" i="3"/>
  <c r="BH27" i="3"/>
  <c r="P27" i="3"/>
  <c r="O26" i="4"/>
  <c r="L27" i="6"/>
  <c r="L18" i="4" s="1"/>
  <c r="T20" i="6"/>
  <c r="K26" i="7"/>
  <c r="J6" i="5"/>
  <c r="F8" i="6"/>
  <c r="R8" i="6" s="1"/>
  <c r="S8" i="6" s="1"/>
  <c r="G26" i="7"/>
  <c r="I26" i="7"/>
  <c r="G29" i="7"/>
  <c r="E29" i="7"/>
  <c r="M29" i="7"/>
  <c r="K29" i="7"/>
  <c r="I8" i="7"/>
  <c r="G8" i="7"/>
  <c r="K19" i="7"/>
  <c r="M8" i="7"/>
  <c r="G19" i="7"/>
  <c r="E19" i="7"/>
  <c r="T8" i="6"/>
  <c r="E9" i="7"/>
  <c r="T21" i="6"/>
  <c r="M32" i="7"/>
  <c r="K32" i="7"/>
  <c r="I32" i="7"/>
  <c r="G32" i="7"/>
  <c r="E32" i="7"/>
  <c r="I31" i="7"/>
  <c r="K7" i="7"/>
  <c r="I7" i="7"/>
  <c r="T9" i="6"/>
  <c r="E26" i="7"/>
  <c r="M31" i="7"/>
  <c r="G31" i="7"/>
  <c r="E31" i="7"/>
  <c r="K31" i="7"/>
  <c r="G22" i="6"/>
  <c r="G26" i="6"/>
  <c r="R26" i="6" s="1"/>
  <c r="S26" i="6" s="1"/>
  <c r="G15" i="7"/>
  <c r="M18" i="7"/>
  <c r="I15" i="7"/>
  <c r="F15" i="6"/>
  <c r="M25" i="7" l="1"/>
  <c r="G25" i="7"/>
  <c r="I25" i="7"/>
  <c r="K25" i="7"/>
  <c r="AZ27" i="3"/>
  <c r="AV27" i="3"/>
  <c r="AR27" i="3"/>
  <c r="I18" i="4"/>
  <c r="I19" i="4" s="1"/>
  <c r="E25" i="7"/>
  <c r="H27" i="6"/>
  <c r="D18" i="4" s="1"/>
  <c r="N26" i="4"/>
  <c r="BA26" i="4"/>
  <c r="BB26" i="4" s="1"/>
  <c r="BC26" i="4" s="1"/>
  <c r="AK26" i="4"/>
  <c r="AL26" i="4" s="1"/>
  <c r="AM26" i="4" s="1"/>
  <c r="U26" i="4"/>
  <c r="V26" i="4" s="1"/>
  <c r="W26" i="4" s="1"/>
  <c r="Y26" i="4"/>
  <c r="Z26" i="4" s="1"/>
  <c r="AA26" i="4" s="1"/>
  <c r="AW26" i="4"/>
  <c r="AX26" i="4" s="1"/>
  <c r="AY26" i="4" s="1"/>
  <c r="AG26" i="4"/>
  <c r="AH26" i="4" s="1"/>
  <c r="AI26" i="4" s="1"/>
  <c r="Q26" i="4"/>
  <c r="R26" i="4" s="1"/>
  <c r="S26" i="4" s="1"/>
  <c r="BE26" i="4"/>
  <c r="BF26" i="4" s="1"/>
  <c r="BG26" i="4" s="1"/>
  <c r="AO26" i="4"/>
  <c r="AP26" i="4" s="1"/>
  <c r="AQ26" i="4" s="1"/>
  <c r="BI26" i="4"/>
  <c r="BJ26" i="4" s="1"/>
  <c r="BK26" i="4" s="1"/>
  <c r="AS26" i="4"/>
  <c r="AT26" i="4" s="1"/>
  <c r="AU26" i="4" s="1"/>
  <c r="AC26" i="4"/>
  <c r="AD26" i="4" s="1"/>
  <c r="AE26" i="4" s="1"/>
  <c r="H18" i="4"/>
  <c r="H19" i="4" s="1"/>
  <c r="AN27" i="4" s="1"/>
  <c r="AN27" i="3"/>
  <c r="T27" i="3"/>
  <c r="R22" i="6"/>
  <c r="S22" i="6" s="1"/>
  <c r="J22" i="5"/>
  <c r="J18" i="5"/>
  <c r="G10" i="6"/>
  <c r="R10" i="6" s="1"/>
  <c r="S10" i="6" s="1"/>
  <c r="J11" i="5"/>
  <c r="R6" i="6"/>
  <c r="S6" i="6" s="1"/>
  <c r="J20" i="5"/>
  <c r="G18" i="6"/>
  <c r="BP26" i="4"/>
  <c r="E30" i="7"/>
  <c r="M17" i="7"/>
  <c r="M16" i="7"/>
  <c r="F16" i="6"/>
  <c r="R16" i="6" s="1"/>
  <c r="S16" i="6" s="1"/>
  <c r="R9" i="6"/>
  <c r="S9" i="6" s="1"/>
  <c r="BD27" i="3"/>
  <c r="T16" i="6"/>
  <c r="K8" i="7"/>
  <c r="AF27" i="3"/>
  <c r="AD26" i="3"/>
  <c r="AE26" i="3" s="1"/>
  <c r="AB27" i="3"/>
  <c r="AP26" i="3"/>
  <c r="AQ26" i="3" s="1"/>
  <c r="AT26" i="3"/>
  <c r="AU26" i="3" s="1"/>
  <c r="E7" i="7"/>
  <c r="G7" i="7"/>
  <c r="AH26" i="3"/>
  <c r="AI26" i="3" s="1"/>
  <c r="J17" i="5"/>
  <c r="G11" i="6"/>
  <c r="R11" i="6" s="1"/>
  <c r="S11" i="6" s="1"/>
  <c r="M19" i="7"/>
  <c r="I19" i="7"/>
  <c r="J23" i="5"/>
  <c r="G24" i="6"/>
  <c r="R24" i="6" s="1"/>
  <c r="S24" i="6" s="1"/>
  <c r="F19" i="6"/>
  <c r="R19" i="6" s="1"/>
  <c r="S19" i="6" s="1"/>
  <c r="J16" i="5"/>
  <c r="AL26" i="3"/>
  <c r="AM26" i="3" s="1"/>
  <c r="R12" i="6"/>
  <c r="S12" i="6" s="1"/>
  <c r="BB26" i="3"/>
  <c r="BC26" i="3" s="1"/>
  <c r="R15" i="6"/>
  <c r="S15" i="6" s="1"/>
  <c r="G30" i="7"/>
  <c r="M30" i="7"/>
  <c r="K30" i="7"/>
  <c r="I30" i="7"/>
  <c r="J24" i="5"/>
  <c r="F23" i="6"/>
  <c r="R23" i="6" s="1"/>
  <c r="S23" i="6" s="1"/>
  <c r="K16" i="7"/>
  <c r="I16" i="7"/>
  <c r="G16" i="7"/>
  <c r="E16" i="7"/>
  <c r="T12" i="6"/>
  <c r="T14" i="6"/>
  <c r="F14" i="6"/>
  <c r="R14" i="6" s="1"/>
  <c r="S14" i="6" s="1"/>
  <c r="J8" i="5"/>
  <c r="L19" i="4"/>
  <c r="AS27" i="3"/>
  <c r="Y27" i="3"/>
  <c r="O28" i="3"/>
  <c r="AG27" i="3"/>
  <c r="BI27" i="3"/>
  <c r="U27" i="3"/>
  <c r="Q27" i="3"/>
  <c r="AC27" i="3"/>
  <c r="AO27" i="3"/>
  <c r="BE27" i="3"/>
  <c r="BA27" i="3"/>
  <c r="AK27" i="3"/>
  <c r="AW27" i="3"/>
  <c r="F25" i="6"/>
  <c r="R25" i="6" s="1"/>
  <c r="S25" i="6" s="1"/>
  <c r="J26" i="5"/>
  <c r="BN25" i="4"/>
  <c r="R26" i="3"/>
  <c r="S26" i="3" s="1"/>
  <c r="K9" i="7"/>
  <c r="I9" i="7"/>
  <c r="G9" i="7"/>
  <c r="M9" i="7"/>
  <c r="K14" i="7"/>
  <c r="F20" i="6"/>
  <c r="R20" i="6" s="1"/>
  <c r="S20" i="6" s="1"/>
  <c r="J10" i="5"/>
  <c r="O27" i="4"/>
  <c r="K17" i="7"/>
  <c r="I17" i="7"/>
  <c r="G17" i="7"/>
  <c r="E17" i="7"/>
  <c r="T15" i="6"/>
  <c r="AR27" i="4" l="1"/>
  <c r="BA27" i="4"/>
  <c r="AK27" i="4"/>
  <c r="U27" i="4"/>
  <c r="AW27" i="4"/>
  <c r="AG27" i="4"/>
  <c r="Q27" i="4"/>
  <c r="BE27" i="4"/>
  <c r="AO27" i="4"/>
  <c r="AP27" i="4" s="1"/>
  <c r="AQ27" i="4" s="1"/>
  <c r="Y27" i="4"/>
  <c r="BI27" i="4"/>
  <c r="AS27" i="4"/>
  <c r="AC27" i="4"/>
  <c r="BD27" i="4"/>
  <c r="BH27" i="4"/>
  <c r="BJ27" i="4" s="1"/>
  <c r="BK27" i="4" s="1"/>
  <c r="AZ27" i="4"/>
  <c r="AV27" i="4"/>
  <c r="AX27" i="4" s="1"/>
  <c r="AY27" i="4" s="1"/>
  <c r="BQ25" i="4"/>
  <c r="N27" i="4"/>
  <c r="BP27" i="4"/>
  <c r="T18" i="6"/>
  <c r="K28" i="7" s="1"/>
  <c r="E14" i="7"/>
  <c r="R13" i="6"/>
  <c r="S13" i="6" s="1"/>
  <c r="G14" i="7"/>
  <c r="G13" i="7"/>
  <c r="M14" i="7"/>
  <c r="G12" i="7"/>
  <c r="I14" i="7"/>
  <c r="BJ27" i="3"/>
  <c r="BK27" i="3" s="1"/>
  <c r="J27" i="5"/>
  <c r="AD27" i="3"/>
  <c r="AE27" i="3" s="1"/>
  <c r="AH27" i="3"/>
  <c r="AI27" i="3" s="1"/>
  <c r="G28" i="7"/>
  <c r="BB27" i="3"/>
  <c r="BC27" i="3" s="1"/>
  <c r="AL27" i="3"/>
  <c r="AM27" i="3" s="1"/>
  <c r="AX27" i="3"/>
  <c r="AY27" i="3" s="1"/>
  <c r="R27" i="3"/>
  <c r="S27" i="3" s="1"/>
  <c r="I27" i="6"/>
  <c r="F18" i="4" s="1"/>
  <c r="T13" i="6"/>
  <c r="F27" i="6"/>
  <c r="BN26" i="4"/>
  <c r="K13" i="7"/>
  <c r="I13" i="7"/>
  <c r="M13" i="7"/>
  <c r="E13" i="7"/>
  <c r="AP27" i="3"/>
  <c r="AQ27" i="3" s="1"/>
  <c r="G27" i="6"/>
  <c r="C18" i="4" s="1"/>
  <c r="K10" i="7"/>
  <c r="I10" i="7"/>
  <c r="M10" i="7"/>
  <c r="E10" i="7"/>
  <c r="BF27" i="3"/>
  <c r="BG27" i="3" s="1"/>
  <c r="BF26" i="3"/>
  <c r="BG26" i="3" s="1"/>
  <c r="AX26" i="3"/>
  <c r="AY26" i="3" s="1"/>
  <c r="O28" i="4"/>
  <c r="D19" i="4"/>
  <c r="X27" i="4" s="1"/>
  <c r="Z27" i="4" s="1"/>
  <c r="AA27" i="4" s="1"/>
  <c r="M28" i="7"/>
  <c r="BJ26" i="3"/>
  <c r="BK26" i="3" s="1"/>
  <c r="I11" i="7"/>
  <c r="G10" i="7"/>
  <c r="V26" i="3"/>
  <c r="W26" i="3" s="1"/>
  <c r="Z27" i="3"/>
  <c r="AA27" i="3" s="1"/>
  <c r="K12" i="7"/>
  <c r="I12" i="7"/>
  <c r="M12" i="7"/>
  <c r="E12" i="7"/>
  <c r="V27" i="3"/>
  <c r="W27" i="3" s="1"/>
  <c r="AT27" i="3"/>
  <c r="AU27" i="3" s="1"/>
  <c r="BH28" i="3"/>
  <c r="AZ28" i="3"/>
  <c r="AR28" i="3"/>
  <c r="AJ28" i="3"/>
  <c r="AB28" i="3"/>
  <c r="T28" i="3"/>
  <c r="O29" i="3"/>
  <c r="BE28" i="3"/>
  <c r="AW28" i="3"/>
  <c r="AO28" i="3"/>
  <c r="AG28" i="3"/>
  <c r="Y28" i="3"/>
  <c r="Q28" i="3"/>
  <c r="AV28" i="3"/>
  <c r="P28" i="3"/>
  <c r="AK28" i="3"/>
  <c r="BD28" i="3"/>
  <c r="X28" i="3"/>
  <c r="AF28" i="3"/>
  <c r="AC28" i="3"/>
  <c r="BA28" i="3"/>
  <c r="BI28" i="3"/>
  <c r="AN28" i="3"/>
  <c r="AS28" i="3"/>
  <c r="U28" i="3"/>
  <c r="Z26" i="3"/>
  <c r="AA26" i="3" s="1"/>
  <c r="R18" i="6"/>
  <c r="S18" i="6" s="1"/>
  <c r="BF27" i="4" l="1"/>
  <c r="BG27" i="4" s="1"/>
  <c r="AT27" i="4"/>
  <c r="AU27" i="4" s="1"/>
  <c r="I28" i="7"/>
  <c r="BB27" i="4"/>
  <c r="BC27" i="4" s="1"/>
  <c r="BQ26" i="4"/>
  <c r="B18" i="4"/>
  <c r="B19" i="4" s="1"/>
  <c r="N28" i="4"/>
  <c r="BP28" i="4"/>
  <c r="E28" i="7"/>
  <c r="K11" i="7"/>
  <c r="G11" i="7"/>
  <c r="E11" i="7"/>
  <c r="M11" i="7"/>
  <c r="Z28" i="3"/>
  <c r="AA28" i="3" s="1"/>
  <c r="AX28" i="3"/>
  <c r="AY28" i="3" s="1"/>
  <c r="V28" i="3"/>
  <c r="W28" i="3" s="1"/>
  <c r="BB28" i="3"/>
  <c r="BC28" i="3" s="1"/>
  <c r="BF28" i="3"/>
  <c r="BG28" i="3" s="1"/>
  <c r="AL28" i="3"/>
  <c r="AM28" i="3" s="1"/>
  <c r="BJ28" i="3"/>
  <c r="BK28" i="3" s="1"/>
  <c r="BN27" i="4"/>
  <c r="BQ27" i="4" s="1"/>
  <c r="C19" i="4"/>
  <c r="AP28" i="3"/>
  <c r="AQ28" i="3" s="1"/>
  <c r="R28" i="3"/>
  <c r="S28" i="3" s="1"/>
  <c r="AZ29" i="3"/>
  <c r="AO29" i="3"/>
  <c r="T29" i="3"/>
  <c r="BI29" i="3"/>
  <c r="AN29" i="3"/>
  <c r="AC29" i="3"/>
  <c r="BH29" i="3"/>
  <c r="AW29" i="3"/>
  <c r="AB29" i="3"/>
  <c r="Q29" i="3"/>
  <c r="BE29" i="3"/>
  <c r="AJ29" i="3"/>
  <c r="Y29" i="3"/>
  <c r="AV29" i="3"/>
  <c r="AS29" i="3"/>
  <c r="X29" i="3"/>
  <c r="AG29" i="3"/>
  <c r="O30" i="3"/>
  <c r="AR29" i="3"/>
  <c r="BA29" i="3"/>
  <c r="U29" i="3"/>
  <c r="AF29" i="3"/>
  <c r="AK29" i="3"/>
  <c r="P29" i="3"/>
  <c r="BD29" i="3"/>
  <c r="F19" i="4"/>
  <c r="AF27" i="4" s="1"/>
  <c r="AH27" i="4" s="1"/>
  <c r="AI27" i="4" s="1"/>
  <c r="AD28" i="3"/>
  <c r="AE28" i="3" s="1"/>
  <c r="BH28" i="4"/>
  <c r="AZ28" i="4"/>
  <c r="AR28" i="4"/>
  <c r="BD28" i="4"/>
  <c r="AV28" i="4"/>
  <c r="AN28" i="4"/>
  <c r="X28" i="4"/>
  <c r="AG28" i="4"/>
  <c r="U28" i="4"/>
  <c r="BE28" i="4"/>
  <c r="AS28" i="4"/>
  <c r="O29" i="4"/>
  <c r="Q28" i="4"/>
  <c r="AO28" i="4"/>
  <c r="AC28" i="4"/>
  <c r="BA28" i="4"/>
  <c r="AW28" i="4"/>
  <c r="AK28" i="4"/>
  <c r="BI28" i="4"/>
  <c r="Y28" i="4"/>
  <c r="AH28" i="3"/>
  <c r="AI28" i="3" s="1"/>
  <c r="AT28" i="3"/>
  <c r="AU28" i="3" s="1"/>
  <c r="P27" i="4" l="1"/>
  <c r="R27" i="4" s="1"/>
  <c r="S27" i="4" s="1"/>
  <c r="P28" i="4"/>
  <c r="R28" i="4" s="1"/>
  <c r="S28" i="4" s="1"/>
  <c r="T27" i="4"/>
  <c r="V27" i="4" s="1"/>
  <c r="W27" i="4" s="1"/>
  <c r="N29" i="4"/>
  <c r="BP29" i="4"/>
  <c r="AF28" i="4"/>
  <c r="AH28" i="4" s="1"/>
  <c r="AI28" i="4" s="1"/>
  <c r="T28" i="4"/>
  <c r="V28" i="4" s="1"/>
  <c r="W28" i="4" s="1"/>
  <c r="BJ29" i="3"/>
  <c r="BK29" i="3" s="1"/>
  <c r="AX29" i="3"/>
  <c r="AY29" i="3" s="1"/>
  <c r="AH29" i="3"/>
  <c r="AI29" i="3" s="1"/>
  <c r="AP29" i="3"/>
  <c r="AQ29" i="3" s="1"/>
  <c r="BB29" i="3"/>
  <c r="BC29" i="3" s="1"/>
  <c r="Z28" i="4"/>
  <c r="AA28" i="4" s="1"/>
  <c r="AX28" i="4"/>
  <c r="AY28" i="4" s="1"/>
  <c r="AT28" i="4"/>
  <c r="AU28" i="4" s="1"/>
  <c r="BN28" i="4"/>
  <c r="BB28" i="4"/>
  <c r="BC28" i="4" s="1"/>
  <c r="AL29" i="3"/>
  <c r="AM29" i="3" s="1"/>
  <c r="O30" i="4"/>
  <c r="BI29" i="4"/>
  <c r="BA29" i="4"/>
  <c r="AS29" i="4"/>
  <c r="AK29" i="4"/>
  <c r="AC29" i="4"/>
  <c r="U29" i="4"/>
  <c r="BD29" i="4"/>
  <c r="Q29" i="4"/>
  <c r="AO29" i="4"/>
  <c r="P29" i="4"/>
  <c r="AZ29" i="4"/>
  <c r="AN29" i="4"/>
  <c r="Y29" i="4"/>
  <c r="AW29" i="4"/>
  <c r="X29" i="4"/>
  <c r="AG29" i="4"/>
  <c r="BH29" i="4"/>
  <c r="AF29" i="4"/>
  <c r="AV29" i="4"/>
  <c r="BE29" i="4"/>
  <c r="AR29" i="4"/>
  <c r="T29" i="4"/>
  <c r="AP28" i="4"/>
  <c r="AQ28" i="4" s="1"/>
  <c r="BJ28" i="4"/>
  <c r="BK28" i="4" s="1"/>
  <c r="AT29" i="3"/>
  <c r="AU29" i="3" s="1"/>
  <c r="V29" i="3"/>
  <c r="W29" i="3" s="1"/>
  <c r="BD30" i="3"/>
  <c r="AV30" i="3"/>
  <c r="AN30" i="3"/>
  <c r="AF30" i="3"/>
  <c r="X30" i="3"/>
  <c r="P30" i="3"/>
  <c r="BI30" i="3"/>
  <c r="BA30" i="3"/>
  <c r="AS30" i="3"/>
  <c r="AK30" i="3"/>
  <c r="AC30" i="3"/>
  <c r="U30" i="3"/>
  <c r="AR30" i="3"/>
  <c r="O31" i="3"/>
  <c r="AG30" i="3"/>
  <c r="AZ30" i="3"/>
  <c r="T30" i="3"/>
  <c r="AO30" i="3"/>
  <c r="BH30" i="3"/>
  <c r="AB30" i="3"/>
  <c r="AJ30" i="3"/>
  <c r="Y30" i="3"/>
  <c r="BE30" i="3"/>
  <c r="Q30" i="3"/>
  <c r="AW30" i="3"/>
  <c r="BF28" i="4"/>
  <c r="BG28" i="4" s="1"/>
  <c r="BF29" i="3"/>
  <c r="BG29" i="3" s="1"/>
  <c r="AD29" i="3"/>
  <c r="AE29" i="3" s="1"/>
  <c r="R29" i="3"/>
  <c r="S29" i="3" s="1"/>
  <c r="Z29" i="3"/>
  <c r="AA29" i="3" s="1"/>
  <c r="BQ28" i="4" l="1"/>
  <c r="N30" i="4"/>
  <c r="BP30" i="4"/>
  <c r="AT29" i="4"/>
  <c r="AU29" i="4" s="1"/>
  <c r="R30" i="3"/>
  <c r="S30" i="3" s="1"/>
  <c r="AL30" i="3"/>
  <c r="AM30" i="3" s="1"/>
  <c r="BB29" i="4"/>
  <c r="BC29" i="4" s="1"/>
  <c r="AP29" i="4"/>
  <c r="AQ29" i="4" s="1"/>
  <c r="AH29" i="4"/>
  <c r="AI29" i="4" s="1"/>
  <c r="BJ29" i="4"/>
  <c r="BK29" i="4" s="1"/>
  <c r="BJ30" i="3"/>
  <c r="BK30" i="3" s="1"/>
  <c r="AP30" i="3"/>
  <c r="AQ30" i="3" s="1"/>
  <c r="R29" i="4"/>
  <c r="S29" i="4" s="1"/>
  <c r="Z30" i="3"/>
  <c r="AA30" i="3" s="1"/>
  <c r="AX30" i="3"/>
  <c r="AY30" i="3" s="1"/>
  <c r="AT30" i="3"/>
  <c r="AU30" i="3" s="1"/>
  <c r="AH30" i="3"/>
  <c r="AI30" i="3" s="1"/>
  <c r="BF30" i="3"/>
  <c r="BG30" i="3" s="1"/>
  <c r="Z29" i="4"/>
  <c r="AA29" i="4" s="1"/>
  <c r="AV31" i="3"/>
  <c r="AK31" i="3"/>
  <c r="P31" i="3"/>
  <c r="BE31" i="3"/>
  <c r="AJ31" i="3"/>
  <c r="Y31" i="3"/>
  <c r="BD31" i="3"/>
  <c r="AS31" i="3"/>
  <c r="X31" i="3"/>
  <c r="O32" i="3"/>
  <c r="AR31" i="3"/>
  <c r="AG31" i="3"/>
  <c r="BA31" i="3"/>
  <c r="AF31" i="3"/>
  <c r="U31" i="3"/>
  <c r="BI31" i="3"/>
  <c r="AN31" i="3"/>
  <c r="AC31" i="3"/>
  <c r="AZ31" i="3"/>
  <c r="T31" i="3"/>
  <c r="AW31" i="3"/>
  <c r="AO31" i="3"/>
  <c r="BH31" i="3"/>
  <c r="AB31" i="3"/>
  <c r="Q31" i="3"/>
  <c r="AX29" i="4"/>
  <c r="AY29" i="4" s="1"/>
  <c r="AD30" i="3"/>
  <c r="AE30" i="3" s="1"/>
  <c r="V30" i="3"/>
  <c r="W30" i="3" s="1"/>
  <c r="BB30" i="3"/>
  <c r="BC30" i="3" s="1"/>
  <c r="V29" i="4"/>
  <c r="W29" i="4" s="1"/>
  <c r="BN29" i="4"/>
  <c r="BQ29" i="4" s="1"/>
  <c r="BD30" i="4"/>
  <c r="AV30" i="4"/>
  <c r="AN30" i="4"/>
  <c r="AF30" i="4"/>
  <c r="X30" i="4"/>
  <c r="P30" i="4"/>
  <c r="BH30" i="4"/>
  <c r="AZ30" i="4"/>
  <c r="AR30" i="4"/>
  <c r="T30" i="4"/>
  <c r="AW30" i="4"/>
  <c r="AG30" i="4"/>
  <c r="Q30" i="4"/>
  <c r="BI30" i="4"/>
  <c r="AS30" i="4"/>
  <c r="AC30" i="4"/>
  <c r="BE30" i="4"/>
  <c r="AO30" i="4"/>
  <c r="Y30" i="4"/>
  <c r="BA30" i="4"/>
  <c r="AK30" i="4"/>
  <c r="U30" i="4"/>
  <c r="O31" i="4"/>
  <c r="BF29" i="4"/>
  <c r="BG29" i="4" s="1"/>
  <c r="N31" i="4" l="1"/>
  <c r="BP31" i="4"/>
  <c r="Z31" i="3"/>
  <c r="AA31" i="3" s="1"/>
  <c r="BJ31" i="3"/>
  <c r="BK31" i="3" s="1"/>
  <c r="AT31" i="3"/>
  <c r="AU31" i="3" s="1"/>
  <c r="BF31" i="3"/>
  <c r="BG31" i="3" s="1"/>
  <c r="BB31" i="3"/>
  <c r="BC31" i="3" s="1"/>
  <c r="AH30" i="4"/>
  <c r="AI30" i="4" s="1"/>
  <c r="AP31" i="3"/>
  <c r="AQ31" i="3" s="1"/>
  <c r="AT30" i="4"/>
  <c r="AU30" i="4" s="1"/>
  <c r="R31" i="3"/>
  <c r="S31" i="3" s="1"/>
  <c r="BF30" i="4"/>
  <c r="BG30" i="4" s="1"/>
  <c r="BB30" i="4"/>
  <c r="BC30" i="4" s="1"/>
  <c r="BJ30" i="4"/>
  <c r="BK30" i="4" s="1"/>
  <c r="AX31" i="3"/>
  <c r="AY31" i="3" s="1"/>
  <c r="R30" i="4"/>
  <c r="S30" i="4" s="1"/>
  <c r="AD31" i="3"/>
  <c r="AE31" i="3" s="1"/>
  <c r="BE31" i="4"/>
  <c r="AW31" i="4"/>
  <c r="AO31" i="4"/>
  <c r="AG31" i="4"/>
  <c r="Y31" i="4"/>
  <c r="Q31" i="4"/>
  <c r="BD31" i="4"/>
  <c r="AV31" i="4"/>
  <c r="AN31" i="4"/>
  <c r="O32" i="4"/>
  <c r="BI31" i="4"/>
  <c r="BA31" i="4"/>
  <c r="AS31" i="4"/>
  <c r="AK31" i="4"/>
  <c r="AC31" i="4"/>
  <c r="U31" i="4"/>
  <c r="AR31" i="4"/>
  <c r="X31" i="4"/>
  <c r="BH31" i="4"/>
  <c r="BJ31" i="4" s="1"/>
  <c r="BK31" i="4" s="1"/>
  <c r="T31" i="4"/>
  <c r="AF31" i="4"/>
  <c r="P31" i="4"/>
  <c r="AZ31" i="4"/>
  <c r="BH32" i="3"/>
  <c r="AZ32" i="3"/>
  <c r="AR32" i="3"/>
  <c r="AJ32" i="3"/>
  <c r="AB32" i="3"/>
  <c r="T32" i="3"/>
  <c r="O33" i="3"/>
  <c r="BE32" i="3"/>
  <c r="AW32" i="3"/>
  <c r="AO32" i="3"/>
  <c r="AG32" i="3"/>
  <c r="Y32" i="3"/>
  <c r="Q32" i="3"/>
  <c r="AN32" i="3"/>
  <c r="BI32" i="3"/>
  <c r="AC32" i="3"/>
  <c r="AV32" i="3"/>
  <c r="AX32" i="3" s="1"/>
  <c r="AY32" i="3" s="1"/>
  <c r="P32" i="3"/>
  <c r="AK32" i="3"/>
  <c r="BD32" i="3"/>
  <c r="X32" i="3"/>
  <c r="AF32" i="3"/>
  <c r="AS32" i="3"/>
  <c r="BA32" i="3"/>
  <c r="U32" i="3"/>
  <c r="BN30" i="4"/>
  <c r="AH31" i="3"/>
  <c r="AI31" i="3" s="1"/>
  <c r="Z30" i="4"/>
  <c r="AA30" i="4" s="1"/>
  <c r="AP30" i="4"/>
  <c r="AQ30" i="4" s="1"/>
  <c r="AL31" i="3"/>
  <c r="AM31" i="3" s="1"/>
  <c r="V30" i="4"/>
  <c r="W30" i="4" s="1"/>
  <c r="AX30" i="4"/>
  <c r="AY30" i="4" s="1"/>
  <c r="V31" i="3"/>
  <c r="W31" i="3" s="1"/>
  <c r="BQ30" i="4" l="1"/>
  <c r="N32" i="4"/>
  <c r="BP32" i="4"/>
  <c r="AP32" i="3"/>
  <c r="AQ32" i="3" s="1"/>
  <c r="AT31" i="4"/>
  <c r="AU31" i="4" s="1"/>
  <c r="R32" i="3"/>
  <c r="S32" i="3" s="1"/>
  <c r="AH32" i="3"/>
  <c r="AI32" i="3" s="1"/>
  <c r="BB31" i="4"/>
  <c r="BC31" i="4" s="1"/>
  <c r="AX31" i="4"/>
  <c r="AY31" i="4" s="1"/>
  <c r="AH31" i="4"/>
  <c r="AI31" i="4" s="1"/>
  <c r="O34" i="3"/>
  <c r="AR33" i="3"/>
  <c r="AG33" i="3"/>
  <c r="BA33" i="3"/>
  <c r="AF33" i="3"/>
  <c r="U33" i="3"/>
  <c r="AZ33" i="3"/>
  <c r="AO33" i="3"/>
  <c r="T33" i="3"/>
  <c r="BI33" i="3"/>
  <c r="AN33" i="3"/>
  <c r="AC33" i="3"/>
  <c r="BH33" i="3"/>
  <c r="AW33" i="3"/>
  <c r="AB33" i="3"/>
  <c r="Q33" i="3"/>
  <c r="BE33" i="3"/>
  <c r="AJ33" i="3"/>
  <c r="Y33" i="3"/>
  <c r="AK33" i="3"/>
  <c r="X33" i="3"/>
  <c r="AS33" i="3"/>
  <c r="AV33" i="3"/>
  <c r="P33" i="3"/>
  <c r="R33" i="3" s="1"/>
  <c r="S33" i="3" s="1"/>
  <c r="BD33" i="3"/>
  <c r="BF33" i="3" s="1"/>
  <c r="BG33" i="3" s="1"/>
  <c r="R31" i="4"/>
  <c r="S31" i="4" s="1"/>
  <c r="BF31" i="4"/>
  <c r="BG31" i="4" s="1"/>
  <c r="Z32" i="3"/>
  <c r="AA32" i="3" s="1"/>
  <c r="AD32" i="3"/>
  <c r="AE32" i="3" s="1"/>
  <c r="BN31" i="4"/>
  <c r="BQ31" i="4" s="1"/>
  <c r="BF32" i="3"/>
  <c r="BG32" i="3" s="1"/>
  <c r="AL32" i="3"/>
  <c r="AM32" i="3" s="1"/>
  <c r="V31" i="4"/>
  <c r="W31" i="4" s="1"/>
  <c r="AT32" i="3"/>
  <c r="AU32" i="3" s="1"/>
  <c r="AP31" i="4"/>
  <c r="AQ31" i="4" s="1"/>
  <c r="V32" i="3"/>
  <c r="W32" i="3" s="1"/>
  <c r="BB32" i="3"/>
  <c r="BC32" i="3" s="1"/>
  <c r="BJ32" i="3"/>
  <c r="BK32" i="3" s="1"/>
  <c r="Z31" i="4"/>
  <c r="AA31" i="4" s="1"/>
  <c r="BH32" i="4"/>
  <c r="AZ32" i="4"/>
  <c r="AR32" i="4"/>
  <c r="T32" i="4"/>
  <c r="BD32" i="4"/>
  <c r="AV32" i="4"/>
  <c r="AN32" i="4"/>
  <c r="AF32" i="4"/>
  <c r="X32" i="4"/>
  <c r="P32" i="4"/>
  <c r="AG32" i="4"/>
  <c r="BA32" i="4"/>
  <c r="AW32" i="4"/>
  <c r="AC32" i="4"/>
  <c r="O33" i="4"/>
  <c r="Y32" i="4"/>
  <c r="AS32" i="4"/>
  <c r="BE32" i="4"/>
  <c r="AO32" i="4"/>
  <c r="U32" i="4"/>
  <c r="Q32" i="4"/>
  <c r="BI32" i="4"/>
  <c r="AK32" i="4"/>
  <c r="N33" i="4" l="1"/>
  <c r="BP33" i="4"/>
  <c r="AX33" i="3"/>
  <c r="AY33" i="3" s="1"/>
  <c r="BJ33" i="3"/>
  <c r="BK33" i="3" s="1"/>
  <c r="AD33" i="3"/>
  <c r="AE33" i="3" s="1"/>
  <c r="BB33" i="3"/>
  <c r="BC33" i="3" s="1"/>
  <c r="V33" i="3"/>
  <c r="W33" i="3" s="1"/>
  <c r="AP32" i="4"/>
  <c r="AQ32" i="4" s="1"/>
  <c r="AL33" i="3"/>
  <c r="AM33" i="3" s="1"/>
  <c r="Z33" i="3"/>
  <c r="AA33" i="3" s="1"/>
  <c r="V32" i="4"/>
  <c r="W32" i="4" s="1"/>
  <c r="AX32" i="4"/>
  <c r="AY32" i="4" s="1"/>
  <c r="BN32" i="4"/>
  <c r="BF32" i="4"/>
  <c r="BG32" i="4" s="1"/>
  <c r="AH33" i="3"/>
  <c r="AI33" i="3" s="1"/>
  <c r="R32" i="4"/>
  <c r="S32" i="4" s="1"/>
  <c r="AP33" i="3"/>
  <c r="AQ33" i="3" s="1"/>
  <c r="Z32" i="4"/>
  <c r="AA32" i="4" s="1"/>
  <c r="AT32" i="4"/>
  <c r="AU32" i="4" s="1"/>
  <c r="AT33" i="3"/>
  <c r="AU33" i="3" s="1"/>
  <c r="AH32" i="4"/>
  <c r="AI32" i="4" s="1"/>
  <c r="BB32" i="4"/>
  <c r="BC32" i="4" s="1"/>
  <c r="BD34" i="3"/>
  <c r="AV34" i="3"/>
  <c r="AN34" i="3"/>
  <c r="AF34" i="3"/>
  <c r="X34" i="3"/>
  <c r="P34" i="3"/>
  <c r="BI34" i="3"/>
  <c r="BA34" i="3"/>
  <c r="AS34" i="3"/>
  <c r="AK34" i="3"/>
  <c r="AC34" i="3"/>
  <c r="U34" i="3"/>
  <c r="AJ34" i="3"/>
  <c r="BE34" i="3"/>
  <c r="Y34" i="3"/>
  <c r="AR34" i="3"/>
  <c r="O35" i="3"/>
  <c r="AG34" i="3"/>
  <c r="AZ34" i="3"/>
  <c r="T34" i="3"/>
  <c r="BH34" i="3"/>
  <c r="AB34" i="3"/>
  <c r="AO34" i="3"/>
  <c r="Q34" i="3"/>
  <c r="AW34" i="3"/>
  <c r="BI33" i="4"/>
  <c r="BA33" i="4"/>
  <c r="AS33" i="4"/>
  <c r="AK33" i="4"/>
  <c r="AC33" i="4"/>
  <c r="U33" i="4"/>
  <c r="O34" i="4"/>
  <c r="BH33" i="4"/>
  <c r="AZ33" i="4"/>
  <c r="AR33" i="4"/>
  <c r="T33" i="4"/>
  <c r="BE33" i="4"/>
  <c r="AW33" i="4"/>
  <c r="AO33" i="4"/>
  <c r="AG33" i="4"/>
  <c r="Y33" i="4"/>
  <c r="Q33" i="4"/>
  <c r="AN33" i="4"/>
  <c r="P33" i="4"/>
  <c r="BD33" i="4"/>
  <c r="BF33" i="4" s="1"/>
  <c r="BG33" i="4" s="1"/>
  <c r="AF33" i="4"/>
  <c r="AV33" i="4"/>
  <c r="X33" i="4"/>
  <c r="BJ32" i="4"/>
  <c r="BK32" i="4" s="1"/>
  <c r="BQ32" i="4" l="1"/>
  <c r="N34" i="4"/>
  <c r="BP34" i="4"/>
  <c r="BB34" i="3"/>
  <c r="BC34" i="3" s="1"/>
  <c r="AL34" i="3"/>
  <c r="AM34" i="3" s="1"/>
  <c r="AD34" i="3"/>
  <c r="AE34" i="3" s="1"/>
  <c r="BF34" i="3"/>
  <c r="BG34" i="3" s="1"/>
  <c r="AH33" i="4"/>
  <c r="AI33" i="4" s="1"/>
  <c r="AX33" i="4"/>
  <c r="AY33" i="4" s="1"/>
  <c r="BJ33" i="4"/>
  <c r="BK33" i="4" s="1"/>
  <c r="AT33" i="4"/>
  <c r="AU33" i="4" s="1"/>
  <c r="AS34" i="4"/>
  <c r="Q34" i="4"/>
  <c r="BA34" i="4"/>
  <c r="AR34" i="4"/>
  <c r="Y34" i="4"/>
  <c r="P34" i="4"/>
  <c r="BI34" i="4"/>
  <c r="AZ34" i="4"/>
  <c r="AG34" i="4"/>
  <c r="X34" i="4"/>
  <c r="AW34" i="4"/>
  <c r="AN34" i="4"/>
  <c r="BE34" i="4"/>
  <c r="AV34" i="4"/>
  <c r="U34" i="4"/>
  <c r="BH34" i="4"/>
  <c r="AK34" i="4"/>
  <c r="BD34" i="4"/>
  <c r="AF34" i="4"/>
  <c r="T34" i="4"/>
  <c r="O35" i="4"/>
  <c r="AO34" i="4"/>
  <c r="AT34" i="3"/>
  <c r="AU34" i="3" s="1"/>
  <c r="R33" i="4"/>
  <c r="S33" i="4" s="1"/>
  <c r="V33" i="4"/>
  <c r="W33" i="4" s="1"/>
  <c r="R34" i="3"/>
  <c r="S34" i="3" s="1"/>
  <c r="BI35" i="3"/>
  <c r="BA35" i="3"/>
  <c r="AS35" i="3"/>
  <c r="AK35" i="3"/>
  <c r="AO35" i="3"/>
  <c r="AC35" i="3"/>
  <c r="O36" i="3"/>
  <c r="AZ35" i="3"/>
  <c r="AN35" i="3"/>
  <c r="AB35" i="3"/>
  <c r="AD35" i="3" s="1"/>
  <c r="AE35" i="3" s="1"/>
  <c r="Q35" i="3"/>
  <c r="P35" i="3"/>
  <c r="AW35" i="3"/>
  <c r="AJ35" i="3"/>
  <c r="Y35" i="3"/>
  <c r="BH35" i="3"/>
  <c r="AV35" i="3"/>
  <c r="X35" i="3"/>
  <c r="BE35" i="3"/>
  <c r="AR35" i="3"/>
  <c r="AF35" i="3"/>
  <c r="U35" i="3"/>
  <c r="BD35" i="3"/>
  <c r="T35" i="3"/>
  <c r="AG35" i="3"/>
  <c r="BJ34" i="3"/>
  <c r="BK34" i="3" s="1"/>
  <c r="Z34" i="3"/>
  <c r="AA34" i="3" s="1"/>
  <c r="AP33" i="4"/>
  <c r="AQ33" i="4" s="1"/>
  <c r="BN33" i="4"/>
  <c r="BQ33" i="4" s="1"/>
  <c r="V34" i="3"/>
  <c r="W34" i="3" s="1"/>
  <c r="AH34" i="3"/>
  <c r="AI34" i="3" s="1"/>
  <c r="AP34" i="3"/>
  <c r="AQ34" i="3" s="1"/>
  <c r="Z33" i="4"/>
  <c r="AA33" i="4" s="1"/>
  <c r="BB33" i="4"/>
  <c r="BC33" i="4" s="1"/>
  <c r="AX34" i="3"/>
  <c r="AY34" i="3" s="1"/>
  <c r="N35" i="4" l="1"/>
  <c r="BP35" i="4"/>
  <c r="BF35" i="3"/>
  <c r="BG35" i="3" s="1"/>
  <c r="AT34" i="4"/>
  <c r="AU34" i="4" s="1"/>
  <c r="AT35" i="3"/>
  <c r="AU35" i="3" s="1"/>
  <c r="AL35" i="3"/>
  <c r="AM35" i="3" s="1"/>
  <c r="BF34" i="4"/>
  <c r="BG34" i="4" s="1"/>
  <c r="AX34" i="4"/>
  <c r="AY34" i="4" s="1"/>
  <c r="BB35" i="3"/>
  <c r="BC35" i="3" s="1"/>
  <c r="V35" i="3"/>
  <c r="W35" i="3" s="1"/>
  <c r="BJ35" i="3"/>
  <c r="BK35" i="3" s="1"/>
  <c r="BB34" i="4"/>
  <c r="BC34" i="4" s="1"/>
  <c r="AH35" i="3"/>
  <c r="AI35" i="3" s="1"/>
  <c r="Z34" i="4"/>
  <c r="AA34" i="4" s="1"/>
  <c r="V34" i="4"/>
  <c r="W34" i="4" s="1"/>
  <c r="AP34" i="4"/>
  <c r="AQ34" i="4" s="1"/>
  <c r="BJ34" i="4"/>
  <c r="BK34" i="4" s="1"/>
  <c r="R34" i="4"/>
  <c r="S34" i="4" s="1"/>
  <c r="R35" i="3"/>
  <c r="S35" i="3" s="1"/>
  <c r="AH34" i="4"/>
  <c r="AI34" i="4" s="1"/>
  <c r="Z35" i="3"/>
  <c r="AA35" i="3" s="1"/>
  <c r="BH36" i="3"/>
  <c r="AZ36" i="3"/>
  <c r="AR36" i="3"/>
  <c r="AJ36" i="3"/>
  <c r="AB36" i="3"/>
  <c r="T36" i="3"/>
  <c r="O37" i="3"/>
  <c r="BE36" i="3"/>
  <c r="AW36" i="3"/>
  <c r="AO36" i="3"/>
  <c r="AG36" i="3"/>
  <c r="Y36" i="3"/>
  <c r="Q36" i="3"/>
  <c r="P36" i="3"/>
  <c r="AN36" i="3"/>
  <c r="AC36" i="3"/>
  <c r="BA36" i="3"/>
  <c r="X36" i="3"/>
  <c r="AV36" i="3"/>
  <c r="AK36" i="3"/>
  <c r="AF36" i="3"/>
  <c r="U36" i="3"/>
  <c r="BI36" i="3"/>
  <c r="BD36" i="3"/>
  <c r="BF36" i="3" s="1"/>
  <c r="BG36" i="3" s="1"/>
  <c r="AS36" i="3"/>
  <c r="AX35" i="3"/>
  <c r="AY35" i="3" s="1"/>
  <c r="AP35" i="3"/>
  <c r="AQ35" i="3" s="1"/>
  <c r="O36" i="4"/>
  <c r="BI35" i="4"/>
  <c r="BA35" i="4"/>
  <c r="AS35" i="4"/>
  <c r="AK35" i="4"/>
  <c r="U35" i="4"/>
  <c r="BH35" i="4"/>
  <c r="AZ35" i="4"/>
  <c r="BE35" i="4"/>
  <c r="AR35" i="4"/>
  <c r="Q35" i="4"/>
  <c r="BD35" i="4"/>
  <c r="Y35" i="4"/>
  <c r="P35" i="4"/>
  <c r="AO35" i="4"/>
  <c r="AF35" i="4"/>
  <c r="AN35" i="4"/>
  <c r="AW35" i="4"/>
  <c r="X35" i="4"/>
  <c r="AV35" i="4"/>
  <c r="T35" i="4"/>
  <c r="AG35" i="4"/>
  <c r="AT35" i="4" l="1"/>
  <c r="AU35" i="4" s="1"/>
  <c r="N36" i="4"/>
  <c r="BP36" i="4"/>
  <c r="R36" i="3"/>
  <c r="S36" i="3" s="1"/>
  <c r="Z36" i="3"/>
  <c r="AA36" i="3" s="1"/>
  <c r="BB36" i="3"/>
  <c r="BC36" i="3" s="1"/>
  <c r="AH36" i="3"/>
  <c r="AI36" i="3" s="1"/>
  <c r="AD36" i="3"/>
  <c r="AE36" i="3" s="1"/>
  <c r="V35" i="4"/>
  <c r="W35" i="4" s="1"/>
  <c r="AX36" i="3"/>
  <c r="AY36" i="3" s="1"/>
  <c r="AP36" i="3"/>
  <c r="AQ36" i="3" s="1"/>
  <c r="AT36" i="3"/>
  <c r="AU36" i="3" s="1"/>
  <c r="V36" i="3"/>
  <c r="W36" i="3" s="1"/>
  <c r="AP35" i="4"/>
  <c r="AQ35" i="4" s="1"/>
  <c r="AH35" i="4"/>
  <c r="AI35" i="4" s="1"/>
  <c r="AX35" i="4"/>
  <c r="AY35" i="4" s="1"/>
  <c r="BB35" i="4"/>
  <c r="BC35" i="4" s="1"/>
  <c r="BD36" i="4"/>
  <c r="AV36" i="4"/>
  <c r="AN36" i="4"/>
  <c r="AF36" i="4"/>
  <c r="X36" i="4"/>
  <c r="P36" i="4"/>
  <c r="BH36" i="4"/>
  <c r="AZ36" i="4"/>
  <c r="O37" i="4"/>
  <c r="AW36" i="4"/>
  <c r="AG36" i="4"/>
  <c r="Q36" i="4"/>
  <c r="AS36" i="4"/>
  <c r="BI36" i="4"/>
  <c r="AO36" i="4"/>
  <c r="Y36" i="4"/>
  <c r="AR36" i="4"/>
  <c r="AK36" i="4"/>
  <c r="U36" i="4"/>
  <c r="BA36" i="4"/>
  <c r="T36" i="4"/>
  <c r="BE36" i="4"/>
  <c r="AL36" i="3"/>
  <c r="AM36" i="3" s="1"/>
  <c r="BJ35" i="4"/>
  <c r="BK35" i="4" s="1"/>
  <c r="R35" i="4"/>
  <c r="S35" i="4" s="1"/>
  <c r="Z35" i="4"/>
  <c r="AA35" i="4" s="1"/>
  <c r="BF35" i="4"/>
  <c r="BG35" i="4" s="1"/>
  <c r="BJ36" i="3"/>
  <c r="BK36" i="3" s="1"/>
  <c r="O38" i="3"/>
  <c r="BE37" i="3"/>
  <c r="AW37" i="3"/>
  <c r="AO37" i="3"/>
  <c r="AG37" i="3"/>
  <c r="Y37" i="3"/>
  <c r="Q37" i="3"/>
  <c r="BD37" i="3"/>
  <c r="AR37" i="3"/>
  <c r="AC37" i="3"/>
  <c r="P37" i="3"/>
  <c r="R37" i="3" s="1"/>
  <c r="S37" i="3" s="1"/>
  <c r="BA37" i="3"/>
  <c r="AN37" i="3"/>
  <c r="AB37" i="3"/>
  <c r="AZ37" i="3"/>
  <c r="AK37" i="3"/>
  <c r="X37" i="3"/>
  <c r="BH37" i="3"/>
  <c r="U37" i="3"/>
  <c r="T37" i="3"/>
  <c r="AJ37" i="3"/>
  <c r="BI37" i="3"/>
  <c r="AF37" i="3"/>
  <c r="AV37" i="3"/>
  <c r="AS37" i="3"/>
  <c r="N37" i="4" l="1"/>
  <c r="BP37" i="4"/>
  <c r="Z37" i="3"/>
  <c r="AA37" i="3" s="1"/>
  <c r="V36" i="4"/>
  <c r="W36" i="4" s="1"/>
  <c r="AL37" i="3"/>
  <c r="AM37" i="3" s="1"/>
  <c r="AP37" i="3"/>
  <c r="AQ37" i="3" s="1"/>
  <c r="BJ37" i="3"/>
  <c r="BK37" i="3" s="1"/>
  <c r="AT37" i="3"/>
  <c r="AU37" i="3" s="1"/>
  <c r="AX37" i="3"/>
  <c r="AY37" i="3" s="1"/>
  <c r="V37" i="3"/>
  <c r="W37" i="3" s="1"/>
  <c r="AH36" i="4"/>
  <c r="AI36" i="4" s="1"/>
  <c r="Z36" i="4"/>
  <c r="AA36" i="4" s="1"/>
  <c r="BJ36" i="4"/>
  <c r="BK36" i="4" s="1"/>
  <c r="R36" i="4"/>
  <c r="S36" i="4" s="1"/>
  <c r="BF37" i="3"/>
  <c r="BG37" i="3" s="1"/>
  <c r="AP36" i="4"/>
  <c r="AQ36" i="4" s="1"/>
  <c r="BD38" i="3"/>
  <c r="AV38" i="3"/>
  <c r="AN38" i="3"/>
  <c r="AF38" i="3"/>
  <c r="X38" i="3"/>
  <c r="P38" i="3"/>
  <c r="BI38" i="3"/>
  <c r="BA38" i="3"/>
  <c r="AS38" i="3"/>
  <c r="AK38" i="3"/>
  <c r="AC38" i="3"/>
  <c r="U38" i="3"/>
  <c r="AR38" i="3"/>
  <c r="AG38" i="3"/>
  <c r="BE38" i="3"/>
  <c r="AB38" i="3"/>
  <c r="Q38" i="3"/>
  <c r="AZ38" i="3"/>
  <c r="AO38" i="3"/>
  <c r="O39" i="3"/>
  <c r="BH38" i="3"/>
  <c r="AW38" i="3"/>
  <c r="Y38" i="3"/>
  <c r="AJ38" i="3"/>
  <c r="T38" i="3"/>
  <c r="AH37" i="3"/>
  <c r="AI37" i="3" s="1"/>
  <c r="BB37" i="3"/>
  <c r="BC37" i="3" s="1"/>
  <c r="AT36" i="4"/>
  <c r="AU36" i="4" s="1"/>
  <c r="AX36" i="4"/>
  <c r="AY36" i="4" s="1"/>
  <c r="AD37" i="3"/>
  <c r="AE37" i="3" s="1"/>
  <c r="BE37" i="4"/>
  <c r="AW37" i="4"/>
  <c r="AO37" i="4"/>
  <c r="AG37" i="4"/>
  <c r="Y37" i="4"/>
  <c r="Q37" i="4"/>
  <c r="BD37" i="4"/>
  <c r="AV37" i="4"/>
  <c r="AN37" i="4"/>
  <c r="AF37" i="4"/>
  <c r="X37" i="4"/>
  <c r="P37" i="4"/>
  <c r="O38" i="4"/>
  <c r="BI37" i="4"/>
  <c r="BA37" i="4"/>
  <c r="AS37" i="4"/>
  <c r="AK37" i="4"/>
  <c r="U37" i="4"/>
  <c r="BH37" i="4"/>
  <c r="AR37" i="4"/>
  <c r="T37" i="4"/>
  <c r="AZ37" i="4"/>
  <c r="BF36" i="4"/>
  <c r="BG36" i="4" s="1"/>
  <c r="BB36" i="4"/>
  <c r="BC36" i="4" s="1"/>
  <c r="N38" i="4" l="1"/>
  <c r="BP38" i="4"/>
  <c r="BJ38" i="3"/>
  <c r="BK38" i="3" s="1"/>
  <c r="V38" i="3"/>
  <c r="W38" i="3" s="1"/>
  <c r="BB38" i="3"/>
  <c r="BC38" i="3" s="1"/>
  <c r="AD38" i="3"/>
  <c r="AE38" i="3" s="1"/>
  <c r="BJ37" i="4"/>
  <c r="BK37" i="4" s="1"/>
  <c r="AX38" i="3"/>
  <c r="AY38" i="3" s="1"/>
  <c r="Z38" i="3"/>
  <c r="AA38" i="3" s="1"/>
  <c r="BF38" i="3"/>
  <c r="BG38" i="3" s="1"/>
  <c r="AX37" i="4"/>
  <c r="AY37" i="4" s="1"/>
  <c r="BF37" i="4"/>
  <c r="BG37" i="4" s="1"/>
  <c r="Z37" i="4"/>
  <c r="AA37" i="4" s="1"/>
  <c r="R37" i="4"/>
  <c r="S37" i="4" s="1"/>
  <c r="AH37" i="4"/>
  <c r="AI37" i="4" s="1"/>
  <c r="AL38" i="3"/>
  <c r="AM38" i="3" s="1"/>
  <c r="BB37" i="4"/>
  <c r="BC37" i="4" s="1"/>
  <c r="AP37" i="4"/>
  <c r="AQ37" i="4" s="1"/>
  <c r="R38" i="3"/>
  <c r="S38" i="3" s="1"/>
  <c r="AT37" i="4"/>
  <c r="AU37" i="4" s="1"/>
  <c r="BI39" i="3"/>
  <c r="BA39" i="3"/>
  <c r="AS39" i="3"/>
  <c r="AK39" i="3"/>
  <c r="AC39" i="3"/>
  <c r="U39" i="3"/>
  <c r="AG39" i="3"/>
  <c r="T39" i="3"/>
  <c r="BE39" i="3"/>
  <c r="AR39" i="3"/>
  <c r="AF39" i="3"/>
  <c r="BD39" i="3"/>
  <c r="Q39" i="3"/>
  <c r="AO39" i="3"/>
  <c r="AB39" i="3"/>
  <c r="P39" i="3"/>
  <c r="O40" i="3"/>
  <c r="AZ39" i="3"/>
  <c r="BB39" i="3" s="1"/>
  <c r="BC39" i="3" s="1"/>
  <c r="AN39" i="3"/>
  <c r="AW39" i="3"/>
  <c r="AJ39" i="3"/>
  <c r="X39" i="3"/>
  <c r="Y39" i="3"/>
  <c r="BH39" i="3"/>
  <c r="AV39" i="3"/>
  <c r="AH38" i="3"/>
  <c r="AI38" i="3" s="1"/>
  <c r="V37" i="4"/>
  <c r="W37" i="4" s="1"/>
  <c r="AT38" i="3"/>
  <c r="AU38" i="3" s="1"/>
  <c r="BH38" i="4"/>
  <c r="AZ38" i="4"/>
  <c r="AR38" i="4"/>
  <c r="T38" i="4"/>
  <c r="BE38" i="4"/>
  <c r="AW38" i="4"/>
  <c r="AO38" i="4"/>
  <c r="AG38" i="4"/>
  <c r="Y38" i="4"/>
  <c r="Q38" i="4"/>
  <c r="BD38" i="4"/>
  <c r="AV38" i="4"/>
  <c r="AN38" i="4"/>
  <c r="AF38" i="4"/>
  <c r="X38" i="4"/>
  <c r="P38" i="4"/>
  <c r="AS38" i="4"/>
  <c r="O39" i="4"/>
  <c r="AK38" i="4"/>
  <c r="BI38" i="4"/>
  <c r="BA38" i="4"/>
  <c r="U38" i="4"/>
  <c r="AP38" i="3"/>
  <c r="AQ38" i="3" s="1"/>
  <c r="N39" i="4" l="1"/>
  <c r="BP39" i="4"/>
  <c r="AH39" i="3"/>
  <c r="AI39" i="3" s="1"/>
  <c r="AL39" i="3"/>
  <c r="AM39" i="3" s="1"/>
  <c r="Z39" i="3"/>
  <c r="AA39" i="3" s="1"/>
  <c r="AT39" i="3"/>
  <c r="AU39" i="3" s="1"/>
  <c r="BJ39" i="3"/>
  <c r="BK39" i="3" s="1"/>
  <c r="BF39" i="3"/>
  <c r="BG39" i="3" s="1"/>
  <c r="AT38" i="4"/>
  <c r="AU38" i="4" s="1"/>
  <c r="BJ38" i="4"/>
  <c r="BK38" i="4" s="1"/>
  <c r="Z38" i="4"/>
  <c r="AA38" i="4" s="1"/>
  <c r="AH38" i="4"/>
  <c r="AI38" i="4" s="1"/>
  <c r="BF38" i="4"/>
  <c r="BG38" i="4" s="1"/>
  <c r="AP38" i="4"/>
  <c r="AQ38" i="4" s="1"/>
  <c r="V38" i="4"/>
  <c r="W38" i="4" s="1"/>
  <c r="AP39" i="3"/>
  <c r="AQ39" i="3" s="1"/>
  <c r="AX38" i="4"/>
  <c r="AY38" i="4" s="1"/>
  <c r="AX39" i="3"/>
  <c r="AY39" i="3" s="1"/>
  <c r="BH40" i="3"/>
  <c r="AZ40" i="3"/>
  <c r="AR40" i="3"/>
  <c r="AJ40" i="3"/>
  <c r="AB40" i="3"/>
  <c r="T40" i="3"/>
  <c r="O41" i="3"/>
  <c r="BE40" i="3"/>
  <c r="AW40" i="3"/>
  <c r="AO40" i="3"/>
  <c r="AG40" i="3"/>
  <c r="Y40" i="3"/>
  <c r="Q40" i="3"/>
  <c r="BI40" i="3"/>
  <c r="AF40" i="3"/>
  <c r="AH40" i="3" s="1"/>
  <c r="AI40" i="3" s="1"/>
  <c r="U40" i="3"/>
  <c r="BD40" i="3"/>
  <c r="AS40" i="3"/>
  <c r="P40" i="3"/>
  <c r="AN40" i="3"/>
  <c r="AC40" i="3"/>
  <c r="X40" i="3"/>
  <c r="AK40" i="3"/>
  <c r="BA40" i="3"/>
  <c r="AV40" i="3"/>
  <c r="AX40" i="3" s="1"/>
  <c r="AY40" i="3" s="1"/>
  <c r="R39" i="3"/>
  <c r="S39" i="3" s="1"/>
  <c r="V39" i="3"/>
  <c r="W39" i="3" s="1"/>
  <c r="O40" i="4"/>
  <c r="BI39" i="4"/>
  <c r="BA39" i="4"/>
  <c r="AS39" i="4"/>
  <c r="AK39" i="4"/>
  <c r="U39" i="4"/>
  <c r="BH39" i="4"/>
  <c r="AZ39" i="4"/>
  <c r="AR39" i="4"/>
  <c r="T39" i="4"/>
  <c r="BE39" i="4"/>
  <c r="AW39" i="4"/>
  <c r="AO39" i="4"/>
  <c r="AG39" i="4"/>
  <c r="Y39" i="4"/>
  <c r="Q39" i="4"/>
  <c r="AV39" i="4"/>
  <c r="P39" i="4"/>
  <c r="AF39" i="4"/>
  <c r="X39" i="4"/>
  <c r="BD39" i="4"/>
  <c r="AN39" i="4"/>
  <c r="R38" i="4"/>
  <c r="S38" i="4" s="1"/>
  <c r="BB38" i="4"/>
  <c r="BC38" i="4" s="1"/>
  <c r="AD39" i="3"/>
  <c r="AE39" i="3" s="1"/>
  <c r="N40" i="4" l="1"/>
  <c r="BP40" i="4"/>
  <c r="BF40" i="3"/>
  <c r="BG40" i="3" s="1"/>
  <c r="BJ40" i="3"/>
  <c r="BK40" i="3" s="1"/>
  <c r="AP40" i="3"/>
  <c r="AQ40" i="3" s="1"/>
  <c r="Z40" i="3"/>
  <c r="AA40" i="3" s="1"/>
  <c r="R40" i="3"/>
  <c r="S40" i="3" s="1"/>
  <c r="AX39" i="4"/>
  <c r="AY39" i="4" s="1"/>
  <c r="BF39" i="4"/>
  <c r="BG39" i="4" s="1"/>
  <c r="BJ39" i="4"/>
  <c r="BK39" i="4" s="1"/>
  <c r="Z39" i="4"/>
  <c r="AA39" i="4" s="1"/>
  <c r="V39" i="4"/>
  <c r="W39" i="4" s="1"/>
  <c r="AP39" i="4"/>
  <c r="AQ39" i="4" s="1"/>
  <c r="R39" i="4"/>
  <c r="S39" i="4" s="1"/>
  <c r="O42" i="3"/>
  <c r="BE41" i="3"/>
  <c r="AW41" i="3"/>
  <c r="AO41" i="3"/>
  <c r="AG41" i="3"/>
  <c r="Y41" i="3"/>
  <c r="Q41" i="3"/>
  <c r="BI41" i="3"/>
  <c r="AV41" i="3"/>
  <c r="AJ41" i="3"/>
  <c r="BH41" i="3"/>
  <c r="U41" i="3"/>
  <c r="AS41" i="3"/>
  <c r="AF41" i="3"/>
  <c r="T41" i="3"/>
  <c r="BD41" i="3"/>
  <c r="AR41" i="3"/>
  <c r="AC41" i="3"/>
  <c r="P41" i="3"/>
  <c r="AZ41" i="3"/>
  <c r="AB41" i="3"/>
  <c r="X41" i="3"/>
  <c r="Z41" i="3" s="1"/>
  <c r="AA41" i="3" s="1"/>
  <c r="AN41" i="3"/>
  <c r="AK41" i="3"/>
  <c r="BA41" i="3"/>
  <c r="AT39" i="4"/>
  <c r="AU39" i="4" s="1"/>
  <c r="V40" i="3"/>
  <c r="W40" i="3" s="1"/>
  <c r="BB39" i="4"/>
  <c r="BC39" i="4" s="1"/>
  <c r="BI40" i="4"/>
  <c r="AZ40" i="4"/>
  <c r="AG40" i="4"/>
  <c r="X40" i="4"/>
  <c r="P40" i="4"/>
  <c r="O41" i="4"/>
  <c r="BH40" i="4"/>
  <c r="AO40" i="4"/>
  <c r="AF40" i="4"/>
  <c r="AW40" i="4"/>
  <c r="AN40" i="4"/>
  <c r="BE40" i="4"/>
  <c r="AV40" i="4"/>
  <c r="U40" i="4"/>
  <c r="BD40" i="4"/>
  <c r="T40" i="4"/>
  <c r="AK40" i="4"/>
  <c r="Y40" i="4"/>
  <c r="BA40" i="4"/>
  <c r="Q40" i="4"/>
  <c r="AS40" i="4"/>
  <c r="AR40" i="4"/>
  <c r="AD40" i="3"/>
  <c r="AE40" i="3" s="1"/>
  <c r="AL40" i="3"/>
  <c r="AM40" i="3" s="1"/>
  <c r="AT40" i="3"/>
  <c r="AU40" i="3" s="1"/>
  <c r="AH39" i="4"/>
  <c r="AI39" i="4" s="1"/>
  <c r="BB40" i="3"/>
  <c r="BC40" i="3" s="1"/>
  <c r="N41" i="4" l="1"/>
  <c r="BP41" i="4"/>
  <c r="R41" i="3"/>
  <c r="S41" i="3" s="1"/>
  <c r="BF41" i="3"/>
  <c r="BG41" i="3" s="1"/>
  <c r="AD41" i="3"/>
  <c r="AE41" i="3" s="1"/>
  <c r="AX41" i="3"/>
  <c r="AY41" i="3" s="1"/>
  <c r="AH41" i="3"/>
  <c r="AI41" i="3" s="1"/>
  <c r="BB41" i="3"/>
  <c r="BC41" i="3" s="1"/>
  <c r="BB40" i="4"/>
  <c r="BC40" i="4" s="1"/>
  <c r="V40" i="4"/>
  <c r="W40" i="4" s="1"/>
  <c r="AH40" i="4"/>
  <c r="AI40" i="4" s="1"/>
  <c r="AT40" i="4"/>
  <c r="AU40" i="4" s="1"/>
  <c r="BF40" i="4"/>
  <c r="BG40" i="4" s="1"/>
  <c r="BJ40" i="4"/>
  <c r="BK40" i="4" s="1"/>
  <c r="BJ41" i="3"/>
  <c r="BK41" i="3" s="1"/>
  <c r="O42" i="4"/>
  <c r="BI41" i="4"/>
  <c r="BA41" i="4"/>
  <c r="AS41" i="4"/>
  <c r="AK41" i="4"/>
  <c r="U41" i="4"/>
  <c r="AZ41" i="4"/>
  <c r="Y41" i="4"/>
  <c r="P41" i="4"/>
  <c r="BH41" i="4"/>
  <c r="AG41" i="4"/>
  <c r="X41" i="4"/>
  <c r="Z41" i="4" s="1"/>
  <c r="AA41" i="4" s="1"/>
  <c r="AO41" i="4"/>
  <c r="AF41" i="4"/>
  <c r="AW41" i="4"/>
  <c r="AN41" i="4"/>
  <c r="BE41" i="4"/>
  <c r="AV41" i="4"/>
  <c r="T41" i="4"/>
  <c r="BD41" i="4"/>
  <c r="Q41" i="4"/>
  <c r="AR41" i="4"/>
  <c r="AL41" i="3"/>
  <c r="AM41" i="3" s="1"/>
  <c r="AX40" i="4"/>
  <c r="AY40" i="4" s="1"/>
  <c r="R40" i="4"/>
  <c r="S40" i="4" s="1"/>
  <c r="AT41" i="3"/>
  <c r="AU41" i="3" s="1"/>
  <c r="AV42" i="3"/>
  <c r="AK42" i="3"/>
  <c r="Q42" i="3"/>
  <c r="BE42" i="3"/>
  <c r="AJ42" i="3"/>
  <c r="Y42" i="3"/>
  <c r="P42" i="3"/>
  <c r="R42" i="3" s="1"/>
  <c r="S42" i="3" s="1"/>
  <c r="O43" i="3"/>
  <c r="AR42" i="3"/>
  <c r="AG42" i="3"/>
  <c r="BI42" i="3"/>
  <c r="AB42" i="3"/>
  <c r="BH42" i="3"/>
  <c r="AO42" i="3"/>
  <c r="X42" i="3"/>
  <c r="BD42" i="3"/>
  <c r="AN42" i="3"/>
  <c r="U42" i="3"/>
  <c r="BA42" i="3"/>
  <c r="T42" i="3"/>
  <c r="AZ42" i="3"/>
  <c r="AW42" i="3"/>
  <c r="AF42" i="3"/>
  <c r="AS42" i="3"/>
  <c r="AC42" i="3"/>
  <c r="Z40" i="4"/>
  <c r="AA40" i="4" s="1"/>
  <c r="AP40" i="4"/>
  <c r="AQ40" i="4" s="1"/>
  <c r="AP41" i="3"/>
  <c r="AQ41" i="3" s="1"/>
  <c r="V41" i="3"/>
  <c r="W41" i="3" s="1"/>
  <c r="N42" i="4" l="1"/>
  <c r="BP42" i="4"/>
  <c r="AH42" i="3"/>
  <c r="AI42" i="3" s="1"/>
  <c r="V42" i="3"/>
  <c r="W42" i="3" s="1"/>
  <c r="BB42" i="3"/>
  <c r="BC42" i="3" s="1"/>
  <c r="BJ42" i="3"/>
  <c r="BK42" i="3" s="1"/>
  <c r="AL42" i="3"/>
  <c r="AM42" i="3" s="1"/>
  <c r="BJ41" i="4"/>
  <c r="BK41" i="4" s="1"/>
  <c r="AD42" i="3"/>
  <c r="AE42" i="3" s="1"/>
  <c r="AT41" i="4"/>
  <c r="AU41" i="4" s="1"/>
  <c r="V41" i="4"/>
  <c r="W41" i="4" s="1"/>
  <c r="AX41" i="4"/>
  <c r="AY41" i="4" s="1"/>
  <c r="AP41" i="4"/>
  <c r="AQ41" i="4" s="1"/>
  <c r="R41" i="4"/>
  <c r="S41" i="4" s="1"/>
  <c r="BA42" i="4"/>
  <c r="AR42" i="4"/>
  <c r="Q42" i="4"/>
  <c r="BI42" i="4"/>
  <c r="AZ42" i="4"/>
  <c r="BB42" i="4" s="1"/>
  <c r="BC42" i="4" s="1"/>
  <c r="Y42" i="4"/>
  <c r="P42" i="4"/>
  <c r="O43" i="4"/>
  <c r="BH42" i="4"/>
  <c r="AG42" i="4"/>
  <c r="X42" i="4"/>
  <c r="AO42" i="4"/>
  <c r="AF42" i="4"/>
  <c r="AW42" i="4"/>
  <c r="AN42" i="4"/>
  <c r="U42" i="4"/>
  <c r="BE42" i="4"/>
  <c r="AV42" i="4"/>
  <c r="T42" i="4"/>
  <c r="AS42" i="4"/>
  <c r="AK42" i="4"/>
  <c r="BD42" i="4"/>
  <c r="BB41" i="4"/>
  <c r="BC41" i="4" s="1"/>
  <c r="AP42" i="3"/>
  <c r="AQ42" i="3" s="1"/>
  <c r="AT42" i="3"/>
  <c r="AU42" i="3" s="1"/>
  <c r="AX42" i="3"/>
  <c r="AY42" i="3" s="1"/>
  <c r="AH41" i="4"/>
  <c r="AI41" i="4" s="1"/>
  <c r="BF42" i="3"/>
  <c r="BG42" i="3" s="1"/>
  <c r="BI43" i="3"/>
  <c r="BA43" i="3"/>
  <c r="AS43" i="3"/>
  <c r="AK43" i="3"/>
  <c r="AC43" i="3"/>
  <c r="U43" i="3"/>
  <c r="O44" i="3"/>
  <c r="BE43" i="3"/>
  <c r="AW43" i="3"/>
  <c r="AO43" i="3"/>
  <c r="AG43" i="3"/>
  <c r="Y43" i="3"/>
  <c r="Q43" i="3"/>
  <c r="AN43" i="3"/>
  <c r="AB43" i="3"/>
  <c r="X43" i="3"/>
  <c r="AR43" i="3"/>
  <c r="BH43" i="3"/>
  <c r="AJ43" i="3"/>
  <c r="T43" i="3"/>
  <c r="AZ43" i="3"/>
  <c r="AF43" i="3"/>
  <c r="BD43" i="3"/>
  <c r="AV43" i="3"/>
  <c r="P43" i="3"/>
  <c r="Z42" i="3"/>
  <c r="AA42" i="3" s="1"/>
  <c r="BF41" i="4"/>
  <c r="BG41" i="4" s="1"/>
  <c r="N43" i="4" l="1"/>
  <c r="BP43" i="4"/>
  <c r="BF42" i="4"/>
  <c r="BG42" i="4" s="1"/>
  <c r="AP43" i="3"/>
  <c r="AQ43" i="3" s="1"/>
  <c r="BF43" i="3"/>
  <c r="BG43" i="3" s="1"/>
  <c r="BJ43" i="3"/>
  <c r="BK43" i="3" s="1"/>
  <c r="AT43" i="3"/>
  <c r="AU43" i="3" s="1"/>
  <c r="AH43" i="3"/>
  <c r="AI43" i="3" s="1"/>
  <c r="BB43" i="3"/>
  <c r="BC43" i="3" s="1"/>
  <c r="AX43" i="3"/>
  <c r="AY43" i="3" s="1"/>
  <c r="AH42" i="4"/>
  <c r="AI42" i="4" s="1"/>
  <c r="V42" i="4"/>
  <c r="W42" i="4" s="1"/>
  <c r="AL43" i="3"/>
  <c r="AM43" i="3" s="1"/>
  <c r="Z42" i="4"/>
  <c r="AA42" i="4" s="1"/>
  <c r="AX42" i="4"/>
  <c r="AY42" i="4" s="1"/>
  <c r="AT42" i="4"/>
  <c r="AU42" i="4" s="1"/>
  <c r="R43" i="3"/>
  <c r="S43" i="3" s="1"/>
  <c r="BJ42" i="4"/>
  <c r="BK42" i="4" s="1"/>
  <c r="Z43" i="3"/>
  <c r="AA43" i="3" s="1"/>
  <c r="BE43" i="4"/>
  <c r="AW43" i="4"/>
  <c r="AO43" i="4"/>
  <c r="AG43" i="4"/>
  <c r="Y43" i="4"/>
  <c r="Q43" i="4"/>
  <c r="AS43" i="4"/>
  <c r="BA43" i="4"/>
  <c r="AR43" i="4"/>
  <c r="P43" i="4"/>
  <c r="BI43" i="4"/>
  <c r="AZ43" i="4"/>
  <c r="X43" i="4"/>
  <c r="O44" i="4"/>
  <c r="BH43" i="4"/>
  <c r="AF43" i="4"/>
  <c r="AN43" i="4"/>
  <c r="AV43" i="4"/>
  <c r="U43" i="4"/>
  <c r="AK43" i="4"/>
  <c r="BD43" i="4"/>
  <c r="T43" i="4"/>
  <c r="V43" i="3"/>
  <c r="W43" i="3" s="1"/>
  <c r="AD43" i="3"/>
  <c r="AE43" i="3" s="1"/>
  <c r="O45" i="3"/>
  <c r="BE44" i="3"/>
  <c r="AW44" i="3"/>
  <c r="AO44" i="3"/>
  <c r="AG44" i="3"/>
  <c r="Y44" i="3"/>
  <c r="Q44" i="3"/>
  <c r="BI44" i="3"/>
  <c r="AS44" i="3"/>
  <c r="AC44" i="3"/>
  <c r="P44" i="3"/>
  <c r="BD44" i="3"/>
  <c r="AN44" i="3"/>
  <c r="T44" i="3"/>
  <c r="AK44" i="3"/>
  <c r="BH44" i="3"/>
  <c r="BJ44" i="3" s="1"/>
  <c r="BK44" i="3" s="1"/>
  <c r="AJ44" i="3"/>
  <c r="AF44" i="3"/>
  <c r="BA44" i="3"/>
  <c r="AB44" i="3"/>
  <c r="AV44" i="3"/>
  <c r="X44" i="3"/>
  <c r="Z44" i="3" s="1"/>
  <c r="AA44" i="3" s="1"/>
  <c r="U44" i="3"/>
  <c r="AZ44" i="3"/>
  <c r="AR44" i="3"/>
  <c r="AT44" i="3" s="1"/>
  <c r="AU44" i="3" s="1"/>
  <c r="AP42" i="4"/>
  <c r="AQ42" i="4" s="1"/>
  <c r="R42" i="4"/>
  <c r="S42" i="4" s="1"/>
  <c r="Q45" i="3" l="1"/>
  <c r="U45" i="3"/>
  <c r="N44" i="4"/>
  <c r="BP44" i="4"/>
  <c r="AX43" i="4"/>
  <c r="AY43" i="4" s="1"/>
  <c r="BB44" i="3"/>
  <c r="BC44" i="3" s="1"/>
  <c r="AD44" i="3"/>
  <c r="AE44" i="3" s="1"/>
  <c r="BF44" i="3"/>
  <c r="BG44" i="3" s="1"/>
  <c r="U78" i="3"/>
  <c r="T45" i="3"/>
  <c r="V45" i="3" s="1"/>
  <c r="W45" i="3" s="1"/>
  <c r="Q78" i="3"/>
  <c r="P45" i="3"/>
  <c r="R45" i="3" s="1"/>
  <c r="S45" i="3" s="1"/>
  <c r="AX44" i="3"/>
  <c r="AY44" i="3" s="1"/>
  <c r="BF43" i="4"/>
  <c r="BG43" i="4" s="1"/>
  <c r="Z43" i="4"/>
  <c r="AA43" i="4" s="1"/>
  <c r="AP44" i="3"/>
  <c r="AQ44" i="3" s="1"/>
  <c r="BB43" i="4"/>
  <c r="BC43" i="4" s="1"/>
  <c r="AP43" i="4"/>
  <c r="AQ43" i="4" s="1"/>
  <c r="V43" i="4"/>
  <c r="W43" i="4" s="1"/>
  <c r="AH43" i="4"/>
  <c r="AI43" i="4" s="1"/>
  <c r="BJ43" i="4"/>
  <c r="BK43" i="4" s="1"/>
  <c r="AZ44" i="4"/>
  <c r="AN44" i="4"/>
  <c r="T44" i="4"/>
  <c r="BI44" i="4"/>
  <c r="AW44" i="4"/>
  <c r="Q44" i="4"/>
  <c r="BH44" i="4"/>
  <c r="AV44" i="4"/>
  <c r="P44" i="4"/>
  <c r="O45" i="4"/>
  <c r="BE44" i="4"/>
  <c r="AK44" i="4"/>
  <c r="Y44" i="4"/>
  <c r="BD44" i="4"/>
  <c r="X44" i="4"/>
  <c r="AS44" i="4"/>
  <c r="AG44" i="4"/>
  <c r="AO44" i="4"/>
  <c r="AF44" i="4"/>
  <c r="U44" i="4"/>
  <c r="AR44" i="4"/>
  <c r="BA44" i="4"/>
  <c r="AH44" i="3"/>
  <c r="AI44" i="3" s="1"/>
  <c r="R44" i="3"/>
  <c r="S44" i="3" s="1"/>
  <c r="AL44" i="3"/>
  <c r="AM44" i="3" s="1"/>
  <c r="O46" i="3"/>
  <c r="BE45" i="3"/>
  <c r="AW45" i="3"/>
  <c r="AO45" i="3"/>
  <c r="AG45" i="3"/>
  <c r="Y45" i="3"/>
  <c r="Y78" i="3" s="1"/>
  <c r="BD45" i="3"/>
  <c r="AV45" i="3"/>
  <c r="AN45" i="3"/>
  <c r="AF45" i="3"/>
  <c r="X45" i="3"/>
  <c r="BI45" i="3"/>
  <c r="BA45" i="3"/>
  <c r="AS45" i="3"/>
  <c r="AK45" i="3"/>
  <c r="AC45" i="3"/>
  <c r="AC78" i="3" s="1"/>
  <c r="AZ45" i="3"/>
  <c r="AJ45" i="3"/>
  <c r="AR45" i="3"/>
  <c r="BH45" i="3"/>
  <c r="BJ45" i="3" s="1"/>
  <c r="BK45" i="3" s="1"/>
  <c r="AB45" i="3"/>
  <c r="R43" i="4"/>
  <c r="S43" i="4" s="1"/>
  <c r="AT43" i="4"/>
  <c r="AU43" i="4" s="1"/>
  <c r="V44" i="3"/>
  <c r="W44" i="3" s="1"/>
  <c r="U45" i="4" l="1"/>
  <c r="Q45" i="4"/>
  <c r="P45" i="4"/>
  <c r="R45" i="4" s="1"/>
  <c r="S45" i="4" s="1"/>
  <c r="U78" i="4"/>
  <c r="T45" i="4"/>
  <c r="V45" i="4" s="1"/>
  <c r="W45" i="4" s="1"/>
  <c r="T78" i="3"/>
  <c r="N45" i="4"/>
  <c r="BP45" i="4"/>
  <c r="W78" i="3"/>
  <c r="C20" i="3" s="1"/>
  <c r="P78" i="3"/>
  <c r="S78" i="3"/>
  <c r="B20" i="3" s="1"/>
  <c r="Q13" i="7" s="1"/>
  <c r="AL45" i="3"/>
  <c r="AM45" i="3" s="1"/>
  <c r="C21" i="3"/>
  <c r="BB45" i="3"/>
  <c r="BC45" i="3" s="1"/>
  <c r="AH45" i="3"/>
  <c r="AI45" i="3" s="1"/>
  <c r="AX45" i="3"/>
  <c r="AY45" i="3" s="1"/>
  <c r="AP45" i="3"/>
  <c r="AQ45" i="3" s="1"/>
  <c r="AT45" i="3"/>
  <c r="AU45" i="3" s="1"/>
  <c r="AP44" i="4"/>
  <c r="AQ44" i="4" s="1"/>
  <c r="AX44" i="4"/>
  <c r="AY44" i="4" s="1"/>
  <c r="AT44" i="4"/>
  <c r="AU44" i="4" s="1"/>
  <c r="AH44" i="4"/>
  <c r="AI44" i="4" s="1"/>
  <c r="BJ44" i="4"/>
  <c r="BK44" i="4" s="1"/>
  <c r="BF44" i="4"/>
  <c r="BG44" i="4" s="1"/>
  <c r="BF45" i="3"/>
  <c r="BG45" i="3" s="1"/>
  <c r="Q78" i="4"/>
  <c r="AS45" i="4"/>
  <c r="AK45" i="4"/>
  <c r="BA45" i="4"/>
  <c r="AR45" i="4"/>
  <c r="BH45" i="4"/>
  <c r="AW45" i="4"/>
  <c r="AV45" i="4"/>
  <c r="Y45" i="4"/>
  <c r="O46" i="4"/>
  <c r="X45" i="4"/>
  <c r="BE45" i="4"/>
  <c r="AG45" i="4"/>
  <c r="BD45" i="4"/>
  <c r="AF45" i="4"/>
  <c r="AZ45" i="4"/>
  <c r="AO45" i="4"/>
  <c r="BI45" i="4"/>
  <c r="AN45" i="4"/>
  <c r="BI46" i="3"/>
  <c r="BA46" i="3"/>
  <c r="AS46" i="3"/>
  <c r="AK46" i="3"/>
  <c r="AZ46" i="3"/>
  <c r="AJ46" i="3"/>
  <c r="O47" i="3"/>
  <c r="AW46" i="3"/>
  <c r="AG46" i="3"/>
  <c r="BH46" i="3"/>
  <c r="AR46" i="3"/>
  <c r="AT46" i="3" s="1"/>
  <c r="AU46" i="3" s="1"/>
  <c r="BE46" i="3"/>
  <c r="BD46" i="3"/>
  <c r="AV46" i="3"/>
  <c r="AO46" i="3"/>
  <c r="AF46" i="3"/>
  <c r="AN46" i="3"/>
  <c r="AD45" i="3"/>
  <c r="AE45" i="3" s="1"/>
  <c r="AE78" i="3" s="1"/>
  <c r="E20" i="3" s="1"/>
  <c r="AB78" i="3"/>
  <c r="R44" i="4"/>
  <c r="S44" i="4" s="1"/>
  <c r="S78" i="4" s="1"/>
  <c r="B20" i="4" s="1"/>
  <c r="B21" i="4" s="1"/>
  <c r="V44" i="4"/>
  <c r="W44" i="4" s="1"/>
  <c r="W78" i="4" s="1"/>
  <c r="C20" i="4" s="1"/>
  <c r="C21" i="4" s="1"/>
  <c r="Z44" i="4"/>
  <c r="AA44" i="4" s="1"/>
  <c r="Z45" i="3"/>
  <c r="AA45" i="3" s="1"/>
  <c r="AA78" i="3" s="1"/>
  <c r="D20" i="3" s="1"/>
  <c r="X78" i="3"/>
  <c r="BB44" i="4"/>
  <c r="BC44" i="4" s="1"/>
  <c r="T78" i="4" l="1"/>
  <c r="P78" i="4"/>
  <c r="F29" i="7"/>
  <c r="F25" i="7"/>
  <c r="F27" i="7"/>
  <c r="F26" i="7"/>
  <c r="F30" i="7"/>
  <c r="F31" i="7"/>
  <c r="F28" i="7"/>
  <c r="F32" i="7"/>
  <c r="F11" i="7"/>
  <c r="F15" i="7"/>
  <c r="F19" i="7"/>
  <c r="F8" i="7"/>
  <c r="F16" i="7"/>
  <c r="F17" i="7"/>
  <c r="F14" i="7"/>
  <c r="F12" i="7"/>
  <c r="F7" i="7"/>
  <c r="F9" i="7"/>
  <c r="F13" i="7"/>
  <c r="F10" i="7"/>
  <c r="F18" i="7"/>
  <c r="D10" i="7"/>
  <c r="D11" i="7"/>
  <c r="D15" i="7"/>
  <c r="D19" i="7"/>
  <c r="D18" i="7"/>
  <c r="D8" i="7"/>
  <c r="D12" i="7"/>
  <c r="D16" i="7"/>
  <c r="D7" i="7"/>
  <c r="D9" i="7"/>
  <c r="D13" i="7"/>
  <c r="D17" i="7"/>
  <c r="D14" i="7"/>
  <c r="N46" i="4"/>
  <c r="BP46" i="4"/>
  <c r="B21" i="3"/>
  <c r="Q31" i="7"/>
  <c r="BB46" i="3"/>
  <c r="BC46" i="3" s="1"/>
  <c r="AP46" i="3"/>
  <c r="AQ46" i="3" s="1"/>
  <c r="BF46" i="3"/>
  <c r="BG46" i="3" s="1"/>
  <c r="BB45" i="4"/>
  <c r="BC45" i="4" s="1"/>
  <c r="AX45" i="4"/>
  <c r="AY45" i="4" s="1"/>
  <c r="AP45" i="4"/>
  <c r="AQ45" i="4" s="1"/>
  <c r="AX46" i="3"/>
  <c r="AY46" i="3" s="1"/>
  <c r="AH45" i="4"/>
  <c r="AI45" i="4" s="1"/>
  <c r="BF45" i="4"/>
  <c r="BG45" i="4" s="1"/>
  <c r="BJ45" i="4"/>
  <c r="BK45" i="4" s="1"/>
  <c r="Q7" i="7"/>
  <c r="D21" i="3"/>
  <c r="Q25" i="7"/>
  <c r="E21" i="3"/>
  <c r="BJ46" i="3"/>
  <c r="BK46" i="3" s="1"/>
  <c r="AH46" i="3"/>
  <c r="AI46" i="3" s="1"/>
  <c r="Z45" i="4"/>
  <c r="AA45" i="4" s="1"/>
  <c r="AA78" i="4" s="1"/>
  <c r="D20" i="4" s="1"/>
  <c r="D21" i="4" s="1"/>
  <c r="X78" i="4"/>
  <c r="AT45" i="4"/>
  <c r="AU45" i="4" s="1"/>
  <c r="BI47" i="3"/>
  <c r="BA47" i="3"/>
  <c r="AS47" i="3"/>
  <c r="AK47" i="3"/>
  <c r="BH47" i="3"/>
  <c r="BJ47" i="3" s="1"/>
  <c r="BK47" i="3" s="1"/>
  <c r="AZ47" i="3"/>
  <c r="AR47" i="3"/>
  <c r="AJ47" i="3"/>
  <c r="O48" i="3"/>
  <c r="BE47" i="3"/>
  <c r="AW47" i="3"/>
  <c r="AO47" i="3"/>
  <c r="AG47" i="3"/>
  <c r="AV47" i="3"/>
  <c r="AF47" i="3"/>
  <c r="AN47" i="3"/>
  <c r="BD47" i="3"/>
  <c r="BD46" i="4"/>
  <c r="AV46" i="4"/>
  <c r="AN46" i="4"/>
  <c r="AF46" i="4"/>
  <c r="BA46" i="4"/>
  <c r="AR46" i="4"/>
  <c r="BI46" i="4"/>
  <c r="AZ46" i="4"/>
  <c r="AG46" i="4"/>
  <c r="O47" i="4"/>
  <c r="BE46" i="4"/>
  <c r="AS46" i="4"/>
  <c r="AO46" i="4"/>
  <c r="AW46" i="4"/>
  <c r="BH46" i="4"/>
  <c r="AL46" i="3"/>
  <c r="AM46" i="3" s="1"/>
  <c r="Y78" i="4"/>
  <c r="D25" i="7" l="1"/>
  <c r="D28" i="7"/>
  <c r="D32" i="7"/>
  <c r="D30" i="7"/>
  <c r="D27" i="7"/>
  <c r="D29" i="7"/>
  <c r="D26" i="7"/>
  <c r="D31" i="7"/>
  <c r="D20" i="7"/>
  <c r="N47" i="4"/>
  <c r="BP47" i="4"/>
  <c r="BB47" i="3"/>
  <c r="BC47" i="3" s="1"/>
  <c r="BJ46" i="4"/>
  <c r="BK46" i="4" s="1"/>
  <c r="BF47" i="3"/>
  <c r="BG47" i="3" s="1"/>
  <c r="AT46" i="4"/>
  <c r="AU46" i="4" s="1"/>
  <c r="AP46" i="4"/>
  <c r="AQ46" i="4" s="1"/>
  <c r="AX46" i="4"/>
  <c r="AY46" i="4" s="1"/>
  <c r="BD47" i="4"/>
  <c r="O48" i="4"/>
  <c r="BE47" i="4"/>
  <c r="AS47" i="4"/>
  <c r="AR47" i="4"/>
  <c r="AG47" i="4"/>
  <c r="AW47" i="4"/>
  <c r="AV47" i="4"/>
  <c r="AF47" i="4"/>
  <c r="BI47" i="4"/>
  <c r="BH47" i="4"/>
  <c r="AO47" i="4"/>
  <c r="BA47" i="4"/>
  <c r="AN47" i="4"/>
  <c r="AZ47" i="4"/>
  <c r="BF46" i="4"/>
  <c r="BG46" i="4" s="1"/>
  <c r="AH46" i="4"/>
  <c r="AI46" i="4" s="1"/>
  <c r="BB46" i="4"/>
  <c r="BC46" i="4" s="1"/>
  <c r="O49" i="3"/>
  <c r="BE48" i="3"/>
  <c r="AW48" i="3"/>
  <c r="AO48" i="3"/>
  <c r="AG48" i="3"/>
  <c r="AV48" i="3"/>
  <c r="AF48" i="3"/>
  <c r="BI48" i="3"/>
  <c r="AS48" i="3"/>
  <c r="BD48" i="3"/>
  <c r="BF48" i="3" s="1"/>
  <c r="BG48" i="3" s="1"/>
  <c r="AN48" i="3"/>
  <c r="BA48" i="3"/>
  <c r="AZ48" i="3"/>
  <c r="BB48" i="3" s="1"/>
  <c r="BC48" i="3" s="1"/>
  <c r="AR48" i="3"/>
  <c r="AK48" i="3"/>
  <c r="BH48" i="3"/>
  <c r="BJ48" i="3" s="1"/>
  <c r="BK48" i="3" s="1"/>
  <c r="AJ48" i="3"/>
  <c r="AP47" i="3"/>
  <c r="AQ47" i="3" s="1"/>
  <c r="AL47" i="3"/>
  <c r="AM47" i="3" s="1"/>
  <c r="AH47" i="3"/>
  <c r="AI47" i="3" s="1"/>
  <c r="AT47" i="3"/>
  <c r="AU47" i="3" s="1"/>
  <c r="AX47" i="3"/>
  <c r="AY47" i="3" s="1"/>
  <c r="D33" i="7" l="1"/>
  <c r="N48" i="4"/>
  <c r="BP48" i="4"/>
  <c r="AP48" i="3"/>
  <c r="AQ48" i="3" s="1"/>
  <c r="AH48" i="3"/>
  <c r="AI48" i="3" s="1"/>
  <c r="AX48" i="3"/>
  <c r="AY48" i="3" s="1"/>
  <c r="AL48" i="3"/>
  <c r="AM48" i="3" s="1"/>
  <c r="BB47" i="4"/>
  <c r="BC47" i="4" s="1"/>
  <c r="BJ47" i="4"/>
  <c r="BK47" i="4" s="1"/>
  <c r="AP47" i="4"/>
  <c r="AQ47" i="4" s="1"/>
  <c r="O50" i="3"/>
  <c r="BE49" i="3"/>
  <c r="AW49" i="3"/>
  <c r="AO49" i="3"/>
  <c r="AG49" i="3"/>
  <c r="BD49" i="3"/>
  <c r="BF49" i="3" s="1"/>
  <c r="BG49" i="3" s="1"/>
  <c r="AV49" i="3"/>
  <c r="AN49" i="3"/>
  <c r="AP49" i="3" s="1"/>
  <c r="AQ49" i="3" s="1"/>
  <c r="AF49" i="3"/>
  <c r="BI49" i="3"/>
  <c r="BA49" i="3"/>
  <c r="AS49" i="3"/>
  <c r="AK49" i="3"/>
  <c r="BH49" i="3"/>
  <c r="BJ49" i="3" s="1"/>
  <c r="BK49" i="3" s="1"/>
  <c r="AR49" i="3"/>
  <c r="AJ49" i="3"/>
  <c r="AZ49" i="3"/>
  <c r="AT48" i="3"/>
  <c r="AU48" i="3" s="1"/>
  <c r="AT47" i="4"/>
  <c r="AU47" i="4" s="1"/>
  <c r="AH47" i="4"/>
  <c r="AI47" i="4" s="1"/>
  <c r="BH48" i="4"/>
  <c r="AZ48" i="4"/>
  <c r="AR48" i="4"/>
  <c r="BD48" i="4"/>
  <c r="AV48" i="4"/>
  <c r="AN48" i="4"/>
  <c r="AF48" i="4"/>
  <c r="BE48" i="4"/>
  <c r="AS48" i="4"/>
  <c r="O49" i="4"/>
  <c r="BI48" i="4"/>
  <c r="AO48" i="4"/>
  <c r="BA48" i="4"/>
  <c r="AW48" i="4"/>
  <c r="AG48" i="4"/>
  <c r="AX47" i="4"/>
  <c r="AY47" i="4" s="1"/>
  <c r="BF47" i="4"/>
  <c r="BG47" i="4" s="1"/>
  <c r="N49" i="4" l="1"/>
  <c r="BP49" i="4"/>
  <c r="AX49" i="3"/>
  <c r="AY49" i="3" s="1"/>
  <c r="BB49" i="3"/>
  <c r="BC49" i="3" s="1"/>
  <c r="AH49" i="3"/>
  <c r="AI49" i="3" s="1"/>
  <c r="AT49" i="3"/>
  <c r="AU49" i="3" s="1"/>
  <c r="AL49" i="3"/>
  <c r="AM49" i="3" s="1"/>
  <c r="BB48" i="4"/>
  <c r="BC48" i="4" s="1"/>
  <c r="AP48" i="4"/>
  <c r="AQ48" i="4" s="1"/>
  <c r="BJ48" i="4"/>
  <c r="BK48" i="4" s="1"/>
  <c r="AH48" i="4"/>
  <c r="AI48" i="4" s="1"/>
  <c r="AX48" i="4"/>
  <c r="AY48" i="4" s="1"/>
  <c r="BF48" i="4"/>
  <c r="BG48" i="4" s="1"/>
  <c r="BH49" i="4"/>
  <c r="AZ49" i="4"/>
  <c r="AR49" i="4"/>
  <c r="BE49" i="4"/>
  <c r="AS49" i="4"/>
  <c r="AF49" i="4"/>
  <c r="O50" i="4"/>
  <c r="BD49" i="4"/>
  <c r="BF49" i="4" s="1"/>
  <c r="BG49" i="4" s="1"/>
  <c r="BI49" i="4"/>
  <c r="AN49" i="4"/>
  <c r="BA49" i="4"/>
  <c r="AW49" i="4"/>
  <c r="AG49" i="4"/>
  <c r="AV49" i="4"/>
  <c r="AO49" i="4"/>
  <c r="AT48" i="4"/>
  <c r="AU48" i="4" s="1"/>
  <c r="BI50" i="3"/>
  <c r="BA50" i="3"/>
  <c r="AS50" i="3"/>
  <c r="AK50" i="3"/>
  <c r="BH50" i="3"/>
  <c r="AR50" i="3"/>
  <c r="BE50" i="3"/>
  <c r="AO50" i="3"/>
  <c r="AZ50" i="3"/>
  <c r="AJ50" i="3"/>
  <c r="AL50" i="3" s="1"/>
  <c r="AM50" i="3" s="1"/>
  <c r="AW50" i="3"/>
  <c r="AV50" i="3"/>
  <c r="AN50" i="3"/>
  <c r="O51" i="3"/>
  <c r="AG50" i="3"/>
  <c r="BD50" i="3"/>
  <c r="AF50" i="3"/>
  <c r="N50" i="4" l="1"/>
  <c r="BP50" i="4"/>
  <c r="AT50" i="3"/>
  <c r="AU50" i="3" s="1"/>
  <c r="BJ50" i="3"/>
  <c r="BK50" i="3" s="1"/>
  <c r="AH50" i="3"/>
  <c r="AI50" i="3" s="1"/>
  <c r="AT49" i="4"/>
  <c r="AU49" i="4" s="1"/>
  <c r="BF50" i="3"/>
  <c r="BG50" i="3" s="1"/>
  <c r="AX50" i="3"/>
  <c r="AY50" i="3" s="1"/>
  <c r="AX49" i="4"/>
  <c r="AY49" i="4" s="1"/>
  <c r="BB49" i="4"/>
  <c r="BC49" i="4" s="1"/>
  <c r="BJ49" i="4"/>
  <c r="BK49" i="4" s="1"/>
  <c r="BI51" i="3"/>
  <c r="BA51" i="3"/>
  <c r="AS51" i="3"/>
  <c r="AK51" i="3"/>
  <c r="BH51" i="3"/>
  <c r="AZ51" i="3"/>
  <c r="AR51" i="3"/>
  <c r="AT51" i="3" s="1"/>
  <c r="AU51" i="3" s="1"/>
  <c r="AJ51" i="3"/>
  <c r="AL51" i="3" s="1"/>
  <c r="AM51" i="3" s="1"/>
  <c r="O52" i="3"/>
  <c r="BE51" i="3"/>
  <c r="AW51" i="3"/>
  <c r="AO51" i="3"/>
  <c r="AG51" i="3"/>
  <c r="BD51" i="3"/>
  <c r="AN51" i="3"/>
  <c r="AF51" i="3"/>
  <c r="AV51" i="3"/>
  <c r="BD50" i="4"/>
  <c r="AV50" i="4"/>
  <c r="AN50" i="4"/>
  <c r="AF50" i="4"/>
  <c r="BH50" i="4"/>
  <c r="AZ50" i="4"/>
  <c r="AR50" i="4"/>
  <c r="AS50" i="4"/>
  <c r="AG50" i="4"/>
  <c r="O51" i="4"/>
  <c r="BE50" i="4"/>
  <c r="AO50" i="4"/>
  <c r="BI50" i="4"/>
  <c r="BA50" i="4"/>
  <c r="AW50" i="4"/>
  <c r="AP50" i="3"/>
  <c r="AQ50" i="3" s="1"/>
  <c r="AH49" i="4"/>
  <c r="AI49" i="4" s="1"/>
  <c r="BB50" i="3"/>
  <c r="BC50" i="3" s="1"/>
  <c r="AP49" i="4"/>
  <c r="AQ49" i="4" s="1"/>
  <c r="N51" i="4" l="1"/>
  <c r="BP51" i="4"/>
  <c r="BF51" i="3"/>
  <c r="BG51" i="3" s="1"/>
  <c r="BB51" i="3"/>
  <c r="BC51" i="3" s="1"/>
  <c r="BJ51" i="3"/>
  <c r="BK51" i="3" s="1"/>
  <c r="AP51" i="3"/>
  <c r="AQ51" i="3" s="1"/>
  <c r="AX51" i="3"/>
  <c r="AY51" i="3" s="1"/>
  <c r="BB50" i="4"/>
  <c r="BC50" i="4" s="1"/>
  <c r="AH51" i="3"/>
  <c r="AI51" i="3" s="1"/>
  <c r="AT50" i="4"/>
  <c r="AU50" i="4" s="1"/>
  <c r="BJ50" i="4"/>
  <c r="BK50" i="4" s="1"/>
  <c r="AH50" i="4"/>
  <c r="AI50" i="4" s="1"/>
  <c r="BD51" i="4"/>
  <c r="AV51" i="4"/>
  <c r="AN51" i="4"/>
  <c r="AF51" i="4"/>
  <c r="AS51" i="4"/>
  <c r="AG51" i="4"/>
  <c r="O52" i="4"/>
  <c r="BE51" i="4"/>
  <c r="AR51" i="4"/>
  <c r="AO51" i="4"/>
  <c r="BI51" i="4"/>
  <c r="BH51" i="4"/>
  <c r="BA51" i="4"/>
  <c r="AZ51" i="4"/>
  <c r="AW51" i="4"/>
  <c r="AX50" i="4"/>
  <c r="AY50" i="4" s="1"/>
  <c r="BF50" i="4"/>
  <c r="BG50" i="4" s="1"/>
  <c r="AP50" i="4"/>
  <c r="AQ50" i="4" s="1"/>
  <c r="O53" i="3"/>
  <c r="BE52" i="3"/>
  <c r="AW52" i="3"/>
  <c r="AO52" i="3"/>
  <c r="AG52" i="3"/>
  <c r="BD52" i="3"/>
  <c r="BF52" i="3" s="1"/>
  <c r="BG52" i="3" s="1"/>
  <c r="AN52" i="3"/>
  <c r="BA52" i="3"/>
  <c r="AK52" i="3"/>
  <c r="AV52" i="3"/>
  <c r="AF52" i="3"/>
  <c r="AS52" i="3"/>
  <c r="AR52" i="3"/>
  <c r="AJ52" i="3"/>
  <c r="BI52" i="3"/>
  <c r="AZ52" i="3"/>
  <c r="BB52" i="3" s="1"/>
  <c r="BC52" i="3" s="1"/>
  <c r="BH52" i="3"/>
  <c r="N52" i="4" l="1"/>
  <c r="BP52" i="4"/>
  <c r="AP52" i="3"/>
  <c r="AQ52" i="3" s="1"/>
  <c r="AX52" i="3"/>
  <c r="AY52" i="3" s="1"/>
  <c r="AT52" i="3"/>
  <c r="AU52" i="3" s="1"/>
  <c r="AH52" i="3"/>
  <c r="AI52" i="3" s="1"/>
  <c r="AL52" i="3"/>
  <c r="AM52" i="3" s="1"/>
  <c r="BJ51" i="4"/>
  <c r="BK51" i="4" s="1"/>
  <c r="AP51" i="4"/>
  <c r="AQ51" i="4" s="1"/>
  <c r="AH51" i="4"/>
  <c r="AI51" i="4" s="1"/>
  <c r="AX51" i="4"/>
  <c r="AY51" i="4" s="1"/>
  <c r="AT51" i="4"/>
  <c r="AU51" i="4" s="1"/>
  <c r="BF51" i="4"/>
  <c r="BG51" i="4" s="1"/>
  <c r="BB51" i="4"/>
  <c r="BC51" i="4" s="1"/>
  <c r="BJ52" i="3"/>
  <c r="BK52" i="3" s="1"/>
  <c r="O54" i="3"/>
  <c r="BE53" i="3"/>
  <c r="AW53" i="3"/>
  <c r="AO53" i="3"/>
  <c r="AG53" i="3"/>
  <c r="BD53" i="3"/>
  <c r="AV53" i="3"/>
  <c r="AX53" i="3" s="1"/>
  <c r="AY53" i="3" s="1"/>
  <c r="AN53" i="3"/>
  <c r="AF53" i="3"/>
  <c r="BI53" i="3"/>
  <c r="BA53" i="3"/>
  <c r="AS53" i="3"/>
  <c r="AK53" i="3"/>
  <c r="AZ53" i="3"/>
  <c r="AJ53" i="3"/>
  <c r="BH53" i="3"/>
  <c r="AR53" i="3"/>
  <c r="BI52" i="4"/>
  <c r="AZ52" i="4"/>
  <c r="AR52" i="4"/>
  <c r="BD52" i="4"/>
  <c r="AV52" i="4"/>
  <c r="AN52" i="4"/>
  <c r="AF52" i="4"/>
  <c r="BH52" i="4"/>
  <c r="AG52" i="4"/>
  <c r="BE52" i="4"/>
  <c r="AS52" i="4"/>
  <c r="O53" i="4"/>
  <c r="AW52" i="4"/>
  <c r="AO52" i="4"/>
  <c r="BA52" i="4"/>
  <c r="N53" i="4" l="1"/>
  <c r="BP53" i="4"/>
  <c r="BJ52" i="4"/>
  <c r="BK52" i="4" s="1"/>
  <c r="BF53" i="3"/>
  <c r="BG53" i="3" s="1"/>
  <c r="AP53" i="3"/>
  <c r="AQ53" i="3" s="1"/>
  <c r="AH53" i="3"/>
  <c r="AI53" i="3" s="1"/>
  <c r="BJ53" i="3"/>
  <c r="BK53" i="3" s="1"/>
  <c r="AT53" i="3"/>
  <c r="AU53" i="3" s="1"/>
  <c r="AL53" i="3"/>
  <c r="AM53" i="3" s="1"/>
  <c r="BB53" i="3"/>
  <c r="BC53" i="3" s="1"/>
  <c r="BF52" i="4"/>
  <c r="BG52" i="4" s="1"/>
  <c r="AX52" i="4"/>
  <c r="AY52" i="4" s="1"/>
  <c r="AP52" i="4"/>
  <c r="AQ52" i="4" s="1"/>
  <c r="BH53" i="4"/>
  <c r="AZ53" i="4"/>
  <c r="AR53" i="4"/>
  <c r="O54" i="4"/>
  <c r="AO53" i="4"/>
  <c r="AF53" i="4"/>
  <c r="BE53" i="4"/>
  <c r="AV53" i="4"/>
  <c r="AW53" i="4"/>
  <c r="AG53" i="4"/>
  <c r="BI53" i="4"/>
  <c r="AS53" i="4"/>
  <c r="BD53" i="4"/>
  <c r="BA53" i="4"/>
  <c r="AN53" i="4"/>
  <c r="BB52" i="4"/>
  <c r="BC52" i="4" s="1"/>
  <c r="AT52" i="4"/>
  <c r="AU52" i="4" s="1"/>
  <c r="AH52" i="4"/>
  <c r="AI52" i="4" s="1"/>
  <c r="BI54" i="3"/>
  <c r="BA54" i="3"/>
  <c r="AS54" i="3"/>
  <c r="AK54" i="3"/>
  <c r="AZ54" i="3"/>
  <c r="AJ54" i="3"/>
  <c r="O55" i="3"/>
  <c r="AW54" i="3"/>
  <c r="AG54" i="3"/>
  <c r="BH54" i="3"/>
  <c r="AR54" i="3"/>
  <c r="AT54" i="3" s="1"/>
  <c r="AU54" i="3" s="1"/>
  <c r="BE54" i="3"/>
  <c r="BD54" i="3"/>
  <c r="AV54" i="3"/>
  <c r="AO54" i="3"/>
  <c r="AN54" i="3"/>
  <c r="AF54" i="3"/>
  <c r="AH54" i="3" s="1"/>
  <c r="AI54" i="3" s="1"/>
  <c r="N54" i="4" l="1"/>
  <c r="BP54" i="4"/>
  <c r="BF54" i="3"/>
  <c r="BG54" i="3" s="1"/>
  <c r="AL54" i="3"/>
  <c r="AM54" i="3" s="1"/>
  <c r="BF53" i="4"/>
  <c r="BG53" i="4" s="1"/>
  <c r="BB54" i="3"/>
  <c r="BC54" i="3" s="1"/>
  <c r="AP54" i="3"/>
  <c r="AQ54" i="3" s="1"/>
  <c r="BI55" i="3"/>
  <c r="BA55" i="3"/>
  <c r="AS55" i="3"/>
  <c r="AK55" i="3"/>
  <c r="AK78" i="3" s="1"/>
  <c r="BH55" i="3"/>
  <c r="AZ55" i="3"/>
  <c r="AR55" i="3"/>
  <c r="AJ55" i="3"/>
  <c r="O56" i="3"/>
  <c r="BE55" i="3"/>
  <c r="AW55" i="3"/>
  <c r="AO55" i="3"/>
  <c r="AG55" i="3"/>
  <c r="AG78" i="3" s="1"/>
  <c r="AV55" i="3"/>
  <c r="AF55" i="3"/>
  <c r="BD55" i="3"/>
  <c r="AN55" i="3"/>
  <c r="AW54" i="4"/>
  <c r="AN54" i="4"/>
  <c r="BD54" i="4"/>
  <c r="BA54" i="4"/>
  <c r="AR54" i="4"/>
  <c r="BE54" i="4"/>
  <c r="O55" i="4"/>
  <c r="AO54" i="4"/>
  <c r="AZ54" i="4"/>
  <c r="AV54" i="4"/>
  <c r="AS54" i="4"/>
  <c r="BH54" i="4"/>
  <c r="AG54" i="4"/>
  <c r="AF54" i="4"/>
  <c r="BI54" i="4"/>
  <c r="AH53" i="4"/>
  <c r="AI53" i="4" s="1"/>
  <c r="AT53" i="4"/>
  <c r="AU53" i="4" s="1"/>
  <c r="BB53" i="4"/>
  <c r="BC53" i="4" s="1"/>
  <c r="AX54" i="3"/>
  <c r="AY54" i="3" s="1"/>
  <c r="BJ54" i="3"/>
  <c r="BK54" i="3" s="1"/>
  <c r="AP53" i="4"/>
  <c r="AQ53" i="4" s="1"/>
  <c r="AX53" i="4"/>
  <c r="AY53" i="4" s="1"/>
  <c r="BJ53" i="4"/>
  <c r="BK53" i="4" s="1"/>
  <c r="N55" i="4" l="1"/>
  <c r="BP55" i="4"/>
  <c r="AT55" i="3"/>
  <c r="AU55" i="3" s="1"/>
  <c r="BB55" i="3"/>
  <c r="BC55" i="3" s="1"/>
  <c r="BJ55" i="3"/>
  <c r="BK55" i="3" s="1"/>
  <c r="AX55" i="3"/>
  <c r="AY55" i="3" s="1"/>
  <c r="AP55" i="3"/>
  <c r="AQ55" i="3" s="1"/>
  <c r="AX54" i="4"/>
  <c r="AY54" i="4" s="1"/>
  <c r="BF55" i="3"/>
  <c r="BG55" i="3" s="1"/>
  <c r="BJ54" i="4"/>
  <c r="BK54" i="4" s="1"/>
  <c r="AP54" i="4"/>
  <c r="AQ54" i="4" s="1"/>
  <c r="AT54" i="4"/>
  <c r="AU54" i="4" s="1"/>
  <c r="BF54" i="4"/>
  <c r="BG54" i="4" s="1"/>
  <c r="AL55" i="3"/>
  <c r="AM55" i="3" s="1"/>
  <c r="AM78" i="3" s="1"/>
  <c r="G20" i="3" s="1"/>
  <c r="AJ78" i="3"/>
  <c r="AH55" i="3"/>
  <c r="AI55" i="3" s="1"/>
  <c r="AI78" i="3" s="1"/>
  <c r="F20" i="3" s="1"/>
  <c r="AF78" i="3"/>
  <c r="BB54" i="4"/>
  <c r="BC54" i="4" s="1"/>
  <c r="AH54" i="4"/>
  <c r="AI54" i="4" s="1"/>
  <c r="BD55" i="4"/>
  <c r="AV55" i="4"/>
  <c r="AN55" i="4"/>
  <c r="AF55" i="4"/>
  <c r="BE55" i="4"/>
  <c r="AS55" i="4"/>
  <c r="BI55" i="4"/>
  <c r="AZ55" i="4"/>
  <c r="AW55" i="4"/>
  <c r="AG55" i="4"/>
  <c r="BH55" i="4"/>
  <c r="BJ55" i="4" s="1"/>
  <c r="BK55" i="4" s="1"/>
  <c r="AR55" i="4"/>
  <c r="O56" i="4"/>
  <c r="AO55" i="4"/>
  <c r="BA55" i="4"/>
  <c r="O57" i="3"/>
  <c r="BE56" i="3"/>
  <c r="AW56" i="3"/>
  <c r="AO56" i="3"/>
  <c r="BD56" i="3"/>
  <c r="AN56" i="3"/>
  <c r="BA56" i="3"/>
  <c r="AV56" i="3"/>
  <c r="AR56" i="3"/>
  <c r="BI56" i="3"/>
  <c r="AZ56" i="3"/>
  <c r="BB56" i="3" s="1"/>
  <c r="BC56" i="3" s="1"/>
  <c r="BH56" i="3"/>
  <c r="AS56" i="3"/>
  <c r="H28" i="7" l="1"/>
  <c r="H32" i="7"/>
  <c r="H26" i="7"/>
  <c r="H29" i="7"/>
  <c r="H30" i="7"/>
  <c r="H27" i="7"/>
  <c r="H31" i="7"/>
  <c r="H25" i="7"/>
  <c r="H11" i="7"/>
  <c r="H15" i="7"/>
  <c r="H19" i="7"/>
  <c r="H7" i="7"/>
  <c r="H13" i="7"/>
  <c r="H14" i="7"/>
  <c r="H8" i="7"/>
  <c r="H12" i="7"/>
  <c r="H16" i="7"/>
  <c r="H9" i="7"/>
  <c r="H17" i="7"/>
  <c r="H10" i="7"/>
  <c r="H18" i="7"/>
  <c r="N56" i="4"/>
  <c r="BP56" i="4"/>
  <c r="AT55" i="4"/>
  <c r="AU55" i="4" s="1"/>
  <c r="BF56" i="3"/>
  <c r="BG56" i="3" s="1"/>
  <c r="BJ56" i="3"/>
  <c r="BK56" i="3" s="1"/>
  <c r="BB55" i="4"/>
  <c r="BC55" i="4" s="1"/>
  <c r="AH55" i="4"/>
  <c r="AI55" i="4" s="1"/>
  <c r="AI78" i="4" s="1"/>
  <c r="F20" i="4" s="1"/>
  <c r="F21" i="4" s="1"/>
  <c r="AF78" i="4"/>
  <c r="AG78" i="4"/>
  <c r="AP55" i="4"/>
  <c r="AQ55" i="4" s="1"/>
  <c r="Q8" i="7"/>
  <c r="F21" i="3"/>
  <c r="AS56" i="4"/>
  <c r="BA56" i="4"/>
  <c r="BI56" i="4"/>
  <c r="AZ56" i="4"/>
  <c r="AW56" i="4"/>
  <c r="AN56" i="4"/>
  <c r="BH56" i="4"/>
  <c r="AR56" i="4"/>
  <c r="BE56" i="4"/>
  <c r="AO56" i="4"/>
  <c r="AV56" i="4"/>
  <c r="O57" i="4"/>
  <c r="BD56" i="4"/>
  <c r="O58" i="3"/>
  <c r="BE57" i="3"/>
  <c r="AW57" i="3"/>
  <c r="AO57" i="3"/>
  <c r="BD57" i="3"/>
  <c r="AV57" i="3"/>
  <c r="AN57" i="3"/>
  <c r="BI57" i="3"/>
  <c r="BA57" i="3"/>
  <c r="AS57" i="3"/>
  <c r="BH57" i="3"/>
  <c r="AR57" i="3"/>
  <c r="AZ57" i="3"/>
  <c r="AX55" i="4"/>
  <c r="AY55" i="4" s="1"/>
  <c r="AX56" i="3"/>
  <c r="AY56" i="3" s="1"/>
  <c r="BF55" i="4"/>
  <c r="BG55" i="4" s="1"/>
  <c r="Q26" i="7"/>
  <c r="G21" i="3"/>
  <c r="AT56" i="3"/>
  <c r="AU56" i="3" s="1"/>
  <c r="AP56" i="3"/>
  <c r="AQ56" i="3" s="1"/>
  <c r="N57" i="4" l="1"/>
  <c r="BP57" i="4"/>
  <c r="BJ57" i="3"/>
  <c r="BK57" i="3" s="1"/>
  <c r="AP57" i="3"/>
  <c r="AQ57" i="3" s="1"/>
  <c r="AT56" i="4"/>
  <c r="AU56" i="4" s="1"/>
  <c r="BB56" i="4"/>
  <c r="BC56" i="4" s="1"/>
  <c r="AX56" i="4"/>
  <c r="AY56" i="4" s="1"/>
  <c r="BJ56" i="4"/>
  <c r="BK56" i="4" s="1"/>
  <c r="AP56" i="4"/>
  <c r="AQ56" i="4" s="1"/>
  <c r="BM56" i="4"/>
  <c r="BF56" i="4"/>
  <c r="BG56" i="4" s="1"/>
  <c r="BH57" i="4"/>
  <c r="AZ57" i="4"/>
  <c r="AR57" i="4"/>
  <c r="BI57" i="4"/>
  <c r="O58" i="4"/>
  <c r="AO57" i="4"/>
  <c r="AW57" i="4"/>
  <c r="AN57" i="4"/>
  <c r="BD57" i="4"/>
  <c r="BA57" i="4"/>
  <c r="AV57" i="4"/>
  <c r="BE57" i="4"/>
  <c r="AS57" i="4"/>
  <c r="BI58" i="3"/>
  <c r="BA58" i="3"/>
  <c r="AS58" i="3"/>
  <c r="AZ58" i="3"/>
  <c r="O59" i="3"/>
  <c r="AW58" i="3"/>
  <c r="BH58" i="3"/>
  <c r="AR58" i="3"/>
  <c r="BE58" i="3"/>
  <c r="BD58" i="3"/>
  <c r="AO58" i="3"/>
  <c r="AV58" i="3"/>
  <c r="AN58" i="3"/>
  <c r="AX57" i="3"/>
  <c r="AY57" i="3" s="1"/>
  <c r="BB57" i="3"/>
  <c r="BC57" i="3" s="1"/>
  <c r="BF57" i="3"/>
  <c r="BG57" i="3" s="1"/>
  <c r="BN56" i="4"/>
  <c r="AT57" i="3"/>
  <c r="AU57" i="3" s="1"/>
  <c r="BQ56" i="4" l="1"/>
  <c r="N58" i="4"/>
  <c r="BP58" i="4"/>
  <c r="AX57" i="4"/>
  <c r="AY57" i="4" s="1"/>
  <c r="BF57" i="4"/>
  <c r="BG57" i="4" s="1"/>
  <c r="BJ57" i="4"/>
  <c r="BK57" i="4" s="1"/>
  <c r="AX58" i="3"/>
  <c r="AY58" i="3" s="1"/>
  <c r="BB58" i="3"/>
  <c r="BC58" i="3" s="1"/>
  <c r="AT57" i="4"/>
  <c r="AU57" i="4" s="1"/>
  <c r="BN57" i="4"/>
  <c r="BQ57" i="4" s="1"/>
  <c r="AP57" i="4"/>
  <c r="AQ57" i="4" s="1"/>
  <c r="BM57" i="4"/>
  <c r="BF58" i="3"/>
  <c r="BG58" i="3" s="1"/>
  <c r="BO56" i="4"/>
  <c r="AT58" i="3"/>
  <c r="AU58" i="3" s="1"/>
  <c r="BH58" i="4"/>
  <c r="AW58" i="4"/>
  <c r="AN58" i="4"/>
  <c r="O59" i="4"/>
  <c r="AV58" i="4"/>
  <c r="BE58" i="4"/>
  <c r="AR58" i="4"/>
  <c r="BI58" i="4"/>
  <c r="AO58" i="4"/>
  <c r="BD58" i="4"/>
  <c r="BA58" i="4"/>
  <c r="AZ58" i="4"/>
  <c r="AS58" i="4"/>
  <c r="BJ58" i="3"/>
  <c r="BK58" i="3" s="1"/>
  <c r="AP58" i="3"/>
  <c r="AQ58" i="3" s="1"/>
  <c r="BI59" i="3"/>
  <c r="BA59" i="3"/>
  <c r="AS59" i="3"/>
  <c r="BH59" i="3"/>
  <c r="AZ59" i="3"/>
  <c r="AR59" i="3"/>
  <c r="O60" i="3"/>
  <c r="BE59" i="3"/>
  <c r="AW59" i="3"/>
  <c r="AO59" i="3"/>
  <c r="BD59" i="3"/>
  <c r="AN59" i="3"/>
  <c r="AV59" i="3"/>
  <c r="AX59" i="3" s="1"/>
  <c r="AY59" i="3" s="1"/>
  <c r="BB57" i="4"/>
  <c r="BC57" i="4" s="1"/>
  <c r="N59" i="4" l="1"/>
  <c r="BP59" i="4"/>
  <c r="BO57" i="4"/>
  <c r="BB59" i="3"/>
  <c r="BC59" i="3" s="1"/>
  <c r="BF59" i="3"/>
  <c r="BG59" i="3" s="1"/>
  <c r="AT59" i="3"/>
  <c r="AU59" i="3" s="1"/>
  <c r="AX58" i="4"/>
  <c r="AY58" i="4" s="1"/>
  <c r="BJ58" i="4"/>
  <c r="BK58" i="4" s="1"/>
  <c r="AP59" i="3"/>
  <c r="AQ59" i="3" s="1"/>
  <c r="BJ59" i="3"/>
  <c r="BK59" i="3" s="1"/>
  <c r="BF58" i="4"/>
  <c r="BG58" i="4" s="1"/>
  <c r="BN58" i="4"/>
  <c r="AP58" i="4"/>
  <c r="AQ58" i="4" s="1"/>
  <c r="BM58" i="4"/>
  <c r="AT58" i="4"/>
  <c r="AU58" i="4" s="1"/>
  <c r="O61" i="3"/>
  <c r="BE60" i="3"/>
  <c r="AW60" i="3"/>
  <c r="AO60" i="3"/>
  <c r="AV60" i="3"/>
  <c r="BI60" i="3"/>
  <c r="AS60" i="3"/>
  <c r="BD60" i="3"/>
  <c r="AN60" i="3"/>
  <c r="BH60" i="3"/>
  <c r="BA60" i="3"/>
  <c r="AZ60" i="3"/>
  <c r="AR60" i="3"/>
  <c r="BB58" i="4"/>
  <c r="BC58" i="4" s="1"/>
  <c r="BD59" i="4"/>
  <c r="AV59" i="4"/>
  <c r="AN59" i="4"/>
  <c r="BA59" i="4"/>
  <c r="AS59" i="4"/>
  <c r="AO59" i="4"/>
  <c r="BI59" i="4"/>
  <c r="AW59" i="4"/>
  <c r="AZ59" i="4"/>
  <c r="AR59" i="4"/>
  <c r="BE59" i="4"/>
  <c r="BH59" i="4"/>
  <c r="O60" i="4"/>
  <c r="BQ58" i="4" l="1"/>
  <c r="N60" i="4"/>
  <c r="BP60" i="4"/>
  <c r="BJ60" i="3"/>
  <c r="BK60" i="3" s="1"/>
  <c r="AT60" i="3"/>
  <c r="AU60" i="3" s="1"/>
  <c r="AP60" i="3"/>
  <c r="AQ60" i="3" s="1"/>
  <c r="BJ59" i="4"/>
  <c r="BK59" i="4" s="1"/>
  <c r="AX59" i="4"/>
  <c r="AY59" i="4" s="1"/>
  <c r="BF60" i="3"/>
  <c r="BG60" i="3" s="1"/>
  <c r="BO58" i="4"/>
  <c r="O62" i="3"/>
  <c r="BE61" i="3"/>
  <c r="AW61" i="3"/>
  <c r="AO61" i="3"/>
  <c r="AO78" i="3" s="1"/>
  <c r="BD61" i="3"/>
  <c r="BF61" i="3" s="1"/>
  <c r="BG61" i="3" s="1"/>
  <c r="AV61" i="3"/>
  <c r="AN61" i="3"/>
  <c r="BI61" i="3"/>
  <c r="BA61" i="3"/>
  <c r="AS61" i="3"/>
  <c r="AS78" i="3" s="1"/>
  <c r="AZ61" i="3"/>
  <c r="BH61" i="3"/>
  <c r="AR61" i="3"/>
  <c r="AT59" i="4"/>
  <c r="AU59" i="4" s="1"/>
  <c r="BF59" i="4"/>
  <c r="BG59" i="4" s="1"/>
  <c r="BB59" i="4"/>
  <c r="BC59" i="4" s="1"/>
  <c r="O61" i="4"/>
  <c r="BI60" i="4"/>
  <c r="BA60" i="4"/>
  <c r="AS60" i="4"/>
  <c r="AR60" i="4"/>
  <c r="AZ60" i="4"/>
  <c r="AO60" i="4"/>
  <c r="AW60" i="4"/>
  <c r="AV60" i="4"/>
  <c r="BH60" i="4"/>
  <c r="BJ60" i="4" s="1"/>
  <c r="BK60" i="4" s="1"/>
  <c r="BE60" i="4"/>
  <c r="AN60" i="4"/>
  <c r="BD60" i="4"/>
  <c r="AX60" i="3"/>
  <c r="AY60" i="3" s="1"/>
  <c r="BM59" i="4"/>
  <c r="AP59" i="4"/>
  <c r="AQ59" i="4" s="1"/>
  <c r="BN59" i="4"/>
  <c r="BQ59" i="4" s="1"/>
  <c r="BB60" i="3"/>
  <c r="BC60" i="3" s="1"/>
  <c r="N61" i="4" l="1"/>
  <c r="BP61" i="4"/>
  <c r="BB61" i="3"/>
  <c r="BC61" i="3" s="1"/>
  <c r="BF60" i="4"/>
  <c r="BG60" i="4" s="1"/>
  <c r="AT60" i="4"/>
  <c r="AU60" i="4" s="1"/>
  <c r="BB60" i="4"/>
  <c r="BC60" i="4" s="1"/>
  <c r="AX61" i="3"/>
  <c r="AY61" i="3" s="1"/>
  <c r="BO59" i="4"/>
  <c r="BN60" i="4"/>
  <c r="AP61" i="3"/>
  <c r="AQ61" i="3" s="1"/>
  <c r="AQ78" i="3" s="1"/>
  <c r="H20" i="3" s="1"/>
  <c r="AN78" i="3"/>
  <c r="AT61" i="3"/>
  <c r="AU61" i="3" s="1"/>
  <c r="AU78" i="3" s="1"/>
  <c r="I20" i="3" s="1"/>
  <c r="AR78" i="3"/>
  <c r="BM60" i="4"/>
  <c r="AP60" i="4"/>
  <c r="AQ60" i="4" s="1"/>
  <c r="BJ61" i="3"/>
  <c r="BK61" i="3" s="1"/>
  <c r="AX60" i="4"/>
  <c r="AY60" i="4" s="1"/>
  <c r="O62" i="4"/>
  <c r="BH61" i="4"/>
  <c r="AO61" i="4"/>
  <c r="BE61" i="4"/>
  <c r="AV61" i="4"/>
  <c r="AW61" i="4"/>
  <c r="BI61" i="4"/>
  <c r="AS61" i="4"/>
  <c r="AS78" i="4" s="1"/>
  <c r="BD61" i="4"/>
  <c r="BA61" i="4"/>
  <c r="AZ61" i="4"/>
  <c r="AR61" i="4"/>
  <c r="AN61" i="4"/>
  <c r="BI62" i="3"/>
  <c r="BA62" i="3"/>
  <c r="AZ62" i="3"/>
  <c r="O63" i="3"/>
  <c r="AW62" i="3"/>
  <c r="BH62" i="3"/>
  <c r="BE62" i="3"/>
  <c r="BD62" i="3"/>
  <c r="AV62" i="3"/>
  <c r="J11" i="7" l="1"/>
  <c r="J15" i="7"/>
  <c r="J19" i="7"/>
  <c r="J9" i="7"/>
  <c r="J17" i="7"/>
  <c r="J10" i="7"/>
  <c r="J18" i="7"/>
  <c r="J7" i="7"/>
  <c r="J8" i="7"/>
  <c r="J12" i="7"/>
  <c r="J16" i="7"/>
  <c r="J13" i="7"/>
  <c r="J14" i="7"/>
  <c r="J27" i="7"/>
  <c r="J31" i="7"/>
  <c r="J25" i="7"/>
  <c r="J30" i="7"/>
  <c r="J28" i="7"/>
  <c r="J32" i="7"/>
  <c r="J29" i="7"/>
  <c r="J26" i="7"/>
  <c r="BQ60" i="4"/>
  <c r="N62" i="4"/>
  <c r="BP62" i="4"/>
  <c r="AX62" i="3"/>
  <c r="AY62" i="3" s="1"/>
  <c r="BF62" i="3"/>
  <c r="BG62" i="3" s="1"/>
  <c r="BO60" i="4"/>
  <c r="BB61" i="4"/>
  <c r="BC61" i="4" s="1"/>
  <c r="BB62" i="3"/>
  <c r="BC62" i="3" s="1"/>
  <c r="AX61" i="4"/>
  <c r="AY61" i="4" s="1"/>
  <c r="BJ62" i="3"/>
  <c r="BK62" i="3" s="1"/>
  <c r="BN61" i="4"/>
  <c r="BQ61" i="4" s="1"/>
  <c r="AO78" i="4"/>
  <c r="Q27" i="7"/>
  <c r="I21" i="3"/>
  <c r="BJ61" i="4"/>
  <c r="BK61" i="4" s="1"/>
  <c r="AT61" i="4"/>
  <c r="AU61" i="4" s="1"/>
  <c r="AU78" i="4" s="1"/>
  <c r="I20" i="4" s="1"/>
  <c r="I21" i="4" s="1"/>
  <c r="AR78" i="4"/>
  <c r="BF61" i="4"/>
  <c r="BG61" i="4" s="1"/>
  <c r="BE62" i="4"/>
  <c r="AW62" i="4"/>
  <c r="BD62" i="4"/>
  <c r="BA62" i="4"/>
  <c r="O63" i="4"/>
  <c r="AZ62" i="4"/>
  <c r="BH62" i="4"/>
  <c r="AV62" i="4"/>
  <c r="BI62" i="4"/>
  <c r="Q9" i="7"/>
  <c r="H21" i="3"/>
  <c r="AP61" i="4"/>
  <c r="AQ61" i="4" s="1"/>
  <c r="AQ78" i="4" s="1"/>
  <c r="H20" i="4" s="1"/>
  <c r="H21" i="4" s="1"/>
  <c r="BM61" i="4"/>
  <c r="AN78" i="4"/>
  <c r="BI63" i="3"/>
  <c r="BA63" i="3"/>
  <c r="BH63" i="3"/>
  <c r="AZ63" i="3"/>
  <c r="O64" i="3"/>
  <c r="BE63" i="3"/>
  <c r="AW63" i="3"/>
  <c r="AV63" i="3"/>
  <c r="BD63" i="3"/>
  <c r="N63" i="4" l="1"/>
  <c r="BP63" i="4"/>
  <c r="BJ62" i="4"/>
  <c r="BK62" i="4" s="1"/>
  <c r="AX63" i="3"/>
  <c r="AY63" i="3" s="1"/>
  <c r="BB63" i="3"/>
  <c r="BC63" i="3" s="1"/>
  <c r="BB62" i="4"/>
  <c r="BC62" i="4" s="1"/>
  <c r="BJ63" i="3"/>
  <c r="BK63" i="3" s="1"/>
  <c r="BO61" i="4"/>
  <c r="BF62" i="4"/>
  <c r="BG62" i="4" s="1"/>
  <c r="BA63" i="4"/>
  <c r="BI63" i="4"/>
  <c r="AZ63" i="4"/>
  <c r="AW63" i="4"/>
  <c r="AV63" i="4"/>
  <c r="BH63" i="4"/>
  <c r="BD63" i="4"/>
  <c r="BE63" i="4"/>
  <c r="O64" i="4"/>
  <c r="BN62" i="4"/>
  <c r="O65" i="3"/>
  <c r="BE64" i="3"/>
  <c r="AW64" i="3"/>
  <c r="BD64" i="3"/>
  <c r="AV64" i="3"/>
  <c r="AX64" i="3" s="1"/>
  <c r="AY64" i="3" s="1"/>
  <c r="BA64" i="3"/>
  <c r="AZ64" i="3"/>
  <c r="BI64" i="3"/>
  <c r="BH64" i="3"/>
  <c r="BM62" i="4"/>
  <c r="AX62" i="4"/>
  <c r="AY62" i="4" s="1"/>
  <c r="BF63" i="3"/>
  <c r="BG63" i="3" s="1"/>
  <c r="BQ62" i="4" l="1"/>
  <c r="N64" i="4"/>
  <c r="BP64" i="4"/>
  <c r="BB63" i="4"/>
  <c r="BC63" i="4" s="1"/>
  <c r="BJ63" i="4"/>
  <c r="BK63" i="4" s="1"/>
  <c r="BB64" i="3"/>
  <c r="BC64" i="3" s="1"/>
  <c r="BJ64" i="3"/>
  <c r="BK64" i="3" s="1"/>
  <c r="BF64" i="3"/>
  <c r="BG64" i="3" s="1"/>
  <c r="O66" i="3"/>
  <c r="BE65" i="3"/>
  <c r="AW65" i="3"/>
  <c r="BD65" i="3"/>
  <c r="AV65" i="3"/>
  <c r="BI65" i="3"/>
  <c r="BA65" i="3"/>
  <c r="AZ65" i="3"/>
  <c r="BH65" i="3"/>
  <c r="BF63" i="4"/>
  <c r="BG63" i="4" s="1"/>
  <c r="BM63" i="4"/>
  <c r="AX63" i="4"/>
  <c r="AY63" i="4" s="1"/>
  <c r="BN63" i="4"/>
  <c r="BQ63" i="4" s="1"/>
  <c r="BO62" i="4"/>
  <c r="O65" i="4"/>
  <c r="BI64" i="4"/>
  <c r="BA64" i="4"/>
  <c r="AW64" i="4"/>
  <c r="BE64" i="4"/>
  <c r="AV64" i="4"/>
  <c r="BD64" i="4"/>
  <c r="AZ64" i="4"/>
  <c r="BH64" i="4"/>
  <c r="N65" i="4" l="1"/>
  <c r="BP65" i="4"/>
  <c r="AX65" i="3"/>
  <c r="AY65" i="3" s="1"/>
  <c r="BB65" i="3"/>
  <c r="BC65" i="3" s="1"/>
  <c r="BF64" i="4"/>
  <c r="BG64" i="4" s="1"/>
  <c r="BB64" i="4"/>
  <c r="BC64" i="4" s="1"/>
  <c r="BF65" i="3"/>
  <c r="BG65" i="3" s="1"/>
  <c r="BJ64" i="4"/>
  <c r="BK64" i="4" s="1"/>
  <c r="BA65" i="4"/>
  <c r="O66" i="4"/>
  <c r="BH65" i="4"/>
  <c r="AW65" i="4"/>
  <c r="BI65" i="4"/>
  <c r="AV65" i="4"/>
  <c r="BE65" i="4"/>
  <c r="AZ65" i="4"/>
  <c r="BD65" i="4"/>
  <c r="BM64" i="4"/>
  <c r="AX64" i="4"/>
  <c r="AY64" i="4" s="1"/>
  <c r="BO63" i="4"/>
  <c r="BN64" i="4"/>
  <c r="BJ65" i="3"/>
  <c r="BK65" i="3" s="1"/>
  <c r="BI66" i="3"/>
  <c r="BA66" i="3"/>
  <c r="BH66" i="3"/>
  <c r="AZ66" i="3"/>
  <c r="BE66" i="3"/>
  <c r="AW66" i="3"/>
  <c r="AV66" i="3"/>
  <c r="O67" i="3"/>
  <c r="BD66" i="3"/>
  <c r="BQ64" i="4" l="1"/>
  <c r="N66" i="4"/>
  <c r="BP66" i="4"/>
  <c r="BF66" i="3"/>
  <c r="BG66" i="3" s="1"/>
  <c r="BB65" i="4"/>
  <c r="BC65" i="4" s="1"/>
  <c r="AX66" i="3"/>
  <c r="AY66" i="3" s="1"/>
  <c r="BI67" i="3"/>
  <c r="BA67" i="3"/>
  <c r="BA78" i="3" s="1"/>
  <c r="BH67" i="3"/>
  <c r="AZ67" i="3"/>
  <c r="O68" i="3"/>
  <c r="BE67" i="3"/>
  <c r="AW67" i="3"/>
  <c r="AW78" i="3" s="1"/>
  <c r="BD67" i="3"/>
  <c r="AV67" i="3"/>
  <c r="BM65" i="4"/>
  <c r="AX65" i="4"/>
  <c r="AY65" i="4" s="1"/>
  <c r="BJ65" i="4"/>
  <c r="BK65" i="4" s="1"/>
  <c r="BB66" i="3"/>
  <c r="BC66" i="3" s="1"/>
  <c r="BO64" i="4"/>
  <c r="BE66" i="4"/>
  <c r="AW66" i="4"/>
  <c r="O67" i="4"/>
  <c r="BH66" i="4"/>
  <c r="BD66" i="4"/>
  <c r="BF66" i="4" s="1"/>
  <c r="BG66" i="4" s="1"/>
  <c r="BA66" i="4"/>
  <c r="AV66" i="4"/>
  <c r="BI66" i="4"/>
  <c r="AZ66" i="4"/>
  <c r="BJ66" i="3"/>
  <c r="BK66" i="3" s="1"/>
  <c r="BF65" i="4"/>
  <c r="BG65" i="4" s="1"/>
  <c r="BN65" i="4"/>
  <c r="BQ65" i="4" s="1"/>
  <c r="N67" i="4" l="1"/>
  <c r="BP67" i="4"/>
  <c r="BB66" i="4"/>
  <c r="BC66" i="4" s="1"/>
  <c r="BJ67" i="3"/>
  <c r="BK67" i="3" s="1"/>
  <c r="BF67" i="3"/>
  <c r="BG67" i="3" s="1"/>
  <c r="BN66" i="4"/>
  <c r="AX66" i="4"/>
  <c r="AY66" i="4" s="1"/>
  <c r="BM66" i="4"/>
  <c r="O69" i="3"/>
  <c r="BE68" i="3"/>
  <c r="BD68" i="3"/>
  <c r="BI68" i="3"/>
  <c r="BH68" i="3"/>
  <c r="BB67" i="3"/>
  <c r="BC67" i="3" s="1"/>
  <c r="BC78" i="3" s="1"/>
  <c r="K20" i="3" s="1"/>
  <c r="AZ78" i="3"/>
  <c r="BJ66" i="4"/>
  <c r="BK66" i="4" s="1"/>
  <c r="BO65" i="4"/>
  <c r="BE67" i="4"/>
  <c r="AV67" i="4"/>
  <c r="BD67" i="4"/>
  <c r="BA67" i="4"/>
  <c r="BA78" i="4" s="1"/>
  <c r="O68" i="4"/>
  <c r="AW67" i="4"/>
  <c r="BH67" i="4"/>
  <c r="BI67" i="4"/>
  <c r="AZ67" i="4"/>
  <c r="AX67" i="3"/>
  <c r="AY67" i="3" s="1"/>
  <c r="AY78" i="3" s="1"/>
  <c r="J20" i="3" s="1"/>
  <c r="AV78" i="3"/>
  <c r="L11" i="7" l="1"/>
  <c r="L15" i="7"/>
  <c r="L19" i="7"/>
  <c r="L13" i="7"/>
  <c r="L7" i="7"/>
  <c r="L14" i="7"/>
  <c r="L8" i="7"/>
  <c r="L12" i="7"/>
  <c r="L16" i="7"/>
  <c r="L9" i="7"/>
  <c r="L17" i="7"/>
  <c r="L10" i="7"/>
  <c r="L18" i="7"/>
  <c r="L26" i="7"/>
  <c r="L30" i="7"/>
  <c r="L32" i="7"/>
  <c r="L29" i="7"/>
  <c r="L27" i="7"/>
  <c r="L31" i="7"/>
  <c r="L25" i="7"/>
  <c r="L28" i="7"/>
  <c r="BQ66" i="4"/>
  <c r="N68" i="4"/>
  <c r="BP68" i="4"/>
  <c r="BJ67" i="4"/>
  <c r="BK67" i="4" s="1"/>
  <c r="BF67" i="4"/>
  <c r="BG67" i="4" s="1"/>
  <c r="BF68" i="3"/>
  <c r="BG68" i="3" s="1"/>
  <c r="BO66" i="4"/>
  <c r="BJ68" i="3"/>
  <c r="BK68" i="3" s="1"/>
  <c r="Q28" i="7"/>
  <c r="K21" i="3"/>
  <c r="BB67" i="4"/>
  <c r="BC67" i="4" s="1"/>
  <c r="BC78" i="4" s="1"/>
  <c r="K20" i="4" s="1"/>
  <c r="K21" i="4" s="1"/>
  <c r="AZ78" i="4"/>
  <c r="BM67" i="4"/>
  <c r="AX67" i="4"/>
  <c r="AY67" i="4" s="1"/>
  <c r="AY78" i="4" s="1"/>
  <c r="J20" i="4" s="1"/>
  <c r="J21" i="4" s="1"/>
  <c r="AV78" i="4"/>
  <c r="O70" i="3"/>
  <c r="BE69" i="3"/>
  <c r="BD69" i="3"/>
  <c r="BF69" i="3" s="1"/>
  <c r="BG69" i="3" s="1"/>
  <c r="BI69" i="3"/>
  <c r="BH69" i="3"/>
  <c r="O69" i="4"/>
  <c r="BI68" i="4"/>
  <c r="BH68" i="4"/>
  <c r="BE68" i="4"/>
  <c r="BD68" i="4"/>
  <c r="Q10" i="7"/>
  <c r="J21" i="3"/>
  <c r="BN67" i="4"/>
  <c r="BQ67" i="4" s="1"/>
  <c r="AW78" i="4"/>
  <c r="N69" i="4" l="1"/>
  <c r="BP69" i="4"/>
  <c r="BJ69" i="3"/>
  <c r="BK69" i="3" s="1"/>
  <c r="BJ68" i="4"/>
  <c r="BK68" i="4" s="1"/>
  <c r="BN68" i="4"/>
  <c r="BE69" i="4"/>
  <c r="BD69" i="4"/>
  <c r="BI69" i="4"/>
  <c r="O70" i="4"/>
  <c r="BH69" i="4"/>
  <c r="BO67" i="4"/>
  <c r="BI70" i="3"/>
  <c r="BH70" i="3"/>
  <c r="BE70" i="3"/>
  <c r="BD70" i="3"/>
  <c r="O71" i="3"/>
  <c r="BM68" i="4"/>
  <c r="BF68" i="4"/>
  <c r="BG68" i="4" s="1"/>
  <c r="BJ70" i="3" l="1"/>
  <c r="BK70" i="3" s="1"/>
  <c r="BQ68" i="4"/>
  <c r="N70" i="4"/>
  <c r="BP70" i="4"/>
  <c r="BF70" i="3"/>
  <c r="BG70" i="3" s="1"/>
  <c r="BJ69" i="4"/>
  <c r="BK69" i="4" s="1"/>
  <c r="BO68" i="4"/>
  <c r="BE70" i="4"/>
  <c r="BI70" i="4"/>
  <c r="O71" i="4"/>
  <c r="BH70" i="4"/>
  <c r="BD70" i="4"/>
  <c r="BI71" i="3"/>
  <c r="BH71" i="3"/>
  <c r="O72" i="3"/>
  <c r="BE71" i="3"/>
  <c r="BD71" i="3"/>
  <c r="BM69" i="4"/>
  <c r="BF69" i="4"/>
  <c r="BG69" i="4" s="1"/>
  <c r="BN69" i="4"/>
  <c r="BQ69" i="4" s="1"/>
  <c r="N71" i="4" l="1"/>
  <c r="BP71" i="4"/>
  <c r="BJ71" i="3"/>
  <c r="BK71" i="3" s="1"/>
  <c r="BJ70" i="4"/>
  <c r="BK70" i="4" s="1"/>
  <c r="BF71" i="3"/>
  <c r="BG71" i="3" s="1"/>
  <c r="BN70" i="4"/>
  <c r="O73" i="3"/>
  <c r="BE72" i="3"/>
  <c r="BD72" i="3"/>
  <c r="BH72" i="3"/>
  <c r="BI72" i="3"/>
  <c r="BF70" i="4"/>
  <c r="BG70" i="4" s="1"/>
  <c r="BM70" i="4"/>
  <c r="BD71" i="4"/>
  <c r="BI71" i="4"/>
  <c r="O72" i="4"/>
  <c r="BE71" i="4"/>
  <c r="BH71" i="4"/>
  <c r="BO69" i="4"/>
  <c r="BQ70" i="4" l="1"/>
  <c r="N72" i="4"/>
  <c r="BP72" i="4"/>
  <c r="BJ72" i="3"/>
  <c r="BK72" i="3" s="1"/>
  <c r="BF72" i="3"/>
  <c r="BG72" i="3" s="1"/>
  <c r="BN71" i="4"/>
  <c r="BQ71" i="4" s="1"/>
  <c r="BJ71" i="4"/>
  <c r="BK71" i="4" s="1"/>
  <c r="BO70" i="4"/>
  <c r="BM71" i="4"/>
  <c r="BF71" i="4"/>
  <c r="BG71" i="4" s="1"/>
  <c r="O73" i="4"/>
  <c r="BI72" i="4"/>
  <c r="BH72" i="4"/>
  <c r="BD72" i="4"/>
  <c r="BE72" i="4"/>
  <c r="O74" i="3"/>
  <c r="BE73" i="3"/>
  <c r="BD73" i="3"/>
  <c r="BI73" i="3"/>
  <c r="BH73" i="3"/>
  <c r="N73" i="4" l="1"/>
  <c r="BP73" i="4"/>
  <c r="BO71" i="4"/>
  <c r="BF73" i="3"/>
  <c r="BG73" i="3" s="1"/>
  <c r="BN72" i="4"/>
  <c r="BJ72" i="4"/>
  <c r="BK72" i="4" s="1"/>
  <c r="BJ73" i="3"/>
  <c r="BK73" i="3" s="1"/>
  <c r="BF72" i="4"/>
  <c r="BG72" i="4" s="1"/>
  <c r="BM72" i="4"/>
  <c r="BI74" i="3"/>
  <c r="BH74" i="3"/>
  <c r="BJ74" i="3" s="1"/>
  <c r="BK74" i="3" s="1"/>
  <c r="BE74" i="3"/>
  <c r="BD74" i="3"/>
  <c r="O75" i="3"/>
  <c r="BD73" i="4"/>
  <c r="BH73" i="4"/>
  <c r="BE73" i="4"/>
  <c r="BI73" i="4"/>
  <c r="O74" i="4"/>
  <c r="BQ72" i="4" l="1"/>
  <c r="N74" i="4"/>
  <c r="BP74" i="4"/>
  <c r="BO72" i="4"/>
  <c r="BF74" i="3"/>
  <c r="BG74" i="3" s="1"/>
  <c r="BJ73" i="4"/>
  <c r="BK73" i="4" s="1"/>
  <c r="BI75" i="3"/>
  <c r="BH75" i="3"/>
  <c r="O76" i="3"/>
  <c r="BE75" i="3"/>
  <c r="BD75" i="3"/>
  <c r="BM73" i="4"/>
  <c r="BF73" i="4"/>
  <c r="BG73" i="4" s="1"/>
  <c r="BE74" i="4"/>
  <c r="BI74" i="4"/>
  <c r="BH74" i="4"/>
  <c r="BD74" i="4"/>
  <c r="O75" i="4"/>
  <c r="BN73" i="4"/>
  <c r="BQ73" i="4" s="1"/>
  <c r="N75" i="4" l="1"/>
  <c r="BP75" i="4"/>
  <c r="BJ75" i="3"/>
  <c r="BK75" i="3" s="1"/>
  <c r="BJ74" i="4"/>
  <c r="BK74" i="4" s="1"/>
  <c r="BN74" i="4"/>
  <c r="BO73" i="4"/>
  <c r="BF75" i="3"/>
  <c r="BG75" i="3" s="1"/>
  <c r="BM74" i="4"/>
  <c r="BF74" i="4"/>
  <c r="BG74" i="4" s="1"/>
  <c r="O77" i="3"/>
  <c r="BE76" i="3"/>
  <c r="BD76" i="3"/>
  <c r="BI76" i="3"/>
  <c r="BH76" i="3"/>
  <c r="O76" i="4"/>
  <c r="BI75" i="4"/>
  <c r="BE75" i="4"/>
  <c r="BD75" i="4"/>
  <c r="BH75" i="4"/>
  <c r="BQ74" i="4" l="1"/>
  <c r="N76" i="4"/>
  <c r="BP76" i="4"/>
  <c r="BO74" i="4"/>
  <c r="BJ75" i="4"/>
  <c r="BK75" i="4" s="1"/>
  <c r="BF76" i="3"/>
  <c r="BG76" i="3" s="1"/>
  <c r="BN75" i="4"/>
  <c r="BQ75" i="4" s="1"/>
  <c r="BF75" i="4"/>
  <c r="BG75" i="4" s="1"/>
  <c r="BM75" i="4"/>
  <c r="BE77" i="3"/>
  <c r="BE78" i="3" s="1"/>
  <c r="BD77" i="3"/>
  <c r="BI77" i="3"/>
  <c r="BI78" i="3" s="1"/>
  <c r="BH77" i="3"/>
  <c r="O77" i="4"/>
  <c r="BI76" i="4"/>
  <c r="BD76" i="4"/>
  <c r="BH76" i="4"/>
  <c r="BE76" i="4"/>
  <c r="BJ76" i="3"/>
  <c r="BK76" i="3" s="1"/>
  <c r="U32" i="9" l="1"/>
  <c r="N77" i="4"/>
  <c r="U31" i="9" s="1"/>
  <c r="BP77" i="4"/>
  <c r="BJ76" i="4"/>
  <c r="BK76" i="4" s="1"/>
  <c r="BN76" i="4"/>
  <c r="BO75" i="4"/>
  <c r="BJ77" i="3"/>
  <c r="BK77" i="3" s="1"/>
  <c r="BK78" i="3" s="1"/>
  <c r="M20" i="3" s="1"/>
  <c r="BH78" i="3"/>
  <c r="BF77" i="3"/>
  <c r="BG77" i="3" s="1"/>
  <c r="BG78" i="3" s="1"/>
  <c r="L20" i="3" s="1"/>
  <c r="BD78" i="3"/>
  <c r="BE77" i="4"/>
  <c r="BI77" i="4"/>
  <c r="BI78" i="4" s="1"/>
  <c r="BH77" i="4"/>
  <c r="BD77" i="4"/>
  <c r="BM76" i="4"/>
  <c r="BF76" i="4"/>
  <c r="BG76" i="4" s="1"/>
  <c r="T30" i="9" l="1"/>
  <c r="T36" i="9"/>
  <c r="T34" i="9"/>
  <c r="T35" i="9"/>
  <c r="U34" i="9"/>
  <c r="U36" i="9"/>
  <c r="U7" i="9"/>
  <c r="U35" i="9"/>
  <c r="U9" i="9"/>
  <c r="U8" i="9"/>
  <c r="U10" i="9"/>
  <c r="U11" i="9"/>
  <c r="T23" i="9"/>
  <c r="U24" i="9"/>
  <c r="T24" i="9"/>
  <c r="U23" i="9"/>
  <c r="T26" i="9"/>
  <c r="U25" i="9"/>
  <c r="T25" i="9"/>
  <c r="U26" i="9"/>
  <c r="U27" i="9"/>
  <c r="T27" i="9"/>
  <c r="U28" i="9"/>
  <c r="T28" i="9"/>
  <c r="U29" i="9"/>
  <c r="T29" i="9"/>
  <c r="T31" i="9"/>
  <c r="V31" i="9" s="1"/>
  <c r="U30" i="9"/>
  <c r="V30" i="9" s="1"/>
  <c r="T32" i="9"/>
  <c r="V32" i="9" s="1"/>
  <c r="N29" i="7"/>
  <c r="N25" i="7"/>
  <c r="N28" i="7"/>
  <c r="N26" i="7"/>
  <c r="N30" i="7"/>
  <c r="N27" i="7"/>
  <c r="N31" i="7"/>
  <c r="N32" i="7"/>
  <c r="N11" i="7"/>
  <c r="N15" i="7"/>
  <c r="N19" i="7"/>
  <c r="N9" i="7"/>
  <c r="N17" i="7"/>
  <c r="N10" i="7"/>
  <c r="N18" i="7"/>
  <c r="N8" i="7"/>
  <c r="N12" i="7"/>
  <c r="N16" i="7"/>
  <c r="N7" i="7"/>
  <c r="N13" i="7"/>
  <c r="N14" i="7"/>
  <c r="BQ76" i="4"/>
  <c r="BO76" i="4"/>
  <c r="BJ77" i="4"/>
  <c r="BK77" i="4" s="1"/>
  <c r="BK78" i="4" s="1"/>
  <c r="M20" i="4" s="1"/>
  <c r="M21" i="4" s="1"/>
  <c r="BH78" i="4"/>
  <c r="BN77" i="4"/>
  <c r="BQ77" i="4" s="1"/>
  <c r="BE78" i="4"/>
  <c r="Q11" i="7"/>
  <c r="L21" i="3"/>
  <c r="BM77" i="4"/>
  <c r="T33" i="9" s="1"/>
  <c r="BF77" i="4"/>
  <c r="BG77" i="4" s="1"/>
  <c r="BG78" i="4" s="1"/>
  <c r="L20" i="4" s="1"/>
  <c r="L21" i="4" s="1"/>
  <c r="BD78" i="4"/>
  <c r="Q29" i="7"/>
  <c r="M21" i="3"/>
  <c r="V28" i="9" l="1"/>
  <c r="V27" i="9"/>
  <c r="V29" i="9"/>
  <c r="C14" i="7"/>
  <c r="B14" i="7" s="1"/>
  <c r="C12" i="7"/>
  <c r="B12" i="7" s="1"/>
  <c r="C17" i="7"/>
  <c r="B17" i="7" s="1"/>
  <c r="C11" i="7"/>
  <c r="B11" i="7" s="1"/>
  <c r="C30" i="7"/>
  <c r="B30" i="7" s="1"/>
  <c r="C29" i="7"/>
  <c r="B29" i="7" s="1"/>
  <c r="V34" i="9"/>
  <c r="C13" i="7"/>
  <c r="B13" i="7" s="1"/>
  <c r="C8" i="7"/>
  <c r="B8" i="7" s="1"/>
  <c r="C9" i="7"/>
  <c r="B9" i="7" s="1"/>
  <c r="C32" i="7"/>
  <c r="B32" i="7" s="1"/>
  <c r="C26" i="7"/>
  <c r="B26" i="7" s="1"/>
  <c r="V25" i="9"/>
  <c r="V24" i="9"/>
  <c r="V36" i="9"/>
  <c r="C7" i="7"/>
  <c r="B7" i="7" s="1"/>
  <c r="C18" i="7"/>
  <c r="B18" i="7" s="1"/>
  <c r="C19" i="7"/>
  <c r="B19" i="7" s="1"/>
  <c r="C31" i="7"/>
  <c r="B31" i="7" s="1"/>
  <c r="C28" i="7"/>
  <c r="B28" i="7" s="1"/>
  <c r="C16" i="7"/>
  <c r="B16" i="7" s="1"/>
  <c r="C10" i="7"/>
  <c r="B10" i="7" s="1"/>
  <c r="C15" i="7"/>
  <c r="B15" i="7" s="1"/>
  <c r="C25" i="7"/>
  <c r="B25" i="7" s="1"/>
  <c r="V26" i="9"/>
  <c r="V23" i="9"/>
  <c r="V35" i="9"/>
  <c r="U33" i="9"/>
  <c r="BO77" i="4"/>
  <c r="C20" i="7" l="1"/>
  <c r="V33" i="9"/>
  <c r="B20" i="7"/>
  <c r="M27" i="6"/>
  <c r="E18" i="4" s="1"/>
  <c r="E19" i="4" s="1"/>
  <c r="AB27" i="4" s="1"/>
  <c r="AD27" i="4" s="1"/>
  <c r="AE27" i="4" s="1"/>
  <c r="B10" i="8" l="1"/>
  <c r="T17" i="6"/>
  <c r="G27" i="7" s="1"/>
  <c r="AC38" i="4"/>
  <c r="BN38" i="4" s="1"/>
  <c r="AC36" i="4"/>
  <c r="BN36" i="4" s="1"/>
  <c r="AC42" i="4"/>
  <c r="BN42" i="4" s="1"/>
  <c r="AC39" i="4"/>
  <c r="BN39" i="4" s="1"/>
  <c r="BQ39" i="4" s="1"/>
  <c r="AB33" i="4"/>
  <c r="AC37" i="4"/>
  <c r="BN37" i="4" s="1"/>
  <c r="BQ37" i="4" s="1"/>
  <c r="AC35" i="4"/>
  <c r="BN35" i="4" s="1"/>
  <c r="BQ35" i="4" s="1"/>
  <c r="AC40" i="4"/>
  <c r="BN40" i="4" s="1"/>
  <c r="AC43" i="4"/>
  <c r="BN43" i="4" s="1"/>
  <c r="BQ43" i="4" s="1"/>
  <c r="AB32" i="4"/>
  <c r="AB29" i="4"/>
  <c r="AC45" i="4"/>
  <c r="BN45" i="4" s="1"/>
  <c r="BQ45" i="4" s="1"/>
  <c r="AC44" i="4"/>
  <c r="BN44" i="4" s="1"/>
  <c r="AC34" i="4"/>
  <c r="AC41" i="4"/>
  <c r="BN41" i="4" s="1"/>
  <c r="BQ41" i="4" s="1"/>
  <c r="AB34" i="4"/>
  <c r="AB31" i="4"/>
  <c r="AB30" i="4"/>
  <c r="AB28" i="4"/>
  <c r="R17" i="6"/>
  <c r="S17" i="6" s="1"/>
  <c r="S27" i="6" s="1"/>
  <c r="N27" i="6"/>
  <c r="M27" i="7" l="1"/>
  <c r="U17" i="9"/>
  <c r="U14" i="9"/>
  <c r="U13" i="9"/>
  <c r="G18" i="4"/>
  <c r="G19" i="4" s="1"/>
  <c r="AJ27" i="4" s="1"/>
  <c r="U15" i="9"/>
  <c r="U16" i="9"/>
  <c r="AB41" i="4"/>
  <c r="AD41" i="4" s="1"/>
  <c r="AE41" i="4" s="1"/>
  <c r="AB37" i="4"/>
  <c r="AD37" i="4" s="1"/>
  <c r="AE37" i="4" s="1"/>
  <c r="E27" i="7"/>
  <c r="K27" i="7"/>
  <c r="I27" i="7"/>
  <c r="AB38" i="4"/>
  <c r="AD38" i="4" s="1"/>
  <c r="AE38" i="4" s="1"/>
  <c r="AD28" i="4"/>
  <c r="AE28" i="4" s="1"/>
  <c r="BN34" i="4"/>
  <c r="U12" i="9" s="1"/>
  <c r="AC78" i="4"/>
  <c r="AB35" i="4"/>
  <c r="AB44" i="4"/>
  <c r="AB40" i="4"/>
  <c r="AD30" i="4"/>
  <c r="AE30" i="4" s="1"/>
  <c r="BQ44" i="4"/>
  <c r="AD29" i="4"/>
  <c r="AE29" i="4" s="1"/>
  <c r="AB36" i="4"/>
  <c r="AD33" i="4"/>
  <c r="AE33" i="4" s="1"/>
  <c r="BQ42" i="4"/>
  <c r="BM25" i="4"/>
  <c r="T7" i="9" s="1"/>
  <c r="V7" i="9" s="1"/>
  <c r="AD31" i="4"/>
  <c r="AE31" i="4" s="1"/>
  <c r="AB43" i="4"/>
  <c r="AB39" i="4"/>
  <c r="BQ36" i="4"/>
  <c r="AD34" i="4"/>
  <c r="AE34" i="4" s="1"/>
  <c r="AB45" i="4"/>
  <c r="AD32" i="4"/>
  <c r="AE32" i="4" s="1"/>
  <c r="BQ40" i="4"/>
  <c r="AB42" i="4"/>
  <c r="BQ38" i="4"/>
  <c r="C27" i="7" l="1"/>
  <c r="B27" i="7" s="1"/>
  <c r="B33" i="7" s="1"/>
  <c r="AL27" i="4"/>
  <c r="AM27" i="4" s="1"/>
  <c r="AJ38" i="4"/>
  <c r="AL38" i="4" s="1"/>
  <c r="AM38" i="4" s="1"/>
  <c r="AJ32" i="4"/>
  <c r="AK46" i="4"/>
  <c r="AJ47" i="4" s="1"/>
  <c r="BM47" i="4" s="1"/>
  <c r="AJ45" i="4"/>
  <c r="AL45" i="4" s="1"/>
  <c r="AM45" i="4" s="1"/>
  <c r="AJ33" i="4"/>
  <c r="AL33" i="4" s="1"/>
  <c r="AM33" i="4" s="1"/>
  <c r="AJ44" i="4"/>
  <c r="AL44" i="4" s="1"/>
  <c r="AM44" i="4" s="1"/>
  <c r="AJ35" i="4"/>
  <c r="AL35" i="4" s="1"/>
  <c r="AM35" i="4" s="1"/>
  <c r="AK53" i="4"/>
  <c r="BN53" i="4" s="1"/>
  <c r="BQ53" i="4" s="1"/>
  <c r="AJ37" i="4"/>
  <c r="AL37" i="4" s="1"/>
  <c r="AM37" i="4" s="1"/>
  <c r="AK50" i="4"/>
  <c r="BN50" i="4" s="1"/>
  <c r="BQ50" i="4" s="1"/>
  <c r="AJ39" i="4"/>
  <c r="AL39" i="4" s="1"/>
  <c r="AM39" i="4" s="1"/>
  <c r="AK47" i="4"/>
  <c r="BN47" i="4" s="1"/>
  <c r="BQ47" i="4" s="1"/>
  <c r="AK52" i="4"/>
  <c r="BN52" i="4" s="1"/>
  <c r="U21" i="9" s="1"/>
  <c r="AJ29" i="4"/>
  <c r="AL29" i="4" s="1"/>
  <c r="AM29" i="4" s="1"/>
  <c r="AJ34" i="4"/>
  <c r="AL34" i="4" s="1"/>
  <c r="AM34" i="4" s="1"/>
  <c r="AJ46" i="4"/>
  <c r="AJ40" i="4"/>
  <c r="AL40" i="4" s="1"/>
  <c r="AM40" i="4" s="1"/>
  <c r="AK55" i="4"/>
  <c r="BN55" i="4" s="1"/>
  <c r="BQ55" i="4" s="1"/>
  <c r="AJ31" i="4"/>
  <c r="AL31" i="4" s="1"/>
  <c r="AM31" i="4" s="1"/>
  <c r="AJ30" i="4"/>
  <c r="AL30" i="4" s="1"/>
  <c r="AM30" i="4" s="1"/>
  <c r="AJ43" i="4"/>
  <c r="AL43" i="4" s="1"/>
  <c r="AM43" i="4" s="1"/>
  <c r="AK48" i="4"/>
  <c r="BN48" i="4" s="1"/>
  <c r="AK49" i="4"/>
  <c r="BN49" i="4" s="1"/>
  <c r="BQ49" i="4" s="1"/>
  <c r="AK54" i="4"/>
  <c r="BN54" i="4" s="1"/>
  <c r="BQ54" i="4" s="1"/>
  <c r="AJ28" i="4"/>
  <c r="AL28" i="4" s="1"/>
  <c r="AM28" i="4" s="1"/>
  <c r="AJ41" i="4"/>
  <c r="AL41" i="4" s="1"/>
  <c r="AM41" i="4" s="1"/>
  <c r="AJ36" i="4"/>
  <c r="AL36" i="4" s="1"/>
  <c r="AM36" i="4" s="1"/>
  <c r="AK51" i="4"/>
  <c r="BN51" i="4" s="1"/>
  <c r="BQ51" i="4" s="1"/>
  <c r="AJ42" i="4"/>
  <c r="AL42" i="4" s="1"/>
  <c r="AM42" i="4" s="1"/>
  <c r="BM26" i="4"/>
  <c r="BO26" i="4" s="1"/>
  <c r="BM27" i="4"/>
  <c r="BO25" i="4"/>
  <c r="AD40" i="4"/>
  <c r="AE40" i="4" s="1"/>
  <c r="AD42" i="4"/>
  <c r="AE42" i="4" s="1"/>
  <c r="AD44" i="4"/>
  <c r="AE44" i="4" s="1"/>
  <c r="AD35" i="4"/>
  <c r="AE35" i="4" s="1"/>
  <c r="BM45" i="4"/>
  <c r="BO45" i="4" s="1"/>
  <c r="AD45" i="4"/>
  <c r="AE45" i="4" s="1"/>
  <c r="AD43" i="4"/>
  <c r="AE43" i="4" s="1"/>
  <c r="BM46" i="4"/>
  <c r="AB78" i="4"/>
  <c r="AD39" i="4"/>
  <c r="AE39" i="4" s="1"/>
  <c r="AD36" i="4"/>
  <c r="AE36" i="4" s="1"/>
  <c r="BQ34" i="4"/>
  <c r="C10" i="8" l="1"/>
  <c r="BM30" i="4"/>
  <c r="BM34" i="4"/>
  <c r="BO34" i="4" s="1"/>
  <c r="BM31" i="4"/>
  <c r="BO31" i="4" s="1"/>
  <c r="C33" i="7"/>
  <c r="BQ52" i="4"/>
  <c r="BO47" i="4"/>
  <c r="BM36" i="4"/>
  <c r="BO36" i="4" s="1"/>
  <c r="BN46" i="4"/>
  <c r="U18" i="9" s="1"/>
  <c r="AL46" i="4"/>
  <c r="AM46" i="4" s="1"/>
  <c r="AL47" i="4"/>
  <c r="AM47" i="4" s="1"/>
  <c r="BM39" i="4"/>
  <c r="BO39" i="4" s="1"/>
  <c r="BM35" i="4"/>
  <c r="BO35" i="4" s="1"/>
  <c r="BM40" i="4"/>
  <c r="BO40" i="4" s="1"/>
  <c r="AJ48" i="4"/>
  <c r="BM48" i="4" s="1"/>
  <c r="BO48" i="4" s="1"/>
  <c r="BM28" i="4"/>
  <c r="BO28" i="4" s="1"/>
  <c r="AJ55" i="4"/>
  <c r="AL55" i="4" s="1"/>
  <c r="AM55" i="4" s="1"/>
  <c r="AJ50" i="4"/>
  <c r="BM50" i="4" s="1"/>
  <c r="U22" i="9"/>
  <c r="T18" i="9"/>
  <c r="U20" i="9"/>
  <c r="U19" i="9"/>
  <c r="BM42" i="4"/>
  <c r="BM29" i="4"/>
  <c r="BO29" i="4" s="1"/>
  <c r="BM33" i="4"/>
  <c r="BO33" i="4" s="1"/>
  <c r="AJ53" i="4"/>
  <c r="AL53" i="4" s="1"/>
  <c r="AM53" i="4" s="1"/>
  <c r="BM37" i="4"/>
  <c r="BO37" i="4" s="1"/>
  <c r="AJ54" i="4"/>
  <c r="AL54" i="4" s="1"/>
  <c r="AM54" i="4" s="1"/>
  <c r="BM43" i="4"/>
  <c r="BO43" i="4" s="1"/>
  <c r="BQ48" i="4"/>
  <c r="BM41" i="4"/>
  <c r="BO41" i="4" s="1"/>
  <c r="AL32" i="4"/>
  <c r="AM32" i="4" s="1"/>
  <c r="BM32" i="4"/>
  <c r="BO32" i="4" s="1"/>
  <c r="AJ52" i="4"/>
  <c r="BM52" i="4" s="1"/>
  <c r="BM44" i="4"/>
  <c r="BO44" i="4" s="1"/>
  <c r="AJ51" i="4"/>
  <c r="BM51" i="4" s="1"/>
  <c r="BO51" i="4" s="1"/>
  <c r="AJ49" i="4"/>
  <c r="AL49" i="4" s="1"/>
  <c r="AM49" i="4" s="1"/>
  <c r="AK78" i="4"/>
  <c r="BM38" i="4"/>
  <c r="BO27" i="4"/>
  <c r="T8" i="9"/>
  <c r="AE78" i="4"/>
  <c r="E20" i="4" s="1"/>
  <c r="E21" i="4" s="1"/>
  <c r="BO30" i="4"/>
  <c r="T14" i="9" l="1"/>
  <c r="V14" i="9" s="1"/>
  <c r="BN78" i="4"/>
  <c r="T10" i="9"/>
  <c r="V10" i="9" s="1"/>
  <c r="BO46" i="4"/>
  <c r="BQ46" i="4"/>
  <c r="T17" i="9"/>
  <c r="V17" i="9" s="1"/>
  <c r="AL48" i="4"/>
  <c r="AM48" i="4" s="1"/>
  <c r="AL50" i="4"/>
  <c r="AM50" i="4" s="1"/>
  <c r="BM55" i="4"/>
  <c r="BO55" i="4" s="1"/>
  <c r="BM53" i="4"/>
  <c r="BO53" i="4" s="1"/>
  <c r="BM54" i="4"/>
  <c r="BM49" i="4"/>
  <c r="BO49" i="4" s="1"/>
  <c r="T12" i="9"/>
  <c r="V12" i="9" s="1"/>
  <c r="T11" i="9"/>
  <c r="V11" i="9" s="1"/>
  <c r="T16" i="9"/>
  <c r="V16" i="9" s="1"/>
  <c r="U37" i="9"/>
  <c r="BO42" i="4"/>
  <c r="T9" i="9"/>
  <c r="V9" i="9" s="1"/>
  <c r="AL52" i="4"/>
  <c r="AM52" i="4" s="1"/>
  <c r="AJ78" i="4"/>
  <c r="BO38" i="4"/>
  <c r="T20" i="9"/>
  <c r="V20" i="9" s="1"/>
  <c r="T15" i="9"/>
  <c r="V15" i="9" s="1"/>
  <c r="AL51" i="4"/>
  <c r="AM51" i="4" s="1"/>
  <c r="T13" i="9"/>
  <c r="V13" i="9" s="1"/>
  <c r="V18" i="9"/>
  <c r="V8" i="9"/>
  <c r="BO52" i="4"/>
  <c r="BO50" i="4"/>
  <c r="D23" i="8" l="1"/>
  <c r="BQ78" i="4"/>
  <c r="T21" i="9"/>
  <c r="V21" i="9" s="1"/>
  <c r="BM78" i="4"/>
  <c r="BO54" i="4"/>
  <c r="BO78" i="4" s="1"/>
  <c r="T22" i="9"/>
  <c r="V22" i="9" s="1"/>
  <c r="T19" i="9"/>
  <c r="V19" i="9" s="1"/>
  <c r="AM78" i="4"/>
  <c r="G20" i="4" s="1"/>
  <c r="G21" i="4" s="1"/>
  <c r="C23" i="8"/>
  <c r="B23" i="8"/>
  <c r="V37" i="9" l="1"/>
  <c r="T37" i="9"/>
  <c r="E23" i="8" l="1"/>
  <c r="F23" i="8" s="1"/>
</calcChain>
</file>

<file path=xl/sharedStrings.xml><?xml version="1.0" encoding="utf-8"?>
<sst xmlns="http://schemas.openxmlformats.org/spreadsheetml/2006/main" count="583" uniqueCount="162">
  <si>
    <t>Semestral</t>
  </si>
  <si>
    <t>USD 2030</t>
  </si>
  <si>
    <t>USD 2035</t>
  </si>
  <si>
    <t>USD 2038</t>
  </si>
  <si>
    <t>USD 2041</t>
  </si>
  <si>
    <t>USD 2046</t>
  </si>
  <si>
    <t>EUR 2030</t>
  </si>
  <si>
    <t>EUR 2035</t>
  </si>
  <si>
    <t>EUR 2038</t>
  </si>
  <si>
    <t>EUR 2041</t>
  </si>
  <si>
    <t>EUR 2046</t>
  </si>
  <si>
    <t>Mensual</t>
  </si>
  <si>
    <t xml:space="preserve">Cada 100 VN </t>
  </si>
  <si>
    <t>Trimestral</t>
  </si>
  <si>
    <t>EUR</t>
  </si>
  <si>
    <t>Base de cálculo 30/360</t>
  </si>
  <si>
    <t>CHF</t>
  </si>
  <si>
    <t>Anual</t>
  </si>
  <si>
    <t>Exit yield</t>
  </si>
  <si>
    <t>Características</t>
  </si>
  <si>
    <t>Fecha de emisión</t>
  </si>
  <si>
    <t>Fecha de vencimiento</t>
  </si>
  <si>
    <t>Moneda</t>
  </si>
  <si>
    <t>USD</t>
  </si>
  <si>
    <t>Plazo en años</t>
  </si>
  <si>
    <t>Años de gracia</t>
  </si>
  <si>
    <t>Final período de gracia</t>
  </si>
  <si>
    <t>Primer pago de intereses</t>
  </si>
  <si>
    <t>Capitalización</t>
  </si>
  <si>
    <t>no</t>
  </si>
  <si>
    <t>Pago de intereses</t>
  </si>
  <si>
    <t>Amortización cuotas</t>
  </si>
  <si>
    <t>Primera amortización</t>
  </si>
  <si>
    <t>VNO</t>
  </si>
  <si>
    <t xml:space="preserve">VNA </t>
  </si>
  <si>
    <t>Valor presente @ exit yield</t>
  </si>
  <si>
    <t>Valor presente @ EY USD</t>
  </si>
  <si>
    <t>Fecha final de cupón</t>
  </si>
  <si>
    <t>Tasas nominales anuales</t>
  </si>
  <si>
    <t>Fecha cupón</t>
  </si>
  <si>
    <t>Interés</t>
  </si>
  <si>
    <t>Amort.</t>
  </si>
  <si>
    <t>Total (I+K)</t>
  </si>
  <si>
    <t>Valor presente</t>
  </si>
  <si>
    <t>TOTAL</t>
  </si>
  <si>
    <t>Intereses</t>
  </si>
  <si>
    <t>Principal</t>
  </si>
  <si>
    <t>Total</t>
  </si>
  <si>
    <t>Intereses corridos de bonos elegibles al canje</t>
  </si>
  <si>
    <t>Bonos elegibles</t>
  </si>
  <si>
    <t>Stock vigente</t>
  </si>
  <si>
    <t>Tasa</t>
  </si>
  <si>
    <t>Última fecha de pago</t>
  </si>
  <si>
    <t>Frecuencia de pago</t>
  </si>
  <si>
    <t>Intereses corridos
en USD</t>
  </si>
  <si>
    <t>BIRAD 2023</t>
  </si>
  <si>
    <t>BIRAD 2022</t>
  </si>
  <si>
    <t>BIRAD 2028 (ene)</t>
  </si>
  <si>
    <t>BIRAD 2028 (jul)</t>
  </si>
  <si>
    <t>BIRAD 2048</t>
  </si>
  <si>
    <t>BIRAD 2021</t>
  </si>
  <si>
    <t>BIRAD 2027</t>
  </si>
  <si>
    <t>BIRAD 2036</t>
  </si>
  <si>
    <t>BIRAD 2117</t>
  </si>
  <si>
    <t>BIRAD 2026</t>
  </si>
  <si>
    <t>BIRAD 2046</t>
  </si>
  <si>
    <t>BIRAE 2023</t>
  </si>
  <si>
    <t>BIRAE 2022</t>
  </si>
  <si>
    <t>BIRAE 2027</t>
  </si>
  <si>
    <t>BIRAE 2028</t>
  </si>
  <si>
    <t>BIRAE 2047</t>
  </si>
  <si>
    <t>BIRAF 2020</t>
  </si>
  <si>
    <t>DISCOUNT EUR</t>
  </si>
  <si>
    <t>DISCOUNT USD</t>
  </si>
  <si>
    <t>PAR EUR</t>
  </si>
  <si>
    <t>PAR USD</t>
  </si>
  <si>
    <t>Relación de canje</t>
  </si>
  <si>
    <t>Instrumento</t>
  </si>
  <si>
    <t>VN</t>
  </si>
  <si>
    <t>VNO nuevos bonos</t>
  </si>
  <si>
    <t>VNO nuevos bonos (USD)</t>
  </si>
  <si>
    <t>VNO Nuevos bonos ex. PDI</t>
  </si>
  <si>
    <t>CAP</t>
  </si>
  <si>
    <t>Nota: Se asume que los bonos elegibles se canjean por nuevos bonos en la misma moneda.</t>
  </si>
  <si>
    <t>Valor propuesta</t>
  </si>
  <si>
    <t>VPN</t>
  </si>
  <si>
    <t>EY = 10%</t>
  </si>
  <si>
    <t>Promedio</t>
  </si>
  <si>
    <t>Propuestas de Reestructuración de los Bonos con Legislación Extranjera</t>
  </si>
  <si>
    <t>Valuación de las propuestas</t>
  </si>
  <si>
    <t>Supuesto de exit yield: 10%</t>
  </si>
  <si>
    <t xml:space="preserve">Propuestas </t>
  </si>
  <si>
    <t>Bonos en USD</t>
  </si>
  <si>
    <t>Bonos en EUR</t>
  </si>
  <si>
    <t>Deuda actual</t>
  </si>
  <si>
    <t>Argentina I (22-abr)</t>
  </si>
  <si>
    <t>+ VRI (PIB)</t>
  </si>
  <si>
    <t>En millones de USD</t>
  </si>
  <si>
    <t>2020-2024</t>
  </si>
  <si>
    <t>2020-2030</t>
  </si>
  <si>
    <t>Perfil total (2020-2117)</t>
  </si>
  <si>
    <t>Servicios totales</t>
  </si>
  <si>
    <t>Perfil actual</t>
  </si>
  <si>
    <t>Argentina II (26-may)</t>
  </si>
  <si>
    <t>Perfil de vencimientos nuevos bonos, según propuesta</t>
  </si>
  <si>
    <t>en millones de USD</t>
  </si>
  <si>
    <t>Perfil actual (bonos elegibles)</t>
  </si>
  <si>
    <t>AHBG/EBG (14-jun)</t>
  </si>
  <si>
    <t>Año</t>
  </si>
  <si>
    <t>2049 a 2117</t>
  </si>
  <si>
    <t xml:space="preserve">Perfil de vencimientos </t>
  </si>
  <si>
    <t>USDI 2030</t>
  </si>
  <si>
    <t>Perfil total en USD</t>
  </si>
  <si>
    <t>EURI 2030</t>
  </si>
  <si>
    <t>TOTALES</t>
  </si>
  <si>
    <t>montos en millones</t>
  </si>
  <si>
    <t>Perfil de vencimientos</t>
  </si>
  <si>
    <t>montos en millones; en moneda de origen</t>
  </si>
  <si>
    <t>Estructura de cupones</t>
  </si>
  <si>
    <t>Fecha de pago</t>
  </si>
  <si>
    <t>AHBG/EBG</t>
  </si>
  <si>
    <t>Deuda actual (Títulos elegibles)</t>
  </si>
  <si>
    <t>Cupón promedio por mes</t>
  </si>
  <si>
    <t>Títulos en USD</t>
  </si>
  <si>
    <t>Prom. USD</t>
  </si>
  <si>
    <t>Títulos en EUR</t>
  </si>
  <si>
    <t>Prom. EUR</t>
  </si>
  <si>
    <t>PAR</t>
  </si>
  <si>
    <t>DISC</t>
  </si>
  <si>
    <t>Amortizaciones</t>
  </si>
  <si>
    <t>Intereses corridos
en Moneda de Origen</t>
  </si>
  <si>
    <t>TC (vs. USD)</t>
  </si>
  <si>
    <t>Vida promedio</t>
  </si>
  <si>
    <t>Grupo</t>
  </si>
  <si>
    <t>Intereses 22/4 al 4/9</t>
  </si>
  <si>
    <t>Intereses devengados en MO</t>
  </si>
  <si>
    <t>ACC (1-jul)</t>
  </si>
  <si>
    <t>Argentina IV (5-jul)</t>
  </si>
  <si>
    <t>Argentina IV - Reestructuración bonos legislación extranjera 2020</t>
  </si>
  <si>
    <t>Argentina IV - Valor de la propuesta para cada bono elegible</t>
  </si>
  <si>
    <t>Argentina IV - Alocación estimada de nuevos bonos</t>
  </si>
  <si>
    <t>Al 22/4</t>
  </si>
  <si>
    <t>Del 22/4 al 4/9</t>
  </si>
  <si>
    <t>Alocación óptima</t>
  </si>
  <si>
    <t>%</t>
  </si>
  <si>
    <t>Intereses corridos c/100 VNA</t>
  </si>
  <si>
    <t>Periodo 1</t>
  </si>
  <si>
    <t>Periodo 2</t>
  </si>
  <si>
    <t>Bonos elegibles en USD</t>
  </si>
  <si>
    <t>Bonos elegibles en CHF/EUR</t>
  </si>
  <si>
    <t>Incluyendo intereses al 22/4</t>
  </si>
  <si>
    <t>Argentina III (17-jun)</t>
  </si>
  <si>
    <t>Argentina IV</t>
  </si>
  <si>
    <t>ACC</t>
  </si>
  <si>
    <t>Nota: Con propósito de la exposición gráfica del pago del primer cupón, se ajustó la estructura de cupones del primer año de devengamiento para reflejar el momento del pago. (En las propuestas Argentina IV y ACC)</t>
  </si>
  <si>
    <t>Tasa de cupón anual. No incluye bonos para reconocimiento de intereses corridos ni instrumentos contingentes (VRI).</t>
  </si>
  <si>
    <t>Últimas propuestas</t>
  </si>
  <si>
    <t>Valor Presente promedio 
cada VN 100</t>
  </si>
  <si>
    <r>
      <rPr>
        <vertAlign val="superscript"/>
        <sz val="8"/>
        <rFont val="Calibri"/>
        <family val="2"/>
        <scheme val="minor"/>
      </rPr>
      <t xml:space="preserve">1 </t>
    </r>
    <r>
      <rPr>
        <sz val="8"/>
        <rFont val="Calibri"/>
        <family val="2"/>
        <scheme val="minor"/>
      </rPr>
      <t>Incluye instrumento emitido por cupones vencidos e intereses corridos.</t>
    </r>
  </si>
  <si>
    <r>
      <rPr>
        <vertAlign val="superscript"/>
        <sz val="8"/>
        <rFont val="Calibri"/>
        <family val="2"/>
        <scheme val="minor"/>
      </rPr>
      <t>2</t>
    </r>
    <r>
      <rPr>
        <sz val="8"/>
        <rFont val="Calibri"/>
        <family val="2"/>
        <scheme val="minor"/>
      </rPr>
      <t xml:space="preserve"> Incluye pago en efectivo por cupones vencidos e intereses corridos.</t>
    </r>
  </si>
  <si>
    <r>
      <rPr>
        <vertAlign val="superscript"/>
        <sz val="8"/>
        <rFont val="Calibri"/>
        <family val="2"/>
        <scheme val="minor"/>
      </rPr>
      <t>1</t>
    </r>
    <r>
      <rPr>
        <sz val="8"/>
        <rFont val="Calibri"/>
        <family val="2"/>
        <scheme val="minor"/>
      </rPr>
      <t xml:space="preserve"> No incluye instrumentos vinculados al PIB o a las exportaciones (VRI). Incluye pago en efectivo por cupones vencidos e intereses corridos.</t>
    </r>
  </si>
  <si>
    <r>
      <t xml:space="preserve">AHBG/EBG (14-jun) </t>
    </r>
    <r>
      <rPr>
        <vertAlign val="superscript"/>
        <sz val="9"/>
        <color rgb="FF3E3E3E"/>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</si>
</sst>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 #,##0.00_ ;_ * \-#,##0.00_ ;_ * &quot;-&quot;??_ ;_ @_ "/>
    <numFmt numFmtId="165" formatCode="0.0"/>
    <numFmt numFmtId="166" formatCode="0.0%"/>
    <numFmt numFmtId="167" formatCode="0.000%"/>
    <numFmt numFmtId="168" formatCode="#,##0.0_);\(#,##0.0\)"/>
    <numFmt numFmtId="169" formatCode="_ * #,##0_ ;_ * \-#,##0_ ;_ * &quot;-&quot;??_ ;_ @_ "/>
    <numFmt numFmtId="170" formatCode="0.00000"/>
    <numFmt numFmtId="171" formatCode="#,##0.0"/>
    <numFmt numFmtId="172" formatCode="_ * #,##0.000000_ ;_ * \-#,##0.000000_ ;_ * &quot;-&quot;??_ ;_ @_ "/>
    <numFmt numFmtId="173" formatCode="0_ ;\-0\ "/>
    <numFmt numFmtId="174" formatCode="dd/mm/yy;@"/>
    <numFmt numFmtId="175" formatCode="#,##0.0_ ;\-#,##0.0\ "/>
    <numFmt numFmtId="176" formatCode="_-* #,##0_-;\-* #,##0_-;_-* &quot;-&quot;??_-;_-@_-"/>
  </numFmts>
  <fonts count="28"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0"/>
      <color rgb="FFFF0000"/>
      <name val="Calibri"/>
      <family val="2"/>
      <scheme val="minor"/>
    </font>
    <font>
      <sz val="10"/>
      <name val="Calibri"/>
      <family val="2"/>
      <scheme val="minor"/>
    </font>
    <font>
      <b/>
      <sz val="10"/>
      <name val="Calibri"/>
      <family val="2"/>
      <scheme val="minor"/>
    </font>
    <font>
      <sz val="10"/>
      <color theme="1" tint="0.499984740745262"/>
      <name val="Calibri"/>
      <family val="2"/>
      <scheme val="minor"/>
    </font>
    <font>
      <b/>
      <sz val="10"/>
      <color theme="0"/>
      <name val="Calibri"/>
      <family val="2"/>
      <scheme val="minor"/>
    </font>
    <font>
      <b/>
      <sz val="12"/>
      <color rgb="FF3E3E3E"/>
      <name val="Calibri"/>
      <family val="2"/>
      <scheme val="minor"/>
    </font>
    <font>
      <sz val="10"/>
      <color rgb="FF3E3E3E"/>
      <name val="Calibri"/>
      <family val="2"/>
      <scheme val="minor"/>
    </font>
    <font>
      <b/>
      <sz val="10"/>
      <color rgb="FF3E3E3E"/>
      <name val="Calibri"/>
      <family val="2"/>
      <scheme val="minor"/>
    </font>
    <font>
      <sz val="10"/>
      <color theme="0"/>
      <name val="Calibri"/>
      <family val="2"/>
      <scheme val="minor"/>
    </font>
    <font>
      <b/>
      <i/>
      <sz val="10"/>
      <color rgb="FF3E3E3E"/>
      <name val="Calibri"/>
      <family val="2"/>
      <scheme val="minor"/>
    </font>
    <font>
      <b/>
      <sz val="10"/>
      <color rgb="FF345AA6"/>
      <name val="Calibri"/>
      <family val="2"/>
      <scheme val="minor"/>
    </font>
    <font>
      <sz val="10"/>
      <color rgb="FFFFFFFF"/>
      <name val="Calibri"/>
      <family val="2"/>
      <scheme val="minor"/>
    </font>
    <font>
      <b/>
      <sz val="10"/>
      <color rgb="FFFFFFFF"/>
      <name val="Calibri"/>
      <family val="2"/>
      <scheme val="minor"/>
    </font>
    <font>
      <sz val="8"/>
      <name val="Calibri"/>
      <family val="2"/>
      <scheme val="minor"/>
    </font>
    <font>
      <sz val="14"/>
      <color rgb="FF3E3E3E"/>
      <name val="Calibri"/>
      <family val="2"/>
      <scheme val="minor"/>
    </font>
    <font>
      <i/>
      <sz val="10"/>
      <color rgb="FF3E3E3E"/>
      <name val="Calibri"/>
      <family val="2"/>
      <scheme val="minor"/>
    </font>
    <font>
      <sz val="9"/>
      <color theme="0"/>
      <name val="Calibri"/>
      <family val="2"/>
      <scheme val="minor"/>
    </font>
    <font>
      <b/>
      <sz val="9"/>
      <color theme="0"/>
      <name val="Calibri"/>
      <family val="2"/>
      <scheme val="minor"/>
    </font>
    <font>
      <sz val="9"/>
      <name val="Calibri"/>
      <family val="2"/>
      <scheme val="minor"/>
    </font>
    <font>
      <sz val="9"/>
      <color rgb="FF3E3E3E"/>
      <name val="Calibri"/>
      <family val="2"/>
      <scheme val="minor"/>
    </font>
    <font>
      <vertAlign val="superscript"/>
      <sz val="8"/>
      <name val="Calibri"/>
      <family val="2"/>
      <scheme val="minor"/>
    </font>
    <font>
      <sz val="12"/>
      <color rgb="FF3E3E3E"/>
      <name val="Calibri"/>
      <family val="2"/>
      <scheme val="minor"/>
    </font>
    <font>
      <vertAlign val="superscript"/>
      <sz val="9"/>
      <color rgb="FF3E3E3E"/>
      <name val="Calibri"/>
      <family val="2"/>
      <scheme val="minor"/>
    </font>
  </fonts>
  <fills count="10">
    <fill>
      <patternFill patternType="none"/>
    </fill>
    <fill>
      <patternFill patternType="gray125"/>
    </fill>
    <fill>
      <patternFill patternType="solid">
        <fgColor rgb="FF87A5D5"/>
        <bgColor indexed="64"/>
      </patternFill>
    </fill>
    <fill>
      <patternFill patternType="solid">
        <fgColor theme="0"/>
        <bgColor indexed="64"/>
      </patternFill>
    </fill>
    <fill>
      <patternFill patternType="solid">
        <fgColor theme="4" tint="-0.249977111117893"/>
        <bgColor indexed="64"/>
      </patternFill>
    </fill>
    <fill>
      <patternFill patternType="solid">
        <fgColor rgb="FFF2F2F2"/>
        <bgColor indexed="64"/>
      </patternFill>
    </fill>
    <fill>
      <patternFill patternType="solid">
        <fgColor theme="1"/>
        <bgColor indexed="64"/>
      </patternFill>
    </fill>
    <fill>
      <patternFill patternType="solid">
        <fgColor theme="0" tint="-0.499984740745262"/>
        <bgColor indexed="64"/>
      </patternFill>
    </fill>
    <fill>
      <patternFill patternType="solid">
        <fgColor theme="6" tint="-0.249977111117893"/>
        <bgColor indexed="64"/>
      </patternFill>
    </fill>
    <fill>
      <patternFill patternType="solid">
        <fgColor theme="7" tint="0.79998168889431442"/>
        <bgColor indexed="64"/>
      </patternFill>
    </fill>
  </fills>
  <borders count="53">
    <border>
      <left/>
      <right/>
      <top/>
      <bottom/>
      <diagonal/>
    </border>
    <border>
      <left style="thin">
        <color rgb="FF345AA6"/>
      </left>
      <right style="thin">
        <color rgb="FF345AA6"/>
      </right>
      <top style="thin">
        <color rgb="FF345AA6"/>
      </top>
      <bottom style="thin">
        <color rgb="FF345AA6"/>
      </bottom>
      <diagonal/>
    </border>
    <border>
      <left style="thin">
        <color rgb="FF345AA6"/>
      </left>
      <right/>
      <top style="thin">
        <color rgb="FF345AA6"/>
      </top>
      <bottom style="thin">
        <color rgb="FF345AA6"/>
      </bottom>
      <diagonal/>
    </border>
    <border>
      <left/>
      <right/>
      <top style="thin">
        <color rgb="FF345AA6"/>
      </top>
      <bottom style="thin">
        <color rgb="FF345AA6"/>
      </bottom>
      <diagonal/>
    </border>
    <border>
      <left style="thin">
        <color rgb="FF345AA6"/>
      </left>
      <right style="thin">
        <color rgb="FF345AA6"/>
      </right>
      <top style="thin">
        <color rgb="FF345AA6"/>
      </top>
      <bottom/>
      <diagonal/>
    </border>
    <border>
      <left style="thin">
        <color rgb="FF345AA6"/>
      </left>
      <right style="thin">
        <color rgb="FF345AA6"/>
      </right>
      <top/>
      <bottom style="thin">
        <color rgb="FF345AA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345AA6"/>
      </left>
      <right/>
      <top/>
      <bottom/>
      <diagonal/>
    </border>
    <border>
      <left style="thin">
        <color rgb="FF345AA6"/>
      </left>
      <right style="thin">
        <color rgb="FF345AA6"/>
      </right>
      <top/>
      <bottom/>
      <diagonal/>
    </border>
    <border>
      <left style="thin">
        <color rgb="FF345AA6"/>
      </left>
      <right/>
      <top style="thin">
        <color theme="0"/>
      </top>
      <bottom style="thin">
        <color theme="0"/>
      </bottom>
      <diagonal/>
    </border>
    <border>
      <left style="thin">
        <color rgb="FF345AA6"/>
      </left>
      <right style="thin">
        <color rgb="FF345AA6"/>
      </right>
      <top style="thin">
        <color theme="0"/>
      </top>
      <bottom style="thin">
        <color theme="0"/>
      </bottom>
      <diagonal/>
    </border>
    <border>
      <left style="thin">
        <color rgb="FF345AA6"/>
      </left>
      <right/>
      <top style="thin">
        <color theme="0"/>
      </top>
      <bottom style="thin">
        <color rgb="FF345AA6"/>
      </bottom>
      <diagonal/>
    </border>
    <border>
      <left style="thin">
        <color rgb="FF345AA6"/>
      </left>
      <right style="thin">
        <color rgb="FF345AA6"/>
      </right>
      <top style="thin">
        <color theme="0"/>
      </top>
      <bottom style="thin">
        <color rgb="FF345AA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345AA6"/>
      </left>
      <right/>
      <top/>
      <bottom style="thin">
        <color rgb="FF345AA6"/>
      </bottom>
      <diagonal/>
    </border>
    <border>
      <left/>
      <right/>
      <top/>
      <bottom style="thin">
        <color rgb="FF345AA6"/>
      </bottom>
      <diagonal/>
    </border>
    <border>
      <left/>
      <right style="thin">
        <color rgb="FF345AA6"/>
      </right>
      <top style="thin">
        <color rgb="FF345AA6"/>
      </top>
      <bottom/>
      <diagonal/>
    </border>
    <border>
      <left style="thin">
        <color rgb="FF345AA6"/>
      </left>
      <right/>
      <top style="thin">
        <color rgb="FF345AA6"/>
      </top>
      <bottom/>
      <diagonal/>
    </border>
    <border>
      <left/>
      <right/>
      <top style="thin">
        <color rgb="FF345AA6"/>
      </top>
      <bottom/>
      <diagonal/>
    </border>
    <border>
      <left/>
      <right style="thin">
        <color rgb="FF345AA6"/>
      </right>
      <top/>
      <bottom/>
      <diagonal/>
    </border>
    <border>
      <left/>
      <right style="thin">
        <color rgb="FF345AA6"/>
      </right>
      <top/>
      <bottom style="thin">
        <color rgb="FF345AA6"/>
      </bottom>
      <diagonal/>
    </border>
    <border>
      <left/>
      <right style="thin">
        <color rgb="FF345AA6"/>
      </right>
      <top style="thin">
        <color rgb="FF345AA6"/>
      </top>
      <bottom style="thin">
        <color rgb="FF345AA6"/>
      </bottom>
      <diagonal/>
    </border>
    <border>
      <left style="thin">
        <color indexed="64"/>
      </left>
      <right style="thin">
        <color indexed="64"/>
      </right>
      <top/>
      <bottom style="thin">
        <color indexed="6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style="thin">
        <color rgb="FF0070C0"/>
      </left>
      <right style="thin">
        <color rgb="FF0070C0"/>
      </right>
      <top/>
      <bottom/>
      <diagonal/>
    </border>
    <border>
      <left/>
      <right style="thin">
        <color rgb="FF0070C0"/>
      </right>
      <top/>
      <bottom/>
      <diagonal/>
    </border>
    <border>
      <left style="thin">
        <color rgb="FF0070C0"/>
      </left>
      <right style="thin">
        <color rgb="FF0070C0"/>
      </right>
      <top/>
      <bottom style="thin">
        <color rgb="FF0070C0"/>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style="thin">
        <color rgb="FF0070C0"/>
      </left>
      <right style="thin">
        <color rgb="FF0070C0"/>
      </right>
      <top/>
      <bottom style="thin">
        <color indexed="64"/>
      </bottom>
      <diagonal/>
    </border>
    <border>
      <left style="thin">
        <color rgb="FF0070C0"/>
      </left>
      <right style="thin">
        <color rgb="FF0070C0"/>
      </right>
      <top/>
      <bottom style="thin">
        <color theme="4"/>
      </bottom>
      <diagonal/>
    </border>
    <border>
      <left/>
      <right style="thin">
        <color rgb="FF0070C0"/>
      </right>
      <top/>
      <bottom style="thin">
        <color theme="4"/>
      </bottom>
      <diagonal/>
    </border>
    <border>
      <left/>
      <right/>
      <top/>
      <bottom style="thin">
        <color theme="4"/>
      </bottom>
      <diagonal/>
    </border>
    <border>
      <left style="thin">
        <color rgb="FF0070C0"/>
      </left>
      <right/>
      <top/>
      <bottom style="thin">
        <color theme="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409">
    <xf numFmtId="0" fontId="0" fillId="0" borderId="0" xfId="0"/>
    <xf numFmtId="0" fontId="3" fillId="0" borderId="0" xfId="0" applyFont="1" applyAlignment="1">
      <alignment horizontal="center" vertical="center" wrapText="1"/>
    </xf>
    <xf numFmtId="0" fontId="3" fillId="0" borderId="0" xfId="0" applyFont="1"/>
    <xf numFmtId="0" fontId="5" fillId="0" borderId="0" xfId="0" applyFont="1" applyAlignment="1">
      <alignment horizontal="left" vertical="center"/>
    </xf>
    <xf numFmtId="9" fontId="3" fillId="0" borderId="0" xfId="0" applyNumberFormat="1" applyFont="1"/>
    <xf numFmtId="0" fontId="3" fillId="0" borderId="0" xfId="0" applyFont="1" applyAlignment="1">
      <alignment horizontal="center" vertical="center"/>
    </xf>
    <xf numFmtId="170" fontId="3" fillId="0" borderId="0" xfId="0" applyNumberFormat="1" applyFont="1" applyAlignment="1">
      <alignment horizontal="center" vertical="center"/>
    </xf>
    <xf numFmtId="0" fontId="5" fillId="0" borderId="0" xfId="0" applyFont="1"/>
    <xf numFmtId="0" fontId="5" fillId="0" borderId="0" xfId="0" applyFont="1" applyAlignment="1">
      <alignment horizontal="right"/>
    </xf>
    <xf numFmtId="0" fontId="6" fillId="0" borderId="0" xfId="0" applyFont="1"/>
    <xf numFmtId="0" fontId="6" fillId="0" borderId="0" xfId="0" applyFont="1" applyAlignment="1">
      <alignment horizontal="right"/>
    </xf>
    <xf numFmtId="0" fontId="3" fillId="3" borderId="0" xfId="0" applyFont="1" applyFill="1"/>
    <xf numFmtId="3" fontId="3" fillId="3" borderId="0" xfId="0" applyNumberFormat="1" applyFont="1" applyFill="1"/>
    <xf numFmtId="43" fontId="3" fillId="3" borderId="0" xfId="1" applyFont="1" applyFill="1"/>
    <xf numFmtId="0" fontId="4" fillId="0" borderId="0" xfId="0" applyFont="1"/>
    <xf numFmtId="171" fontId="4" fillId="0" borderId="0" xfId="0" applyNumberFormat="1" applyFont="1"/>
    <xf numFmtId="3" fontId="4" fillId="0" borderId="0" xfId="0" applyNumberFormat="1" applyFont="1"/>
    <xf numFmtId="0" fontId="3" fillId="0" borderId="0" xfId="0" applyFont="1" applyAlignment="1">
      <alignment vertical="center"/>
    </xf>
    <xf numFmtId="171" fontId="3" fillId="0" borderId="0" xfId="0" applyNumberFormat="1" applyFont="1"/>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171" fontId="8" fillId="0" borderId="0" xfId="0" applyNumberFormat="1" applyFont="1"/>
    <xf numFmtId="3" fontId="8" fillId="0" borderId="0" xfId="0" applyNumberFormat="1" applyFont="1"/>
    <xf numFmtId="0" fontId="8" fillId="0" borderId="0" xfId="0" applyFont="1"/>
    <xf numFmtId="3" fontId="3" fillId="0" borderId="0" xfId="0" applyNumberFormat="1" applyFont="1"/>
    <xf numFmtId="0" fontId="2" fillId="0" borderId="0" xfId="0" applyFont="1"/>
    <xf numFmtId="0" fontId="9" fillId="2" borderId="1" xfId="0" applyFont="1" applyFill="1" applyBorder="1" applyAlignment="1">
      <alignment horizontal="center" vertical="center" wrapText="1"/>
    </xf>
    <xf numFmtId="3" fontId="9" fillId="2" borderId="2" xfId="0" applyNumberFormat="1" applyFont="1" applyFill="1" applyBorder="1" applyAlignment="1">
      <alignment horizontal="right" vertical="center" wrapText="1"/>
    </xf>
    <xf numFmtId="3" fontId="9" fillId="2" borderId="3" xfId="0" applyNumberFormat="1" applyFont="1" applyFill="1" applyBorder="1" applyAlignment="1">
      <alignment horizontal="right" vertical="center" wrapText="1"/>
    </xf>
    <xf numFmtId="3" fontId="9" fillId="2" borderId="32" xfId="0" applyNumberFormat="1" applyFont="1" applyFill="1" applyBorder="1" applyAlignment="1">
      <alignment horizontal="right" vertical="center" wrapText="1"/>
    </xf>
    <xf numFmtId="0" fontId="10" fillId="3" borderId="0" xfId="0" applyFont="1" applyFill="1" applyAlignment="1">
      <alignment horizontal="left" vertical="center"/>
    </xf>
    <xf numFmtId="4" fontId="11" fillId="0" borderId="0" xfId="0" applyNumberFormat="1" applyFont="1"/>
    <xf numFmtId="0" fontId="11" fillId="0" borderId="0" xfId="0" applyFont="1"/>
    <xf numFmtId="175" fontId="11" fillId="0" borderId="0" xfId="1" applyNumberFormat="1" applyFont="1" applyAlignment="1">
      <alignment horizontal="center"/>
    </xf>
    <xf numFmtId="0" fontId="10" fillId="0" borderId="0" xfId="0" applyFont="1" applyAlignment="1">
      <alignment vertical="center"/>
    </xf>
    <xf numFmtId="0" fontId="2" fillId="0" borderId="0" xfId="0" applyFont="1" applyAlignment="1">
      <alignment horizontal="center" vertical="center" wrapText="1"/>
    </xf>
    <xf numFmtId="166" fontId="2" fillId="0" borderId="0" xfId="2" applyNumberFormat="1" applyFont="1" applyAlignment="1">
      <alignment horizontal="center" vertical="center" wrapText="1"/>
    </xf>
    <xf numFmtId="2" fontId="9" fillId="7" borderId="1"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7" xfId="0" applyFont="1" applyFill="1" applyBorder="1" applyAlignment="1">
      <alignment horizontal="center" vertical="center" wrapText="1"/>
    </xf>
    <xf numFmtId="3" fontId="9" fillId="2" borderId="32" xfId="0" applyNumberFormat="1" applyFont="1" applyFill="1" applyBorder="1" applyAlignment="1">
      <alignment horizontal="center" vertical="center" wrapText="1"/>
    </xf>
    <xf numFmtId="3" fontId="9" fillId="2" borderId="1" xfId="0" applyNumberFormat="1" applyFont="1" applyFill="1" applyBorder="1" applyAlignment="1">
      <alignment horizontal="right" vertical="center" wrapText="1"/>
    </xf>
    <xf numFmtId="3" fontId="9" fillId="2" borderId="5" xfId="0" applyNumberFormat="1" applyFont="1" applyFill="1" applyBorder="1" applyAlignment="1">
      <alignment horizontal="right" vertical="center" wrapText="1"/>
    </xf>
    <xf numFmtId="3" fontId="9" fillId="2" borderId="31" xfId="0" applyNumberFormat="1" applyFont="1" applyFill="1" applyBorder="1" applyAlignment="1">
      <alignment horizontal="right" vertical="center" wrapText="1"/>
    </xf>
    <xf numFmtId="3" fontId="9" fillId="7" borderId="32" xfId="0" applyNumberFormat="1" applyFont="1" applyFill="1" applyBorder="1" applyAlignment="1">
      <alignment horizontal="center" vertical="center" wrapText="1"/>
    </xf>
    <xf numFmtId="3" fontId="9" fillId="7" borderId="1" xfId="0" applyNumberFormat="1" applyFont="1" applyFill="1" applyBorder="1" applyAlignment="1">
      <alignment horizontal="right" vertical="center" wrapText="1"/>
    </xf>
    <xf numFmtId="3" fontId="9" fillId="7" borderId="32" xfId="0" applyNumberFormat="1" applyFont="1" applyFill="1" applyBorder="1" applyAlignment="1">
      <alignment horizontal="right" vertical="center" wrapText="1"/>
    </xf>
    <xf numFmtId="171" fontId="9" fillId="2" borderId="1" xfId="0" applyNumberFormat="1" applyFont="1" applyFill="1" applyBorder="1" applyAlignment="1">
      <alignment horizontal="right" vertical="center" wrapText="1"/>
    </xf>
    <xf numFmtId="14" fontId="11" fillId="0" borderId="0" xfId="0" applyNumberFormat="1" applyFont="1" applyAlignment="1">
      <alignment horizontal="left" vertical="center"/>
    </xf>
    <xf numFmtId="14" fontId="11" fillId="5" borderId="1"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1" fillId="0" borderId="0" xfId="0" applyFont="1" applyAlignment="1">
      <alignment wrapText="1"/>
    </xf>
    <xf numFmtId="173" fontId="11" fillId="0" borderId="15" xfId="0" applyNumberFormat="1" applyFont="1" applyBorder="1" applyAlignment="1">
      <alignment horizontal="center"/>
    </xf>
    <xf numFmtId="169" fontId="11" fillId="0" borderId="14" xfId="3" applyNumberFormat="1" applyFont="1" applyFill="1" applyBorder="1"/>
    <xf numFmtId="169" fontId="11" fillId="0" borderId="0" xfId="3" applyNumberFormat="1" applyFont="1" applyBorder="1"/>
    <xf numFmtId="169" fontId="11" fillId="0" borderId="30" xfId="3" applyNumberFormat="1" applyFont="1" applyBorder="1"/>
    <xf numFmtId="169" fontId="11" fillId="0" borderId="14" xfId="3" applyNumberFormat="1" applyFont="1" applyBorder="1"/>
    <xf numFmtId="0" fontId="11" fillId="0" borderId="0" xfId="0" applyFont="1" applyAlignment="1">
      <alignment vertical="center"/>
    </xf>
    <xf numFmtId="0" fontId="3" fillId="3" borderId="0" xfId="0" applyFont="1" applyFill="1" applyAlignment="1">
      <alignment horizontal="center"/>
    </xf>
    <xf numFmtId="0" fontId="11" fillId="3" borderId="0" xfId="0" applyFont="1" applyFill="1" applyAlignment="1">
      <alignment horizontal="left" vertical="center"/>
    </xf>
    <xf numFmtId="0" fontId="13" fillId="2" borderId="0" xfId="0" applyFont="1" applyFill="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5" xfId="0" applyFont="1" applyFill="1" applyBorder="1" applyAlignment="1">
      <alignment horizontal="center" vertical="center" wrapText="1"/>
    </xf>
    <xf numFmtId="167" fontId="3" fillId="3" borderId="45" xfId="2" applyNumberFormat="1" applyFont="1" applyFill="1" applyBorder="1"/>
    <xf numFmtId="167" fontId="3" fillId="3" borderId="46" xfId="2" applyNumberFormat="1" applyFont="1" applyFill="1" applyBorder="1"/>
    <xf numFmtId="167" fontId="13" fillId="2" borderId="40" xfId="2" applyNumberFormat="1" applyFont="1" applyFill="1" applyBorder="1"/>
    <xf numFmtId="167" fontId="3" fillId="3" borderId="41" xfId="2" applyNumberFormat="1" applyFont="1" applyFill="1" applyBorder="1"/>
    <xf numFmtId="167" fontId="13" fillId="2" borderId="42" xfId="2" applyNumberFormat="1" applyFont="1" applyFill="1" applyBorder="1"/>
    <xf numFmtId="167" fontId="3" fillId="3" borderId="0" xfId="2" applyNumberFormat="1" applyFont="1" applyFill="1" applyBorder="1"/>
    <xf numFmtId="167" fontId="13" fillId="2" borderId="46" xfId="2" applyNumberFormat="1" applyFont="1" applyFill="1" applyBorder="1"/>
    <xf numFmtId="167" fontId="3" fillId="3" borderId="43" xfId="2" applyNumberFormat="1" applyFont="1" applyFill="1" applyBorder="1"/>
    <xf numFmtId="167" fontId="3" fillId="3" borderId="47" xfId="2" applyNumberFormat="1" applyFont="1" applyFill="1" applyBorder="1"/>
    <xf numFmtId="167" fontId="13" fillId="2" borderId="43" xfId="2" applyNumberFormat="1" applyFont="1" applyFill="1" applyBorder="1"/>
    <xf numFmtId="167" fontId="3" fillId="3" borderId="38" xfId="2" applyNumberFormat="1" applyFont="1" applyFill="1" applyBorder="1"/>
    <xf numFmtId="167" fontId="3" fillId="3" borderId="39" xfId="2" applyNumberFormat="1" applyFont="1" applyFill="1" applyBorder="1"/>
    <xf numFmtId="167" fontId="13" fillId="2" borderId="44" xfId="2" applyNumberFormat="1" applyFont="1" applyFill="1" applyBorder="1"/>
    <xf numFmtId="167" fontId="3" fillId="3" borderId="37" xfId="2" applyNumberFormat="1" applyFont="1" applyFill="1" applyBorder="1"/>
    <xf numFmtId="167" fontId="13" fillId="2" borderId="39" xfId="2" applyNumberFormat="1" applyFont="1" applyFill="1" applyBorder="1"/>
    <xf numFmtId="0" fontId="3" fillId="0" borderId="0" xfId="0" applyFont="1" applyAlignment="1">
      <alignment horizontal="center"/>
    </xf>
    <xf numFmtId="175" fontId="3" fillId="0" borderId="0" xfId="1" applyNumberFormat="1" applyFont="1" applyAlignment="1">
      <alignment horizontal="center"/>
    </xf>
    <xf numFmtId="0" fontId="12" fillId="0" borderId="23" xfId="0" applyFont="1" applyBorder="1" applyAlignment="1">
      <alignment horizontal="center"/>
    </xf>
    <xf numFmtId="166" fontId="11" fillId="3" borderId="14" xfId="2" applyNumberFormat="1" applyFont="1" applyFill="1" applyBorder="1" applyAlignment="1">
      <alignment horizontal="left" vertical="center"/>
    </xf>
    <xf numFmtId="4" fontId="11" fillId="3" borderId="4" xfId="3" applyNumberFormat="1" applyFont="1" applyFill="1" applyBorder="1" applyAlignment="1">
      <alignment horizontal="center" vertical="center"/>
    </xf>
    <xf numFmtId="4" fontId="3" fillId="0" borderId="0" xfId="0" applyNumberFormat="1" applyFont="1"/>
    <xf numFmtId="0" fontId="12" fillId="0" borderId="24" xfId="0" applyFont="1" applyBorder="1" applyAlignment="1">
      <alignment horizontal="center"/>
    </xf>
    <xf numFmtId="4" fontId="11" fillId="3" borderId="15" xfId="3" applyNumberFormat="1" applyFont="1" applyFill="1" applyBorder="1" applyAlignment="1">
      <alignment horizontal="center" vertical="center"/>
    </xf>
    <xf numFmtId="0" fontId="12" fillId="0" borderId="33" xfId="0" applyFont="1" applyBorder="1" applyAlignment="1">
      <alignment horizontal="center"/>
    </xf>
    <xf numFmtId="0" fontId="12" fillId="0" borderId="0" xfId="0" applyFont="1" applyAlignment="1">
      <alignment horizontal="center"/>
    </xf>
    <xf numFmtId="0" fontId="14" fillId="0" borderId="0" xfId="0" applyFont="1" applyAlignment="1">
      <alignment horizontal="center"/>
    </xf>
    <xf numFmtId="166" fontId="11" fillId="3" borderId="25" xfId="2" applyNumberFormat="1" applyFont="1" applyFill="1" applyBorder="1" applyAlignment="1">
      <alignment horizontal="left" vertical="center"/>
    </xf>
    <xf numFmtId="4" fontId="11" fillId="3" borderId="5" xfId="3" applyNumberFormat="1" applyFont="1" applyFill="1" applyBorder="1" applyAlignment="1">
      <alignment horizontal="center" vertical="center"/>
    </xf>
    <xf numFmtId="166" fontId="11" fillId="3" borderId="15" xfId="2" applyNumberFormat="1" applyFont="1" applyFill="1" applyBorder="1" applyAlignment="1">
      <alignment horizontal="left" vertical="center"/>
    </xf>
    <xf numFmtId="166" fontId="11" fillId="3" borderId="5" xfId="2" applyNumberFormat="1" applyFont="1" applyFill="1" applyBorder="1" applyAlignment="1">
      <alignment horizontal="left" vertical="center"/>
    </xf>
    <xf numFmtId="0" fontId="12" fillId="0" borderId="0" xfId="0" applyFont="1" applyAlignment="1">
      <alignment vertical="center"/>
    </xf>
    <xf numFmtId="0" fontId="11" fillId="0" borderId="0" xfId="0" applyFont="1" applyBorder="1" applyAlignment="1">
      <alignment vertical="center"/>
    </xf>
    <xf numFmtId="0" fontId="11" fillId="0" borderId="4" xfId="0" applyFont="1" applyBorder="1" applyAlignment="1">
      <alignment horizontal="center"/>
    </xf>
    <xf numFmtId="0" fontId="11" fillId="0" borderId="4" xfId="0" applyFont="1" applyBorder="1"/>
    <xf numFmtId="169" fontId="11" fillId="0" borderId="4" xfId="3" applyNumberFormat="1" applyFont="1" applyBorder="1"/>
    <xf numFmtId="3" fontId="11" fillId="5" borderId="28" xfId="0" applyNumberFormat="1" applyFont="1" applyFill="1" applyBorder="1"/>
    <xf numFmtId="3" fontId="11" fillId="0" borderId="29" xfId="0" applyNumberFormat="1" applyFont="1" applyBorder="1"/>
    <xf numFmtId="3" fontId="11" fillId="5" borderId="27" xfId="0" applyNumberFormat="1" applyFont="1" applyFill="1" applyBorder="1"/>
    <xf numFmtId="3" fontId="11" fillId="0" borderId="28" xfId="0" applyNumberFormat="1" applyFont="1" applyBorder="1"/>
    <xf numFmtId="3" fontId="11" fillId="0" borderId="27" xfId="0" applyNumberFormat="1" applyFont="1" applyBorder="1"/>
    <xf numFmtId="169" fontId="11" fillId="0" borderId="27" xfId="3" applyNumberFormat="1" applyFont="1" applyFill="1" applyBorder="1"/>
    <xf numFmtId="0" fontId="11" fillId="0" borderId="15" xfId="0" applyFont="1" applyBorder="1" applyAlignment="1">
      <alignment horizontal="center"/>
    </xf>
    <xf numFmtId="0" fontId="11" fillId="0" borderId="15" xfId="0" applyFont="1" applyBorder="1"/>
    <xf numFmtId="169" fontId="11" fillId="0" borderId="15" xfId="3" applyNumberFormat="1" applyFont="1" applyBorder="1"/>
    <xf numFmtId="3" fontId="11" fillId="5" borderId="14" xfId="0" applyNumberFormat="1" applyFont="1" applyFill="1" applyBorder="1"/>
    <xf numFmtId="3" fontId="11" fillId="0" borderId="0" xfId="0" applyNumberFormat="1" applyFont="1"/>
    <xf numFmtId="3" fontId="11" fillId="5" borderId="30" xfId="0" applyNumberFormat="1" applyFont="1" applyFill="1" applyBorder="1"/>
    <xf numFmtId="3" fontId="11" fillId="0" borderId="14" xfId="0" applyNumberFormat="1" applyFont="1" applyBorder="1"/>
    <xf numFmtId="3" fontId="11" fillId="0" borderId="30" xfId="0" applyNumberFormat="1" applyFont="1" applyBorder="1"/>
    <xf numFmtId="169" fontId="11" fillId="0" borderId="30" xfId="3" applyNumberFormat="1" applyFont="1" applyFill="1" applyBorder="1"/>
    <xf numFmtId="0" fontId="11" fillId="0" borderId="5" xfId="0" applyFont="1" applyBorder="1" applyAlignment="1">
      <alignment horizontal="center"/>
    </xf>
    <xf numFmtId="0" fontId="11" fillId="0" borderId="5" xfId="0" applyFont="1" applyBorder="1"/>
    <xf numFmtId="169" fontId="11" fillId="0" borderId="5" xfId="3" applyNumberFormat="1" applyFont="1" applyBorder="1"/>
    <xf numFmtId="3" fontId="11" fillId="0" borderId="25" xfId="0" applyNumberFormat="1" applyFont="1" applyBorder="1"/>
    <xf numFmtId="3" fontId="11" fillId="0" borderId="26" xfId="0" applyNumberFormat="1" applyFont="1" applyBorder="1"/>
    <xf numFmtId="3" fontId="11" fillId="0" borderId="31" xfId="0" applyNumberFormat="1" applyFont="1" applyBorder="1"/>
    <xf numFmtId="3" fontId="11" fillId="5" borderId="25" xfId="0" applyNumberFormat="1" applyFont="1" applyFill="1" applyBorder="1"/>
    <xf numFmtId="3" fontId="11" fillId="5" borderId="31" xfId="0" applyNumberFormat="1" applyFont="1" applyFill="1" applyBorder="1"/>
    <xf numFmtId="169" fontId="11" fillId="0" borderId="31" xfId="3" applyNumberFormat="1" applyFont="1" applyFill="1" applyBorder="1"/>
    <xf numFmtId="3" fontId="11" fillId="5" borderId="29" xfId="0" applyNumberFormat="1" applyFont="1" applyFill="1" applyBorder="1"/>
    <xf numFmtId="3" fontId="11" fillId="5" borderId="0" xfId="0" applyNumberFormat="1" applyFont="1" applyFill="1"/>
    <xf numFmtId="169" fontId="11" fillId="0" borderId="15" xfId="3" applyNumberFormat="1" applyFont="1" applyFill="1" applyBorder="1"/>
    <xf numFmtId="170" fontId="11" fillId="0" borderId="0" xfId="0" applyNumberFormat="1" applyFont="1"/>
    <xf numFmtId="3" fontId="11" fillId="5" borderId="26" xfId="0" applyNumberFormat="1" applyFont="1" applyFill="1" applyBorder="1"/>
    <xf numFmtId="0" fontId="11" fillId="0" borderId="0" xfId="0" applyFont="1" applyAlignment="1">
      <alignment horizontal="left" vertical="center"/>
    </xf>
    <xf numFmtId="0" fontId="11" fillId="0" borderId="0" xfId="0" applyFont="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15" fillId="0" borderId="2" xfId="0" applyFont="1" applyBorder="1" applyAlignment="1">
      <alignment horizontal="center" vertical="center" wrapText="1"/>
    </xf>
    <xf numFmtId="9" fontId="3" fillId="0" borderId="1" xfId="0" applyNumberFormat="1" applyFont="1" applyFill="1" applyBorder="1" applyAlignment="1">
      <alignment horizontal="center" vertical="center"/>
    </xf>
    <xf numFmtId="9" fontId="3" fillId="3" borderId="0" xfId="0" applyNumberFormat="1" applyFont="1" applyFill="1" applyAlignment="1">
      <alignment horizontal="center" vertical="center"/>
    </xf>
    <xf numFmtId="0" fontId="16" fillId="2"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11" fillId="0" borderId="14" xfId="0" applyFont="1" applyBorder="1" applyAlignment="1">
      <alignment vertical="center"/>
    </xf>
    <xf numFmtId="14" fontId="11" fillId="0" borderId="15" xfId="0" applyNumberFormat="1" applyFont="1" applyFill="1" applyBorder="1" applyAlignment="1">
      <alignment horizontal="center" vertical="center"/>
    </xf>
    <xf numFmtId="165" fontId="11" fillId="0" borderId="15" xfId="0" applyNumberFormat="1" applyFont="1" applyFill="1" applyBorder="1" applyAlignment="1">
      <alignment horizontal="center" vertical="center"/>
    </xf>
    <xf numFmtId="14" fontId="11" fillId="0" borderId="15" xfId="2" applyNumberFormat="1" applyFont="1" applyFill="1" applyBorder="1" applyAlignment="1">
      <alignment horizontal="center" vertical="center"/>
    </xf>
    <xf numFmtId="0" fontId="3" fillId="3" borderId="0" xfId="0" applyFont="1" applyFill="1" applyAlignment="1">
      <alignment vertical="center"/>
    </xf>
    <xf numFmtId="1" fontId="11" fillId="0" borderId="15" xfId="0" applyNumberFormat="1" applyFont="1" applyFill="1" applyBorder="1" applyAlignment="1">
      <alignment horizontal="center" vertical="center"/>
    </xf>
    <xf numFmtId="0" fontId="11" fillId="0" borderId="16" xfId="0" applyFont="1" applyBorder="1" applyAlignment="1">
      <alignment vertical="center"/>
    </xf>
    <xf numFmtId="3" fontId="11" fillId="0" borderId="17" xfId="3" applyNumberFormat="1" applyFont="1" applyFill="1" applyBorder="1" applyAlignment="1">
      <alignment horizontal="center" vertical="center"/>
    </xf>
    <xf numFmtId="0" fontId="11" fillId="0" borderId="18" xfId="0" applyFont="1" applyBorder="1" applyAlignment="1">
      <alignment vertical="center"/>
    </xf>
    <xf numFmtId="3" fontId="11" fillId="0" borderId="19"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3" fontId="12" fillId="3" borderId="1" xfId="0" applyNumberFormat="1" applyFont="1" applyFill="1" applyBorder="1" applyAlignment="1">
      <alignment horizontal="center" vertical="center"/>
    </xf>
    <xf numFmtId="3" fontId="3" fillId="0" borderId="0" xfId="0" applyNumberFormat="1" applyFont="1" applyAlignment="1">
      <alignment vertical="center"/>
    </xf>
    <xf numFmtId="1" fontId="11" fillId="0" borderId="17" xfId="3" applyNumberFormat="1" applyFont="1" applyFill="1" applyBorder="1" applyAlignment="1">
      <alignment horizontal="center" vertical="center"/>
    </xf>
    <xf numFmtId="1" fontId="11" fillId="0" borderId="19" xfId="0" applyNumberFormat="1" applyFont="1" applyFill="1" applyBorder="1" applyAlignment="1">
      <alignment horizontal="center" vertical="center"/>
    </xf>
    <xf numFmtId="168" fontId="12" fillId="0" borderId="1" xfId="0" applyNumberFormat="1" applyFont="1" applyBorder="1" applyAlignment="1">
      <alignment horizontal="center" vertical="center"/>
    </xf>
    <xf numFmtId="168" fontId="12" fillId="3" borderId="1" xfId="0" applyNumberFormat="1" applyFont="1" applyFill="1" applyBorder="1" applyAlignment="1">
      <alignment horizontal="center" vertical="center"/>
    </xf>
    <xf numFmtId="0" fontId="12" fillId="0" borderId="23" xfId="0" applyFont="1" applyBorder="1" applyAlignment="1">
      <alignment horizontal="center" vertical="center"/>
    </xf>
    <xf numFmtId="0" fontId="2"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vertical="center" wrapText="1"/>
    </xf>
    <xf numFmtId="0" fontId="3" fillId="0" borderId="0" xfId="0" applyFont="1" applyAlignment="1">
      <alignment vertical="center" wrapText="1"/>
    </xf>
    <xf numFmtId="167" fontId="11" fillId="0" borderId="15" xfId="2" applyNumberFormat="1" applyFont="1" applyFill="1" applyBorder="1" applyAlignment="1">
      <alignment horizontal="center" vertical="center" wrapText="1"/>
    </xf>
    <xf numFmtId="14" fontId="11" fillId="0" borderId="15" xfId="0" applyNumberFormat="1" applyFont="1" applyBorder="1" applyAlignment="1">
      <alignment horizontal="center" vertical="center" wrapText="1"/>
    </xf>
    <xf numFmtId="4" fontId="11" fillId="0" borderId="15" xfId="0" applyNumberFormat="1" applyFont="1" applyBorder="1" applyAlignment="1">
      <alignment horizontal="right" vertical="center" wrapText="1"/>
    </xf>
    <xf numFmtId="169" fontId="11" fillId="0" borderId="5" xfId="3" applyNumberFormat="1" applyFont="1" applyFill="1" applyBorder="1"/>
    <xf numFmtId="167" fontId="11" fillId="0" borderId="5" xfId="2" applyNumberFormat="1" applyFont="1" applyFill="1" applyBorder="1" applyAlignment="1">
      <alignment horizontal="center" vertical="center" wrapText="1"/>
    </xf>
    <xf numFmtId="14" fontId="11" fillId="0" borderId="5" xfId="0" applyNumberFormat="1" applyFont="1" applyBorder="1" applyAlignment="1">
      <alignment horizontal="center" vertical="center" wrapText="1"/>
    </xf>
    <xf numFmtId="4" fontId="11" fillId="0" borderId="5" xfId="0" applyNumberFormat="1" applyFont="1" applyBorder="1" applyAlignment="1">
      <alignment horizontal="right" vertical="center" wrapText="1"/>
    </xf>
    <xf numFmtId="3" fontId="1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7" fillId="2"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10" fillId="0" borderId="0" xfId="0" applyFont="1"/>
    <xf numFmtId="0" fontId="6" fillId="0" borderId="0" xfId="0" applyFont="1" applyAlignment="1">
      <alignment horizontal="center" vertical="center"/>
    </xf>
    <xf numFmtId="14" fontId="6" fillId="0" borderId="24" xfId="0" applyNumberFormat="1" applyFont="1" applyBorder="1" applyAlignment="1">
      <alignment horizontal="center" vertical="center"/>
    </xf>
    <xf numFmtId="14" fontId="6" fillId="0" borderId="9" xfId="0" applyNumberFormat="1" applyFont="1" applyBorder="1" applyAlignment="1">
      <alignment horizontal="center" vertical="center"/>
    </xf>
    <xf numFmtId="43" fontId="6" fillId="0" borderId="0" xfId="1" applyFont="1" applyFill="1" applyBorder="1" applyAlignment="1">
      <alignment horizontal="center" vertical="center"/>
    </xf>
    <xf numFmtId="43" fontId="6" fillId="0" borderId="10" xfId="1" applyFont="1" applyFill="1" applyBorder="1" applyAlignment="1">
      <alignment horizontal="center" vertical="center"/>
    </xf>
    <xf numFmtId="43" fontId="6" fillId="0" borderId="9" xfId="1" applyFont="1" applyFill="1" applyBorder="1" applyAlignment="1">
      <alignment horizontal="center" vertical="center"/>
    </xf>
    <xf numFmtId="43" fontId="6" fillId="0" borderId="9" xfId="1" applyFont="1" applyBorder="1" applyAlignment="1">
      <alignment horizontal="center" vertical="center"/>
    </xf>
    <xf numFmtId="43" fontId="6" fillId="0" borderId="0" xfId="1"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9" fontId="6" fillId="0" borderId="9" xfId="0" applyNumberFormat="1" applyFont="1" applyBorder="1" applyAlignment="1">
      <alignment horizontal="center" vertical="center"/>
    </xf>
    <xf numFmtId="9" fontId="6" fillId="0" borderId="0" xfId="0" applyNumberFormat="1" applyFont="1" applyAlignment="1">
      <alignment horizontal="center" vertical="center"/>
    </xf>
    <xf numFmtId="167" fontId="6" fillId="0" borderId="0" xfId="0" applyNumberFormat="1" applyFont="1" applyAlignment="1">
      <alignment horizontal="center" vertical="center"/>
    </xf>
    <xf numFmtId="167" fontId="6" fillId="0" borderId="10" xfId="0" applyNumberFormat="1" applyFont="1" applyBorder="1" applyAlignment="1">
      <alignment horizontal="center" vertical="center"/>
    </xf>
    <xf numFmtId="14" fontId="6" fillId="0" borderId="0" xfId="0" applyNumberFormat="1" applyFont="1" applyAlignment="1">
      <alignment horizontal="center" vertical="center"/>
    </xf>
    <xf numFmtId="167" fontId="6" fillId="0" borderId="0" xfId="0" applyNumberFormat="1" applyFont="1" applyAlignment="1">
      <alignment vertical="center"/>
    </xf>
    <xf numFmtId="14" fontId="6" fillId="0" borderId="11" xfId="0" applyNumberFormat="1" applyFont="1" applyBorder="1" applyAlignment="1">
      <alignment horizontal="center" vertical="center"/>
    </xf>
    <xf numFmtId="14" fontId="6" fillId="0" borderId="12" xfId="0" applyNumberFormat="1" applyFont="1" applyBorder="1" applyAlignment="1">
      <alignment horizontal="center" vertical="center"/>
    </xf>
    <xf numFmtId="167" fontId="6" fillId="0" borderId="12" xfId="0" applyNumberFormat="1" applyFont="1" applyBorder="1" applyAlignment="1">
      <alignment vertical="center"/>
    </xf>
    <xf numFmtId="167" fontId="6" fillId="0" borderId="12" xfId="0" applyNumberFormat="1" applyFont="1" applyBorder="1" applyAlignment="1">
      <alignment horizontal="center" vertical="center"/>
    </xf>
    <xf numFmtId="167" fontId="6" fillId="0" borderId="13" xfId="0" applyNumberFormat="1" applyFont="1" applyBorder="1" applyAlignment="1">
      <alignment horizontal="center" vertical="center"/>
    </xf>
    <xf numFmtId="43" fontId="6" fillId="0" borderId="0" xfId="0" applyNumberFormat="1" applyFont="1" applyAlignment="1">
      <alignment vertical="center"/>
    </xf>
    <xf numFmtId="14" fontId="6" fillId="0" borderId="33" xfId="0" applyNumberFormat="1" applyFont="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4" fontId="7" fillId="0" borderId="20" xfId="1" applyNumberFormat="1" applyFont="1" applyBorder="1" applyAlignment="1">
      <alignment horizontal="center" vertical="center"/>
    </xf>
    <xf numFmtId="0" fontId="13" fillId="0" borderId="12" xfId="0" applyFont="1" applyBorder="1" applyAlignment="1">
      <alignment horizontal="center" vertical="center"/>
    </xf>
    <xf numFmtId="10" fontId="13" fillId="0" borderId="12"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6" fillId="0" borderId="10" xfId="0" applyFont="1" applyBorder="1" applyAlignment="1">
      <alignment vertical="center"/>
    </xf>
    <xf numFmtId="0" fontId="6" fillId="0" borderId="13" xfId="0" applyFont="1" applyBorder="1" applyAlignment="1">
      <alignment vertical="center"/>
    </xf>
    <xf numFmtId="0" fontId="6" fillId="0" borderId="20" xfId="0" applyFont="1" applyBorder="1" applyAlignment="1">
      <alignment vertical="center"/>
    </xf>
    <xf numFmtId="43" fontId="6" fillId="0" borderId="6" xfId="1" applyFont="1" applyBorder="1" applyAlignment="1"/>
    <xf numFmtId="43" fontId="6" fillId="0" borderId="9" xfId="1" applyFont="1" applyBorder="1" applyAlignment="1">
      <alignment vertical="center"/>
    </xf>
    <xf numFmtId="176" fontId="6" fillId="0" borderId="0" xfId="1" applyNumberFormat="1" applyFont="1" applyAlignment="1">
      <alignment vertical="center"/>
    </xf>
    <xf numFmtId="43" fontId="6" fillId="0" borderId="21" xfId="1" applyFont="1" applyBorder="1" applyAlignment="1">
      <alignment horizontal="center" vertical="center"/>
    </xf>
    <xf numFmtId="43" fontId="6" fillId="0" borderId="22" xfId="1" applyFont="1" applyBorder="1" applyAlignment="1">
      <alignment horizontal="center" vertical="center"/>
    </xf>
    <xf numFmtId="43" fontId="6" fillId="0" borderId="22" xfId="1" applyFont="1" applyBorder="1" applyAlignment="1">
      <alignment vertical="center"/>
    </xf>
    <xf numFmtId="176" fontId="6" fillId="0" borderId="10" xfId="1" applyNumberFormat="1" applyFont="1" applyBorder="1" applyAlignment="1">
      <alignment vertical="center"/>
    </xf>
    <xf numFmtId="176" fontId="6" fillId="0" borderId="0" xfId="1" applyNumberFormat="1" applyFont="1" applyAlignment="1">
      <alignment horizontal="center" vertical="center"/>
    </xf>
    <xf numFmtId="176" fontId="6" fillId="0" borderId="8" xfId="1" applyNumberFormat="1" applyFont="1" applyBorder="1" applyAlignment="1">
      <alignment vertical="center"/>
    </xf>
    <xf numFmtId="43" fontId="6" fillId="0" borderId="20"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10"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176" fontId="6" fillId="0" borderId="20" xfId="1" applyNumberFormat="1" applyFont="1" applyBorder="1" applyAlignment="1">
      <alignment horizontal="center" vertical="center"/>
    </xf>
    <xf numFmtId="176" fontId="6" fillId="0" borderId="21" xfId="1" applyNumberFormat="1" applyFont="1" applyBorder="1" applyAlignment="1">
      <alignment horizontal="center" vertical="center"/>
    </xf>
    <xf numFmtId="176" fontId="6" fillId="0" borderId="22" xfId="1" applyNumberFormat="1" applyFont="1" applyBorder="1" applyAlignment="1">
      <alignment horizontal="center" vertical="center"/>
    </xf>
    <xf numFmtId="166" fontId="6" fillId="0" borderId="6" xfId="2" applyNumberFormat="1" applyFont="1" applyBorder="1" applyAlignment="1">
      <alignment horizontal="center" vertical="center"/>
    </xf>
    <xf numFmtId="166" fontId="6" fillId="0" borderId="7" xfId="2" applyNumberFormat="1" applyFont="1" applyBorder="1" applyAlignment="1">
      <alignment horizontal="center" vertical="center"/>
    </xf>
    <xf numFmtId="166" fontId="6" fillId="0" borderId="9" xfId="2" applyNumberFormat="1" applyFont="1" applyBorder="1" applyAlignment="1">
      <alignment horizontal="center" vertical="center"/>
    </xf>
    <xf numFmtId="166" fontId="6" fillId="0" borderId="0" xfId="2" applyNumberFormat="1" applyFont="1" applyAlignment="1">
      <alignment horizontal="center" vertical="center"/>
    </xf>
    <xf numFmtId="167" fontId="6" fillId="0" borderId="7" xfId="2" applyNumberFormat="1" applyFont="1" applyBorder="1" applyAlignment="1">
      <alignment horizontal="center" vertical="center"/>
    </xf>
    <xf numFmtId="167" fontId="6" fillId="0" borderId="8" xfId="2" applyNumberFormat="1" applyFont="1" applyBorder="1" applyAlignment="1">
      <alignment horizontal="center" vertical="center"/>
    </xf>
    <xf numFmtId="3" fontId="11" fillId="0" borderId="28" xfId="0" applyNumberFormat="1" applyFont="1" applyFill="1" applyBorder="1"/>
    <xf numFmtId="3" fontId="11" fillId="0" borderId="14" xfId="0" applyNumberFormat="1" applyFont="1" applyFill="1" applyBorder="1"/>
    <xf numFmtId="3" fontId="11" fillId="0" borderId="25" xfId="0" applyNumberFormat="1" applyFont="1" applyFill="1" applyBorder="1"/>
    <xf numFmtId="3" fontId="11" fillId="0" borderId="26" xfId="0" applyNumberFormat="1" applyFont="1" applyFill="1" applyBorder="1"/>
    <xf numFmtId="3" fontId="11" fillId="0" borderId="31" xfId="0" applyNumberFormat="1" applyFont="1" applyFill="1" applyBorder="1"/>
    <xf numFmtId="9" fontId="3" fillId="3" borderId="0" xfId="2" applyFont="1" applyFill="1"/>
    <xf numFmtId="9" fontId="3" fillId="3" borderId="0" xfId="2" applyNumberFormat="1" applyFont="1" applyFill="1"/>
    <xf numFmtId="169" fontId="11" fillId="0" borderId="28" xfId="3" applyNumberFormat="1" applyFont="1" applyFill="1" applyBorder="1"/>
    <xf numFmtId="169" fontId="11" fillId="0" borderId="25" xfId="3" applyNumberFormat="1" applyFont="1" applyFill="1" applyBorder="1"/>
    <xf numFmtId="175" fontId="9" fillId="2" borderId="4" xfId="1" applyNumberFormat="1" applyFont="1" applyFill="1" applyBorder="1" applyAlignment="1">
      <alignment horizontal="center" vertical="center" wrapText="1"/>
    </xf>
    <xf numFmtId="171" fontId="11" fillId="3" borderId="4" xfId="3" applyNumberFormat="1" applyFont="1" applyFill="1" applyBorder="1" applyAlignment="1">
      <alignment horizontal="center" vertical="center"/>
    </xf>
    <xf numFmtId="171" fontId="11" fillId="3" borderId="15" xfId="3" applyNumberFormat="1" applyFont="1" applyFill="1" applyBorder="1" applyAlignment="1">
      <alignment horizontal="center" vertical="center"/>
    </xf>
    <xf numFmtId="171" fontId="11" fillId="3" borderId="5" xfId="3" applyNumberFormat="1" applyFont="1" applyFill="1" applyBorder="1" applyAlignment="1">
      <alignment horizontal="center" vertical="center"/>
    </xf>
    <xf numFmtId="0" fontId="11" fillId="0" borderId="0" xfId="0" applyFont="1" applyBorder="1" applyAlignment="1">
      <alignment vertical="center" wrapText="1"/>
    </xf>
    <xf numFmtId="14" fontId="11" fillId="0" borderId="0" xfId="0" applyNumberFormat="1" applyFont="1" applyFill="1" applyBorder="1" applyAlignment="1">
      <alignment horizontal="center" vertical="center" wrapText="1"/>
    </xf>
    <xf numFmtId="0" fontId="3" fillId="0" borderId="0" xfId="0" applyFont="1" applyBorder="1" applyAlignment="1">
      <alignment vertical="center" wrapText="1"/>
    </xf>
    <xf numFmtId="43" fontId="11" fillId="0" borderId="15" xfId="1" applyFont="1" applyFill="1" applyBorder="1" applyAlignment="1">
      <alignment vertical="center" wrapText="1"/>
    </xf>
    <xf numFmtId="43" fontId="11" fillId="0" borderId="5" xfId="1" applyFont="1" applyFill="1" applyBorder="1" applyAlignment="1">
      <alignment vertical="center" wrapText="1"/>
    </xf>
    <xf numFmtId="4" fontId="11" fillId="3" borderId="27" xfId="3" applyNumberFormat="1" applyFont="1" applyFill="1" applyBorder="1" applyAlignment="1">
      <alignment horizontal="center" vertical="center"/>
    </xf>
    <xf numFmtId="4" fontId="11" fillId="3" borderId="30" xfId="3" applyNumberFormat="1" applyFont="1" applyFill="1" applyBorder="1" applyAlignment="1">
      <alignment horizontal="center" vertical="center"/>
    </xf>
    <xf numFmtId="4" fontId="11" fillId="3" borderId="31" xfId="3" applyNumberFormat="1" applyFont="1" applyFill="1" applyBorder="1" applyAlignment="1">
      <alignment horizontal="center" vertical="center"/>
    </xf>
    <xf numFmtId="165" fontId="11" fillId="3" borderId="4" xfId="3" applyNumberFormat="1" applyFont="1" applyFill="1" applyBorder="1" applyAlignment="1">
      <alignment horizontal="center" vertical="center"/>
    </xf>
    <xf numFmtId="165" fontId="11" fillId="0" borderId="0" xfId="0" applyNumberFormat="1" applyFont="1"/>
    <xf numFmtId="165" fontId="3" fillId="0" borderId="0" xfId="0" applyNumberFormat="1" applyFont="1"/>
    <xf numFmtId="165" fontId="2" fillId="0" borderId="0" xfId="0" applyNumberFormat="1" applyFont="1"/>
    <xf numFmtId="165" fontId="12" fillId="5" borderId="23" xfId="0" applyNumberFormat="1" applyFont="1" applyFill="1" applyBorder="1" applyAlignment="1">
      <alignment horizontal="center" vertical="center"/>
    </xf>
    <xf numFmtId="165" fontId="11" fillId="5" borderId="24" xfId="0" applyNumberFormat="1" applyFont="1" applyFill="1" applyBorder="1" applyAlignment="1">
      <alignment horizontal="center"/>
    </xf>
    <xf numFmtId="165" fontId="11" fillId="5" borderId="33" xfId="0" applyNumberFormat="1" applyFont="1" applyFill="1" applyBorder="1" applyAlignment="1">
      <alignment horizontal="center"/>
    </xf>
    <xf numFmtId="165" fontId="11" fillId="5" borderId="23" xfId="0" applyNumberFormat="1" applyFont="1" applyFill="1" applyBorder="1" applyAlignment="1">
      <alignment horizontal="center"/>
    </xf>
    <xf numFmtId="165" fontId="11" fillId="0" borderId="15" xfId="0" applyNumberFormat="1" applyFont="1" applyBorder="1" applyAlignment="1">
      <alignment horizontal="center"/>
    </xf>
    <xf numFmtId="165" fontId="11" fillId="0" borderId="5" xfId="0" applyNumberFormat="1" applyFont="1" applyBorder="1" applyAlignment="1">
      <alignment horizontal="center"/>
    </xf>
    <xf numFmtId="171" fontId="6" fillId="0" borderId="0" xfId="0" applyNumberFormat="1" applyFont="1" applyAlignment="1">
      <alignment vertical="center"/>
    </xf>
    <xf numFmtId="172" fontId="11" fillId="0" borderId="0" xfId="0" applyNumberFormat="1" applyFont="1" applyFill="1"/>
    <xf numFmtId="0" fontId="11" fillId="0" borderId="0" xfId="0" applyFont="1" applyFill="1"/>
    <xf numFmtId="166" fontId="11" fillId="0" borderId="0" xfId="2" applyNumberFormat="1" applyFont="1" applyFill="1"/>
    <xf numFmtId="169" fontId="11" fillId="0" borderId="0" xfId="3" applyNumberFormat="1" applyFont="1"/>
    <xf numFmtId="0" fontId="19" fillId="0" borderId="0" xfId="0" applyFont="1" applyAlignment="1">
      <alignment vertical="center"/>
    </xf>
    <xf numFmtId="0" fontId="19" fillId="0" borderId="0" xfId="0" applyFont="1"/>
    <xf numFmtId="0" fontId="13" fillId="2" borderId="35" xfId="0" applyFont="1" applyFill="1" applyBorder="1" applyAlignment="1">
      <alignment horizontal="center" vertical="center"/>
    </xf>
    <xf numFmtId="3" fontId="8" fillId="0" borderId="0" xfId="0" applyNumberFormat="1" applyFont="1" applyFill="1"/>
    <xf numFmtId="3" fontId="3" fillId="0" borderId="0" xfId="0" applyNumberFormat="1" applyFont="1" applyFill="1"/>
    <xf numFmtId="17" fontId="3" fillId="3" borderId="42" xfId="0" applyNumberFormat="1" applyFont="1" applyFill="1" applyBorder="1" applyAlignment="1">
      <alignment horizontal="center"/>
    </xf>
    <xf numFmtId="17" fontId="3" fillId="3" borderId="48" xfId="0" applyNumberFormat="1" applyFont="1" applyFill="1" applyBorder="1" applyAlignment="1">
      <alignment horizontal="center"/>
    </xf>
    <xf numFmtId="17" fontId="3" fillId="3" borderId="49" xfId="0" applyNumberFormat="1" applyFont="1" applyFill="1" applyBorder="1" applyAlignment="1">
      <alignment horizontal="center"/>
    </xf>
    <xf numFmtId="167" fontId="13" fillId="2" borderId="49" xfId="2" applyNumberFormat="1" applyFont="1" applyFill="1" applyBorder="1"/>
    <xf numFmtId="167" fontId="3" fillId="3" borderId="50" xfId="2" applyNumberFormat="1" applyFont="1" applyFill="1" applyBorder="1"/>
    <xf numFmtId="167" fontId="3" fillId="3" borderId="51" xfId="2" applyNumberFormat="1" applyFont="1" applyFill="1" applyBorder="1"/>
    <xf numFmtId="167" fontId="3" fillId="3" borderId="52" xfId="2" applyNumberFormat="1" applyFont="1" applyFill="1" applyBorder="1"/>
    <xf numFmtId="167" fontId="3" fillId="9" borderId="43" xfId="2" applyNumberFormat="1" applyFont="1" applyFill="1" applyBorder="1"/>
    <xf numFmtId="167" fontId="3" fillId="9" borderId="0" xfId="2" applyNumberFormat="1" applyFont="1" applyFill="1" applyBorder="1"/>
    <xf numFmtId="167" fontId="3" fillId="9" borderId="47" xfId="2" applyNumberFormat="1" applyFont="1" applyFill="1" applyBorder="1"/>
    <xf numFmtId="0" fontId="20" fillId="3" borderId="0" xfId="0" applyFont="1" applyFill="1" applyAlignment="1">
      <alignment horizontal="left" vertical="center"/>
    </xf>
    <xf numFmtId="43" fontId="11" fillId="0" borderId="0" xfId="1" applyFont="1" applyBorder="1" applyAlignment="1">
      <alignment vertical="center"/>
    </xf>
    <xf numFmtId="43" fontId="11" fillId="0" borderId="0" xfId="1" applyFont="1" applyBorder="1" applyAlignment="1">
      <alignment horizontal="center" vertical="center"/>
    </xf>
    <xf numFmtId="174" fontId="11" fillId="0" borderId="0" xfId="1" applyNumberFormat="1" applyFont="1" applyBorder="1" applyAlignment="1">
      <alignment horizontal="center" vertical="center"/>
    </xf>
    <xf numFmtId="164" fontId="3" fillId="0" borderId="0" xfId="0" applyNumberFormat="1" applyFont="1" applyAlignment="1">
      <alignment horizontal="center" vertical="center"/>
    </xf>
    <xf numFmtId="165" fontId="11" fillId="3" borderId="4" xfId="1" applyNumberFormat="1" applyFont="1" applyFill="1" applyBorder="1" applyAlignment="1">
      <alignment horizontal="center" vertical="center"/>
    </xf>
    <xf numFmtId="165" fontId="11" fillId="3" borderId="15" xfId="1" applyNumberFormat="1" applyFont="1" applyFill="1" applyBorder="1" applyAlignment="1">
      <alignment horizontal="center" vertical="center"/>
    </xf>
    <xf numFmtId="165" fontId="11" fillId="3" borderId="15" xfId="3" applyNumberFormat="1" applyFont="1" applyFill="1" applyBorder="1" applyAlignment="1">
      <alignment horizontal="center" vertical="center"/>
    </xf>
    <xf numFmtId="165" fontId="11" fillId="3" borderId="5" xfId="1" applyNumberFormat="1" applyFont="1" applyFill="1" applyBorder="1" applyAlignment="1">
      <alignment horizontal="center" vertical="center"/>
    </xf>
    <xf numFmtId="165" fontId="11" fillId="3" borderId="5" xfId="3" applyNumberFormat="1" applyFont="1" applyFill="1" applyBorder="1" applyAlignment="1">
      <alignment horizontal="center" vertical="center"/>
    </xf>
    <xf numFmtId="165" fontId="9" fillId="2" borderId="1" xfId="1" applyNumberFormat="1" applyFont="1" applyFill="1" applyBorder="1" applyAlignment="1">
      <alignment horizontal="center" vertical="center" wrapText="1"/>
    </xf>
    <xf numFmtId="165" fontId="11" fillId="0" borderId="0" xfId="1" applyNumberFormat="1" applyFont="1" applyAlignment="1">
      <alignment horizontal="center"/>
    </xf>
    <xf numFmtId="171" fontId="10" fillId="0" borderId="0" xfId="0" applyNumberFormat="1" applyFont="1"/>
    <xf numFmtId="3" fontId="10" fillId="0" borderId="0" xfId="0" applyNumberFormat="1" applyFont="1"/>
    <xf numFmtId="171" fontId="21" fillId="2" borderId="1" xfId="0" applyNumberFormat="1" applyFont="1" applyFill="1" applyBorder="1" applyAlignment="1">
      <alignment horizontal="center" vertical="center" wrapText="1"/>
    </xf>
    <xf numFmtId="0" fontId="23" fillId="5" borderId="4" xfId="0" applyFont="1" applyFill="1" applyBorder="1" applyAlignment="1">
      <alignment vertical="center"/>
    </xf>
    <xf numFmtId="171" fontId="23" fillId="5" borderId="4" xfId="4" applyNumberFormat="1" applyFont="1" applyFill="1" applyBorder="1" applyAlignment="1">
      <alignment horizontal="center" vertical="center"/>
    </xf>
    <xf numFmtId="0" fontId="24" fillId="0" borderId="1" xfId="0" applyFont="1" applyBorder="1" applyAlignment="1">
      <alignment vertical="center"/>
    </xf>
    <xf numFmtId="171" fontId="24" fillId="0" borderId="1" xfId="0" applyNumberFormat="1" applyFont="1" applyBorder="1" applyAlignment="1">
      <alignment horizontal="center" vertical="center"/>
    </xf>
    <xf numFmtId="171" fontId="24" fillId="0" borderId="27" xfId="0" applyNumberFormat="1" applyFont="1" applyBorder="1" applyAlignment="1">
      <alignment horizontal="center" vertical="center"/>
    </xf>
    <xf numFmtId="171" fontId="24" fillId="0" borderId="4" xfId="0" applyNumberFormat="1" applyFont="1" applyBorder="1" applyAlignment="1">
      <alignment horizontal="center" vertical="center"/>
    </xf>
    <xf numFmtId="49" fontId="24" fillId="0" borderId="31" xfId="0" applyNumberFormat="1" applyFont="1" applyBorder="1" applyAlignment="1">
      <alignment horizontal="center" vertical="center"/>
    </xf>
    <xf numFmtId="49" fontId="24" fillId="0" borderId="5" xfId="0" applyNumberFormat="1" applyFont="1" applyBorder="1" applyAlignment="1">
      <alignment horizontal="center" vertical="center"/>
    </xf>
    <xf numFmtId="0" fontId="24" fillId="0" borderId="1" xfId="0" applyFont="1" applyBorder="1" applyAlignment="1">
      <alignment vertical="center" wrapText="1"/>
    </xf>
    <xf numFmtId="171" fontId="24" fillId="0" borderId="1" xfId="4" applyNumberFormat="1" applyFont="1" applyFill="1" applyBorder="1" applyAlignment="1">
      <alignment horizontal="center" vertical="center"/>
    </xf>
    <xf numFmtId="0" fontId="18" fillId="0" borderId="0" xfId="0" applyFont="1" applyAlignment="1">
      <alignment vertical="center"/>
    </xf>
    <xf numFmtId="171" fontId="26" fillId="0" borderId="0" xfId="0" applyNumberFormat="1" applyFont="1"/>
    <xf numFmtId="3" fontId="26" fillId="0" borderId="0" xfId="0" applyNumberFormat="1" applyFont="1"/>
    <xf numFmtId="0" fontId="26" fillId="0" borderId="0" xfId="0" applyFont="1"/>
    <xf numFmtId="0" fontId="23" fillId="5" borderId="1" xfId="0" applyFont="1" applyFill="1" applyBorder="1" applyAlignment="1">
      <alignment vertical="center"/>
    </xf>
    <xf numFmtId="3" fontId="23" fillId="5" borderId="1" xfId="0" applyNumberFormat="1" applyFont="1" applyFill="1" applyBorder="1" applyAlignment="1">
      <alignment vertical="center"/>
    </xf>
    <xf numFmtId="3" fontId="24" fillId="0" borderId="1" xfId="0" applyNumberFormat="1" applyFont="1" applyBorder="1" applyAlignment="1">
      <alignment vertical="center"/>
    </xf>
    <xf numFmtId="14" fontId="6" fillId="0" borderId="9" xfId="0" applyNumberFormat="1" applyFont="1" applyFill="1" applyBorder="1" applyAlignment="1">
      <alignment horizontal="center" vertical="center"/>
    </xf>
    <xf numFmtId="43" fontId="6" fillId="0" borderId="6" xfId="1" applyFont="1" applyFill="1" applyBorder="1" applyAlignment="1">
      <alignment horizontal="center" vertical="center"/>
    </xf>
    <xf numFmtId="43" fontId="6" fillId="0" borderId="0" xfId="1" applyFont="1" applyFill="1" applyAlignment="1">
      <alignment vertical="center"/>
    </xf>
    <xf numFmtId="176" fontId="6" fillId="0" borderId="0" xfId="1" applyNumberFormat="1" applyFont="1" applyFill="1" applyAlignment="1">
      <alignment horizontal="center" vertical="center"/>
    </xf>
    <xf numFmtId="176" fontId="6" fillId="0" borderId="0" xfId="1" applyNumberFormat="1" applyFont="1" applyFill="1" applyAlignment="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2" xfId="0" applyFont="1" applyBorder="1" applyAlignment="1">
      <alignment horizontal="center" vertical="center" wrapText="1"/>
    </xf>
    <xf numFmtId="0" fontId="24" fillId="0" borderId="4" xfId="0" applyFont="1" applyBorder="1" applyAlignment="1">
      <alignment horizontal="left" vertical="center"/>
    </xf>
    <xf numFmtId="0" fontId="24" fillId="0" borderId="5" xfId="0" applyFont="1" applyBorder="1" applyAlignment="1">
      <alignment horizontal="left" vertical="center"/>
    </xf>
    <xf numFmtId="171" fontId="21" fillId="2" borderId="4" xfId="0" applyNumberFormat="1" applyFont="1" applyFill="1" applyBorder="1" applyAlignment="1">
      <alignment horizontal="center" vertical="center" wrapText="1"/>
    </xf>
    <xf numFmtId="171" fontId="21" fillId="2" borderId="5" xfId="0" applyNumberFormat="1" applyFont="1" applyFill="1" applyBorder="1" applyAlignment="1">
      <alignment horizontal="center" vertical="center" wrapText="1"/>
    </xf>
    <xf numFmtId="171" fontId="21" fillId="2" borderId="2" xfId="0" applyNumberFormat="1" applyFont="1" applyFill="1" applyBorder="1" applyAlignment="1">
      <alignment horizontal="center" vertical="center" wrapText="1"/>
    </xf>
    <xf numFmtId="171" fontId="21" fillId="2" borderId="3" xfId="0" applyNumberFormat="1" applyFont="1" applyFill="1" applyBorder="1" applyAlignment="1">
      <alignment horizontal="center" vertical="center" wrapText="1"/>
    </xf>
    <xf numFmtId="171" fontId="21" fillId="2" borderId="32"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171" fontId="21" fillId="2" borderId="28" xfId="0" applyNumberFormat="1" applyFont="1" applyFill="1" applyBorder="1" applyAlignment="1">
      <alignment horizontal="center" vertical="center" wrapText="1"/>
    </xf>
    <xf numFmtId="171" fontId="22" fillId="2" borderId="27" xfId="0" applyNumberFormat="1" applyFont="1" applyFill="1" applyBorder="1" applyAlignment="1">
      <alignment horizontal="center" vertical="center" wrapText="1"/>
    </xf>
    <xf numFmtId="171" fontId="22" fillId="2" borderId="25" xfId="0" applyNumberFormat="1" applyFont="1" applyFill="1" applyBorder="1" applyAlignment="1">
      <alignment horizontal="center" vertical="center" wrapText="1"/>
    </xf>
    <xf numFmtId="171" fontId="22" fillId="2" borderId="31" xfId="0" applyNumberFormat="1" applyFont="1" applyFill="1" applyBorder="1" applyAlignment="1">
      <alignment horizontal="center" vertical="center" wrapText="1"/>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9" fillId="2" borderId="1" xfId="0" applyFont="1" applyFill="1" applyBorder="1" applyAlignment="1">
      <alignment horizontal="center" vertical="center" wrapText="1"/>
    </xf>
    <xf numFmtId="175" fontId="9" fillId="2" borderId="1" xfId="1" applyNumberFormat="1" applyFont="1" applyFill="1" applyBorder="1" applyAlignment="1">
      <alignment horizontal="center" vertical="center" wrapText="1"/>
    </xf>
    <xf numFmtId="175" fontId="9" fillId="2" borderId="4" xfId="1" applyNumberFormat="1" applyFont="1" applyFill="1" applyBorder="1" applyAlignment="1">
      <alignment horizontal="center" vertical="center" wrapText="1"/>
    </xf>
    <xf numFmtId="175" fontId="9" fillId="2" borderId="5" xfId="1"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5" xfId="0" applyFont="1" applyFill="1" applyBorder="1" applyAlignment="1">
      <alignment horizontal="center" vertical="center" wrapText="1"/>
    </xf>
    <xf numFmtId="175" fontId="9" fillId="2" borderId="2" xfId="1" applyNumberFormat="1" applyFont="1" applyFill="1" applyBorder="1" applyAlignment="1">
      <alignment horizontal="center" vertical="center" wrapText="1"/>
    </xf>
    <xf numFmtId="175" fontId="9" fillId="2" borderId="3" xfId="1" applyNumberFormat="1" applyFont="1" applyFill="1" applyBorder="1" applyAlignment="1">
      <alignment horizontal="center" vertical="center" wrapText="1"/>
    </xf>
    <xf numFmtId="175" fontId="9" fillId="2" borderId="32" xfId="1" applyNumberFormat="1"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165" fontId="9" fillId="2" borderId="4" xfId="1" applyNumberFormat="1" applyFont="1" applyFill="1" applyBorder="1" applyAlignment="1">
      <alignment horizontal="center" vertical="center" wrapText="1"/>
    </xf>
    <xf numFmtId="165" fontId="9" fillId="2" borderId="5" xfId="1" applyNumberFormat="1"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32" xfId="0"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2" borderId="32" xfId="0" applyNumberFormat="1" applyFont="1" applyFill="1" applyBorder="1" applyAlignment="1">
      <alignment horizontal="center" vertical="center" wrapText="1"/>
    </xf>
    <xf numFmtId="3" fontId="9" fillId="7" borderId="29" xfId="0" applyNumberFormat="1" applyFont="1" applyFill="1" applyBorder="1" applyAlignment="1">
      <alignment horizontal="center" vertical="center" wrapText="1"/>
    </xf>
    <xf numFmtId="3" fontId="9" fillId="7" borderId="27" xfId="0" applyNumberFormat="1" applyFont="1" applyFill="1" applyBorder="1" applyAlignment="1">
      <alignment horizontal="center"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8" xfId="0" applyFont="1" applyFill="1" applyBorder="1" applyAlignment="1">
      <alignment horizontal="center" vertical="center"/>
    </xf>
    <xf numFmtId="0" fontId="13" fillId="2" borderId="4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0"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4" xfId="0" applyFont="1" applyFill="1" applyBorder="1" applyAlignment="1">
      <alignment horizontal="center" vertical="center"/>
    </xf>
    <xf numFmtId="0" fontId="9" fillId="8" borderId="34" xfId="0" applyFont="1" applyFill="1" applyBorder="1" applyAlignment="1">
      <alignment horizontal="center" vertical="top"/>
    </xf>
    <xf numFmtId="0" fontId="9" fillId="8" borderId="35" xfId="0" applyFont="1" applyFill="1" applyBorder="1" applyAlignment="1">
      <alignment horizontal="center" vertical="top"/>
    </xf>
    <xf numFmtId="0" fontId="9" fillId="8" borderId="36" xfId="0" applyFont="1" applyFill="1" applyBorder="1" applyAlignment="1">
      <alignment horizontal="center" vertical="top"/>
    </xf>
    <xf numFmtId="0" fontId="13" fillId="2" borderId="43" xfId="0" applyFont="1" applyFill="1" applyBorder="1" applyAlignment="1">
      <alignment horizontal="center" vertical="center" wrapText="1"/>
    </xf>
    <xf numFmtId="0" fontId="13" fillId="8" borderId="34" xfId="0" applyFont="1" applyFill="1" applyBorder="1" applyAlignment="1">
      <alignment horizontal="center" vertical="center"/>
    </xf>
    <xf numFmtId="0" fontId="13" fillId="8" borderId="35" xfId="0" applyFont="1" applyFill="1" applyBorder="1" applyAlignment="1">
      <alignment horizontal="center" vertical="center"/>
    </xf>
    <xf numFmtId="0" fontId="13" fillId="8" borderId="36" xfId="0" applyFont="1" applyFill="1" applyBorder="1" applyAlignment="1">
      <alignment horizontal="center" vertical="center"/>
    </xf>
    <xf numFmtId="0" fontId="13" fillId="2" borderId="4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32"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9" fillId="8" borderId="34" xfId="0" applyFont="1" applyFill="1" applyBorder="1" applyAlignment="1">
      <alignment horizontal="center" vertical="center"/>
    </xf>
    <xf numFmtId="0" fontId="9" fillId="8" borderId="35" xfId="0" applyFont="1" applyFill="1" applyBorder="1" applyAlignment="1">
      <alignment horizontal="center" vertical="center"/>
    </xf>
    <xf numFmtId="0" fontId="9" fillId="8" borderId="36" xfId="0" applyFont="1" applyFill="1" applyBorder="1" applyAlignment="1">
      <alignment horizontal="center" vertical="center"/>
    </xf>
  </cellXfs>
  <cellStyles count="6">
    <cellStyle name="Millares" xfId="1" builtinId="3"/>
    <cellStyle name="Millares 2" xfId="3" xr:uid="{1B5D5195-CCA8-40D6-BD9E-FB04F640A0D5}"/>
    <cellStyle name="Millares 2 2" xfId="4" xr:uid="{EC96995A-6D5D-44DC-BE89-5B12FBE11FC7}"/>
    <cellStyle name="Millares 2 2 2" xfId="5" xr:uid="{327A278E-EBB2-40DF-BD2C-CEB8324AC9D5}"/>
    <cellStyle name="Normal" xfId="0" builtinId="0"/>
    <cellStyle name="Porcentaje" xfId="2" builtinId="5"/>
  </cellStyles>
  <dxfs count="0"/>
  <tableStyles count="0" defaultTableStyle="TableStyleMedium2" defaultPivotStyle="PivotStyleLight16"/>
  <colors>
    <mruColors>
      <color rgb="FF3E3E3E"/>
      <color rgb="FF345AA6"/>
      <color rgb="FF339966"/>
      <color rgb="FF00808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255105124228641E-2"/>
          <c:y val="4.1301863611766208E-2"/>
          <c:w val="0.94183497281678996"/>
          <c:h val="0.81745726232048732"/>
        </c:manualLayout>
      </c:layout>
      <c:lineChart>
        <c:grouping val="standard"/>
        <c:varyColors val="0"/>
        <c:ser>
          <c:idx val="0"/>
          <c:order val="0"/>
          <c:tx>
            <c:strRef>
              <c:f>Perfil!$D$6</c:f>
              <c:strCache>
                <c:ptCount val="1"/>
                <c:pt idx="0">
                  <c:v>Perfil actual (bonos elegibles)</c:v>
                </c:pt>
              </c:strCache>
            </c:strRef>
          </c:tx>
          <c:spPr>
            <a:ln>
              <a:solidFill>
                <a:srgbClr val="BE0027"/>
              </a:solidFill>
            </a:ln>
          </c:spPr>
          <c:marker>
            <c:symbol val="none"/>
          </c:marker>
          <c:cat>
            <c:strRef>
              <c:extLst>
                <c:ext xmlns:c15="http://schemas.microsoft.com/office/drawing/2012/chart" uri="{02D57815-91ED-43cb-92C2-25804820EDAC}">
                  <c15:fullRef>
                    <c15:sqref>Perfil!$A$7:$A$36</c15:sqref>
                  </c15:fullRef>
                </c:ext>
              </c:extLst>
              <c:f>Perfil!$A$7:$A$35</c:f>
              <c:strCache>
                <c:ptCount val="29"/>
                <c:pt idx="0">
                  <c:v>2020 </c:v>
                </c:pt>
                <c:pt idx="1">
                  <c:v>2021 </c:v>
                </c:pt>
                <c:pt idx="2">
                  <c:v>2022 </c:v>
                </c:pt>
                <c:pt idx="3">
                  <c:v>2023 </c:v>
                </c:pt>
                <c:pt idx="4">
                  <c:v>2024 </c:v>
                </c:pt>
                <c:pt idx="5">
                  <c:v>2025 </c:v>
                </c:pt>
                <c:pt idx="6">
                  <c:v>2026 </c:v>
                </c:pt>
                <c:pt idx="7">
                  <c:v>2027 </c:v>
                </c:pt>
                <c:pt idx="8">
                  <c:v>2028 </c:v>
                </c:pt>
                <c:pt idx="9">
                  <c:v>2029 </c:v>
                </c:pt>
                <c:pt idx="10">
                  <c:v>2030 </c:v>
                </c:pt>
                <c:pt idx="11">
                  <c:v>2031 </c:v>
                </c:pt>
                <c:pt idx="12">
                  <c:v>2032 </c:v>
                </c:pt>
                <c:pt idx="13">
                  <c:v>2033 </c:v>
                </c:pt>
                <c:pt idx="14">
                  <c:v>2034 </c:v>
                </c:pt>
                <c:pt idx="15">
                  <c:v>2035 </c:v>
                </c:pt>
                <c:pt idx="16">
                  <c:v>2036 </c:v>
                </c:pt>
                <c:pt idx="17">
                  <c:v>2037 </c:v>
                </c:pt>
                <c:pt idx="18">
                  <c:v>2038 </c:v>
                </c:pt>
                <c:pt idx="19">
                  <c:v>2039 </c:v>
                </c:pt>
                <c:pt idx="20">
                  <c:v>2040 </c:v>
                </c:pt>
                <c:pt idx="21">
                  <c:v>2041 </c:v>
                </c:pt>
                <c:pt idx="22">
                  <c:v>2042 </c:v>
                </c:pt>
                <c:pt idx="23">
                  <c:v>2043 </c:v>
                </c:pt>
                <c:pt idx="24">
                  <c:v>2044 </c:v>
                </c:pt>
                <c:pt idx="25">
                  <c:v>2045 </c:v>
                </c:pt>
                <c:pt idx="26">
                  <c:v>2046 </c:v>
                </c:pt>
                <c:pt idx="27">
                  <c:v>2047 </c:v>
                </c:pt>
                <c:pt idx="28">
                  <c:v>2048 </c:v>
                </c:pt>
              </c:strCache>
            </c:strRef>
          </c:cat>
          <c:val>
            <c:numRef>
              <c:extLst>
                <c:ext xmlns:c15="http://schemas.microsoft.com/office/drawing/2012/chart" uri="{02D57815-91ED-43cb-92C2-25804820EDAC}">
                  <c15:fullRef>
                    <c15:sqref>Perfil!$D$7:$D$36</c15:sqref>
                  </c15:fullRef>
                </c:ext>
              </c:extLst>
              <c:f>Perfil!$D$7:$D$35</c:f>
              <c:numCache>
                <c:formatCode>_ * #,##0_ ;_ * \-#,##0_ ;_ * "-"??_ ;_ @_ </c:formatCode>
                <c:ptCount val="29"/>
                <c:pt idx="0">
                  <c:v>3469.9317813841312</c:v>
                </c:pt>
                <c:pt idx="1">
                  <c:v>8408.6795265634646</c:v>
                </c:pt>
                <c:pt idx="2">
                  <c:v>8318.0523235488399</c:v>
                </c:pt>
                <c:pt idx="3">
                  <c:v>6350.4770985769619</c:v>
                </c:pt>
                <c:pt idx="4">
                  <c:v>4579.386537360132</c:v>
                </c:pt>
                <c:pt idx="5">
                  <c:v>4482.7053625247336</c:v>
                </c:pt>
                <c:pt idx="6">
                  <c:v>10641.709831840066</c:v>
                </c:pt>
                <c:pt idx="7">
                  <c:v>8828.2366996480851</c:v>
                </c:pt>
                <c:pt idx="8">
                  <c:v>9626.2214762412605</c:v>
                </c:pt>
                <c:pt idx="9">
                  <c:v>3627.8985219997244</c:v>
                </c:pt>
                <c:pt idx="10">
                  <c:v>4207.6052654843843</c:v>
                </c:pt>
                <c:pt idx="11">
                  <c:v>4047.8834456899849</c:v>
                </c:pt>
                <c:pt idx="12">
                  <c:v>3888.306085603122</c:v>
                </c:pt>
                <c:pt idx="13">
                  <c:v>3728.439806134932</c:v>
                </c:pt>
                <c:pt idx="14">
                  <c:v>2386.6608601670364</c:v>
                </c:pt>
                <c:pt idx="15">
                  <c:v>2323.8301633070237</c:v>
                </c:pt>
                <c:pt idx="16">
                  <c:v>4011.1439261095525</c:v>
                </c:pt>
                <c:pt idx="17">
                  <c:v>2073.4812695869978</c:v>
                </c:pt>
                <c:pt idx="18">
                  <c:v>2652.2591186300997</c:v>
                </c:pt>
                <c:pt idx="19">
                  <c:v>664.60278402699669</c:v>
                </c:pt>
                <c:pt idx="20">
                  <c:v>664.74724371203592</c:v>
                </c:pt>
                <c:pt idx="21">
                  <c:v>664.60278402699669</c:v>
                </c:pt>
                <c:pt idx="22">
                  <c:v>664.60278402699669</c:v>
                </c:pt>
                <c:pt idx="23">
                  <c:v>664.60278402699669</c:v>
                </c:pt>
                <c:pt idx="24">
                  <c:v>664.74724371203592</c:v>
                </c:pt>
                <c:pt idx="25">
                  <c:v>664.60278402699669</c:v>
                </c:pt>
                <c:pt idx="26">
                  <c:v>3309.7590340269967</c:v>
                </c:pt>
                <c:pt idx="27">
                  <c:v>1298.5598284589428</c:v>
                </c:pt>
                <c:pt idx="28">
                  <c:v>3299.0625</c:v>
                </c:pt>
              </c:numCache>
            </c:numRef>
          </c:val>
          <c:smooth val="0"/>
          <c:extLst>
            <c:ext xmlns:c16="http://schemas.microsoft.com/office/drawing/2014/chart" uri="{C3380CC4-5D6E-409C-BE32-E72D297353CC}">
              <c16:uniqueId val="{00000000-10F3-44EB-A007-92EE75A45C6E}"/>
            </c:ext>
          </c:extLst>
        </c:ser>
        <c:ser>
          <c:idx val="1"/>
          <c:order val="1"/>
          <c:tx>
            <c:strRef>
              <c:f>Perfil!$P$6</c:f>
              <c:strCache>
                <c:ptCount val="1"/>
                <c:pt idx="0">
                  <c:v>AHBG/EBG (14-jun)</c:v>
                </c:pt>
              </c:strCache>
            </c:strRef>
          </c:tx>
          <c:spPr>
            <a:ln>
              <a:solidFill>
                <a:srgbClr val="345AA6"/>
              </a:solidFill>
            </a:ln>
          </c:spPr>
          <c:marker>
            <c:symbol val="none"/>
          </c:marker>
          <c:cat>
            <c:strRef>
              <c:extLst>
                <c:ext xmlns:c15="http://schemas.microsoft.com/office/drawing/2012/chart" uri="{02D57815-91ED-43cb-92C2-25804820EDAC}">
                  <c15:fullRef>
                    <c15:sqref>Perfil!$A$7:$A$36</c15:sqref>
                  </c15:fullRef>
                </c:ext>
              </c:extLst>
              <c:f>Perfil!$A$7:$A$35</c:f>
              <c:strCache>
                <c:ptCount val="29"/>
                <c:pt idx="0">
                  <c:v>2020 </c:v>
                </c:pt>
                <c:pt idx="1">
                  <c:v>2021 </c:v>
                </c:pt>
                <c:pt idx="2">
                  <c:v>2022 </c:v>
                </c:pt>
                <c:pt idx="3">
                  <c:v>2023 </c:v>
                </c:pt>
                <c:pt idx="4">
                  <c:v>2024 </c:v>
                </c:pt>
                <c:pt idx="5">
                  <c:v>2025 </c:v>
                </c:pt>
                <c:pt idx="6">
                  <c:v>2026 </c:v>
                </c:pt>
                <c:pt idx="7">
                  <c:v>2027 </c:v>
                </c:pt>
                <c:pt idx="8">
                  <c:v>2028 </c:v>
                </c:pt>
                <c:pt idx="9">
                  <c:v>2029 </c:v>
                </c:pt>
                <c:pt idx="10">
                  <c:v>2030 </c:v>
                </c:pt>
                <c:pt idx="11">
                  <c:v>2031 </c:v>
                </c:pt>
                <c:pt idx="12">
                  <c:v>2032 </c:v>
                </c:pt>
                <c:pt idx="13">
                  <c:v>2033 </c:v>
                </c:pt>
                <c:pt idx="14">
                  <c:v>2034 </c:v>
                </c:pt>
                <c:pt idx="15">
                  <c:v>2035 </c:v>
                </c:pt>
                <c:pt idx="16">
                  <c:v>2036 </c:v>
                </c:pt>
                <c:pt idx="17">
                  <c:v>2037 </c:v>
                </c:pt>
                <c:pt idx="18">
                  <c:v>2038 </c:v>
                </c:pt>
                <c:pt idx="19">
                  <c:v>2039 </c:v>
                </c:pt>
                <c:pt idx="20">
                  <c:v>2040 </c:v>
                </c:pt>
                <c:pt idx="21">
                  <c:v>2041 </c:v>
                </c:pt>
                <c:pt idx="22">
                  <c:v>2042 </c:v>
                </c:pt>
                <c:pt idx="23">
                  <c:v>2043 </c:v>
                </c:pt>
                <c:pt idx="24">
                  <c:v>2044 </c:v>
                </c:pt>
                <c:pt idx="25">
                  <c:v>2045 </c:v>
                </c:pt>
                <c:pt idx="26">
                  <c:v>2046 </c:v>
                </c:pt>
                <c:pt idx="27">
                  <c:v>2047 </c:v>
                </c:pt>
                <c:pt idx="28">
                  <c:v>2048 </c:v>
                </c:pt>
              </c:strCache>
            </c:strRef>
          </c:cat>
          <c:val>
            <c:numRef>
              <c:extLst>
                <c:ext xmlns:c15="http://schemas.microsoft.com/office/drawing/2012/chart" uri="{02D57815-91ED-43cb-92C2-25804820EDAC}">
                  <c15:fullRef>
                    <c15:sqref>Perfil!$P$7:$P$36</c15:sqref>
                  </c15:fullRef>
                </c:ext>
              </c:extLst>
              <c:f>Perfil!$P$7:$P$35</c:f>
              <c:numCache>
                <c:formatCode>_ * #,##0_ ;_ * \-#,##0_ ;_ * "-"??_ ;_ @_ </c:formatCode>
                <c:ptCount val="29"/>
                <c:pt idx="0">
                  <c:v>1396.1788561198775</c:v>
                </c:pt>
                <c:pt idx="1">
                  <c:v>906.71463196064087</c:v>
                </c:pt>
                <c:pt idx="2">
                  <c:v>1502.0174562998593</c:v>
                </c:pt>
                <c:pt idx="3">
                  <c:v>2104.0136078719597</c:v>
                </c:pt>
                <c:pt idx="4">
                  <c:v>1892.1167955919016</c:v>
                </c:pt>
                <c:pt idx="5">
                  <c:v>3806.9216538915571</c:v>
                </c:pt>
                <c:pt idx="6">
                  <c:v>5769.3247033303796</c:v>
                </c:pt>
                <c:pt idx="7">
                  <c:v>6068.9384297590295</c:v>
                </c:pt>
                <c:pt idx="8">
                  <c:v>7035.795171073526</c:v>
                </c:pt>
                <c:pt idx="9">
                  <c:v>6853.0623012923988</c:v>
                </c:pt>
                <c:pt idx="10">
                  <c:v>6670.3294315112717</c:v>
                </c:pt>
                <c:pt idx="11">
                  <c:v>8018.3153375081729</c:v>
                </c:pt>
                <c:pt idx="12">
                  <c:v>7716.6877920615034</c:v>
                </c:pt>
                <c:pt idx="13">
                  <c:v>7415.0602466148348</c:v>
                </c:pt>
                <c:pt idx="14">
                  <c:v>7112.6082354763785</c:v>
                </c:pt>
                <c:pt idx="15">
                  <c:v>6807.6828272625553</c:v>
                </c:pt>
                <c:pt idx="16">
                  <c:v>6502.7574190487321</c:v>
                </c:pt>
                <c:pt idx="17">
                  <c:v>2946.2980307074245</c:v>
                </c:pt>
                <c:pt idx="18">
                  <c:v>2826.6877706000878</c:v>
                </c:pt>
                <c:pt idx="19">
                  <c:v>1654.7846124459168</c:v>
                </c:pt>
                <c:pt idx="20">
                  <c:v>1589.342569947743</c:v>
                </c:pt>
                <c:pt idx="21">
                  <c:v>1523.9005274495694</c:v>
                </c:pt>
                <c:pt idx="22">
                  <c:v>1458.4584849513956</c:v>
                </c:pt>
                <c:pt idx="23">
                  <c:v>1393.0164424532218</c:v>
                </c:pt>
                <c:pt idx="24">
                  <c:v>1327.5743999550482</c:v>
                </c:pt>
                <c:pt idx="25">
                  <c:v>1262.1323574568744</c:v>
                </c:pt>
                <c:pt idx="26">
                  <c:v>0</c:v>
                </c:pt>
                <c:pt idx="27">
                  <c:v>0</c:v>
                </c:pt>
                <c:pt idx="28">
                  <c:v>0</c:v>
                </c:pt>
              </c:numCache>
            </c:numRef>
          </c:val>
          <c:smooth val="0"/>
          <c:extLst>
            <c:ext xmlns:c16="http://schemas.microsoft.com/office/drawing/2014/chart" uri="{C3380CC4-5D6E-409C-BE32-E72D297353CC}">
              <c16:uniqueId val="{00000001-10F3-44EB-A007-92EE75A45C6E}"/>
            </c:ext>
          </c:extLst>
        </c:ser>
        <c:ser>
          <c:idx val="2"/>
          <c:order val="2"/>
          <c:tx>
            <c:strRef>
              <c:f>Perfil!$S$6</c:f>
              <c:strCache>
                <c:ptCount val="1"/>
                <c:pt idx="0">
                  <c:v>ACC (1-jul)</c:v>
                </c:pt>
              </c:strCache>
            </c:strRef>
          </c:tx>
          <c:spPr>
            <a:ln>
              <a:solidFill>
                <a:srgbClr val="00B050"/>
              </a:solidFill>
            </a:ln>
          </c:spPr>
          <c:marker>
            <c:symbol val="none"/>
          </c:marker>
          <c:cat>
            <c:strRef>
              <c:extLst>
                <c:ext xmlns:c15="http://schemas.microsoft.com/office/drawing/2012/chart" uri="{02D57815-91ED-43cb-92C2-25804820EDAC}">
                  <c15:fullRef>
                    <c15:sqref>Perfil!$A$7:$A$36</c15:sqref>
                  </c15:fullRef>
                </c:ext>
              </c:extLst>
              <c:f>Perfil!$A$7:$A$35</c:f>
              <c:strCache>
                <c:ptCount val="29"/>
                <c:pt idx="0">
                  <c:v>2020 </c:v>
                </c:pt>
                <c:pt idx="1">
                  <c:v>2021 </c:v>
                </c:pt>
                <c:pt idx="2">
                  <c:v>2022 </c:v>
                </c:pt>
                <c:pt idx="3">
                  <c:v>2023 </c:v>
                </c:pt>
                <c:pt idx="4">
                  <c:v>2024 </c:v>
                </c:pt>
                <c:pt idx="5">
                  <c:v>2025 </c:v>
                </c:pt>
                <c:pt idx="6">
                  <c:v>2026 </c:v>
                </c:pt>
                <c:pt idx="7">
                  <c:v>2027 </c:v>
                </c:pt>
                <c:pt idx="8">
                  <c:v>2028 </c:v>
                </c:pt>
                <c:pt idx="9">
                  <c:v>2029 </c:v>
                </c:pt>
                <c:pt idx="10">
                  <c:v>2030 </c:v>
                </c:pt>
                <c:pt idx="11">
                  <c:v>2031 </c:v>
                </c:pt>
                <c:pt idx="12">
                  <c:v>2032 </c:v>
                </c:pt>
                <c:pt idx="13">
                  <c:v>2033 </c:v>
                </c:pt>
                <c:pt idx="14">
                  <c:v>2034 </c:v>
                </c:pt>
                <c:pt idx="15">
                  <c:v>2035 </c:v>
                </c:pt>
                <c:pt idx="16">
                  <c:v>2036 </c:v>
                </c:pt>
                <c:pt idx="17">
                  <c:v>2037 </c:v>
                </c:pt>
                <c:pt idx="18">
                  <c:v>2038 </c:v>
                </c:pt>
                <c:pt idx="19">
                  <c:v>2039 </c:v>
                </c:pt>
                <c:pt idx="20">
                  <c:v>2040 </c:v>
                </c:pt>
                <c:pt idx="21">
                  <c:v>2041 </c:v>
                </c:pt>
                <c:pt idx="22">
                  <c:v>2042 </c:v>
                </c:pt>
                <c:pt idx="23">
                  <c:v>2043 </c:v>
                </c:pt>
                <c:pt idx="24">
                  <c:v>2044 </c:v>
                </c:pt>
                <c:pt idx="25">
                  <c:v>2045 </c:v>
                </c:pt>
                <c:pt idx="26">
                  <c:v>2046 </c:v>
                </c:pt>
                <c:pt idx="27">
                  <c:v>2047 </c:v>
                </c:pt>
                <c:pt idx="28">
                  <c:v>2048 </c:v>
                </c:pt>
              </c:strCache>
            </c:strRef>
          </c:cat>
          <c:val>
            <c:numRef>
              <c:extLst>
                <c:ext xmlns:c15="http://schemas.microsoft.com/office/drawing/2012/chart" uri="{02D57815-91ED-43cb-92C2-25804820EDAC}">
                  <c15:fullRef>
                    <c15:sqref>Perfil!$S$7:$S$36</c15:sqref>
                  </c15:fullRef>
                </c:ext>
              </c:extLst>
              <c:f>Perfil!$S$7:$S$35</c:f>
              <c:numCache>
                <c:formatCode>_ * #,##0_ ;_ * \-#,##0_ ;_ * "-"??_ ;_ @_ </c:formatCode>
                <c:ptCount val="29"/>
                <c:pt idx="0">
                  <c:v>0</c:v>
                </c:pt>
                <c:pt idx="1">
                  <c:v>109.47365157274805</c:v>
                </c:pt>
                <c:pt idx="2">
                  <c:v>725.17704606421557</c:v>
                </c:pt>
                <c:pt idx="3">
                  <c:v>1269.6415095589152</c:v>
                </c:pt>
                <c:pt idx="4">
                  <c:v>1953.6278258029558</c:v>
                </c:pt>
                <c:pt idx="5">
                  <c:v>5480.1374206426317</c:v>
                </c:pt>
                <c:pt idx="6">
                  <c:v>5876.9247333915509</c:v>
                </c:pt>
                <c:pt idx="7">
                  <c:v>7131.0099829668798</c:v>
                </c:pt>
                <c:pt idx="8">
                  <c:v>8096.8528831843651</c:v>
                </c:pt>
                <c:pt idx="9">
                  <c:v>7999.8806425671355</c:v>
                </c:pt>
                <c:pt idx="10">
                  <c:v>7501.6825914111478</c:v>
                </c:pt>
                <c:pt idx="11">
                  <c:v>7105.0907639367024</c:v>
                </c:pt>
                <c:pt idx="12">
                  <c:v>6851.3666138582003</c:v>
                </c:pt>
                <c:pt idx="13">
                  <c:v>6597.642463779699</c:v>
                </c:pt>
                <c:pt idx="14">
                  <c:v>6343.9183137011969</c:v>
                </c:pt>
                <c:pt idx="15">
                  <c:v>6090.1941636226948</c:v>
                </c:pt>
                <c:pt idx="16">
                  <c:v>2937.0297805957393</c:v>
                </c:pt>
                <c:pt idx="17">
                  <c:v>2826.9357935528615</c:v>
                </c:pt>
                <c:pt idx="18">
                  <c:v>2716.8418065099836</c:v>
                </c:pt>
                <c:pt idx="19">
                  <c:v>1522.729918827642</c:v>
                </c:pt>
                <c:pt idx="20">
                  <c:v>1463.0367180086039</c:v>
                </c:pt>
                <c:pt idx="21">
                  <c:v>1403.3435171895658</c:v>
                </c:pt>
                <c:pt idx="22">
                  <c:v>508.48746037427128</c:v>
                </c:pt>
                <c:pt idx="23">
                  <c:v>488.16794917680727</c:v>
                </c:pt>
                <c:pt idx="24">
                  <c:v>467.84843797934332</c:v>
                </c:pt>
                <c:pt idx="25">
                  <c:v>447.52892678187931</c:v>
                </c:pt>
                <c:pt idx="26">
                  <c:v>427.20941558441535</c:v>
                </c:pt>
                <c:pt idx="27">
                  <c:v>0</c:v>
                </c:pt>
                <c:pt idx="28">
                  <c:v>0</c:v>
                </c:pt>
              </c:numCache>
            </c:numRef>
          </c:val>
          <c:smooth val="0"/>
          <c:extLst>
            <c:ext xmlns:c16="http://schemas.microsoft.com/office/drawing/2014/chart" uri="{C3380CC4-5D6E-409C-BE32-E72D297353CC}">
              <c16:uniqueId val="{00000002-10F3-44EB-A007-92EE75A45C6E}"/>
            </c:ext>
          </c:extLst>
        </c:ser>
        <c:ser>
          <c:idx val="3"/>
          <c:order val="3"/>
          <c:tx>
            <c:strRef>
              <c:f>Perfil!$V$6</c:f>
              <c:strCache>
                <c:ptCount val="1"/>
                <c:pt idx="0">
                  <c:v>Argentina IV (5-jul)</c:v>
                </c:pt>
              </c:strCache>
            </c:strRef>
          </c:tx>
          <c:marker>
            <c:symbol val="none"/>
          </c:marker>
          <c:cat>
            <c:strRef>
              <c:extLst>
                <c:ext xmlns:c15="http://schemas.microsoft.com/office/drawing/2012/chart" uri="{02D57815-91ED-43cb-92C2-25804820EDAC}">
                  <c15:fullRef>
                    <c15:sqref>Perfil!$A$7:$A$36</c15:sqref>
                  </c15:fullRef>
                </c:ext>
              </c:extLst>
              <c:f>Perfil!$A$7:$A$35</c:f>
              <c:strCache>
                <c:ptCount val="29"/>
                <c:pt idx="0">
                  <c:v>2020 </c:v>
                </c:pt>
                <c:pt idx="1">
                  <c:v>2021 </c:v>
                </c:pt>
                <c:pt idx="2">
                  <c:v>2022 </c:v>
                </c:pt>
                <c:pt idx="3">
                  <c:v>2023 </c:v>
                </c:pt>
                <c:pt idx="4">
                  <c:v>2024 </c:v>
                </c:pt>
                <c:pt idx="5">
                  <c:v>2025 </c:v>
                </c:pt>
                <c:pt idx="6">
                  <c:v>2026 </c:v>
                </c:pt>
                <c:pt idx="7">
                  <c:v>2027 </c:v>
                </c:pt>
                <c:pt idx="8">
                  <c:v>2028 </c:v>
                </c:pt>
                <c:pt idx="9">
                  <c:v>2029 </c:v>
                </c:pt>
                <c:pt idx="10">
                  <c:v>2030 </c:v>
                </c:pt>
                <c:pt idx="11">
                  <c:v>2031 </c:v>
                </c:pt>
                <c:pt idx="12">
                  <c:v>2032 </c:v>
                </c:pt>
                <c:pt idx="13">
                  <c:v>2033 </c:v>
                </c:pt>
                <c:pt idx="14">
                  <c:v>2034 </c:v>
                </c:pt>
                <c:pt idx="15">
                  <c:v>2035 </c:v>
                </c:pt>
                <c:pt idx="16">
                  <c:v>2036 </c:v>
                </c:pt>
                <c:pt idx="17">
                  <c:v>2037 </c:v>
                </c:pt>
                <c:pt idx="18">
                  <c:v>2038 </c:v>
                </c:pt>
                <c:pt idx="19">
                  <c:v>2039 </c:v>
                </c:pt>
                <c:pt idx="20">
                  <c:v>2040 </c:v>
                </c:pt>
                <c:pt idx="21">
                  <c:v>2041 </c:v>
                </c:pt>
                <c:pt idx="22">
                  <c:v>2042 </c:v>
                </c:pt>
                <c:pt idx="23">
                  <c:v>2043 </c:v>
                </c:pt>
                <c:pt idx="24">
                  <c:v>2044 </c:v>
                </c:pt>
                <c:pt idx="25">
                  <c:v>2045 </c:v>
                </c:pt>
                <c:pt idx="26">
                  <c:v>2046 </c:v>
                </c:pt>
                <c:pt idx="27">
                  <c:v>2047 </c:v>
                </c:pt>
                <c:pt idx="28">
                  <c:v>2048 </c:v>
                </c:pt>
              </c:strCache>
            </c:strRef>
          </c:cat>
          <c:val>
            <c:numRef>
              <c:extLst>
                <c:ext xmlns:c15="http://schemas.microsoft.com/office/drawing/2012/chart" uri="{02D57815-91ED-43cb-92C2-25804820EDAC}">
                  <c15:fullRef>
                    <c15:sqref>Perfil!$V$7:$V$36</c15:sqref>
                  </c15:fullRef>
                </c:ext>
              </c:extLst>
              <c:f>Perfil!$V$7:$V$35</c:f>
              <c:numCache>
                <c:formatCode>_ * #,##0_ ;_ * \-#,##0_ ;_ * "-"??_ ;_ @_ </c:formatCode>
                <c:ptCount val="29"/>
                <c:pt idx="0">
                  <c:v>0</c:v>
                </c:pt>
                <c:pt idx="1">
                  <c:v>106.0327440609218</c:v>
                </c:pt>
                <c:pt idx="2">
                  <c:v>800.21797689172149</c:v>
                </c:pt>
                <c:pt idx="3">
                  <c:v>1226.7765798634434</c:v>
                </c:pt>
                <c:pt idx="4">
                  <c:v>1825.5858099226843</c:v>
                </c:pt>
                <c:pt idx="5">
                  <c:v>4914.9819777499779</c:v>
                </c:pt>
                <c:pt idx="6">
                  <c:v>4897.0055060589384</c:v>
                </c:pt>
                <c:pt idx="7">
                  <c:v>5575.6116543822354</c:v>
                </c:pt>
                <c:pt idx="8">
                  <c:v>7727.5959090441738</c:v>
                </c:pt>
                <c:pt idx="9">
                  <c:v>7651.9400315147714</c:v>
                </c:pt>
                <c:pt idx="10">
                  <c:v>7679.2147919697427</c:v>
                </c:pt>
                <c:pt idx="11">
                  <c:v>8525.4158739789746</c:v>
                </c:pt>
                <c:pt idx="12">
                  <c:v>8207.6541251241451</c:v>
                </c:pt>
                <c:pt idx="13">
                  <c:v>7889.8923762693157</c:v>
                </c:pt>
                <c:pt idx="14">
                  <c:v>7572.1306274144872</c:v>
                </c:pt>
                <c:pt idx="15">
                  <c:v>7254.3688785596587</c:v>
                </c:pt>
                <c:pt idx="16">
                  <c:v>2383.1541811599491</c:v>
                </c:pt>
                <c:pt idx="17">
                  <c:v>2290.5672989129939</c:v>
                </c:pt>
                <c:pt idx="18">
                  <c:v>2197.9804166660392</c:v>
                </c:pt>
                <c:pt idx="19">
                  <c:v>1021.3756337796204</c:v>
                </c:pt>
                <c:pt idx="20">
                  <c:v>979.18953775650516</c:v>
                </c:pt>
                <c:pt idx="21">
                  <c:v>937.00344173338988</c:v>
                </c:pt>
                <c:pt idx="22">
                  <c:v>0</c:v>
                </c:pt>
                <c:pt idx="23">
                  <c:v>0</c:v>
                </c:pt>
                <c:pt idx="24">
                  <c:v>0</c:v>
                </c:pt>
                <c:pt idx="25">
                  <c:v>0</c:v>
                </c:pt>
                <c:pt idx="26">
                  <c:v>0</c:v>
                </c:pt>
                <c:pt idx="27">
                  <c:v>0</c:v>
                </c:pt>
                <c:pt idx="28">
                  <c:v>0</c:v>
                </c:pt>
              </c:numCache>
            </c:numRef>
          </c:val>
          <c:smooth val="0"/>
          <c:extLst>
            <c:ext xmlns:c16="http://schemas.microsoft.com/office/drawing/2014/chart" uri="{C3380CC4-5D6E-409C-BE32-E72D297353CC}">
              <c16:uniqueId val="{00000003-10F3-44EB-A007-92EE75A45C6E}"/>
            </c:ext>
          </c:extLst>
        </c:ser>
        <c:dLbls>
          <c:showLegendKey val="0"/>
          <c:showVal val="0"/>
          <c:showCatName val="0"/>
          <c:showSerName val="0"/>
          <c:showPercent val="0"/>
          <c:showBubbleSize val="0"/>
        </c:dLbls>
        <c:smooth val="0"/>
        <c:axId val="595562440"/>
        <c:axId val="595558832"/>
        <c:extLst/>
      </c:lineChart>
      <c:catAx>
        <c:axId val="595562440"/>
        <c:scaling>
          <c:orientation val="minMax"/>
        </c:scaling>
        <c:delete val="0"/>
        <c:axPos val="b"/>
        <c:numFmt formatCode="General" sourceLinked="1"/>
        <c:majorTickMark val="in"/>
        <c:minorTickMark val="none"/>
        <c:tickLblPos val="nextTo"/>
        <c:spPr>
          <a:noFill/>
          <a:ln w="9525" cap="flat" cmpd="sng" algn="ctr">
            <a:solidFill>
              <a:srgbClr val="3E3E3E"/>
            </a:solidFill>
            <a:round/>
          </a:ln>
          <a:effectLst/>
        </c:spPr>
        <c:txPr>
          <a:bodyPr rot="-5400000" vert="horz"/>
          <a:lstStyle/>
          <a:p>
            <a:pPr>
              <a:defRPr/>
            </a:pPr>
            <a:endParaRPr lang="es-AR"/>
          </a:p>
        </c:txPr>
        <c:crossAx val="595558832"/>
        <c:crosses val="autoZero"/>
        <c:auto val="1"/>
        <c:lblAlgn val="ctr"/>
        <c:lblOffset val="100"/>
        <c:noMultiLvlLbl val="0"/>
      </c:catAx>
      <c:valAx>
        <c:axId val="595558832"/>
        <c:scaling>
          <c:orientation val="minMax"/>
        </c:scaling>
        <c:delete val="0"/>
        <c:axPos val="l"/>
        <c:numFmt formatCode="#,##0" sourceLinked="0"/>
        <c:majorTickMark val="in"/>
        <c:minorTickMark val="none"/>
        <c:tickLblPos val="nextTo"/>
        <c:spPr>
          <a:noFill/>
          <a:ln>
            <a:solidFill>
              <a:srgbClr val="3E3E3E"/>
            </a:solidFill>
          </a:ln>
          <a:effectLst/>
        </c:spPr>
        <c:txPr>
          <a:bodyPr rot="-60000000" vert="horz"/>
          <a:lstStyle/>
          <a:p>
            <a:pPr>
              <a:defRPr/>
            </a:pPr>
            <a:endParaRPr lang="es-AR"/>
          </a:p>
        </c:txPr>
        <c:crossAx val="595562440"/>
        <c:crosses val="autoZero"/>
        <c:crossBetween val="between"/>
      </c:valAx>
      <c:spPr>
        <a:noFill/>
        <a:ln>
          <a:noFill/>
        </a:ln>
      </c:spPr>
    </c:plotArea>
    <c:legend>
      <c:legendPos val="b"/>
      <c:layout>
        <c:manualLayout>
          <c:xMode val="edge"/>
          <c:yMode val="edge"/>
          <c:x val="0.58757198706059577"/>
          <c:y val="2.4179418332260224E-2"/>
          <c:w val="0.41242801293940429"/>
          <c:h val="0.23567063160970261"/>
        </c:manualLayout>
      </c:layout>
      <c:overlay val="0"/>
      <c:spPr>
        <a:noFill/>
        <a:ln>
          <a:noFill/>
        </a:ln>
        <a:effectLst/>
      </c:spPr>
      <c:txPr>
        <a:bodyPr rot="0" vert="horz"/>
        <a:lstStyle/>
        <a:p>
          <a:pPr>
            <a:defRPr/>
          </a:pPr>
          <a:endParaRPr lang="es-AR"/>
        </a:p>
      </c:txPr>
    </c:legend>
    <c:plotVisOnly val="1"/>
    <c:dispBlanksAs val="gap"/>
    <c:showDLblsOverMax val="0"/>
    <c:extLst/>
  </c:chart>
  <c:spPr>
    <a:noFill/>
    <a:ln w="9525" cap="flat" cmpd="sng" algn="ctr">
      <a:noFill/>
      <a:round/>
    </a:ln>
    <a:effectLst/>
  </c:spPr>
  <c:txPr>
    <a:bodyPr/>
    <a:lstStyle/>
    <a:p>
      <a:pPr>
        <a:defRPr sz="900">
          <a:solidFill>
            <a:sysClr val="windowText" lastClr="000000"/>
          </a:solidFill>
          <a:latin typeface="GothamBook" pitchFamily="50" charset="0"/>
        </a:defRPr>
      </a:pPr>
      <a:endParaRPr lang="es-A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40</xdr:row>
      <xdr:rowOff>128121</xdr:rowOff>
    </xdr:from>
    <xdr:to>
      <xdr:col>7</xdr:col>
      <xdr:colOff>0</xdr:colOff>
      <xdr:row>61</xdr:row>
      <xdr:rowOff>47626</xdr:rowOff>
    </xdr:to>
    <xdr:graphicFrame macro="">
      <xdr:nvGraphicFramePr>
        <xdr:cNvPr id="2" name="Gráfico 1">
          <a:extLst>
            <a:ext uri="{FF2B5EF4-FFF2-40B4-BE49-F238E27FC236}">
              <a16:creationId xmlns:a16="http://schemas.microsoft.com/office/drawing/2014/main" id="{AF80AD4E-52E3-4CED-ADD3-4A3DA83BC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4.33.8\secretar&#237;a%20finanzas\0INFORMA\Programas%20Financieros\Pmg%202009\Consolidado2009%20ver%2014-07-1%20Teso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 Fin."/>
      <sheetName val="pesos"/>
      <sheetName val="dolares"/>
      <sheetName val="RESUMEN "/>
      <sheetName val="dolares cosentino"/>
    </sheetNames>
    <sheetDataSet>
      <sheetData sheetId="0" refreshError="1">
        <row r="1">
          <cell r="E1" t="str">
            <v xml:space="preserve">I TRIM. </v>
          </cell>
          <cell r="I1" t="str">
            <v>II TRIM</v>
          </cell>
          <cell r="J1" t="str">
            <v xml:space="preserve">I SEM </v>
          </cell>
          <cell r="N1" t="str">
            <v xml:space="preserve">III TRIM </v>
          </cell>
          <cell r="R1" t="str">
            <v>IV TRIM</v>
          </cell>
          <cell r="S1" t="str">
            <v>II SEM</v>
          </cell>
        </row>
        <row r="3">
          <cell r="E3">
            <v>11136.157385710585</v>
          </cell>
          <cell r="I3">
            <v>-6015.7447552821868</v>
          </cell>
          <cell r="J3">
            <v>11136.157385710585</v>
          </cell>
          <cell r="N3">
            <v>2609.2660964269198</v>
          </cell>
          <cell r="R3">
            <v>-10688.165500810494</v>
          </cell>
          <cell r="S3">
            <v>2609.2660964269198</v>
          </cell>
        </row>
        <row r="5">
          <cell r="E5">
            <v>26350.808121834471</v>
          </cell>
          <cell r="I5">
            <v>44439.368716526878</v>
          </cell>
          <cell r="J5">
            <v>70790.176838361353</v>
          </cell>
          <cell r="N5">
            <v>14563.912527213753</v>
          </cell>
          <cell r="R5">
            <v>28463.269178655319</v>
          </cell>
          <cell r="S5">
            <v>43027.181705869072</v>
          </cell>
        </row>
        <row r="7">
          <cell r="E7">
            <v>1040.5000000000027</v>
          </cell>
          <cell r="I7">
            <v>3894.1999999999935</v>
          </cell>
          <cell r="J7">
            <v>4934.6999999999962</v>
          </cell>
          <cell r="N7">
            <v>-2083.3340585442038</v>
          </cell>
          <cell r="R7">
            <v>-1438.0519999999979</v>
          </cell>
          <cell r="S7">
            <v>-3521.3860585442017</v>
          </cell>
        </row>
        <row r="8">
          <cell r="E8">
            <v>24734.100000000002</v>
          </cell>
          <cell r="I8">
            <v>32006.099999999991</v>
          </cell>
          <cell r="J8">
            <v>56740.2</v>
          </cell>
          <cell r="N8">
            <v>28066.534327933492</v>
          </cell>
          <cell r="R8">
            <v>30268.175000000003</v>
          </cell>
          <cell r="S8">
            <v>58334.709327933495</v>
          </cell>
        </row>
        <row r="9">
          <cell r="A9" t="str">
            <v xml:space="preserve">        Tributarios</v>
          </cell>
          <cell r="B9">
            <v>8189.1</v>
          </cell>
          <cell r="C9">
            <v>8110.3</v>
          </cell>
          <cell r="D9">
            <v>7848.1</v>
          </cell>
          <cell r="E9">
            <v>24147.5</v>
          </cell>
          <cell r="F9">
            <v>8592.2999999999993</v>
          </cell>
          <cell r="G9">
            <v>9596.6</v>
          </cell>
          <cell r="H9">
            <v>10141.299999999999</v>
          </cell>
          <cell r="I9">
            <v>28330.2</v>
          </cell>
          <cell r="J9">
            <v>52477.7</v>
          </cell>
          <cell r="K9">
            <v>9055.8259946001526</v>
          </cell>
          <cell r="L9">
            <v>9326.4000000000015</v>
          </cell>
          <cell r="M9">
            <v>9079.9</v>
          </cell>
          <cell r="N9">
            <v>27462.125994600152</v>
          </cell>
          <cell r="O9">
            <v>9520</v>
          </cell>
          <cell r="P9">
            <v>9410.3000000000011</v>
          </cell>
          <cell r="Q9">
            <v>9333.4</v>
          </cell>
          <cell r="R9">
            <v>28263.700000000004</v>
          </cell>
          <cell r="S9">
            <v>55725.825994600156</v>
          </cell>
          <cell r="T9">
            <v>108203.52599460015</v>
          </cell>
          <cell r="U9">
            <v>74001.100000000006</v>
          </cell>
          <cell r="V9">
            <v>-34202.42599460014</v>
          </cell>
        </row>
        <row r="10">
          <cell r="A10" t="str">
            <v xml:space="preserve">        No Tributarios</v>
          </cell>
          <cell r="B10">
            <v>9.3000000000000007</v>
          </cell>
          <cell r="C10">
            <v>8.5</v>
          </cell>
          <cell r="D10">
            <v>68.7</v>
          </cell>
          <cell r="E10">
            <v>86.5</v>
          </cell>
          <cell r="F10">
            <v>24.8</v>
          </cell>
          <cell r="G10">
            <v>8.3000000000000007</v>
          </cell>
          <cell r="H10">
            <v>73.599999999999994</v>
          </cell>
          <cell r="I10">
            <v>106.69999999999999</v>
          </cell>
          <cell r="J10">
            <v>193.2</v>
          </cell>
          <cell r="K10">
            <v>20.6</v>
          </cell>
          <cell r="L10">
            <v>20.6</v>
          </cell>
          <cell r="M10">
            <v>20.641666666666666</v>
          </cell>
          <cell r="N10">
            <v>61.841666666666669</v>
          </cell>
          <cell r="O10">
            <v>20.641666666666666</v>
          </cell>
          <cell r="P10">
            <v>20.641666666666666</v>
          </cell>
          <cell r="Q10">
            <v>20.641666666666666</v>
          </cell>
          <cell r="R10">
            <v>61.924999999999997</v>
          </cell>
          <cell r="S10">
            <v>123.76666666666667</v>
          </cell>
          <cell r="T10">
            <v>316.96666666666664</v>
          </cell>
          <cell r="U10">
            <v>174.4</v>
          </cell>
          <cell r="V10">
            <v>-142.56666666666663</v>
          </cell>
        </row>
        <row r="11">
          <cell r="A11" t="str">
            <v xml:space="preserve">        Venta de bienes y servicios</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V11">
            <v>0</v>
          </cell>
        </row>
        <row r="12">
          <cell r="A12" t="str">
            <v xml:space="preserve">        Rentas de la Propiedad</v>
          </cell>
          <cell r="B12">
            <v>51.7</v>
          </cell>
          <cell r="C12">
            <v>75.099999999999994</v>
          </cell>
          <cell r="D12">
            <v>71.5</v>
          </cell>
          <cell r="E12">
            <v>198.3</v>
          </cell>
          <cell r="F12">
            <v>83</v>
          </cell>
          <cell r="G12">
            <v>68.3</v>
          </cell>
          <cell r="H12">
            <v>3147.4</v>
          </cell>
          <cell r="I12">
            <v>3298.7000000000003</v>
          </cell>
          <cell r="J12">
            <v>3497.0000000000005</v>
          </cell>
          <cell r="K12">
            <v>56.7</v>
          </cell>
          <cell r="L12">
            <v>56.7</v>
          </cell>
          <cell r="M12">
            <v>56.691666666666663</v>
          </cell>
          <cell r="N12">
            <v>170.09166666666667</v>
          </cell>
          <cell r="O12">
            <v>56.691666666666663</v>
          </cell>
          <cell r="P12">
            <v>56.691666666666663</v>
          </cell>
          <cell r="Q12">
            <v>1456.6916666666666</v>
          </cell>
          <cell r="R12">
            <v>1570.0749999999998</v>
          </cell>
          <cell r="S12">
            <v>1740.1666666666665</v>
          </cell>
          <cell r="T12">
            <v>5237.166666666667</v>
          </cell>
          <cell r="U12">
            <v>1243.8</v>
          </cell>
          <cell r="V12">
            <v>-3993.3666666666668</v>
          </cell>
        </row>
        <row r="13">
          <cell r="A13" t="str">
            <v xml:space="preserve">        Transferencias</v>
          </cell>
          <cell r="B13">
            <v>18</v>
          </cell>
          <cell r="C13">
            <v>32.700000000000003</v>
          </cell>
          <cell r="D13">
            <v>28.5</v>
          </cell>
          <cell r="E13">
            <v>79.2</v>
          </cell>
          <cell r="F13">
            <v>42.8</v>
          </cell>
          <cell r="G13">
            <v>20.3</v>
          </cell>
          <cell r="H13">
            <v>29.6</v>
          </cell>
          <cell r="I13">
            <v>92.699999999999989</v>
          </cell>
          <cell r="J13">
            <v>171.89999999999998</v>
          </cell>
          <cell r="K13">
            <v>40</v>
          </cell>
          <cell r="L13">
            <v>40</v>
          </cell>
          <cell r="M13">
            <v>40</v>
          </cell>
          <cell r="N13">
            <v>120</v>
          </cell>
          <cell r="O13">
            <v>40</v>
          </cell>
          <cell r="P13">
            <v>40</v>
          </cell>
          <cell r="Q13">
            <v>40</v>
          </cell>
          <cell r="R13">
            <v>120</v>
          </cell>
          <cell r="S13">
            <v>240</v>
          </cell>
          <cell r="T13">
            <v>411.9</v>
          </cell>
          <cell r="U13">
            <v>208.6</v>
          </cell>
          <cell r="V13">
            <v>-203.29999999999998</v>
          </cell>
        </row>
        <row r="14">
          <cell r="A14" t="str">
            <v xml:space="preserve">        Contribuciones Figurativas</v>
          </cell>
          <cell r="B14">
            <v>58.2</v>
          </cell>
          <cell r="C14">
            <v>30</v>
          </cell>
          <cell r="D14">
            <v>134</v>
          </cell>
          <cell r="E14">
            <v>222.2</v>
          </cell>
          <cell r="F14">
            <v>31.5</v>
          </cell>
          <cell r="G14">
            <v>101.8</v>
          </cell>
          <cell r="H14">
            <v>43.3</v>
          </cell>
          <cell r="I14">
            <v>176.60000000000002</v>
          </cell>
          <cell r="J14">
            <v>398.8</v>
          </cell>
          <cell r="K14">
            <v>0</v>
          </cell>
          <cell r="L14">
            <v>0</v>
          </cell>
          <cell r="M14">
            <v>214.97499999999999</v>
          </cell>
          <cell r="N14">
            <v>214.97499999999999</v>
          </cell>
          <cell r="O14">
            <v>0</v>
          </cell>
          <cell r="P14">
            <v>0</v>
          </cell>
          <cell r="Q14">
            <v>214.97499999999999</v>
          </cell>
          <cell r="R14">
            <v>214.97499999999999</v>
          </cell>
          <cell r="S14">
            <v>429.95</v>
          </cell>
          <cell r="T14">
            <v>828.75</v>
          </cell>
          <cell r="U14">
            <v>960.4</v>
          </cell>
          <cell r="V14">
            <v>131.64999999999998</v>
          </cell>
        </row>
        <row r="15">
          <cell r="E15">
            <v>0.4</v>
          </cell>
          <cell r="I15">
            <v>1.2</v>
          </cell>
          <cell r="J15">
            <v>1.6</v>
          </cell>
          <cell r="N15">
            <v>37.5</v>
          </cell>
          <cell r="R15">
            <v>37.5</v>
          </cell>
          <cell r="S15">
            <v>75</v>
          </cell>
        </row>
        <row r="16">
          <cell r="E16">
            <v>23693.599999999999</v>
          </cell>
          <cell r="I16">
            <v>28111.9</v>
          </cell>
          <cell r="J16">
            <v>51805.5</v>
          </cell>
          <cell r="N16">
            <v>30149.868386477698</v>
          </cell>
          <cell r="R16">
            <v>31706.226999999999</v>
          </cell>
          <cell r="S16">
            <v>61856.095386477697</v>
          </cell>
        </row>
        <row r="17">
          <cell r="A17" t="str">
            <v xml:space="preserve">      - Remuneraciones</v>
          </cell>
          <cell r="B17">
            <v>1277.4000000000001</v>
          </cell>
          <cell r="C17">
            <v>1245.5</v>
          </cell>
          <cell r="D17">
            <v>1228.0999999999999</v>
          </cell>
          <cell r="E17">
            <v>3751</v>
          </cell>
          <cell r="F17">
            <v>1224.5</v>
          </cell>
          <cell r="G17">
            <v>1203</v>
          </cell>
          <cell r="H17">
            <v>1234.5999999999999</v>
          </cell>
          <cell r="I17">
            <v>3662.1</v>
          </cell>
          <cell r="J17">
            <v>7413.1</v>
          </cell>
          <cell r="K17">
            <v>1795.16</v>
          </cell>
          <cell r="L17">
            <v>1345.8000000000002</v>
          </cell>
          <cell r="M17">
            <v>1405.66</v>
          </cell>
          <cell r="N17">
            <v>4546.62</v>
          </cell>
          <cell r="O17">
            <v>1405.66</v>
          </cell>
          <cell r="P17">
            <v>1405.66</v>
          </cell>
          <cell r="Q17">
            <v>1886.8</v>
          </cell>
          <cell r="R17">
            <v>4698.12</v>
          </cell>
          <cell r="S17">
            <v>9244.74</v>
          </cell>
          <cell r="T17">
            <v>16657.84</v>
          </cell>
          <cell r="U17">
            <v>10334</v>
          </cell>
          <cell r="V17">
            <v>-6323.84</v>
          </cell>
        </row>
        <row r="18">
          <cell r="A18" t="str">
            <v xml:space="preserve">      - Bienes y Servicios</v>
          </cell>
          <cell r="B18">
            <v>574.70000000000005</v>
          </cell>
          <cell r="C18">
            <v>329.1</v>
          </cell>
          <cell r="D18">
            <v>337.3</v>
          </cell>
          <cell r="E18">
            <v>1241.1000000000001</v>
          </cell>
          <cell r="F18">
            <v>448.7</v>
          </cell>
          <cell r="G18">
            <v>406.4</v>
          </cell>
          <cell r="H18">
            <v>553.6</v>
          </cell>
          <cell r="I18">
            <v>1408.6999999999998</v>
          </cell>
          <cell r="J18">
            <v>2649.8</v>
          </cell>
          <cell r="K18">
            <v>551.81999999999994</v>
          </cell>
          <cell r="L18">
            <v>470.67999999999995</v>
          </cell>
          <cell r="M18">
            <v>470.68999999999994</v>
          </cell>
          <cell r="N18">
            <v>1493.1899999999998</v>
          </cell>
          <cell r="O18">
            <v>470.68999999999994</v>
          </cell>
          <cell r="P18">
            <v>470.68999999999994</v>
          </cell>
          <cell r="Q18">
            <v>472.28999999999996</v>
          </cell>
          <cell r="R18">
            <v>1413.6699999999998</v>
          </cell>
          <cell r="S18">
            <v>2906.8599999999997</v>
          </cell>
          <cell r="T18">
            <v>5556.66</v>
          </cell>
          <cell r="U18">
            <v>3584.4</v>
          </cell>
          <cell r="V18">
            <v>-1972.2599999999998</v>
          </cell>
        </row>
        <row r="19">
          <cell r="A19" t="str">
            <v xml:space="preserve">      - Transferencias</v>
          </cell>
          <cell r="B19">
            <v>3951.8999999999996</v>
          </cell>
          <cell r="C19">
            <v>3284.7</v>
          </cell>
          <cell r="D19">
            <v>3313.4000000000005</v>
          </cell>
          <cell r="E19">
            <v>10550</v>
          </cell>
          <cell r="F19">
            <v>4367.8</v>
          </cell>
          <cell r="G19">
            <v>4988.1000000000004</v>
          </cell>
          <cell r="H19">
            <v>5959.2999999999993</v>
          </cell>
          <cell r="I19">
            <v>15315.2</v>
          </cell>
          <cell r="J19">
            <v>25865.200000000001</v>
          </cell>
          <cell r="K19">
            <v>5323.7100000000009</v>
          </cell>
          <cell r="L19">
            <v>4991.9000000000005</v>
          </cell>
          <cell r="M19">
            <v>5013.4599999999991</v>
          </cell>
          <cell r="N19">
            <v>15329.07</v>
          </cell>
          <cell r="O19">
            <v>5299.76</v>
          </cell>
          <cell r="P19">
            <v>5277.4599999999991</v>
          </cell>
          <cell r="Q19">
            <v>5539.56</v>
          </cell>
          <cell r="R19">
            <v>16116.779999999999</v>
          </cell>
          <cell r="S19">
            <v>31445.85</v>
          </cell>
          <cell r="T19">
            <v>57311.05</v>
          </cell>
          <cell r="U19">
            <v>27338.49</v>
          </cell>
          <cell r="V19">
            <v>-29972.560000000001</v>
          </cell>
        </row>
        <row r="20">
          <cell r="A20" t="str">
            <v xml:space="preserve">          Corrientes</v>
          </cell>
          <cell r="B20">
            <v>2299.7999999999997</v>
          </cell>
          <cell r="C20">
            <v>2508.1</v>
          </cell>
          <cell r="D20">
            <v>2640.1000000000004</v>
          </cell>
          <cell r="E20">
            <v>7448</v>
          </cell>
          <cell r="F20">
            <v>2929.3</v>
          </cell>
          <cell r="G20">
            <v>3592.5</v>
          </cell>
          <cell r="H20">
            <v>4210.8999999999996</v>
          </cell>
          <cell r="I20">
            <v>10732.7</v>
          </cell>
          <cell r="J20">
            <v>18180.7</v>
          </cell>
          <cell r="K20">
            <v>3782.9100000000003</v>
          </cell>
          <cell r="L20">
            <v>3423.7000000000003</v>
          </cell>
          <cell r="M20">
            <v>3471.1199999999994</v>
          </cell>
          <cell r="N20">
            <v>10677.73</v>
          </cell>
          <cell r="O20">
            <v>3691.02</v>
          </cell>
          <cell r="P20">
            <v>3701.8199999999993</v>
          </cell>
          <cell r="Q20">
            <v>4011.82</v>
          </cell>
          <cell r="R20">
            <v>11404.66</v>
          </cell>
          <cell r="S20">
            <v>22082.39</v>
          </cell>
          <cell r="T20">
            <v>40263.089999999997</v>
          </cell>
          <cell r="U20">
            <v>20576.061999999998</v>
          </cell>
          <cell r="V20">
            <v>-19687.027999999998</v>
          </cell>
        </row>
        <row r="21">
          <cell r="A21" t="str">
            <v xml:space="preserve">          Capital</v>
          </cell>
          <cell r="B21">
            <v>1652.1</v>
          </cell>
          <cell r="C21">
            <v>776.6</v>
          </cell>
          <cell r="D21">
            <v>673.3</v>
          </cell>
          <cell r="E21">
            <v>3102</v>
          </cell>
          <cell r="F21">
            <v>1438.5</v>
          </cell>
          <cell r="G21">
            <v>1395.6000000000001</v>
          </cell>
          <cell r="H21">
            <v>1748.4</v>
          </cell>
          <cell r="I21">
            <v>4582.5</v>
          </cell>
          <cell r="J21">
            <v>7684.5</v>
          </cell>
          <cell r="K21">
            <v>1540.8000000000002</v>
          </cell>
          <cell r="L21">
            <v>1568.2</v>
          </cell>
          <cell r="M21">
            <v>1542.3400000000001</v>
          </cell>
          <cell r="N21">
            <v>4651.34</v>
          </cell>
          <cell r="O21">
            <v>1608.74</v>
          </cell>
          <cell r="P21">
            <v>1575.6399999999999</v>
          </cell>
          <cell r="Q21">
            <v>1527.74</v>
          </cell>
          <cell r="R21">
            <v>4712.12</v>
          </cell>
          <cell r="S21">
            <v>9363.4599999999991</v>
          </cell>
          <cell r="T21">
            <v>17047.96</v>
          </cell>
          <cell r="U21">
            <v>6762.4279999999999</v>
          </cell>
          <cell r="V21">
            <v>-10285.531999999999</v>
          </cell>
        </row>
        <row r="22">
          <cell r="A22" t="str">
            <v xml:space="preserve">      - Inversión Financiera</v>
          </cell>
          <cell r="B22">
            <v>32.9</v>
          </cell>
          <cell r="C22">
            <v>0</v>
          </cell>
          <cell r="D22">
            <v>0</v>
          </cell>
          <cell r="E22">
            <v>32.9</v>
          </cell>
          <cell r="F22">
            <v>2</v>
          </cell>
          <cell r="G22">
            <v>51.2</v>
          </cell>
          <cell r="H22">
            <v>53.4</v>
          </cell>
          <cell r="I22">
            <v>106.6</v>
          </cell>
          <cell r="J22">
            <v>139.5</v>
          </cell>
          <cell r="K22">
            <v>9.9</v>
          </cell>
          <cell r="L22">
            <v>19.3</v>
          </cell>
          <cell r="M22">
            <v>19.259</v>
          </cell>
          <cell r="N22">
            <v>48.459000000000003</v>
          </cell>
          <cell r="O22">
            <v>19.259</v>
          </cell>
          <cell r="P22">
            <v>19.259</v>
          </cell>
          <cell r="Q22">
            <v>879.53899999999987</v>
          </cell>
          <cell r="R22">
            <v>918.0569999999999</v>
          </cell>
          <cell r="S22">
            <v>966.51599999999985</v>
          </cell>
          <cell r="T22">
            <v>1106.0159999999998</v>
          </cell>
          <cell r="U22">
            <v>1537.1</v>
          </cell>
          <cell r="V22">
            <v>431.08400000000006</v>
          </cell>
        </row>
        <row r="23">
          <cell r="A23" t="str">
            <v xml:space="preserve">      - Gastos Figurativos (OD)</v>
          </cell>
          <cell r="B23">
            <v>1089.3</v>
          </cell>
          <cell r="C23">
            <v>1321.3</v>
          </cell>
          <cell r="D23">
            <v>1048.3999999999999</v>
          </cell>
          <cell r="E23">
            <v>3459</v>
          </cell>
          <cell r="F23">
            <v>1006.4000000000001</v>
          </cell>
          <cell r="G23">
            <v>1143.0999999999999</v>
          </cell>
          <cell r="H23">
            <v>938.6</v>
          </cell>
          <cell r="I23">
            <v>3088.1</v>
          </cell>
          <cell r="J23">
            <v>6547.1</v>
          </cell>
          <cell r="K23">
            <v>1341</v>
          </cell>
          <cell r="L23">
            <v>1141.9000000000001</v>
          </cell>
          <cell r="M23">
            <v>1158.3</v>
          </cell>
          <cell r="N23">
            <v>3641.2</v>
          </cell>
          <cell r="O23">
            <v>1166.0999999999999</v>
          </cell>
          <cell r="P23">
            <v>1166.0999999999999</v>
          </cell>
          <cell r="Q23">
            <v>1311.4</v>
          </cell>
          <cell r="R23">
            <v>3643.6</v>
          </cell>
          <cell r="S23">
            <v>7284.7999999999993</v>
          </cell>
          <cell r="T23">
            <v>13831.9</v>
          </cell>
          <cell r="U23">
            <v>7107.9</v>
          </cell>
          <cell r="V23">
            <v>-6724</v>
          </cell>
        </row>
        <row r="24">
          <cell r="A24" t="str">
            <v xml:space="preserve">      - Inversión Real Directa</v>
          </cell>
          <cell r="B24">
            <v>283.89999999999998</v>
          </cell>
          <cell r="C24">
            <v>69.7</v>
          </cell>
          <cell r="D24">
            <v>75.599999999999994</v>
          </cell>
          <cell r="E24">
            <v>429.19999999999993</v>
          </cell>
          <cell r="F24">
            <v>68.7</v>
          </cell>
          <cell r="G24">
            <v>79.599999999999994</v>
          </cell>
          <cell r="H24">
            <v>104.8</v>
          </cell>
          <cell r="I24">
            <v>253.10000000000002</v>
          </cell>
          <cell r="J24">
            <v>682.3</v>
          </cell>
          <cell r="K24">
            <v>124.5</v>
          </cell>
          <cell r="L24">
            <v>150</v>
          </cell>
          <cell r="M24">
            <v>150</v>
          </cell>
          <cell r="N24">
            <v>424.5</v>
          </cell>
          <cell r="O24">
            <v>150</v>
          </cell>
          <cell r="P24">
            <v>150</v>
          </cell>
          <cell r="Q24">
            <v>150</v>
          </cell>
          <cell r="R24">
            <v>450</v>
          </cell>
          <cell r="S24">
            <v>874.5</v>
          </cell>
          <cell r="T24">
            <v>1556.8</v>
          </cell>
          <cell r="U24">
            <v>1174.0999999999999</v>
          </cell>
          <cell r="V24">
            <v>-382.70000000000005</v>
          </cell>
        </row>
        <row r="25">
          <cell r="A25" t="str">
            <v xml:space="preserve">      - Instit. De Seg. Social</v>
          </cell>
          <cell r="B25">
            <v>1473.3</v>
          </cell>
          <cell r="C25">
            <v>1371.6</v>
          </cell>
          <cell r="D25">
            <v>1377.8</v>
          </cell>
          <cell r="E25">
            <v>4222.7</v>
          </cell>
          <cell r="F25">
            <v>1334</v>
          </cell>
          <cell r="G25">
            <v>1337.5</v>
          </cell>
          <cell r="H25">
            <v>1604.6</v>
          </cell>
          <cell r="I25">
            <v>4276.1000000000004</v>
          </cell>
          <cell r="J25">
            <v>8498.7999999999993</v>
          </cell>
          <cell r="K25">
            <v>1689.65171644</v>
          </cell>
          <cell r="L25">
            <v>1456.1376700376929</v>
          </cell>
          <cell r="M25">
            <v>1519.2</v>
          </cell>
          <cell r="N25">
            <v>4664.9893864776932</v>
          </cell>
          <cell r="O25">
            <v>1474.1</v>
          </cell>
          <cell r="P25">
            <v>1504.9</v>
          </cell>
          <cell r="Q25">
            <v>1485.2000000000003</v>
          </cell>
          <cell r="R25">
            <v>4464.2000000000007</v>
          </cell>
          <cell r="S25">
            <v>9129.1893864776939</v>
          </cell>
          <cell r="T25">
            <v>17627.989386477693</v>
          </cell>
          <cell r="U25">
            <v>12159.400000000001</v>
          </cell>
          <cell r="V25">
            <v>-5468.5893864776917</v>
          </cell>
        </row>
        <row r="26">
          <cell r="A26" t="str">
            <v xml:space="preserve">      - Otros gastos primarios </v>
          </cell>
          <cell r="B26">
            <v>3</v>
          </cell>
          <cell r="C26">
            <v>2.8</v>
          </cell>
          <cell r="D26">
            <v>1.9</v>
          </cell>
          <cell r="E26">
            <v>7.6999999999999993</v>
          </cell>
          <cell r="F26">
            <v>1.1000000000000001</v>
          </cell>
          <cell r="G26">
            <v>0.8</v>
          </cell>
          <cell r="H26">
            <v>0.1</v>
          </cell>
          <cell r="I26">
            <v>2</v>
          </cell>
          <cell r="J26">
            <v>9.6999999999999993</v>
          </cell>
          <cell r="K26">
            <v>0.64</v>
          </cell>
          <cell r="L26">
            <v>0.60000000000000009</v>
          </cell>
          <cell r="M26">
            <v>0.6</v>
          </cell>
          <cell r="N26">
            <v>1.8400000000000003</v>
          </cell>
          <cell r="O26">
            <v>0.6</v>
          </cell>
          <cell r="P26">
            <v>0.6</v>
          </cell>
          <cell r="Q26">
            <v>0.6</v>
          </cell>
          <cell r="R26">
            <v>1.7999999999999998</v>
          </cell>
          <cell r="S26">
            <v>3.64</v>
          </cell>
          <cell r="T26">
            <v>13.34</v>
          </cell>
          <cell r="U26">
            <v>41.7</v>
          </cell>
          <cell r="V26">
            <v>28.360000000000003</v>
          </cell>
        </row>
        <row r="28">
          <cell r="E28">
            <v>16129.331902150399</v>
          </cell>
          <cell r="I28">
            <v>24194.747320925999</v>
          </cell>
          <cell r="J28">
            <v>40324.079223076398</v>
          </cell>
          <cell r="N28">
            <v>14126.44095366</v>
          </cell>
          <cell r="R28">
            <v>20400.5</v>
          </cell>
          <cell r="S28">
            <v>34526.94095366</v>
          </cell>
        </row>
        <row r="29">
          <cell r="E29">
            <v>489.09957215040004</v>
          </cell>
          <cell r="I29">
            <v>1563.4261097459998</v>
          </cell>
          <cell r="J29">
            <v>2052.5256818963999</v>
          </cell>
          <cell r="N29">
            <v>991.40251965999994</v>
          </cell>
          <cell r="R29">
            <v>1262.3</v>
          </cell>
          <cell r="S29">
            <v>2253.7025196599998</v>
          </cell>
        </row>
        <row r="30">
          <cell r="E30">
            <v>290.34057215040002</v>
          </cell>
          <cell r="I30">
            <v>547.74</v>
          </cell>
          <cell r="J30">
            <v>838.08057215040003</v>
          </cell>
          <cell r="N30">
            <v>315.90251966</v>
          </cell>
          <cell r="R30">
            <v>401.99999999999994</v>
          </cell>
          <cell r="S30">
            <v>717.90251965999994</v>
          </cell>
        </row>
        <row r="31">
          <cell r="A31" t="str">
            <v xml:space="preserve">      LETRAS</v>
          </cell>
          <cell r="B31">
            <v>0</v>
          </cell>
          <cell r="C31">
            <v>163.87960000000001</v>
          </cell>
          <cell r="D31">
            <v>126.46097215040001</v>
          </cell>
          <cell r="E31">
            <v>290.34057215040002</v>
          </cell>
          <cell r="F31">
            <v>0</v>
          </cell>
          <cell r="G31">
            <v>547.74</v>
          </cell>
          <cell r="H31">
            <v>0</v>
          </cell>
          <cell r="I31">
            <v>547.74</v>
          </cell>
          <cell r="J31">
            <v>838.08057215040003</v>
          </cell>
          <cell r="K31">
            <v>0</v>
          </cell>
          <cell r="L31">
            <v>181.42</v>
          </cell>
          <cell r="M31">
            <v>134.48251966000001</v>
          </cell>
          <cell r="N31">
            <v>315.90251966</v>
          </cell>
          <cell r="O31">
            <v>0</v>
          </cell>
          <cell r="P31">
            <v>401.99999999999994</v>
          </cell>
          <cell r="Q31">
            <v>0</v>
          </cell>
          <cell r="R31">
            <v>401.99999999999994</v>
          </cell>
          <cell r="S31">
            <v>717.90251965999994</v>
          </cell>
          <cell r="T31">
            <v>1555.9830918104001</v>
          </cell>
          <cell r="U31">
            <v>17237.597438615401</v>
          </cell>
        </row>
        <row r="32">
          <cell r="A32" t="str">
            <v xml:space="preserve">      BONOS</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row>
        <row r="33">
          <cell r="A33" t="str">
            <v xml:space="preserve">      OTROS</v>
          </cell>
          <cell r="B33">
            <v>0</v>
          </cell>
          <cell r="C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row>
        <row r="34">
          <cell r="E34">
            <v>198.75899999999999</v>
          </cell>
          <cell r="I34">
            <v>1015.6861097459999</v>
          </cell>
          <cell r="J34">
            <v>1214.4451097459998</v>
          </cell>
          <cell r="N34">
            <v>675.5</v>
          </cell>
          <cell r="R34">
            <v>860.3</v>
          </cell>
          <cell r="S34">
            <v>1535.8</v>
          </cell>
        </row>
        <row r="35">
          <cell r="E35">
            <v>0</v>
          </cell>
          <cell r="I35">
            <v>0</v>
          </cell>
          <cell r="J35">
            <v>0</v>
          </cell>
          <cell r="N35">
            <v>0</v>
          </cell>
          <cell r="R35">
            <v>0</v>
          </cell>
          <cell r="S35">
            <v>0</v>
          </cell>
        </row>
        <row r="36">
          <cell r="E36">
            <v>0</v>
          </cell>
          <cell r="I36">
            <v>0</v>
          </cell>
          <cell r="J36">
            <v>0</v>
          </cell>
          <cell r="N36">
            <v>0</v>
          </cell>
          <cell r="R36">
            <v>0</v>
          </cell>
          <cell r="S36">
            <v>0</v>
          </cell>
        </row>
        <row r="37">
          <cell r="E37">
            <v>0</v>
          </cell>
          <cell r="I37">
            <v>1015.6861097459999</v>
          </cell>
          <cell r="J37">
            <v>1015.6861097459999</v>
          </cell>
          <cell r="N37">
            <v>675.5</v>
          </cell>
          <cell r="R37">
            <v>0</v>
          </cell>
          <cell r="S37">
            <v>675.5</v>
          </cell>
        </row>
        <row r="38">
          <cell r="E38">
            <v>198.75899999999999</v>
          </cell>
          <cell r="I38">
            <v>0</v>
          </cell>
          <cell r="J38">
            <v>198.75899999999999</v>
          </cell>
          <cell r="N38">
            <v>0</v>
          </cell>
          <cell r="R38">
            <v>860.3</v>
          </cell>
          <cell r="S38">
            <v>860.3</v>
          </cell>
        </row>
        <row r="39">
          <cell r="E39">
            <v>0</v>
          </cell>
          <cell r="I39">
            <v>0</v>
          </cell>
          <cell r="J39">
            <v>0</v>
          </cell>
          <cell r="N39">
            <v>0</v>
          </cell>
          <cell r="R39">
            <v>0</v>
          </cell>
          <cell r="S39">
            <v>0</v>
          </cell>
        </row>
        <row r="40">
          <cell r="A40" t="str">
            <v xml:space="preserve">       Bilaterales</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row>
        <row r="41">
          <cell r="A41" t="str">
            <v xml:space="preserve">       Invers.Instit. Locales</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row>
        <row r="42">
          <cell r="E42">
            <v>15640.232329999999</v>
          </cell>
          <cell r="I42">
            <v>22631.321211179998</v>
          </cell>
          <cell r="J42">
            <v>38271.553541179994</v>
          </cell>
          <cell r="N42">
            <v>13135.038434</v>
          </cell>
          <cell r="R42">
            <v>19138.2</v>
          </cell>
          <cell r="S42">
            <v>32273.238433999999</v>
          </cell>
        </row>
        <row r="43">
          <cell r="E43">
            <v>6240.2323299999998</v>
          </cell>
          <cell r="I43">
            <v>11731.32121118</v>
          </cell>
          <cell r="J43">
            <v>17971.553541180001</v>
          </cell>
          <cell r="N43">
            <v>4855.0384340000001</v>
          </cell>
          <cell r="R43">
            <v>3038.2</v>
          </cell>
          <cell r="S43">
            <v>7893.2384339999999</v>
          </cell>
        </row>
        <row r="44">
          <cell r="A44" t="str">
            <v xml:space="preserve">      LETRAS</v>
          </cell>
          <cell r="B44">
            <v>150</v>
          </cell>
          <cell r="C44">
            <v>585.71241299999997</v>
          </cell>
          <cell r="D44">
            <v>2904.5199170000001</v>
          </cell>
          <cell r="E44">
            <v>3640.2323299999998</v>
          </cell>
          <cell r="F44">
            <v>2700</v>
          </cell>
          <cell r="G44">
            <v>0</v>
          </cell>
          <cell r="H44">
            <v>717</v>
          </cell>
          <cell r="I44">
            <v>3417</v>
          </cell>
          <cell r="J44">
            <v>7057.2323299999998</v>
          </cell>
          <cell r="K44">
            <v>150</v>
          </cell>
          <cell r="L44">
            <v>1034.9384340000001</v>
          </cell>
          <cell r="M44">
            <v>2270.1</v>
          </cell>
          <cell r="N44">
            <v>3455.0384340000001</v>
          </cell>
          <cell r="O44">
            <v>89.600000000000023</v>
          </cell>
          <cell r="P44">
            <v>1291.5999999999999</v>
          </cell>
          <cell r="Q44">
            <v>1257</v>
          </cell>
          <cell r="R44">
            <v>2638.2</v>
          </cell>
          <cell r="S44">
            <v>6093.2384339999999</v>
          </cell>
          <cell r="T44">
            <v>13150.470764000002</v>
          </cell>
          <cell r="U44">
            <v>-8436.1727796599971</v>
          </cell>
          <cell r="V44">
            <v>3920</v>
          </cell>
        </row>
        <row r="45">
          <cell r="A45" t="str">
            <v xml:space="preserve">      BONOS</v>
          </cell>
          <cell r="B45">
            <v>0</v>
          </cell>
          <cell r="D45">
            <v>2600</v>
          </cell>
          <cell r="E45">
            <v>2600</v>
          </cell>
          <cell r="F45">
            <v>2713.0967350000001</v>
          </cell>
          <cell r="G45">
            <v>0</v>
          </cell>
          <cell r="H45">
            <v>5601.2244761800002</v>
          </cell>
          <cell r="I45">
            <v>8314.3212111800003</v>
          </cell>
          <cell r="J45">
            <v>10914.32121118</v>
          </cell>
          <cell r="K45">
            <v>0</v>
          </cell>
          <cell r="L45">
            <v>0</v>
          </cell>
          <cell r="M45">
            <v>1400</v>
          </cell>
          <cell r="N45">
            <v>1400</v>
          </cell>
          <cell r="O45">
            <v>400</v>
          </cell>
          <cell r="P45">
            <v>0</v>
          </cell>
          <cell r="Q45">
            <v>0</v>
          </cell>
          <cell r="R45">
            <v>400</v>
          </cell>
          <cell r="S45">
            <v>1800</v>
          </cell>
          <cell r="T45">
            <v>12714.32121118</v>
          </cell>
          <cell r="U45">
            <v>12714.32121118</v>
          </cell>
          <cell r="V45">
            <v>5834.1315233304013</v>
          </cell>
        </row>
        <row r="46">
          <cell r="A46" t="str">
            <v xml:space="preserve">      OTROS</v>
          </cell>
          <cell r="B46">
            <v>0</v>
          </cell>
          <cell r="C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7252</v>
          </cell>
          <cell r="V46">
            <v>4432.1315233304013</v>
          </cell>
        </row>
        <row r="47">
          <cell r="E47">
            <v>1400</v>
          </cell>
          <cell r="I47">
            <v>2700</v>
          </cell>
          <cell r="J47">
            <v>4100</v>
          </cell>
          <cell r="N47">
            <v>5800</v>
          </cell>
          <cell r="R47">
            <v>800</v>
          </cell>
          <cell r="S47">
            <v>6600</v>
          </cell>
        </row>
        <row r="48">
          <cell r="E48">
            <v>8000</v>
          </cell>
          <cell r="I48">
            <v>8200</v>
          </cell>
          <cell r="J48">
            <v>16200</v>
          </cell>
          <cell r="N48">
            <v>2480</v>
          </cell>
          <cell r="R48">
            <v>15300</v>
          </cell>
          <cell r="S48">
            <v>17780</v>
          </cell>
        </row>
        <row r="50">
          <cell r="E50">
            <v>291.93050019406542</v>
          </cell>
          <cell r="I50">
            <v>-29.112186450433668</v>
          </cell>
          <cell r="J50">
            <v>262.81831374363173</v>
          </cell>
          <cell r="N50">
            <v>594.21921643999963</v>
          </cell>
          <cell r="R50">
            <v>991.10000000000014</v>
          </cell>
          <cell r="S50">
            <v>1585.3192164399998</v>
          </cell>
        </row>
        <row r="52">
          <cell r="E52">
            <v>0</v>
          </cell>
          <cell r="I52">
            <v>0</v>
          </cell>
          <cell r="J52">
            <v>0</v>
          </cell>
          <cell r="N52">
            <v>0</v>
          </cell>
          <cell r="R52">
            <v>0</v>
          </cell>
          <cell r="S52">
            <v>0</v>
          </cell>
        </row>
        <row r="53">
          <cell r="E53">
            <v>139.31161528999985</v>
          </cell>
          <cell r="I53">
            <v>-355.94274492999989</v>
          </cell>
          <cell r="J53">
            <v>-216.63112964000004</v>
          </cell>
          <cell r="N53">
            <v>215.55171644000006</v>
          </cell>
          <cell r="R53">
            <v>-31.899999999999864</v>
          </cell>
          <cell r="S53">
            <v>183.6517164400002</v>
          </cell>
        </row>
        <row r="54">
          <cell r="E54">
            <v>134.01613785184185</v>
          </cell>
          <cell r="I54">
            <v>154.65065064999999</v>
          </cell>
          <cell r="J54">
            <v>288.66678850184184</v>
          </cell>
          <cell r="N54">
            <v>150.02149999999961</v>
          </cell>
          <cell r="R54">
            <v>0</v>
          </cell>
          <cell r="S54">
            <v>150.02149999999961</v>
          </cell>
        </row>
        <row r="55">
          <cell r="E55">
            <v>-195</v>
          </cell>
          <cell r="I55">
            <v>-20</v>
          </cell>
          <cell r="J55">
            <v>-215</v>
          </cell>
          <cell r="N55">
            <v>0</v>
          </cell>
          <cell r="R55">
            <v>195</v>
          </cell>
          <cell r="S55">
            <v>195</v>
          </cell>
        </row>
        <row r="56">
          <cell r="E56">
            <v>244.49599999999998</v>
          </cell>
          <cell r="I56">
            <v>247.72900000000001</v>
          </cell>
          <cell r="J56">
            <v>492.22500000000002</v>
          </cell>
          <cell r="N56">
            <v>228.64600000000002</v>
          </cell>
          <cell r="R56">
            <v>828</v>
          </cell>
          <cell r="S56">
            <v>1056.646</v>
          </cell>
        </row>
        <row r="57">
          <cell r="E57">
            <v>10.408185849285818</v>
          </cell>
          <cell r="I57">
            <v>254.80712400020388</v>
          </cell>
          <cell r="J57">
            <v>265.2153098494897</v>
          </cell>
          <cell r="N57">
            <v>0</v>
          </cell>
          <cell r="R57">
            <v>0</v>
          </cell>
          <cell r="S57">
            <v>0</v>
          </cell>
        </row>
        <row r="58">
          <cell r="E58">
            <v>-41.301438797062126</v>
          </cell>
          <cell r="I58">
            <v>-310.35621617063771</v>
          </cell>
          <cell r="J58">
            <v>-351.65765496769984</v>
          </cell>
          <cell r="N58">
            <v>0</v>
          </cell>
          <cell r="R58">
            <v>0</v>
          </cell>
          <cell r="S58">
            <v>0</v>
          </cell>
        </row>
        <row r="60">
          <cell r="E60">
            <v>1078.6080000000002</v>
          </cell>
          <cell r="I60">
            <v>1467.4019453363223</v>
          </cell>
          <cell r="J60">
            <v>2546.0099453363227</v>
          </cell>
          <cell r="N60">
            <v>1153.2511626747273</v>
          </cell>
          <cell r="R60">
            <v>1223.5564491674495</v>
          </cell>
          <cell r="S60">
            <v>2376.8076118421768</v>
          </cell>
        </row>
        <row r="61">
          <cell r="E61">
            <v>172.79099999999997</v>
          </cell>
          <cell r="I61">
            <v>232.72886</v>
          </cell>
          <cell r="J61">
            <v>405.51985999999999</v>
          </cell>
          <cell r="N61">
            <v>91.100609674727323</v>
          </cell>
          <cell r="R61">
            <v>204.76844916744946</v>
          </cell>
          <cell r="S61">
            <v>295.8690588421768</v>
          </cell>
        </row>
        <row r="62">
          <cell r="E62">
            <v>43.592000000000006</v>
          </cell>
          <cell r="I62">
            <v>144.23836</v>
          </cell>
          <cell r="J62">
            <v>187.83036000000001</v>
          </cell>
          <cell r="N62">
            <v>86.800609674727326</v>
          </cell>
          <cell r="R62">
            <v>89.758534666089474</v>
          </cell>
          <cell r="S62">
            <v>176.5591443408168</v>
          </cell>
        </row>
        <row r="63">
          <cell r="E63">
            <v>119.03899999999999</v>
          </cell>
          <cell r="I63">
            <v>80.301500000000004</v>
          </cell>
          <cell r="J63">
            <v>199.34049999999999</v>
          </cell>
          <cell r="N63">
            <v>4.3</v>
          </cell>
          <cell r="R63">
            <v>104.28441854495999</v>
          </cell>
          <cell r="S63">
            <v>108.58441854495999</v>
          </cell>
        </row>
        <row r="64">
          <cell r="E64">
            <v>10.16</v>
          </cell>
          <cell r="I64">
            <v>8.1890000000000001</v>
          </cell>
          <cell r="J64">
            <v>18.349</v>
          </cell>
          <cell r="N64">
            <v>0</v>
          </cell>
          <cell r="R64">
            <v>10.725495956399998</v>
          </cell>
          <cell r="S64">
            <v>10.725495956399998</v>
          </cell>
        </row>
        <row r="65">
          <cell r="E65">
            <v>264.45299999999997</v>
          </cell>
          <cell r="I65">
            <v>478.50878599999999</v>
          </cell>
          <cell r="J65">
            <v>742.96178599999996</v>
          </cell>
          <cell r="N65">
            <v>219.423553</v>
          </cell>
          <cell r="R65">
            <v>429.88800000000009</v>
          </cell>
          <cell r="S65">
            <v>649.31155300000012</v>
          </cell>
        </row>
        <row r="66">
          <cell r="E66">
            <v>114.738</v>
          </cell>
          <cell r="I66">
            <v>238.84248600000001</v>
          </cell>
          <cell r="J66">
            <v>353.58048600000001</v>
          </cell>
          <cell r="N66">
            <v>108.60255299999999</v>
          </cell>
          <cell r="R66">
            <v>221.59100000000001</v>
          </cell>
          <cell r="S66">
            <v>330.19355300000001</v>
          </cell>
        </row>
        <row r="67">
          <cell r="E67">
            <v>119.65900000000001</v>
          </cell>
          <cell r="I67">
            <v>220.61829999999998</v>
          </cell>
          <cell r="J67">
            <v>340.27729999999997</v>
          </cell>
          <cell r="N67">
            <v>103.102</v>
          </cell>
          <cell r="R67">
            <v>185.31900000000005</v>
          </cell>
          <cell r="S67">
            <v>288.42100000000005</v>
          </cell>
        </row>
        <row r="68">
          <cell r="E68">
            <v>30.056000000000004</v>
          </cell>
          <cell r="I68">
            <v>19.048000000000002</v>
          </cell>
          <cell r="J68">
            <v>49.104000000000006</v>
          </cell>
          <cell r="N68">
            <v>7.7189999999999994</v>
          </cell>
          <cell r="R68">
            <v>22.978000000000002</v>
          </cell>
          <cell r="S68">
            <v>30.697000000000003</v>
          </cell>
        </row>
        <row r="69">
          <cell r="E69">
            <v>5</v>
          </cell>
          <cell r="I69">
            <v>0</v>
          </cell>
          <cell r="J69">
            <v>5</v>
          </cell>
          <cell r="N69">
            <v>3.8269999999999995</v>
          </cell>
          <cell r="R69">
            <v>0</v>
          </cell>
          <cell r="S69">
            <v>3.8269999999999995</v>
          </cell>
        </row>
        <row r="70">
          <cell r="E70">
            <v>0</v>
          </cell>
          <cell r="I70">
            <v>0</v>
          </cell>
          <cell r="J70">
            <v>0</v>
          </cell>
          <cell r="N70">
            <v>0.45300000000000001</v>
          </cell>
          <cell r="R70">
            <v>0</v>
          </cell>
          <cell r="S70">
            <v>0.45300000000000001</v>
          </cell>
        </row>
        <row r="71">
          <cell r="E71">
            <v>5</v>
          </cell>
          <cell r="I71">
            <v>0</v>
          </cell>
          <cell r="J71">
            <v>5</v>
          </cell>
          <cell r="N71">
            <v>3.3739999999999997</v>
          </cell>
          <cell r="R71">
            <v>0</v>
          </cell>
          <cell r="S71">
            <v>3.3739999999999997</v>
          </cell>
        </row>
        <row r="72">
          <cell r="E72">
            <v>326.65500000000003</v>
          </cell>
          <cell r="I72">
            <v>216.11949999999999</v>
          </cell>
          <cell r="J72">
            <v>542.77449999999999</v>
          </cell>
          <cell r="N72">
            <v>324</v>
          </cell>
          <cell r="R72">
            <v>324</v>
          </cell>
          <cell r="S72">
            <v>648</v>
          </cell>
        </row>
        <row r="73">
          <cell r="E73">
            <v>0</v>
          </cell>
          <cell r="I73">
            <v>0</v>
          </cell>
          <cell r="J73">
            <v>0</v>
          </cell>
          <cell r="N73">
            <v>0</v>
          </cell>
          <cell r="R73">
            <v>0</v>
          </cell>
          <cell r="S73">
            <v>0</v>
          </cell>
        </row>
        <row r="74">
          <cell r="E74">
            <v>211.09899999999999</v>
          </cell>
          <cell r="I74">
            <v>217.42375600000003</v>
          </cell>
          <cell r="J74">
            <v>428.52275600000002</v>
          </cell>
          <cell r="N74">
            <v>234.89999999999998</v>
          </cell>
          <cell r="R74">
            <v>234.89999999999998</v>
          </cell>
          <cell r="S74">
            <v>469.79999999999995</v>
          </cell>
        </row>
        <row r="75">
          <cell r="E75">
            <v>74.697000000000003</v>
          </cell>
          <cell r="I75">
            <v>299.65794533632226</v>
          </cell>
          <cell r="J75">
            <v>374.35494533632226</v>
          </cell>
          <cell r="N75">
            <v>250</v>
          </cell>
          <cell r="R75">
            <v>0</v>
          </cell>
          <cell r="S75">
            <v>250</v>
          </cell>
        </row>
        <row r="76">
          <cell r="E76">
            <v>23.912999999999954</v>
          </cell>
          <cell r="I76">
            <v>22.963098000000024</v>
          </cell>
          <cell r="J76">
            <v>46.876097999999978</v>
          </cell>
          <cell r="N76">
            <v>30</v>
          </cell>
          <cell r="R76">
            <v>30</v>
          </cell>
          <cell r="S76">
            <v>60</v>
          </cell>
        </row>
        <row r="78">
          <cell r="E78">
            <v>359.53</v>
          </cell>
          <cell r="I78">
            <v>274.65899999999999</v>
          </cell>
          <cell r="J78">
            <v>634.18899999999996</v>
          </cell>
          <cell r="N78">
            <v>241.54262232343174</v>
          </cell>
          <cell r="R78">
            <v>241.16472948786736</v>
          </cell>
          <cell r="S78">
            <v>482.70735181129908</v>
          </cell>
        </row>
        <row r="80">
          <cell r="E80">
            <v>0</v>
          </cell>
          <cell r="I80">
            <v>0</v>
          </cell>
          <cell r="N80">
            <v>0</v>
          </cell>
          <cell r="R80">
            <v>7000</v>
          </cell>
          <cell r="S80">
            <v>7000</v>
          </cell>
        </row>
        <row r="81">
          <cell r="U81">
            <v>-787.2645193401986</v>
          </cell>
          <cell r="V81">
            <v>31.855999999999966</v>
          </cell>
        </row>
        <row r="82">
          <cell r="A82" t="str">
            <v xml:space="preserve"> .Vta. de Activos Financ.</v>
          </cell>
          <cell r="B82">
            <v>2363.3144961900002</v>
          </cell>
          <cell r="C82">
            <v>3298.1360999999997</v>
          </cell>
          <cell r="D82">
            <v>1789.4571232999999</v>
          </cell>
          <cell r="E82">
            <v>7450.9077194899992</v>
          </cell>
          <cell r="F82">
            <v>4592.2141732999999</v>
          </cell>
          <cell r="G82">
            <v>2928.5926272000002</v>
          </cell>
          <cell r="H82">
            <v>7116.6658362149992</v>
          </cell>
          <cell r="I82">
            <v>14637.472636715</v>
          </cell>
          <cell r="J82">
            <v>22088.380356204998</v>
          </cell>
          <cell r="K82">
            <v>15</v>
          </cell>
          <cell r="L82">
            <v>501.79263065980001</v>
          </cell>
          <cell r="M82">
            <v>15</v>
          </cell>
          <cell r="N82">
            <v>531.79263065980001</v>
          </cell>
          <cell r="O82">
            <v>15</v>
          </cell>
          <cell r="P82">
            <v>15</v>
          </cell>
          <cell r="Q82">
            <v>15</v>
          </cell>
          <cell r="R82">
            <v>45</v>
          </cell>
          <cell r="S82">
            <v>576.79263065980001</v>
          </cell>
          <cell r="T82">
            <v>22665.172986864796</v>
          </cell>
          <cell r="U82">
            <v>56.443582805000005</v>
          </cell>
          <cell r="V82">
            <v>819.35599999999999</v>
          </cell>
        </row>
        <row r="83">
          <cell r="A83" t="str">
            <v xml:space="preserve">    Títulos y Valores</v>
          </cell>
          <cell r="B83">
            <v>680.82890078999992</v>
          </cell>
          <cell r="C83">
            <v>204.07599999999999</v>
          </cell>
          <cell r="D83">
            <v>0</v>
          </cell>
          <cell r="E83">
            <v>884.90490078999994</v>
          </cell>
          <cell r="F83">
            <v>0</v>
          </cell>
          <cell r="G83">
            <v>0</v>
          </cell>
          <cell r="H83">
            <v>1442.162682015</v>
          </cell>
          <cell r="I83">
            <v>1442.162682015</v>
          </cell>
          <cell r="J83">
            <v>2327.0675828049998</v>
          </cell>
          <cell r="K83">
            <v>0</v>
          </cell>
          <cell r="L83">
            <v>204.07599999999999</v>
          </cell>
          <cell r="M83">
            <v>0</v>
          </cell>
          <cell r="N83">
            <v>204.07599999999999</v>
          </cell>
          <cell r="O83">
            <v>0</v>
          </cell>
          <cell r="P83">
            <v>0</v>
          </cell>
          <cell r="Q83">
            <v>0</v>
          </cell>
          <cell r="R83">
            <v>0</v>
          </cell>
          <cell r="S83">
            <v>204.07599999999999</v>
          </cell>
          <cell r="T83">
            <v>2531.1435828049998</v>
          </cell>
          <cell r="U83">
            <v>-848.76251853000031</v>
          </cell>
          <cell r="V83">
            <v>-848.76251853000031</v>
          </cell>
        </row>
        <row r="84">
          <cell r="E84">
            <v>6508.3811000000005</v>
          </cell>
          <cell r="I84">
            <v>13134.674999999999</v>
          </cell>
          <cell r="J84">
            <v>19643.056100000002</v>
          </cell>
          <cell r="N84">
            <v>36.979380659800015</v>
          </cell>
          <cell r="R84">
            <v>0</v>
          </cell>
          <cell r="S84">
            <v>36.979380659800015</v>
          </cell>
        </row>
        <row r="85">
          <cell r="E85">
            <v>0</v>
          </cell>
          <cell r="I85">
            <v>0</v>
          </cell>
          <cell r="J85">
            <v>0</v>
          </cell>
          <cell r="N85">
            <v>0</v>
          </cell>
          <cell r="R85">
            <v>0</v>
          </cell>
          <cell r="S85">
            <v>0</v>
          </cell>
        </row>
        <row r="86">
          <cell r="E86">
            <v>57.621718700000002</v>
          </cell>
          <cell r="I86">
            <v>60.634954700000002</v>
          </cell>
          <cell r="J86">
            <v>118.25667340000001</v>
          </cell>
          <cell r="N86">
            <v>290.73725000000002</v>
          </cell>
          <cell r="R86">
            <v>45</v>
          </cell>
          <cell r="S86">
            <v>335.73725000000002</v>
          </cell>
        </row>
        <row r="88">
          <cell r="E88">
            <v>43502.710262827241</v>
          </cell>
          <cell r="I88">
            <v>35814.357864817779</v>
          </cell>
          <cell r="J88">
            <v>79317.06812764502</v>
          </cell>
          <cell r="N88">
            <v>27861.344124451167</v>
          </cell>
          <cell r="R88">
            <v>53898.651095955633</v>
          </cell>
          <cell r="S88">
            <v>81759.995220406796</v>
          </cell>
        </row>
        <row r="90">
          <cell r="E90">
            <v>32544.768481827163</v>
          </cell>
          <cell r="I90">
            <v>18378.058459702217</v>
          </cell>
          <cell r="J90">
            <v>50922.826941529376</v>
          </cell>
          <cell r="N90">
            <v>24734.761416838981</v>
          </cell>
          <cell r="R90">
            <v>41450.232783621119</v>
          </cell>
          <cell r="S90">
            <v>66184.994200460103</v>
          </cell>
        </row>
        <row r="92">
          <cell r="E92">
            <v>20867.775860640002</v>
          </cell>
          <cell r="I92">
            <v>12334.570023010001</v>
          </cell>
          <cell r="J92">
            <v>33202.345883650007</v>
          </cell>
          <cell r="N92">
            <v>11654.060540875009</v>
          </cell>
          <cell r="R92">
            <v>29450.325911921729</v>
          </cell>
          <cell r="S92">
            <v>41104.386452796738</v>
          </cell>
        </row>
        <row r="94">
          <cell r="E94">
            <v>1179.1656831799999</v>
          </cell>
          <cell r="I94">
            <v>2499.9800776700004</v>
          </cell>
          <cell r="J94">
            <v>3679.1457608500004</v>
          </cell>
          <cell r="N94">
            <v>2400.0047691592813</v>
          </cell>
          <cell r="R94">
            <v>4605.5965506788561</v>
          </cell>
          <cell r="S94">
            <v>7005.601319838137</v>
          </cell>
        </row>
        <row r="96">
          <cell r="E96">
            <v>55.74222846</v>
          </cell>
          <cell r="I96">
            <v>53.161811569999998</v>
          </cell>
          <cell r="J96">
            <v>108.90404003</v>
          </cell>
          <cell r="N96">
            <v>52.205833007915487</v>
          </cell>
          <cell r="R96">
            <v>47.939558823909294</v>
          </cell>
          <cell r="S96">
            <v>100.14539183182478</v>
          </cell>
        </row>
        <row r="97">
          <cell r="E97">
            <v>125.38759683999955</v>
          </cell>
          <cell r="I97">
            <v>16.20040706</v>
          </cell>
          <cell r="J97">
            <v>141.58800389999953</v>
          </cell>
          <cell r="N97">
            <v>125.73726879625836</v>
          </cell>
          <cell r="R97">
            <v>12.762146064051541</v>
          </cell>
          <cell r="S97">
            <v>138.49941486030991</v>
          </cell>
        </row>
        <row r="98">
          <cell r="E98">
            <v>15.609873670000002</v>
          </cell>
          <cell r="I98">
            <v>14.39527256</v>
          </cell>
          <cell r="J98">
            <v>30.005146230000001</v>
          </cell>
          <cell r="N98">
            <v>12.805490496453029</v>
          </cell>
          <cell r="R98">
            <v>11.128598504051542</v>
          </cell>
          <cell r="S98">
            <v>23.934089000504571</v>
          </cell>
        </row>
        <row r="99">
          <cell r="E99">
            <v>0</v>
          </cell>
          <cell r="I99">
            <v>1.8051345000000001</v>
          </cell>
          <cell r="J99">
            <v>1.8051345000000001</v>
          </cell>
          <cell r="N99">
            <v>0</v>
          </cell>
          <cell r="R99">
            <v>1.63354756</v>
          </cell>
          <cell r="S99">
            <v>1.63354756</v>
          </cell>
        </row>
        <row r="100">
          <cell r="E100">
            <v>109.77772316999955</v>
          </cell>
          <cell r="I100">
            <v>0</v>
          </cell>
          <cell r="J100">
            <v>109.77772316999955</v>
          </cell>
          <cell r="N100">
            <v>112.93177829980533</v>
          </cell>
          <cell r="R100">
            <v>0</v>
          </cell>
          <cell r="S100">
            <v>112.93177829980533</v>
          </cell>
        </row>
        <row r="101">
          <cell r="E101">
            <v>161.53507690000001</v>
          </cell>
          <cell r="I101">
            <v>777.81370083000002</v>
          </cell>
          <cell r="J101">
            <v>939.34877773000005</v>
          </cell>
          <cell r="N101">
            <v>954.95220145000008</v>
          </cell>
          <cell r="R101">
            <v>312.08764631999998</v>
          </cell>
          <cell r="S101">
            <v>1267.0398477700001</v>
          </cell>
        </row>
        <row r="102">
          <cell r="E102">
            <v>0</v>
          </cell>
          <cell r="I102">
            <v>0</v>
          </cell>
          <cell r="J102">
            <v>0</v>
          </cell>
          <cell r="N102">
            <v>0</v>
          </cell>
          <cell r="R102">
            <v>78.75</v>
          </cell>
          <cell r="S102">
            <v>78.75</v>
          </cell>
        </row>
        <row r="103">
          <cell r="E103">
            <v>161.53507690000001</v>
          </cell>
          <cell r="I103">
            <v>777.81370083000002</v>
          </cell>
          <cell r="J103">
            <v>939.34877773000005</v>
          </cell>
          <cell r="N103">
            <v>954.95220145000008</v>
          </cell>
          <cell r="R103">
            <v>233.33764632</v>
          </cell>
          <cell r="S103">
            <v>1188.2898477700001</v>
          </cell>
        </row>
        <row r="104">
          <cell r="E104">
            <v>373.45377626000004</v>
          </cell>
          <cell r="I104">
            <v>372.45106154999996</v>
          </cell>
          <cell r="J104">
            <v>745.90483781</v>
          </cell>
          <cell r="N104">
            <v>411.02652678999993</v>
          </cell>
          <cell r="R104">
            <v>211.17951099999999</v>
          </cell>
          <cell r="S104">
            <v>622.20603778999998</v>
          </cell>
        </row>
        <row r="105">
          <cell r="E105">
            <v>359.53</v>
          </cell>
          <cell r="I105">
            <v>274.65899999999999</v>
          </cell>
          <cell r="J105">
            <v>634.18899999999996</v>
          </cell>
          <cell r="N105">
            <v>241.54262232343174</v>
          </cell>
          <cell r="R105">
            <v>241.16472948786736</v>
          </cell>
          <cell r="S105">
            <v>482.70735181129908</v>
          </cell>
        </row>
        <row r="106">
          <cell r="E106">
            <v>25.431588810000001</v>
          </cell>
          <cell r="I106">
            <v>451.44332347</v>
          </cell>
          <cell r="J106">
            <v>476.87491227999999</v>
          </cell>
          <cell r="N106">
            <v>49.022169595435365</v>
          </cell>
          <cell r="R106">
            <v>1926.6441220908061</v>
          </cell>
          <cell r="S106">
            <v>1975.6662916862415</v>
          </cell>
        </row>
        <row r="107">
          <cell r="E107">
            <v>7.2523095500000005</v>
          </cell>
          <cell r="I107">
            <v>487.04644149000012</v>
          </cell>
          <cell r="J107">
            <v>494.29875104000013</v>
          </cell>
          <cell r="N107">
            <v>553.09775346596643</v>
          </cell>
          <cell r="R107">
            <v>1853.5874060422223</v>
          </cell>
          <cell r="S107">
            <v>2406.6851595081889</v>
          </cell>
        </row>
        <row r="108">
          <cell r="E108">
            <v>70.83310636000023</v>
          </cell>
          <cell r="I108">
            <v>67.204331699999997</v>
          </cell>
          <cell r="J108">
            <v>138.03743806000023</v>
          </cell>
          <cell r="N108">
            <v>12.420393730273998</v>
          </cell>
          <cell r="R108">
            <v>0.23143084999999999</v>
          </cell>
          <cell r="S108">
            <v>12.651824580273999</v>
          </cell>
        </row>
        <row r="110">
          <cell r="E110">
            <v>19688.610177459999</v>
          </cell>
          <cell r="I110">
            <v>9834.5899453399998</v>
          </cell>
          <cell r="J110">
            <v>29523.200122800001</v>
          </cell>
          <cell r="N110">
            <v>9254.055771715728</v>
          </cell>
          <cell r="R110">
            <v>24844.729361242877</v>
          </cell>
          <cell r="S110">
            <v>34098.785132958605</v>
          </cell>
        </row>
        <row r="112">
          <cell r="E112">
            <v>882.82484410000006</v>
          </cell>
          <cell r="I112">
            <v>909.37484428000005</v>
          </cell>
          <cell r="J112">
            <v>1792.1996883800002</v>
          </cell>
          <cell r="N112">
            <v>946.35383734095205</v>
          </cell>
          <cell r="R112">
            <v>959.55520200441333</v>
          </cell>
          <cell r="S112">
            <v>1905.9090393453653</v>
          </cell>
        </row>
        <row r="113">
          <cell r="E113">
            <v>354.34863057000001</v>
          </cell>
          <cell r="I113">
            <v>365.14727646</v>
          </cell>
          <cell r="J113">
            <v>719.49590703000001</v>
          </cell>
          <cell r="N113">
            <v>365.06153186260747</v>
          </cell>
          <cell r="R113">
            <v>376.01043338019895</v>
          </cell>
          <cell r="S113">
            <v>741.07196524280641</v>
          </cell>
        </row>
        <row r="114">
          <cell r="E114">
            <v>354.34863057000001</v>
          </cell>
          <cell r="I114">
            <v>359.46409376999998</v>
          </cell>
          <cell r="J114">
            <v>713.81272433999993</v>
          </cell>
          <cell r="N114">
            <v>365.06153186260747</v>
          </cell>
          <cell r="R114">
            <v>370.32725069019898</v>
          </cell>
          <cell r="S114">
            <v>735.38878255280645</v>
          </cell>
        </row>
        <row r="115">
          <cell r="E115">
            <v>0</v>
          </cell>
          <cell r="I115">
            <v>5.6831826899999998</v>
          </cell>
          <cell r="J115">
            <v>5.6831826899999998</v>
          </cell>
          <cell r="N115">
            <v>0</v>
          </cell>
          <cell r="R115">
            <v>5.6831826900000006</v>
          </cell>
          <cell r="S115">
            <v>5.6831826900000006</v>
          </cell>
        </row>
        <row r="116">
          <cell r="E116">
            <v>7417.2938960000001</v>
          </cell>
          <cell r="I116">
            <v>4490</v>
          </cell>
          <cell r="J116">
            <v>11907.293895999999</v>
          </cell>
          <cell r="N116">
            <v>5105.0384340000001</v>
          </cell>
          <cell r="R116">
            <v>3338.2</v>
          </cell>
          <cell r="S116">
            <v>8443.238433999999</v>
          </cell>
        </row>
        <row r="117">
          <cell r="E117">
            <v>127.8684510699988</v>
          </cell>
          <cell r="I117">
            <v>4064.8546125799999</v>
          </cell>
          <cell r="J117">
            <v>4192.7230636499989</v>
          </cell>
          <cell r="N117">
            <v>321.97064449216879</v>
          </cell>
          <cell r="R117">
            <v>788.26882353645192</v>
          </cell>
          <cell r="S117">
            <v>1110.2394680286206</v>
          </cell>
        </row>
        <row r="118">
          <cell r="E118">
            <v>0</v>
          </cell>
          <cell r="I118">
            <v>0</v>
          </cell>
          <cell r="J118">
            <v>0</v>
          </cell>
          <cell r="N118">
            <v>0</v>
          </cell>
          <cell r="R118">
            <v>2929.5</v>
          </cell>
          <cell r="S118">
            <v>2929.5</v>
          </cell>
        </row>
        <row r="119">
          <cell r="E119">
            <v>10900</v>
          </cell>
          <cell r="I119">
            <v>0</v>
          </cell>
          <cell r="J119">
            <v>10900</v>
          </cell>
          <cell r="N119">
            <v>2480</v>
          </cell>
          <cell r="R119">
            <v>13200</v>
          </cell>
          <cell r="S119">
            <v>15680</v>
          </cell>
        </row>
        <row r="120">
          <cell r="E120">
            <v>6.2743557199999991</v>
          </cell>
          <cell r="I120">
            <v>5.2132120200000003</v>
          </cell>
          <cell r="J120">
            <v>11.487567739999999</v>
          </cell>
          <cell r="N120">
            <v>35.631324020000001</v>
          </cell>
          <cell r="R120">
            <v>3253.1949023218094</v>
          </cell>
          <cell r="S120">
            <v>3288.8262263418096</v>
          </cell>
        </row>
        <row r="122">
          <cell r="E122">
            <v>3917.4578211871631</v>
          </cell>
          <cell r="I122">
            <v>5484.9119612227296</v>
          </cell>
          <cell r="J122">
            <v>9402.3697824098927</v>
          </cell>
          <cell r="N122">
            <v>12328.077825923971</v>
          </cell>
          <cell r="R122">
            <v>11435.906871699393</v>
          </cell>
          <cell r="S122">
            <v>23763.984697623364</v>
          </cell>
        </row>
        <row r="124">
          <cell r="E124">
            <v>2130.0173506103406</v>
          </cell>
          <cell r="I124">
            <v>2637.9290612816585</v>
          </cell>
          <cell r="J124">
            <v>4767.9464118919987</v>
          </cell>
          <cell r="N124">
            <v>1976.7054696893852</v>
          </cell>
          <cell r="R124">
            <v>6644.8296118372409</v>
          </cell>
          <cell r="S124">
            <v>8621.5350815266265</v>
          </cell>
        </row>
        <row r="126">
          <cell r="E126">
            <v>449.59075000000001</v>
          </cell>
          <cell r="I126">
            <v>266.83080452000002</v>
          </cell>
          <cell r="J126">
            <v>716.42155451999997</v>
          </cell>
          <cell r="N126">
            <v>472.85</v>
          </cell>
          <cell r="R126">
            <v>291.80082540000001</v>
          </cell>
          <cell r="S126">
            <v>764.65082540000003</v>
          </cell>
        </row>
        <row r="127">
          <cell r="E127">
            <v>194.79075</v>
          </cell>
          <cell r="I127">
            <v>0</v>
          </cell>
          <cell r="J127">
            <v>194.79075</v>
          </cell>
          <cell r="N127">
            <v>202.65</v>
          </cell>
          <cell r="R127">
            <v>0</v>
          </cell>
          <cell r="S127">
            <v>202.65</v>
          </cell>
        </row>
        <row r="128">
          <cell r="E128">
            <v>254.8</v>
          </cell>
          <cell r="I128">
            <v>0</v>
          </cell>
          <cell r="J128">
            <v>254.8</v>
          </cell>
          <cell r="N128">
            <v>270.2</v>
          </cell>
          <cell r="R128">
            <v>0</v>
          </cell>
          <cell r="S128">
            <v>270.2</v>
          </cell>
        </row>
        <row r="129">
          <cell r="E129">
            <v>0</v>
          </cell>
          <cell r="I129">
            <v>266.83080452000002</v>
          </cell>
          <cell r="J129">
            <v>266.83080452000002</v>
          </cell>
          <cell r="N129">
            <v>0</v>
          </cell>
          <cell r="R129">
            <v>291.80082540000001</v>
          </cell>
          <cell r="S129">
            <v>291.80082540000001</v>
          </cell>
        </row>
        <row r="130">
          <cell r="E130">
            <v>473.76244545302404</v>
          </cell>
          <cell r="I130">
            <v>874.72668203163107</v>
          </cell>
          <cell r="J130">
            <v>1348.489127484655</v>
          </cell>
          <cell r="N130">
            <v>278.69200000000001</v>
          </cell>
          <cell r="R130">
            <v>851.56048323959988</v>
          </cell>
          <cell r="S130">
            <v>1130.2524832395998</v>
          </cell>
        </row>
        <row r="131">
          <cell r="E131">
            <v>473.76244545302404</v>
          </cell>
          <cell r="I131">
            <v>50.380141471879007</v>
          </cell>
          <cell r="J131">
            <v>524.14258692490307</v>
          </cell>
          <cell r="N131">
            <v>278.69200000000001</v>
          </cell>
          <cell r="R131">
            <v>0</v>
          </cell>
          <cell r="S131">
            <v>278.69200000000001</v>
          </cell>
        </row>
        <row r="132">
          <cell r="E132">
            <v>0</v>
          </cell>
          <cell r="I132">
            <v>67.192935569592009</v>
          </cell>
          <cell r="J132">
            <v>67.192935569592009</v>
          </cell>
          <cell r="N132">
            <v>0</v>
          </cell>
          <cell r="R132">
            <v>33.016045412399997</v>
          </cell>
          <cell r="S132">
            <v>33.016045412399997</v>
          </cell>
        </row>
        <row r="133">
          <cell r="E133">
            <v>0</v>
          </cell>
          <cell r="I133">
            <v>757.15360499016003</v>
          </cell>
          <cell r="J133">
            <v>757.15360499016003</v>
          </cell>
          <cell r="N133">
            <v>0</v>
          </cell>
          <cell r="R133">
            <v>818.54443782719989</v>
          </cell>
          <cell r="S133">
            <v>818.54443782719989</v>
          </cell>
        </row>
        <row r="134">
          <cell r="E134">
            <v>311.62274944596419</v>
          </cell>
          <cell r="I134">
            <v>972.9175197720142</v>
          </cell>
          <cell r="J134">
            <v>1284.5402692179784</v>
          </cell>
          <cell r="N134">
            <v>612.23192291965643</v>
          </cell>
          <cell r="R134">
            <v>5041.7570765346891</v>
          </cell>
          <cell r="S134">
            <v>5653.9889994543455</v>
          </cell>
        </row>
        <row r="135">
          <cell r="E135">
            <v>419.98249746440104</v>
          </cell>
          <cell r="I135">
            <v>0.32333425320000003</v>
          </cell>
          <cell r="J135">
            <v>420.30583171760105</v>
          </cell>
          <cell r="N135">
            <v>203.39039432000001</v>
          </cell>
          <cell r="R135">
            <v>7.0148999999999999</v>
          </cell>
          <cell r="S135">
            <v>210.40529432000002</v>
          </cell>
        </row>
        <row r="136">
          <cell r="E136">
            <v>265.63411239025498</v>
          </cell>
          <cell r="I136">
            <v>307.55647675197179</v>
          </cell>
          <cell r="J136">
            <v>573.19058914222683</v>
          </cell>
          <cell r="N136">
            <v>234.31190968511305</v>
          </cell>
          <cell r="R136">
            <v>282.16136777877392</v>
          </cell>
          <cell r="S136">
            <v>516.47327746388692</v>
          </cell>
        </row>
        <row r="137">
          <cell r="E137">
            <v>157.99432490165225</v>
          </cell>
          <cell r="I137">
            <v>153.81370127769</v>
          </cell>
          <cell r="J137">
            <v>311.80802617934228</v>
          </cell>
          <cell r="N137">
            <v>115.76454532099999</v>
          </cell>
          <cell r="R137">
            <v>101.45515513559998</v>
          </cell>
          <cell r="S137">
            <v>217.21970045659998</v>
          </cell>
        </row>
        <row r="138">
          <cell r="E138">
            <v>0</v>
          </cell>
          <cell r="I138">
            <v>0</v>
          </cell>
          <cell r="J138">
            <v>0</v>
          </cell>
          <cell r="N138">
            <v>0</v>
          </cell>
          <cell r="R138">
            <v>0</v>
          </cell>
          <cell r="S138">
            <v>0</v>
          </cell>
        </row>
        <row r="139">
          <cell r="E139">
            <v>30.439067994995</v>
          </cell>
          <cell r="I139">
            <v>37.711250626838996</v>
          </cell>
          <cell r="J139">
            <v>68.150318621834003</v>
          </cell>
          <cell r="N139">
            <v>23.0755793296</v>
          </cell>
          <cell r="R139">
            <v>35.642008669219045</v>
          </cell>
          <cell r="S139">
            <v>58.717587998819042</v>
          </cell>
        </row>
        <row r="140">
          <cell r="E140">
            <v>20.991402960049061</v>
          </cell>
          <cell r="I140">
            <v>24.049292048312672</v>
          </cell>
          <cell r="J140">
            <v>45.040695008361737</v>
          </cell>
          <cell r="N140">
            <v>36.389118114015581</v>
          </cell>
          <cell r="R140">
            <v>33.437795079358544</v>
          </cell>
          <cell r="S140">
            <v>69.826913193374125</v>
          </cell>
        </row>
        <row r="142">
          <cell r="E142">
            <v>1787.4404705768225</v>
          </cell>
          <cell r="I142">
            <v>2846.9828999410711</v>
          </cell>
          <cell r="J142">
            <v>4634.423370517894</v>
          </cell>
          <cell r="N142">
            <v>10351.372356234588</v>
          </cell>
          <cell r="R142">
            <v>4791.0772598621515</v>
          </cell>
          <cell r="S142">
            <v>15142.449616096739</v>
          </cell>
        </row>
        <row r="145">
          <cell r="E145">
            <v>0</v>
          </cell>
          <cell r="I145">
            <v>1142.006954655069</v>
          </cell>
          <cell r="J145">
            <v>1142.006954655069</v>
          </cell>
          <cell r="N145">
            <v>8289.735999999999</v>
          </cell>
          <cell r="R145">
            <v>0</v>
          </cell>
          <cell r="S145">
            <v>8289.735999999999</v>
          </cell>
        </row>
        <row r="146">
          <cell r="E146">
            <v>0</v>
          </cell>
          <cell r="I146">
            <v>238.87610022506902</v>
          </cell>
          <cell r="J146">
            <v>238.87610022506902</v>
          </cell>
          <cell r="N146">
            <v>8289.735999999999</v>
          </cell>
          <cell r="R146">
            <v>0</v>
          </cell>
          <cell r="S146">
            <v>8289.735999999999</v>
          </cell>
        </row>
        <row r="147">
          <cell r="E147">
            <v>0</v>
          </cell>
          <cell r="I147">
            <v>903.13085443</v>
          </cell>
          <cell r="J147">
            <v>903.13085443</v>
          </cell>
          <cell r="N147">
            <v>0</v>
          </cell>
          <cell r="R147">
            <v>0</v>
          </cell>
          <cell r="S147">
            <v>0</v>
          </cell>
        </row>
        <row r="148">
          <cell r="E148">
            <v>0</v>
          </cell>
          <cell r="I148">
            <v>0</v>
          </cell>
          <cell r="J148">
            <v>0</v>
          </cell>
          <cell r="N148">
            <v>0</v>
          </cell>
          <cell r="R148">
            <v>2929.5</v>
          </cell>
          <cell r="S148">
            <v>2929.5</v>
          </cell>
        </row>
        <row r="149">
          <cell r="E149">
            <v>343.368694</v>
          </cell>
          <cell r="I149">
            <v>174.84</v>
          </cell>
          <cell r="J149">
            <v>518.20869400000004</v>
          </cell>
          <cell r="N149">
            <v>315.90251966</v>
          </cell>
          <cell r="R149">
            <v>401.99999999999994</v>
          </cell>
          <cell r="S149">
            <v>717.90251965999994</v>
          </cell>
        </row>
        <row r="150">
          <cell r="E150">
            <v>431.44188530900578</v>
          </cell>
          <cell r="I150">
            <v>752.38597541268405</v>
          </cell>
          <cell r="J150">
            <v>1183.8278607216898</v>
          </cell>
          <cell r="N150">
            <v>528.79186560491814</v>
          </cell>
          <cell r="R150">
            <v>789.38341968664224</v>
          </cell>
          <cell r="S150">
            <v>1318.1752852915604</v>
          </cell>
        </row>
        <row r="151">
          <cell r="E151">
            <v>790.12497285030804</v>
          </cell>
          <cell r="I151">
            <v>534.79583377122117</v>
          </cell>
          <cell r="J151">
            <v>1324.9208066215292</v>
          </cell>
          <cell r="N151">
            <v>854.96078439339988</v>
          </cell>
          <cell r="R151">
            <v>597.04374814217999</v>
          </cell>
          <cell r="S151">
            <v>1452.00453253558</v>
          </cell>
        </row>
        <row r="152">
          <cell r="E152">
            <v>147.82693552590376</v>
          </cell>
          <cell r="I152">
            <v>98.040386668393396</v>
          </cell>
          <cell r="J152">
            <v>245.86732219429717</v>
          </cell>
          <cell r="N152">
            <v>348.65630851946958</v>
          </cell>
          <cell r="R152">
            <v>0</v>
          </cell>
          <cell r="S152">
            <v>348.65630851946958</v>
          </cell>
        </row>
        <row r="153">
          <cell r="E153">
            <v>9.9789181882899989</v>
          </cell>
          <cell r="I153">
            <v>49.917640924624003</v>
          </cell>
          <cell r="J153">
            <v>59.896559112914005</v>
          </cell>
          <cell r="N153">
            <v>13.185687509199997</v>
          </cell>
          <cell r="R153">
            <v>50.744867249253822</v>
          </cell>
          <cell r="S153">
            <v>63.930554758453823</v>
          </cell>
        </row>
        <row r="154">
          <cell r="E154">
            <v>64.699064703315116</v>
          </cell>
          <cell r="I154">
            <v>94.996108509079477</v>
          </cell>
          <cell r="J154">
            <v>159.69517321239459</v>
          </cell>
          <cell r="N154">
            <v>0.13919054759997587</v>
          </cell>
          <cell r="R154">
            <v>22.405224784076108</v>
          </cell>
          <cell r="S154">
            <v>22.544415331676085</v>
          </cell>
        </row>
        <row r="156">
          <cell r="E156">
            <v>7759.5347999999994</v>
          </cell>
          <cell r="I156">
            <v>558.57647546948806</v>
          </cell>
          <cell r="J156">
            <v>8318.1112754694877</v>
          </cell>
          <cell r="N156">
            <v>752.62305003999995</v>
          </cell>
          <cell r="R156">
            <v>564</v>
          </cell>
          <cell r="S156">
            <v>1316.62305004</v>
          </cell>
        </row>
        <row r="158">
          <cell r="A158" t="str">
            <v xml:space="preserve"> II .Compra de Act. Financ.</v>
          </cell>
          <cell r="B158">
            <v>3591.7033193199995</v>
          </cell>
          <cell r="C158">
            <v>3038.8773000000001</v>
          </cell>
          <cell r="D158">
            <v>1763.88</v>
          </cell>
          <cell r="E158">
            <v>8394.4606193199998</v>
          </cell>
          <cell r="F158">
            <v>4820.6109999999999</v>
          </cell>
          <cell r="G158">
            <v>3058.9380000000001</v>
          </cell>
          <cell r="H158">
            <v>6520.4467820149994</v>
          </cell>
          <cell r="I158">
            <v>14399.995782014999</v>
          </cell>
          <cell r="J158">
            <v>22794.456401334999</v>
          </cell>
          <cell r="K158">
            <v>0</v>
          </cell>
          <cell r="L158">
            <v>204.07599999999999</v>
          </cell>
          <cell r="M158">
            <v>0</v>
          </cell>
          <cell r="N158">
            <v>204.07599999999999</v>
          </cell>
          <cell r="O158">
            <v>0</v>
          </cell>
          <cell r="P158">
            <v>0</v>
          </cell>
          <cell r="Q158">
            <v>0</v>
          </cell>
          <cell r="R158">
            <v>0</v>
          </cell>
          <cell r="S158">
            <v>204.07599999999999</v>
          </cell>
          <cell r="T158">
            <v>22998.532401335</v>
          </cell>
        </row>
        <row r="159">
          <cell r="A159" t="str">
            <v xml:space="preserve">    Títulos y Valores</v>
          </cell>
          <cell r="B159">
            <v>1441.7553193199999</v>
          </cell>
          <cell r="C159">
            <v>450</v>
          </cell>
          <cell r="D159">
            <v>0</v>
          </cell>
          <cell r="E159">
            <v>1891.7553193199999</v>
          </cell>
          <cell r="F159">
            <v>0</v>
          </cell>
          <cell r="G159">
            <v>0</v>
          </cell>
          <cell r="H159">
            <v>1284.074782015</v>
          </cell>
          <cell r="I159">
            <v>1284.074782015</v>
          </cell>
          <cell r="J159">
            <v>3175.8301013350001</v>
          </cell>
          <cell r="K159">
            <v>0</v>
          </cell>
          <cell r="L159">
            <v>204.07599999999999</v>
          </cell>
          <cell r="M159">
            <v>0</v>
          </cell>
          <cell r="N159">
            <v>204.07599999999999</v>
          </cell>
          <cell r="O159">
            <v>0</v>
          </cell>
          <cell r="P159">
            <v>0</v>
          </cell>
          <cell r="Q159">
            <v>0</v>
          </cell>
          <cell r="R159">
            <v>0</v>
          </cell>
          <cell r="S159">
            <v>204.07599999999999</v>
          </cell>
          <cell r="T159">
            <v>3379.9061013350001</v>
          </cell>
          <cell r="U159">
            <v>24966.549644995001</v>
          </cell>
        </row>
        <row r="160">
          <cell r="E160">
            <v>6502.7053000000005</v>
          </cell>
          <cell r="I160">
            <v>13115.920999999998</v>
          </cell>
          <cell r="J160">
            <v>19618.6263</v>
          </cell>
          <cell r="N160">
            <v>0</v>
          </cell>
          <cell r="R160">
            <v>0</v>
          </cell>
          <cell r="S160">
            <v>0</v>
          </cell>
        </row>
        <row r="161">
          <cell r="E161">
            <v>0</v>
          </cell>
          <cell r="I161">
            <v>0</v>
          </cell>
          <cell r="J161">
            <v>0</v>
          </cell>
          <cell r="N161">
            <v>0</v>
          </cell>
          <cell r="R161">
            <v>0</v>
          </cell>
          <cell r="S161">
            <v>0</v>
          </cell>
        </row>
        <row r="162">
          <cell r="E162">
            <v>0</v>
          </cell>
          <cell r="I162">
            <v>0</v>
          </cell>
          <cell r="J162">
            <v>0</v>
          </cell>
          <cell r="N162">
            <v>0</v>
          </cell>
          <cell r="R162">
            <v>0</v>
          </cell>
          <cell r="S162">
            <v>0</v>
          </cell>
        </row>
        <row r="164">
          <cell r="E164">
            <v>2563.4811616800766</v>
          </cell>
          <cell r="I164">
            <v>3036.3036231005572</v>
          </cell>
          <cell r="J164">
            <v>5599.7847847806333</v>
          </cell>
          <cell r="N164">
            <v>2922.5067076121863</v>
          </cell>
          <cell r="R164">
            <v>12448.41831233451</v>
          </cell>
          <cell r="S164">
            <v>15370.925019946697</v>
          </cell>
        </row>
        <row r="165">
          <cell r="E165">
            <v>32.59332960389272</v>
          </cell>
          <cell r="I165">
            <v>35.584381651239006</v>
          </cell>
          <cell r="J165">
            <v>68.177711255131726</v>
          </cell>
          <cell r="N165">
            <v>42.073999999999991</v>
          </cell>
          <cell r="R165">
            <v>41.677183471623529</v>
          </cell>
          <cell r="S165">
            <v>83.75118347162352</v>
          </cell>
        </row>
        <row r="166">
          <cell r="E166">
            <v>32.59332960389272</v>
          </cell>
          <cell r="I166">
            <v>35.584381651239006</v>
          </cell>
          <cell r="J166">
            <v>68.177711255131726</v>
          </cell>
          <cell r="N166">
            <v>42.073999999999991</v>
          </cell>
          <cell r="R166">
            <v>41.677183471623529</v>
          </cell>
          <cell r="S166">
            <v>83.75118347162352</v>
          </cell>
        </row>
        <row r="167">
          <cell r="E167">
            <v>0</v>
          </cell>
          <cell r="I167">
            <v>0</v>
          </cell>
          <cell r="J167">
            <v>0</v>
          </cell>
          <cell r="N167">
            <v>0</v>
          </cell>
          <cell r="R167">
            <v>0</v>
          </cell>
          <cell r="S167">
            <v>0</v>
          </cell>
        </row>
        <row r="168">
          <cell r="E168">
            <v>0</v>
          </cell>
          <cell r="I168">
            <v>0</v>
          </cell>
          <cell r="J168">
            <v>0</v>
          </cell>
          <cell r="N168">
            <v>0</v>
          </cell>
          <cell r="R168">
            <v>0</v>
          </cell>
          <cell r="S168">
            <v>0</v>
          </cell>
        </row>
        <row r="169">
          <cell r="E169">
            <v>95.734023066134</v>
          </cell>
          <cell r="I169">
            <v>210.87047210477903</v>
          </cell>
          <cell r="J169">
            <v>306.60449517091303</v>
          </cell>
          <cell r="N169">
            <v>93.219880200727331</v>
          </cell>
          <cell r="R169">
            <v>204.76844916744946</v>
          </cell>
          <cell r="S169">
            <v>297.98832936817678</v>
          </cell>
        </row>
        <row r="170">
          <cell r="E170">
            <v>91.132105973143993</v>
          </cell>
          <cell r="I170">
            <v>90.233490856688007</v>
          </cell>
          <cell r="J170">
            <v>181.36559682983199</v>
          </cell>
          <cell r="N170">
            <v>88.549280200727324</v>
          </cell>
          <cell r="R170">
            <v>89.758534666089474</v>
          </cell>
          <cell r="S170">
            <v>178.30781486681678</v>
          </cell>
        </row>
        <row r="171">
          <cell r="E171">
            <v>4.6019170929900008</v>
          </cell>
          <cell r="I171">
            <v>110.58129285248501</v>
          </cell>
          <cell r="J171">
            <v>115.18320994547501</v>
          </cell>
          <cell r="N171">
            <v>4.6706000000000003</v>
          </cell>
          <cell r="R171">
            <v>104.28441854495999</v>
          </cell>
          <cell r="S171">
            <v>108.95501854495998</v>
          </cell>
        </row>
        <row r="172">
          <cell r="E172">
            <v>0</v>
          </cell>
          <cell r="I172">
            <v>10.055688395605999</v>
          </cell>
          <cell r="J172">
            <v>10.055688395605999</v>
          </cell>
          <cell r="N172">
            <v>0</v>
          </cell>
          <cell r="R172">
            <v>10.725495956399998</v>
          </cell>
          <cell r="S172">
            <v>10.725495956399998</v>
          </cell>
        </row>
        <row r="173">
          <cell r="E173">
            <v>58.563445428620994</v>
          </cell>
          <cell r="I173">
            <v>58.931624269638995</v>
          </cell>
          <cell r="J173">
            <v>117.49506969825998</v>
          </cell>
          <cell r="N173">
            <v>54.422091460458972</v>
          </cell>
          <cell r="R173">
            <v>51.39675401585999</v>
          </cell>
          <cell r="S173">
            <v>105.81884547631896</v>
          </cell>
        </row>
        <row r="174">
          <cell r="E174">
            <v>49.140087589887003</v>
          </cell>
          <cell r="I174">
            <v>56.974977154656997</v>
          </cell>
          <cell r="J174">
            <v>106.115064744544</v>
          </cell>
          <cell r="N174">
            <v>44.790055263599996</v>
          </cell>
          <cell r="R174">
            <v>49.91707390325999</v>
          </cell>
          <cell r="S174">
            <v>94.707129166859986</v>
          </cell>
        </row>
        <row r="175">
          <cell r="E175">
            <v>1.2497724428399999</v>
          </cell>
          <cell r="I175">
            <v>1.9566471149820002</v>
          </cell>
          <cell r="J175">
            <v>3.2064195578220001</v>
          </cell>
          <cell r="N175">
            <v>1.1555840645589797</v>
          </cell>
          <cell r="R175">
            <v>1.4796801125999999</v>
          </cell>
          <cell r="S175">
            <v>2.6352641771589793</v>
          </cell>
        </row>
        <row r="176">
          <cell r="E176">
            <v>8.1735853958939995</v>
          </cell>
          <cell r="I176">
            <v>0</v>
          </cell>
          <cell r="J176">
            <v>8.1735853958939995</v>
          </cell>
          <cell r="N176">
            <v>8.4764521323000004</v>
          </cell>
          <cell r="R176">
            <v>0</v>
          </cell>
          <cell r="S176">
            <v>8.4764521323000004</v>
          </cell>
        </row>
        <row r="177">
          <cell r="E177">
            <v>18.961777992216</v>
          </cell>
          <cell r="I177">
            <v>2.0234450749000001</v>
          </cell>
          <cell r="J177">
            <v>20.985223067115999</v>
          </cell>
          <cell r="N177">
            <v>18.808665425000001</v>
          </cell>
          <cell r="R177">
            <v>0</v>
          </cell>
          <cell r="S177">
            <v>18.808665425000001</v>
          </cell>
        </row>
        <row r="178">
          <cell r="E178">
            <v>447</v>
          </cell>
          <cell r="I178">
            <v>59</v>
          </cell>
          <cell r="J178">
            <v>506</v>
          </cell>
          <cell r="N178">
            <v>64</v>
          </cell>
          <cell r="R178">
            <v>252</v>
          </cell>
          <cell r="S178">
            <v>316</v>
          </cell>
        </row>
        <row r="179">
          <cell r="E179">
            <v>138.41400000000002</v>
          </cell>
          <cell r="I179">
            <v>198.25150000000002</v>
          </cell>
          <cell r="J179">
            <v>336.66550000000007</v>
          </cell>
          <cell r="N179">
            <v>95.182070526000004</v>
          </cell>
          <cell r="R179">
            <v>181.31592567957478</v>
          </cell>
          <cell r="S179">
            <v>276.49799620557479</v>
          </cell>
        </row>
        <row r="180">
          <cell r="E180">
            <v>1301.6399999999999</v>
          </cell>
          <cell r="I180">
            <v>2318.65</v>
          </cell>
          <cell r="J180">
            <v>3620.29</v>
          </cell>
          <cell r="N180">
            <v>2253</v>
          </cell>
          <cell r="R180">
            <v>2018.52</v>
          </cell>
          <cell r="S180">
            <v>4271.5200000000004</v>
          </cell>
        </row>
        <row r="181">
          <cell r="E181">
            <v>0</v>
          </cell>
          <cell r="I181">
            <v>0</v>
          </cell>
          <cell r="J181">
            <v>0</v>
          </cell>
          <cell r="N181">
            <v>0</v>
          </cell>
          <cell r="R181">
            <v>0</v>
          </cell>
          <cell r="S181">
            <v>0</v>
          </cell>
        </row>
        <row r="182">
          <cell r="E182">
            <v>470.5745855892128</v>
          </cell>
          <cell r="I182">
            <v>152.9922</v>
          </cell>
          <cell r="J182">
            <v>623.56678558921283</v>
          </cell>
          <cell r="N182">
            <v>301.79999999999995</v>
          </cell>
          <cell r="R182">
            <v>9698.7400000000016</v>
          </cell>
          <cell r="S182">
            <v>10000.540000000001</v>
          </cell>
        </row>
        <row r="184">
          <cell r="E184">
            <v>-17151.90214099277</v>
          </cell>
          <cell r="I184">
            <v>8625.0108517090994</v>
          </cell>
          <cell r="J184">
            <v>-8526.891289283667</v>
          </cell>
          <cell r="N184">
            <v>-13297.431597237413</v>
          </cell>
          <cell r="R184">
            <v>-25435.381917300314</v>
          </cell>
          <cell r="S184">
            <v>-38732.813514537724</v>
          </cell>
        </row>
        <row r="186">
          <cell r="E186">
            <v>-6015.7447552821832</v>
          </cell>
          <cell r="I186">
            <v>2609.2660964269162</v>
          </cell>
          <cell r="J186">
            <v>2609.2660964269162</v>
          </cell>
          <cell r="N186">
            <v>-10688.165500810494</v>
          </cell>
          <cell r="R186">
            <v>-36123.547418110807</v>
          </cell>
          <cell r="S186">
            <v>-36123.5474181108</v>
          </cell>
        </row>
        <row r="194">
          <cell r="E194">
            <v>6015.7447552821832</v>
          </cell>
          <cell r="I194">
            <v>-2609.2660964269162</v>
          </cell>
          <cell r="J194">
            <v>-2609.2660964269162</v>
          </cell>
          <cell r="N194">
            <v>10688.165500810494</v>
          </cell>
          <cell r="R194">
            <v>36123.547418110807</v>
          </cell>
          <cell r="S194">
            <v>36123.5474181108</v>
          </cell>
        </row>
        <row r="197">
          <cell r="E197">
            <v>8420.7014238708471</v>
          </cell>
          <cell r="I197">
            <v>6063.9863512436477</v>
          </cell>
          <cell r="J197">
            <v>6063.9869077537151</v>
          </cell>
          <cell r="N197">
            <v>7949.444036734285</v>
          </cell>
          <cell r="R197">
            <v>22562.674562454318</v>
          </cell>
          <cell r="S197">
            <v>22562.674562454311</v>
          </cell>
        </row>
        <row r="198">
          <cell r="E198">
            <v>-2.4730001314310357E-5</v>
          </cell>
          <cell r="I198">
            <v>-2075.5352732679985</v>
          </cell>
          <cell r="J198">
            <v>-2075.5352732679985</v>
          </cell>
        </row>
        <row r="199">
          <cell r="E199">
            <v>8420.7019293899993</v>
          </cell>
          <cell r="I199">
            <v>8252.2635178700002</v>
          </cell>
          <cell r="J199">
            <v>8252.2635178700002</v>
          </cell>
        </row>
        <row r="202">
          <cell r="E202">
            <v>-2404.956668588663</v>
          </cell>
          <cell r="I202">
            <v>-8673.2524476705639</v>
          </cell>
          <cell r="J202">
            <v>-8673.2530041806313</v>
          </cell>
          <cell r="N202">
            <v>2738.721464076209</v>
          </cell>
          <cell r="R202">
            <v>13560.872855656491</v>
          </cell>
          <cell r="S202">
            <v>13560.872855656491</v>
          </cell>
        </row>
        <row r="206">
          <cell r="E206">
            <v>3100.7151836100011</v>
          </cell>
          <cell r="I206">
            <v>3753.0839271300001</v>
          </cell>
          <cell r="J206">
            <v>3753.0839271300001</v>
          </cell>
        </row>
        <row r="209">
          <cell r="I209">
            <v>-2609.2660964269162</v>
          </cell>
          <cell r="J209">
            <v>-2609.2660964269162</v>
          </cell>
        </row>
        <row r="210">
          <cell r="I210">
            <v>0</v>
          </cell>
          <cell r="J210">
            <v>0</v>
          </cell>
        </row>
        <row r="214">
          <cell r="R214">
            <v>-4.0199999999999996</v>
          </cell>
          <cell r="S214">
            <v>-4.0200000000000005</v>
          </cell>
        </row>
        <row r="226">
          <cell r="R226">
            <v>36123.547418110807</v>
          </cell>
        </row>
        <row r="248">
          <cell r="N248" t="e">
            <v>#DIV/0!</v>
          </cell>
          <cell r="R248">
            <v>2918.8430990931165</v>
          </cell>
          <cell r="S248">
            <v>6037.4009257125581</v>
          </cell>
        </row>
        <row r="250">
          <cell r="N250" t="e">
            <v>#DIV/0!</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117F5-885A-4C35-881D-C93E946F778F}">
  <sheetPr codeName="Hoja1">
    <pageSetUpPr autoPageBreaks="0"/>
  </sheetPr>
  <dimension ref="A1:I27"/>
  <sheetViews>
    <sheetView showGridLines="0" tabSelected="1" zoomScaleNormal="100" workbookViewId="0"/>
  </sheetViews>
  <sheetFormatPr baseColWidth="10" defaultColWidth="11.42578125" defaultRowHeight="12.75" x14ac:dyDescent="0.2"/>
  <cols>
    <col min="1" max="1" width="23.140625" style="2" customWidth="1"/>
    <col min="2" max="4" width="11.42578125" style="18" customWidth="1"/>
    <col min="5" max="6" width="11.42578125" style="25" customWidth="1"/>
    <col min="7" max="9" width="14.7109375" style="25" customWidth="1"/>
    <col min="10" max="16384" width="11.42578125" style="2"/>
  </cols>
  <sheetData>
    <row r="1" spans="1:9" s="178" customFormat="1" ht="15.75" x14ac:dyDescent="0.25">
      <c r="A1" s="178" t="s">
        <v>88</v>
      </c>
      <c r="B1" s="303"/>
      <c r="C1" s="303"/>
      <c r="D1" s="303"/>
      <c r="E1" s="304"/>
      <c r="F1" s="304"/>
      <c r="G1" s="304"/>
      <c r="H1" s="304"/>
      <c r="I1" s="304"/>
    </row>
    <row r="2" spans="1:9" s="14" customFormat="1" ht="18.75" x14ac:dyDescent="0.3">
      <c r="B2" s="15"/>
      <c r="C2" s="15"/>
      <c r="D2" s="15"/>
      <c r="E2" s="16"/>
      <c r="F2" s="16"/>
      <c r="G2" s="16"/>
      <c r="H2" s="16"/>
      <c r="I2" s="16"/>
    </row>
    <row r="3" spans="1:9" s="178" customFormat="1" ht="15.75" x14ac:dyDescent="0.25">
      <c r="A3" s="178" t="s">
        <v>89</v>
      </c>
      <c r="B3" s="303"/>
      <c r="C3" s="303"/>
      <c r="D3" s="303"/>
      <c r="E3" s="304"/>
      <c r="F3" s="304"/>
      <c r="G3" s="304"/>
      <c r="H3" s="304"/>
      <c r="I3" s="304"/>
    </row>
    <row r="4" spans="1:9" ht="18" customHeight="1" x14ac:dyDescent="0.2">
      <c r="A4" s="17" t="s">
        <v>90</v>
      </c>
      <c r="E4" s="18"/>
      <c r="F4" s="18"/>
      <c r="G4" s="18"/>
      <c r="H4" s="18"/>
      <c r="I4" s="18"/>
    </row>
    <row r="5" spans="1:9" x14ac:dyDescent="0.2">
      <c r="A5" s="338" t="s">
        <v>91</v>
      </c>
      <c r="B5" s="339" t="s">
        <v>157</v>
      </c>
      <c r="C5" s="340"/>
      <c r="D5" s="2"/>
      <c r="E5" s="2"/>
      <c r="F5" s="2"/>
      <c r="G5" s="2"/>
      <c r="H5" s="2"/>
      <c r="I5" s="2"/>
    </row>
    <row r="6" spans="1:9" x14ac:dyDescent="0.2">
      <c r="A6" s="338"/>
      <c r="B6" s="341"/>
      <c r="C6" s="342"/>
      <c r="D6" s="2"/>
      <c r="E6" s="2"/>
      <c r="F6" s="2"/>
      <c r="G6" s="2"/>
      <c r="H6" s="2"/>
      <c r="I6" s="2"/>
    </row>
    <row r="7" spans="1:9" s="1" customFormat="1" ht="29.25" customHeight="1" x14ac:dyDescent="0.25">
      <c r="A7" s="338"/>
      <c r="B7" s="305" t="s">
        <v>92</v>
      </c>
      <c r="C7" s="305" t="s">
        <v>93</v>
      </c>
    </row>
    <row r="8" spans="1:9" s="19" customFormat="1" ht="22.5" customHeight="1" x14ac:dyDescent="0.25">
      <c r="A8" s="306" t="s">
        <v>94</v>
      </c>
      <c r="B8" s="307">
        <v>87.29122293011639</v>
      </c>
      <c r="C8" s="307">
        <v>82.407134000504712</v>
      </c>
      <c r="D8" s="1"/>
    </row>
    <row r="9" spans="1:9" s="19" customFormat="1" ht="22.5" customHeight="1" x14ac:dyDescent="0.25">
      <c r="A9" s="343" t="s">
        <v>156</v>
      </c>
      <c r="B9" s="344"/>
      <c r="C9" s="345"/>
    </row>
    <row r="10" spans="1:9" s="20" customFormat="1" ht="22.5" customHeight="1" x14ac:dyDescent="0.25">
      <c r="A10" s="308" t="s">
        <v>137</v>
      </c>
      <c r="B10" s="309">
        <f>+'Arg IV - Valor propuesta'!B20</f>
        <v>54.439847335252203</v>
      </c>
      <c r="C10" s="309">
        <f>+'Arg IV - Valor propuesta'!B33</f>
        <v>50.834199902154978</v>
      </c>
      <c r="D10" s="271"/>
    </row>
    <row r="11" spans="1:9" s="21" customFormat="1" x14ac:dyDescent="0.25">
      <c r="A11" s="331" t="s">
        <v>107</v>
      </c>
      <c r="B11" s="310">
        <v>62.133324845637503</v>
      </c>
      <c r="C11" s="311">
        <v>55.59756027704735</v>
      </c>
    </row>
    <row r="12" spans="1:9" s="21" customFormat="1" x14ac:dyDescent="0.25">
      <c r="A12" s="332"/>
      <c r="B12" s="312" t="s">
        <v>96</v>
      </c>
      <c r="C12" s="313" t="s">
        <v>96</v>
      </c>
    </row>
    <row r="13" spans="1:9" s="21" customFormat="1" ht="22.5" customHeight="1" x14ac:dyDescent="0.25">
      <c r="A13" s="314" t="s">
        <v>136</v>
      </c>
      <c r="B13" s="309">
        <v>56.913688081402029</v>
      </c>
      <c r="C13" s="315">
        <v>53.231118190231939</v>
      </c>
    </row>
    <row r="14" spans="1:9" s="24" customFormat="1" ht="15" customHeight="1" x14ac:dyDescent="0.2">
      <c r="A14" s="316" t="s">
        <v>158</v>
      </c>
      <c r="B14" s="22"/>
      <c r="C14" s="22"/>
      <c r="D14" s="22"/>
      <c r="E14" s="23"/>
      <c r="F14" s="23"/>
      <c r="G14" s="23"/>
      <c r="H14" s="23"/>
      <c r="I14" s="23"/>
    </row>
    <row r="15" spans="1:9" s="24" customFormat="1" ht="15" customHeight="1" x14ac:dyDescent="0.2">
      <c r="A15" s="316" t="s">
        <v>159</v>
      </c>
      <c r="B15" s="22"/>
      <c r="C15" s="22"/>
      <c r="D15" s="22"/>
      <c r="E15" s="23"/>
      <c r="F15" s="23"/>
      <c r="G15" s="23"/>
      <c r="H15" s="23"/>
      <c r="I15" s="23"/>
    </row>
    <row r="16" spans="1:9" s="24" customFormat="1" x14ac:dyDescent="0.2">
      <c r="B16" s="22"/>
      <c r="C16" s="22"/>
      <c r="D16" s="22"/>
      <c r="E16" s="23"/>
      <c r="F16" s="23"/>
      <c r="G16" s="23"/>
      <c r="H16" s="23"/>
      <c r="I16" s="23"/>
    </row>
    <row r="17" spans="1:9" s="319" customFormat="1" ht="15.75" x14ac:dyDescent="0.25">
      <c r="A17" s="178" t="s">
        <v>116</v>
      </c>
      <c r="B17" s="317"/>
      <c r="C17" s="317"/>
      <c r="D17" s="317"/>
      <c r="E17" s="318"/>
      <c r="F17" s="318"/>
      <c r="G17" s="318"/>
      <c r="H17" s="318"/>
      <c r="I17" s="318"/>
    </row>
    <row r="18" spans="1:9" s="24" customFormat="1" ht="15.75" customHeight="1" x14ac:dyDescent="0.2">
      <c r="A18" s="17" t="s">
        <v>97</v>
      </c>
      <c r="B18" s="22"/>
      <c r="C18" s="22"/>
      <c r="D18" s="22"/>
      <c r="E18" s="23"/>
      <c r="F18" s="23"/>
      <c r="G18" s="23"/>
      <c r="H18" s="23"/>
      <c r="I18" s="23"/>
    </row>
    <row r="19" spans="1:9" s="24" customFormat="1" ht="21" customHeight="1" x14ac:dyDescent="0.2">
      <c r="A19" s="333"/>
      <c r="B19" s="305" t="s">
        <v>98</v>
      </c>
      <c r="C19" s="305" t="s">
        <v>99</v>
      </c>
      <c r="D19" s="335" t="s">
        <v>100</v>
      </c>
      <c r="E19" s="336"/>
      <c r="F19" s="337"/>
      <c r="G19" s="23"/>
      <c r="H19" s="23"/>
      <c r="I19" s="23"/>
    </row>
    <row r="20" spans="1:9" s="24" customFormat="1" ht="27.75" customHeight="1" x14ac:dyDescent="0.2">
      <c r="A20" s="334"/>
      <c r="B20" s="305" t="s">
        <v>101</v>
      </c>
      <c r="C20" s="305" t="s">
        <v>101</v>
      </c>
      <c r="D20" s="305" t="s">
        <v>46</v>
      </c>
      <c r="E20" s="305" t="s">
        <v>45</v>
      </c>
      <c r="F20" s="305" t="s">
        <v>101</v>
      </c>
      <c r="G20" s="279"/>
      <c r="H20" s="23"/>
      <c r="I20" s="23"/>
    </row>
    <row r="21" spans="1:9" s="24" customFormat="1" ht="24" customHeight="1" x14ac:dyDescent="0.2">
      <c r="A21" s="320" t="s">
        <v>102</v>
      </c>
      <c r="B21" s="321">
        <f>+SUM(Perfil!D7:D11)</f>
        <v>31126.527267433528</v>
      </c>
      <c r="C21" s="321">
        <f>+SUM(Perfil!D7:D17)</f>
        <v>72540.904425171786</v>
      </c>
      <c r="D21" s="321">
        <f>+Perfil!C37</f>
        <v>66316.372170313669</v>
      </c>
      <c r="E21" s="321">
        <f>+Perfil!B37</f>
        <v>60068.145450131859</v>
      </c>
      <c r="F21" s="321">
        <f>+E21+D21</f>
        <v>126384.51762044552</v>
      </c>
      <c r="G21" s="279"/>
      <c r="H21" s="23"/>
      <c r="I21" s="23"/>
    </row>
    <row r="22" spans="1:9" s="24" customFormat="1" ht="24" customHeight="1" x14ac:dyDescent="0.2">
      <c r="A22" s="328" t="s">
        <v>156</v>
      </c>
      <c r="B22" s="329"/>
      <c r="C22" s="329"/>
      <c r="D22" s="329"/>
      <c r="E22" s="329"/>
      <c r="F22" s="330"/>
      <c r="G22" s="279"/>
      <c r="H22" s="23"/>
      <c r="I22" s="23"/>
    </row>
    <row r="23" spans="1:9" s="24" customFormat="1" ht="24" customHeight="1" x14ac:dyDescent="0.2">
      <c r="A23" s="308" t="s">
        <v>137</v>
      </c>
      <c r="B23" s="322">
        <f>+SUM(Perfil!V7:V11)</f>
        <v>3958.613110738771</v>
      </c>
      <c r="C23" s="322">
        <f>+SUM(Perfil!V7:V17)</f>
        <v>42404.962981458615</v>
      </c>
      <c r="D23" s="322">
        <f>+Perfil!U37</f>
        <v>67866.193825876544</v>
      </c>
      <c r="E23" s="322">
        <f>+Perfil!T37</f>
        <v>23797.501546937136</v>
      </c>
      <c r="F23" s="322">
        <f>+E23+D23</f>
        <v>91663.695372813672</v>
      </c>
      <c r="G23" s="279"/>
      <c r="H23" s="23"/>
      <c r="I23" s="23"/>
    </row>
    <row r="24" spans="1:9" ht="24" customHeight="1" x14ac:dyDescent="0.2">
      <c r="A24" s="314" t="s">
        <v>161</v>
      </c>
      <c r="B24" s="322">
        <f>SUM(Perfil!P7:P11)</f>
        <v>7801.0413478442388</v>
      </c>
      <c r="C24" s="322">
        <f>+SUM(Perfil!P7:P17)</f>
        <v>44005.413038702405</v>
      </c>
      <c r="D24" s="322">
        <f>+Perfil!O37</f>
        <v>67392.061095695884</v>
      </c>
      <c r="E24" s="322">
        <f>+Perfil!N37</f>
        <v>36168.658996945982</v>
      </c>
      <c r="F24" s="322">
        <f>+D24+E24</f>
        <v>103560.72009264186</v>
      </c>
      <c r="G24" s="280"/>
    </row>
    <row r="25" spans="1:9" ht="24" customHeight="1" x14ac:dyDescent="0.2">
      <c r="A25" s="314" t="s">
        <v>136</v>
      </c>
      <c r="B25" s="322">
        <f>+SUM(Perfil!S7:S11)</f>
        <v>4057.9200329988344</v>
      </c>
      <c r="C25" s="322">
        <f>+SUM(Perfil!S7:S17)</f>
        <v>46144.408287162543</v>
      </c>
      <c r="D25" s="322">
        <f>+Perfil!R37</f>
        <v>68032.417272520164</v>
      </c>
      <c r="E25" s="322">
        <f>+Perfil!Q37</f>
        <v>26309.36305812201</v>
      </c>
      <c r="F25" s="322">
        <f>+D25+E25</f>
        <v>94341.78033064217</v>
      </c>
      <c r="G25" s="280"/>
    </row>
    <row r="26" spans="1:9" ht="15" customHeight="1" x14ac:dyDescent="0.2">
      <c r="A26" s="316" t="s">
        <v>160</v>
      </c>
      <c r="G26" s="280"/>
    </row>
    <row r="27" spans="1:9" ht="15" customHeight="1" x14ac:dyDescent="0.2">
      <c r="A27" s="316"/>
    </row>
  </sheetData>
  <mergeCells count="7">
    <mergeCell ref="A22:F22"/>
    <mergeCell ref="A11:A12"/>
    <mergeCell ref="A19:A20"/>
    <mergeCell ref="D19:F19"/>
    <mergeCell ref="A5:A7"/>
    <mergeCell ref="B5:C6"/>
    <mergeCell ref="A9:C9"/>
  </mergeCells>
  <phoneticPr fontId="18" type="noConversion"/>
  <pageMargins left="0.7" right="0.7" top="0.75" bottom="0.75" header="0.3" footer="0.3"/>
  <pageSetup orientation="portrait" r:id="rId1"/>
  <ignoredErrors>
    <ignoredError sqref="B25:C2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BE010-9609-403A-9672-EACC769780A5}">
  <sheetPr codeName="Hoja2"/>
  <dimension ref="A1:V40"/>
  <sheetViews>
    <sheetView showGridLines="0" zoomScaleNormal="100" workbookViewId="0"/>
  </sheetViews>
  <sheetFormatPr baseColWidth="10" defaultColWidth="11.42578125" defaultRowHeight="12.75" x14ac:dyDescent="0.2"/>
  <cols>
    <col min="1" max="1" width="11.42578125" style="33"/>
    <col min="2" max="2" width="8.28515625" style="33" bestFit="1" customWidth="1"/>
    <col min="3" max="3" width="13" style="33" bestFit="1" customWidth="1"/>
    <col min="4" max="4" width="14.140625" style="33" bestFit="1" customWidth="1"/>
    <col min="5" max="5" width="8.28515625" style="33" bestFit="1" customWidth="1"/>
    <col min="6" max="6" width="13" style="33" bestFit="1" customWidth="1"/>
    <col min="7" max="7" width="13.140625" style="33" bestFit="1" customWidth="1"/>
    <col min="8" max="8" width="8.28515625" style="33" bestFit="1" customWidth="1"/>
    <col min="9" max="9" width="13" style="33" bestFit="1" customWidth="1"/>
    <col min="10" max="10" width="13.5703125" style="33" bestFit="1" customWidth="1"/>
    <col min="11" max="11" width="8.28515625" style="33" bestFit="1" customWidth="1"/>
    <col min="12" max="12" width="13" style="33" bestFit="1" customWidth="1"/>
    <col min="13" max="13" width="14" style="33" bestFit="1" customWidth="1"/>
    <col min="14" max="14" width="8.28515625" style="33" bestFit="1" customWidth="1"/>
    <col min="15" max="15" width="13" style="33" bestFit="1" customWidth="1"/>
    <col min="16" max="16" width="14" style="33" customWidth="1"/>
    <col min="17" max="17" width="8.28515625" style="33" bestFit="1" customWidth="1"/>
    <col min="18" max="18" width="13" style="33" bestFit="1" customWidth="1"/>
    <col min="19" max="19" width="10" style="33" customWidth="1"/>
    <col min="20" max="20" width="8.28515625" style="33" bestFit="1" customWidth="1"/>
    <col min="21" max="21" width="13" style="33" bestFit="1" customWidth="1"/>
    <col min="22" max="22" width="11.140625" style="33" customWidth="1"/>
    <col min="23" max="16384" width="11.42578125" style="33"/>
  </cols>
  <sheetData>
    <row r="1" spans="1:22" ht="15.75" x14ac:dyDescent="0.25">
      <c r="A1" s="178" t="s">
        <v>104</v>
      </c>
    </row>
    <row r="2" spans="1:22" x14ac:dyDescent="0.2">
      <c r="A2" s="49" t="s">
        <v>105</v>
      </c>
      <c r="N2" s="273"/>
      <c r="O2" s="273"/>
      <c r="P2" s="273"/>
      <c r="Q2" s="273"/>
      <c r="R2" s="273"/>
      <c r="S2" s="273"/>
    </row>
    <row r="3" spans="1:22" x14ac:dyDescent="0.2">
      <c r="A3" s="49"/>
      <c r="B3" s="272"/>
      <c r="C3" s="273"/>
      <c r="D3" s="273"/>
      <c r="E3" s="274"/>
      <c r="F3" s="274"/>
      <c r="G3" s="273"/>
      <c r="H3" s="273"/>
      <c r="I3" s="273"/>
      <c r="J3" s="273"/>
      <c r="K3" s="273"/>
      <c r="L3" s="273"/>
      <c r="M3" s="273"/>
      <c r="N3" s="274"/>
      <c r="O3" s="274"/>
      <c r="P3" s="273"/>
      <c r="Q3" s="273"/>
      <c r="R3" s="273"/>
      <c r="S3" s="273"/>
    </row>
    <row r="4" spans="1:22" ht="15" customHeight="1" x14ac:dyDescent="0.2">
      <c r="B4" s="346" t="s">
        <v>106</v>
      </c>
      <c r="C4" s="347"/>
      <c r="D4" s="348"/>
      <c r="E4" s="346" t="s">
        <v>95</v>
      </c>
      <c r="F4" s="347"/>
      <c r="G4" s="348"/>
      <c r="H4" s="346" t="s">
        <v>103</v>
      </c>
      <c r="I4" s="347"/>
      <c r="J4" s="348"/>
      <c r="K4" s="346" t="s">
        <v>151</v>
      </c>
      <c r="L4" s="347"/>
      <c r="M4" s="348"/>
      <c r="N4" s="346" t="s">
        <v>107</v>
      </c>
      <c r="O4" s="347"/>
      <c r="P4" s="348"/>
      <c r="Q4" s="346" t="s">
        <v>136</v>
      </c>
      <c r="R4" s="347"/>
      <c r="S4" s="348"/>
      <c r="T4" s="346" t="s">
        <v>137</v>
      </c>
      <c r="U4" s="347"/>
      <c r="V4" s="348"/>
    </row>
    <row r="5" spans="1:22" ht="15" customHeight="1" x14ac:dyDescent="0.2">
      <c r="B5" s="349"/>
      <c r="C5" s="352"/>
      <c r="D5" s="351"/>
      <c r="E5" s="349"/>
      <c r="F5" s="350"/>
      <c r="G5" s="351"/>
      <c r="H5" s="349"/>
      <c r="I5" s="350"/>
      <c r="J5" s="351"/>
      <c r="K5" s="349"/>
      <c r="L5" s="350"/>
      <c r="M5" s="351"/>
      <c r="N5" s="349"/>
      <c r="O5" s="350"/>
      <c r="P5" s="351"/>
      <c r="Q5" s="349"/>
      <c r="R5" s="350"/>
      <c r="S5" s="351"/>
      <c r="T5" s="349"/>
      <c r="U5" s="350"/>
      <c r="V5" s="351"/>
    </row>
    <row r="6" spans="1:22" s="54" customFormat="1" ht="25.5" x14ac:dyDescent="0.2">
      <c r="A6" s="50" t="s">
        <v>108</v>
      </c>
      <c r="B6" s="51" t="s">
        <v>45</v>
      </c>
      <c r="C6" s="52" t="s">
        <v>129</v>
      </c>
      <c r="D6" s="53" t="s">
        <v>106</v>
      </c>
      <c r="E6" s="51" t="s">
        <v>45</v>
      </c>
      <c r="F6" s="52" t="s">
        <v>129</v>
      </c>
      <c r="G6" s="53" t="s">
        <v>95</v>
      </c>
      <c r="H6" s="51" t="s">
        <v>45</v>
      </c>
      <c r="I6" s="52" t="s">
        <v>129</v>
      </c>
      <c r="J6" s="52" t="s">
        <v>103</v>
      </c>
      <c r="K6" s="51" t="s">
        <v>45</v>
      </c>
      <c r="L6" s="52" t="s">
        <v>129</v>
      </c>
      <c r="M6" s="53" t="s">
        <v>151</v>
      </c>
      <c r="N6" s="51" t="s">
        <v>45</v>
      </c>
      <c r="O6" s="52" t="s">
        <v>129</v>
      </c>
      <c r="P6" s="53" t="s">
        <v>107</v>
      </c>
      <c r="Q6" s="51" t="s">
        <v>45</v>
      </c>
      <c r="R6" s="52" t="s">
        <v>129</v>
      </c>
      <c r="S6" s="53" t="s">
        <v>136</v>
      </c>
      <c r="T6" s="51" t="s">
        <v>45</v>
      </c>
      <c r="U6" s="52" t="s">
        <v>129</v>
      </c>
      <c r="V6" s="53" t="s">
        <v>137</v>
      </c>
    </row>
    <row r="7" spans="1:22" x14ac:dyDescent="0.2">
      <c r="A7" s="55">
        <v>2020</v>
      </c>
      <c r="B7" s="56">
        <v>3046.9646670772686</v>
      </c>
      <c r="C7" s="57">
        <v>422.96711430686264</v>
      </c>
      <c r="D7" s="58">
        <f>+SUM(B7:C7)</f>
        <v>3469.9317813841312</v>
      </c>
      <c r="E7" s="59">
        <v>0</v>
      </c>
      <c r="F7" s="57">
        <v>0</v>
      </c>
      <c r="G7" s="58">
        <f>+SUM(E7:F7)</f>
        <v>0</v>
      </c>
      <c r="H7" s="59">
        <v>0</v>
      </c>
      <c r="I7" s="275">
        <v>0</v>
      </c>
      <c r="J7" s="58">
        <f>+SUM(H7:I7)</f>
        <v>0</v>
      </c>
      <c r="K7" s="59">
        <v>0</v>
      </c>
      <c r="L7" s="275">
        <v>0</v>
      </c>
      <c r="M7" s="58">
        <f>+SUM(K7:L7)</f>
        <v>0</v>
      </c>
      <c r="N7" s="56">
        <v>1396.1788561198775</v>
      </c>
      <c r="O7" s="57">
        <v>0</v>
      </c>
      <c r="P7" s="58">
        <f>+SUM(N7:O7)</f>
        <v>1396.1788561198775</v>
      </c>
      <c r="Q7" s="59">
        <v>0</v>
      </c>
      <c r="R7" s="57">
        <v>0</v>
      </c>
      <c r="S7" s="58">
        <f>+SUM(Q7:R7)</f>
        <v>0</v>
      </c>
      <c r="T7" s="59">
        <f>+SUMIF('Arg IV - Nuevos Bonos'!$N:$N,Perfil!$A7,'Arg IV - Nuevos Bonos'!$BM:$BM)</f>
        <v>0</v>
      </c>
      <c r="U7" s="57">
        <f>+SUMIF('Arg IV - Nuevos Bonos'!$N:$N,Perfil!$A7,'Arg IV - Nuevos Bonos'!$BN:$BN)</f>
        <v>0</v>
      </c>
      <c r="V7" s="58">
        <f>+T7+U7</f>
        <v>0</v>
      </c>
    </row>
    <row r="8" spans="1:22" x14ac:dyDescent="0.2">
      <c r="A8" s="55">
        <v>2021</v>
      </c>
      <c r="B8" s="59">
        <v>3908.6795265634637</v>
      </c>
      <c r="C8" s="57">
        <v>4500</v>
      </c>
      <c r="D8" s="58">
        <f t="shared" ref="D8:D36" si="0">+SUM(B8:C8)</f>
        <v>8408.6795265634646</v>
      </c>
      <c r="E8" s="59">
        <v>0</v>
      </c>
      <c r="F8" s="57">
        <v>0</v>
      </c>
      <c r="G8" s="58">
        <f t="shared" ref="G8:G36" si="1">+SUM(E8:F8)</f>
        <v>0</v>
      </c>
      <c r="H8" s="59">
        <v>0</v>
      </c>
      <c r="I8" s="275">
        <v>0</v>
      </c>
      <c r="J8" s="58">
        <f t="shared" ref="J8:J36" si="2">+SUM(H8:I8)</f>
        <v>0</v>
      </c>
      <c r="K8" s="59">
        <v>109.25984937582879</v>
      </c>
      <c r="L8" s="275">
        <v>0</v>
      </c>
      <c r="M8" s="58">
        <f t="shared" ref="M8:M36" si="3">+SUM(K8:L8)</f>
        <v>109.25984937582879</v>
      </c>
      <c r="N8" s="59">
        <v>441.32167992068173</v>
      </c>
      <c r="O8" s="57">
        <v>465.3929520399592</v>
      </c>
      <c r="P8" s="58">
        <f t="shared" ref="P8:P36" si="4">+SUM(N8:O8)</f>
        <v>906.71463196064087</v>
      </c>
      <c r="Q8" s="59">
        <v>109.47365157274805</v>
      </c>
      <c r="R8" s="57">
        <v>0</v>
      </c>
      <c r="S8" s="58">
        <f t="shared" ref="S8:S36" si="5">+SUM(Q8:R8)</f>
        <v>109.47365157274805</v>
      </c>
      <c r="T8" s="59">
        <f>+SUMIF('Arg IV - Nuevos Bonos'!$N:$N,Perfil!$A8,'Arg IV - Nuevos Bonos'!$BM:$BM)</f>
        <v>106.0327440609218</v>
      </c>
      <c r="U8" s="57">
        <f>+SUMIF('Arg IV - Nuevos Bonos'!$N:$N,Perfil!$A8,'Arg IV - Nuevos Bonos'!$BN:$BN)</f>
        <v>0</v>
      </c>
      <c r="V8" s="58">
        <f t="shared" ref="V8:V36" si="6">+T8+U8</f>
        <v>106.0327440609218</v>
      </c>
    </row>
    <row r="9" spans="1:22" x14ac:dyDescent="0.2">
      <c r="A9" s="55">
        <v>2022</v>
      </c>
      <c r="B9" s="59">
        <v>3661.9780828289304</v>
      </c>
      <c r="C9" s="57">
        <v>4656.0742407199104</v>
      </c>
      <c r="D9" s="58">
        <f t="shared" si="0"/>
        <v>8318.0523235488399</v>
      </c>
      <c r="E9" s="59">
        <v>0</v>
      </c>
      <c r="F9" s="57">
        <v>0</v>
      </c>
      <c r="G9" s="58">
        <f t="shared" si="1"/>
        <v>0</v>
      </c>
      <c r="H9" s="59">
        <v>365.15082616313265</v>
      </c>
      <c r="I9" s="275">
        <v>0</v>
      </c>
      <c r="J9" s="58">
        <f t="shared" si="2"/>
        <v>365.15082616313265</v>
      </c>
      <c r="K9" s="59">
        <v>681.77557974548654</v>
      </c>
      <c r="L9" s="275">
        <v>0</v>
      </c>
      <c r="M9" s="58">
        <f t="shared" si="3"/>
        <v>681.77557974548654</v>
      </c>
      <c r="N9" s="59">
        <v>1036.6245042599</v>
      </c>
      <c r="O9" s="57">
        <v>465.3929520399592</v>
      </c>
      <c r="P9" s="58">
        <f t="shared" si="4"/>
        <v>1502.0174562998593</v>
      </c>
      <c r="Q9" s="59">
        <v>725.17704606421557</v>
      </c>
      <c r="R9" s="57">
        <v>0</v>
      </c>
      <c r="S9" s="58">
        <f t="shared" si="5"/>
        <v>725.17704606421557</v>
      </c>
      <c r="T9" s="59">
        <f>+SUMIF('Arg IV - Nuevos Bonos'!$N:$N,Perfil!$A9,'Arg IV - Nuevos Bonos'!$BM:$BM)</f>
        <v>800.21797689172149</v>
      </c>
      <c r="U9" s="57">
        <f>+SUMIF('Arg IV - Nuevos Bonos'!$N:$N,Perfil!$A9,'Arg IV - Nuevos Bonos'!$BN:$BN)</f>
        <v>0</v>
      </c>
      <c r="V9" s="58">
        <f t="shared" si="6"/>
        <v>800.21797689172149</v>
      </c>
    </row>
    <row r="10" spans="1:22" x14ac:dyDescent="0.2">
      <c r="A10" s="55">
        <v>2023</v>
      </c>
      <c r="B10" s="59">
        <v>3475.6177060010341</v>
      </c>
      <c r="C10" s="57">
        <v>2874.8593925759278</v>
      </c>
      <c r="D10" s="58">
        <f t="shared" si="0"/>
        <v>6350.4770985769619</v>
      </c>
      <c r="E10" s="59">
        <v>337.80538638411804</v>
      </c>
      <c r="F10" s="57">
        <v>0</v>
      </c>
      <c r="G10" s="58">
        <f t="shared" si="1"/>
        <v>337.80538638411804</v>
      </c>
      <c r="H10" s="59">
        <v>678.67283813984159</v>
      </c>
      <c r="I10" s="275">
        <v>0</v>
      </c>
      <c r="J10" s="58">
        <f t="shared" si="2"/>
        <v>678.67283813984159</v>
      </c>
      <c r="K10" s="59">
        <v>1108.4318630726302</v>
      </c>
      <c r="L10" s="275">
        <v>0</v>
      </c>
      <c r="M10" s="58">
        <f t="shared" si="3"/>
        <v>1108.4318630726302</v>
      </c>
      <c r="N10" s="59">
        <v>1638.6206558320005</v>
      </c>
      <c r="O10" s="57">
        <v>465.3929520399592</v>
      </c>
      <c r="P10" s="58">
        <f t="shared" si="4"/>
        <v>2104.0136078719597</v>
      </c>
      <c r="Q10" s="59">
        <v>1269.6415095589152</v>
      </c>
      <c r="R10" s="57">
        <v>0</v>
      </c>
      <c r="S10" s="58">
        <f t="shared" si="5"/>
        <v>1269.6415095589152</v>
      </c>
      <c r="T10" s="59">
        <f>+SUMIF('Arg IV - Nuevos Bonos'!$N:$N,Perfil!$A10,'Arg IV - Nuevos Bonos'!$BM:$BM)</f>
        <v>1226.7765798634434</v>
      </c>
      <c r="U10" s="57">
        <f>+SUMIF('Arg IV - Nuevos Bonos'!$N:$N,Perfil!$A10,'Arg IV - Nuevos Bonos'!$BN:$BN)</f>
        <v>0</v>
      </c>
      <c r="V10" s="58">
        <f t="shared" si="6"/>
        <v>1226.7765798634434</v>
      </c>
    </row>
    <row r="11" spans="1:22" x14ac:dyDescent="0.2">
      <c r="A11" s="55">
        <v>2024</v>
      </c>
      <c r="B11" s="59">
        <v>3373.1066304642882</v>
      </c>
      <c r="C11" s="57">
        <v>1206.2799068958439</v>
      </c>
      <c r="D11" s="58">
        <f t="shared" si="0"/>
        <v>4579.386537360132</v>
      </c>
      <c r="E11" s="59">
        <v>880.11646264441265</v>
      </c>
      <c r="F11" s="57">
        <v>0</v>
      </c>
      <c r="G11" s="58">
        <f t="shared" si="1"/>
        <v>880.11646264441265</v>
      </c>
      <c r="H11" s="59">
        <v>1515.1179728425925</v>
      </c>
      <c r="I11" s="275">
        <v>0</v>
      </c>
      <c r="J11" s="58">
        <f t="shared" si="2"/>
        <v>1515.1179728425925</v>
      </c>
      <c r="K11" s="59">
        <v>1914.9739731691207</v>
      </c>
      <c r="L11" s="275">
        <v>0</v>
      </c>
      <c r="M11" s="58">
        <f t="shared" si="3"/>
        <v>1914.9739731691207</v>
      </c>
      <c r="N11" s="59">
        <v>1892.1167955919016</v>
      </c>
      <c r="O11" s="57">
        <v>0</v>
      </c>
      <c r="P11" s="58">
        <f t="shared" si="4"/>
        <v>1892.1167955919016</v>
      </c>
      <c r="Q11" s="59">
        <v>1953.6278258029558</v>
      </c>
      <c r="R11" s="57">
        <v>0</v>
      </c>
      <c r="S11" s="58">
        <f t="shared" si="5"/>
        <v>1953.6278258029558</v>
      </c>
      <c r="T11" s="59">
        <f>+SUMIF('Arg IV - Nuevos Bonos'!$N:$N,Perfil!$A11,'Arg IV - Nuevos Bonos'!$BM:$BM)</f>
        <v>1825.5858099226843</v>
      </c>
      <c r="U11" s="57">
        <f>+SUMIF('Arg IV - Nuevos Bonos'!$N:$N,Perfil!$A11,'Arg IV - Nuevos Bonos'!$BN:$BN)</f>
        <v>0</v>
      </c>
      <c r="V11" s="58">
        <f t="shared" si="6"/>
        <v>1825.5858099226843</v>
      </c>
    </row>
    <row r="12" spans="1:22" x14ac:dyDescent="0.2">
      <c r="A12" s="55">
        <v>2025</v>
      </c>
      <c r="B12" s="59">
        <v>3276.4254556288893</v>
      </c>
      <c r="C12" s="57">
        <v>1206.2799068958439</v>
      </c>
      <c r="D12" s="58">
        <f t="shared" si="0"/>
        <v>4482.7053625247336</v>
      </c>
      <c r="E12" s="59">
        <v>880.11646264441265</v>
      </c>
      <c r="F12" s="57">
        <v>0</v>
      </c>
      <c r="G12" s="58">
        <f t="shared" si="1"/>
        <v>880.11646264441265</v>
      </c>
      <c r="H12" s="59">
        <v>1772.896026490946</v>
      </c>
      <c r="I12" s="275">
        <v>2419.1667439725124</v>
      </c>
      <c r="J12" s="58">
        <f t="shared" si="2"/>
        <v>4192.0627704634589</v>
      </c>
      <c r="K12" s="59">
        <v>2226.2162564709793</v>
      </c>
      <c r="L12" s="275">
        <v>2425.3504030487538</v>
      </c>
      <c r="M12" s="58">
        <f t="shared" si="3"/>
        <v>4651.5666595197326</v>
      </c>
      <c r="N12" s="59">
        <v>2319.4525875248528</v>
      </c>
      <c r="O12" s="57">
        <v>1487.4690663667043</v>
      </c>
      <c r="P12" s="58">
        <f t="shared" si="4"/>
        <v>3806.9216538915571</v>
      </c>
      <c r="Q12" s="59">
        <v>2274.4855987112824</v>
      </c>
      <c r="R12" s="57">
        <v>3205.6518219313493</v>
      </c>
      <c r="S12" s="58">
        <f t="shared" si="5"/>
        <v>5480.1374206426317</v>
      </c>
      <c r="T12" s="59">
        <f>+SUMIF('Arg IV - Nuevos Bonos'!$N:$N,Perfil!$A12,'Arg IV - Nuevos Bonos'!$BM:$BM)</f>
        <v>2033.8046249190818</v>
      </c>
      <c r="U12" s="57">
        <f>+SUMIF('Arg IV - Nuevos Bonos'!$N:$N,Perfil!$A12,'Arg IV - Nuevos Bonos'!$BN:$BN)</f>
        <v>2881.1773528308959</v>
      </c>
      <c r="V12" s="58">
        <f t="shared" si="6"/>
        <v>4914.9819777499779</v>
      </c>
    </row>
    <row r="13" spans="1:22" x14ac:dyDescent="0.2">
      <c r="A13" s="55">
        <v>2026</v>
      </c>
      <c r="B13" s="59">
        <v>2935.4299249442224</v>
      </c>
      <c r="C13" s="57">
        <v>7706.2799068958439</v>
      </c>
      <c r="D13" s="58">
        <f t="shared" si="0"/>
        <v>10641.709831840066</v>
      </c>
      <c r="E13" s="59">
        <v>1568.2403353057246</v>
      </c>
      <c r="F13" s="57">
        <v>2999.9100112485944</v>
      </c>
      <c r="G13" s="58">
        <f t="shared" si="1"/>
        <v>4568.1503465543192</v>
      </c>
      <c r="H13" s="59">
        <v>2031.7548762978108</v>
      </c>
      <c r="I13" s="275">
        <v>2419.1667439725124</v>
      </c>
      <c r="J13" s="58">
        <f t="shared" si="2"/>
        <v>4450.9216202703228</v>
      </c>
      <c r="K13" s="59">
        <v>2204.3764872685119</v>
      </c>
      <c r="L13" s="275">
        <v>2774.3951170787236</v>
      </c>
      <c r="M13" s="58">
        <f t="shared" si="3"/>
        <v>4978.7716043472356</v>
      </c>
      <c r="N13" s="59">
        <v>2794.3865705969711</v>
      </c>
      <c r="O13" s="57">
        <v>2974.9381327334086</v>
      </c>
      <c r="P13" s="58">
        <f t="shared" si="4"/>
        <v>5769.3247033303796</v>
      </c>
      <c r="Q13" s="59">
        <v>2322.2281974302323</v>
      </c>
      <c r="R13" s="57">
        <v>3554.6965359613187</v>
      </c>
      <c r="S13" s="58">
        <f t="shared" si="5"/>
        <v>5876.9247333915509</v>
      </c>
      <c r="T13" s="59">
        <f>+SUMIF('Arg IV - Nuevos Bonos'!$N:$N,Perfil!$A13,'Arg IV - Nuevos Bonos'!$BM:$BM)</f>
        <v>2015.828153228043</v>
      </c>
      <c r="U13" s="57">
        <f>+SUMIF('Arg IV - Nuevos Bonos'!$N:$N,Perfil!$A13,'Arg IV - Nuevos Bonos'!$BN:$BN)</f>
        <v>2881.1773528308959</v>
      </c>
      <c r="V13" s="58">
        <f t="shared" si="6"/>
        <v>4897.0055060589384</v>
      </c>
    </row>
    <row r="14" spans="1:22" x14ac:dyDescent="0.2">
      <c r="A14" s="55">
        <v>2027</v>
      </c>
      <c r="B14" s="59">
        <v>2465.8825520323326</v>
      </c>
      <c r="C14" s="57">
        <v>6362.3541476157534</v>
      </c>
      <c r="D14" s="58">
        <f t="shared" si="0"/>
        <v>8828.2366996480851</v>
      </c>
      <c r="E14" s="59">
        <v>1540.04101022136</v>
      </c>
      <c r="F14" s="57">
        <v>2999.9100112485944</v>
      </c>
      <c r="G14" s="58">
        <f t="shared" si="1"/>
        <v>4539.9510214699549</v>
      </c>
      <c r="H14" s="59">
        <v>1994.5100144537296</v>
      </c>
      <c r="I14" s="275">
        <v>3211.3601299740594</v>
      </c>
      <c r="J14" s="58">
        <f t="shared" si="2"/>
        <v>5205.8701444277885</v>
      </c>
      <c r="K14" s="59">
        <v>2207.3424566219246</v>
      </c>
      <c r="L14" s="275">
        <v>3968.4461095103425</v>
      </c>
      <c r="M14" s="58">
        <f t="shared" si="3"/>
        <v>6175.7885661322671</v>
      </c>
      <c r="N14" s="59">
        <v>3094.000297025621</v>
      </c>
      <c r="O14" s="57">
        <v>2974.9381327334086</v>
      </c>
      <c r="P14" s="58">
        <f t="shared" si="4"/>
        <v>6068.9384297590295</v>
      </c>
      <c r="Q14" s="59">
        <v>2382.2624545739413</v>
      </c>
      <c r="R14" s="57">
        <v>4748.747528392938</v>
      </c>
      <c r="S14" s="58">
        <f t="shared" si="5"/>
        <v>7131.0099829668798</v>
      </c>
      <c r="T14" s="59">
        <f>+SUMIF('Arg IV - Nuevos Bonos'!$N:$N,Perfil!$A14,'Arg IV - Nuevos Bonos'!$BM:$BM)</f>
        <v>1996.3085171182079</v>
      </c>
      <c r="U14" s="57">
        <f>+SUMIF('Arg IV - Nuevos Bonos'!$N:$N,Perfil!$A14,'Arg IV - Nuevos Bonos'!$BN:$BN)</f>
        <v>3579.3031372640271</v>
      </c>
      <c r="V14" s="58">
        <f t="shared" si="6"/>
        <v>5575.6116543822354</v>
      </c>
    </row>
    <row r="15" spans="1:22" x14ac:dyDescent="0.2">
      <c r="A15" s="55">
        <v>2028</v>
      </c>
      <c r="B15" s="59">
        <v>2045.0821767694881</v>
      </c>
      <c r="C15" s="57">
        <v>7581.1392994717717</v>
      </c>
      <c r="D15" s="58">
        <f t="shared" si="0"/>
        <v>9626.2214762412605</v>
      </c>
      <c r="E15" s="59">
        <v>1908.8527734734846</v>
      </c>
      <c r="F15" s="57">
        <v>3403.6600112485944</v>
      </c>
      <c r="G15" s="58">
        <f t="shared" si="1"/>
        <v>5312.5127847220792</v>
      </c>
      <c r="H15" s="59">
        <v>1965.3023671592975</v>
      </c>
      <c r="I15" s="275">
        <v>4307.978227169483</v>
      </c>
      <c r="J15" s="58">
        <f t="shared" si="2"/>
        <v>6273.2805943287804</v>
      </c>
      <c r="K15" s="59">
        <v>2172.8023485325375</v>
      </c>
      <c r="L15" s="275">
        <v>5065.0642067057661</v>
      </c>
      <c r="M15" s="58">
        <f t="shared" si="3"/>
        <v>7237.8665552383036</v>
      </c>
      <c r="N15" s="59">
        <v>3019.4890705814641</v>
      </c>
      <c r="O15" s="57">
        <v>4016.3061004920619</v>
      </c>
      <c r="P15" s="58">
        <f t="shared" si="4"/>
        <v>7035.795171073526</v>
      </c>
      <c r="Q15" s="59">
        <v>2251.4872575960035</v>
      </c>
      <c r="R15" s="57">
        <v>5845.3656255883616</v>
      </c>
      <c r="S15" s="58">
        <f t="shared" si="5"/>
        <v>8096.8528831843651</v>
      </c>
      <c r="T15" s="59">
        <f>+SUMIF('Arg IV - Nuevos Bonos'!$N:$N,Perfil!$A15,'Arg IV - Nuevos Bonos'!$BM:$BM)</f>
        <v>2146.3108048686699</v>
      </c>
      <c r="U15" s="57">
        <f>+SUMIF('Arg IV - Nuevos Bonos'!$N:$N,Perfil!$A15,'Arg IV - Nuevos Bonos'!$BN:$BN)</f>
        <v>5581.2851041755039</v>
      </c>
      <c r="V15" s="58">
        <f t="shared" si="6"/>
        <v>7727.5959090441738</v>
      </c>
    </row>
    <row r="16" spans="1:22" x14ac:dyDescent="0.2">
      <c r="A16" s="55">
        <v>2029</v>
      </c>
      <c r="B16" s="59">
        <v>1787.863906302643</v>
      </c>
      <c r="C16" s="57">
        <v>1840.0346156970813</v>
      </c>
      <c r="D16" s="58">
        <f t="shared" si="0"/>
        <v>3627.8985219997244</v>
      </c>
      <c r="E16" s="59">
        <v>1878.08550072662</v>
      </c>
      <c r="F16" s="57">
        <v>4500.2781084440185</v>
      </c>
      <c r="G16" s="58">
        <f t="shared" si="1"/>
        <v>6378.3636091706385</v>
      </c>
      <c r="H16" s="59">
        <v>2090.1848330247567</v>
      </c>
      <c r="I16" s="275">
        <v>4307.978227169483</v>
      </c>
      <c r="J16" s="58">
        <f t="shared" si="2"/>
        <v>6398.1630601942397</v>
      </c>
      <c r="K16" s="59">
        <v>2265.4325323624507</v>
      </c>
      <c r="L16" s="275">
        <v>5065.0642067057661</v>
      </c>
      <c r="M16" s="58">
        <f t="shared" si="3"/>
        <v>7330.4967390682168</v>
      </c>
      <c r="N16" s="59">
        <v>2836.756200800337</v>
      </c>
      <c r="O16" s="57">
        <v>4016.3061004920619</v>
      </c>
      <c r="P16" s="58">
        <f t="shared" si="4"/>
        <v>6853.0623012923988</v>
      </c>
      <c r="Q16" s="59">
        <v>2154.5150169787735</v>
      </c>
      <c r="R16" s="57">
        <v>5845.3656255883616</v>
      </c>
      <c r="S16" s="58">
        <f t="shared" si="5"/>
        <v>7999.8806425671355</v>
      </c>
      <c r="T16" s="59">
        <f>+SUMIF('Arg IV - Nuevos Bonos'!$N:$N,Perfil!$A16,'Arg IV - Nuevos Bonos'!$BM:$BM)</f>
        <v>2070.6549273392675</v>
      </c>
      <c r="U16" s="57">
        <f>+SUMIF('Arg IV - Nuevos Bonos'!$N:$N,Perfil!$A16,'Arg IV - Nuevos Bonos'!$BN:$BN)</f>
        <v>5581.2851041755039</v>
      </c>
      <c r="V16" s="58">
        <f t="shared" si="6"/>
        <v>7651.9400315147714</v>
      </c>
    </row>
    <row r="17" spans="1:22" x14ac:dyDescent="0.2">
      <c r="A17" s="55">
        <v>2030</v>
      </c>
      <c r="B17" s="59">
        <v>1733.8159409860657</v>
      </c>
      <c r="C17" s="57">
        <v>2473.7893244983188</v>
      </c>
      <c r="D17" s="58">
        <f t="shared" si="0"/>
        <v>4207.6052654843843</v>
      </c>
      <c r="E17" s="59">
        <v>1905.4740994436879</v>
      </c>
      <c r="F17" s="57">
        <v>5405.6419781600716</v>
      </c>
      <c r="G17" s="58">
        <f t="shared" si="1"/>
        <v>7311.1160776037595</v>
      </c>
      <c r="H17" s="59">
        <v>2055.8236918050929</v>
      </c>
      <c r="I17" s="275">
        <v>4617.1435272051258</v>
      </c>
      <c r="J17" s="58">
        <f t="shared" si="2"/>
        <v>6672.9672190102192</v>
      </c>
      <c r="K17" s="59">
        <v>2200.3966933564488</v>
      </c>
      <c r="L17" s="275">
        <v>4716.0194926757968</v>
      </c>
      <c r="M17" s="58">
        <f t="shared" si="3"/>
        <v>6916.4161860322456</v>
      </c>
      <c r="N17" s="59">
        <v>2654.0233310192098</v>
      </c>
      <c r="O17" s="57">
        <v>4016.3061004920619</v>
      </c>
      <c r="P17" s="58">
        <f t="shared" si="4"/>
        <v>6670.3294315112717</v>
      </c>
      <c r="Q17" s="59">
        <v>2005.3616798527555</v>
      </c>
      <c r="R17" s="57">
        <v>5496.3209115583923</v>
      </c>
      <c r="S17" s="58">
        <f t="shared" si="5"/>
        <v>7501.6825914111478</v>
      </c>
      <c r="T17" s="59">
        <f>+SUMIF('Arg IV - Nuevos Bonos'!$N:$N,Perfil!$A17,'Arg IV - Nuevos Bonos'!$BM:$BM)</f>
        <v>2097.9296877942388</v>
      </c>
      <c r="U17" s="57">
        <f>+SUMIF('Arg IV - Nuevos Bonos'!$N:$N,Perfil!$A17,'Arg IV - Nuevos Bonos'!$BN:$BN)</f>
        <v>5581.2851041755039</v>
      </c>
      <c r="V17" s="58">
        <f t="shared" si="6"/>
        <v>7679.2147919697427</v>
      </c>
    </row>
    <row r="18" spans="1:22" x14ac:dyDescent="0.2">
      <c r="A18" s="55">
        <v>2031</v>
      </c>
      <c r="B18" s="59">
        <v>1574.0941211916663</v>
      </c>
      <c r="C18" s="57">
        <v>2473.7893244983188</v>
      </c>
      <c r="D18" s="58">
        <f t="shared" si="0"/>
        <v>4047.8834456899849</v>
      </c>
      <c r="E18" s="59">
        <v>1760.096924398204</v>
      </c>
      <c r="F18" s="57">
        <v>4872.5745213067003</v>
      </c>
      <c r="G18" s="58">
        <f t="shared" si="1"/>
        <v>6632.6714457049038</v>
      </c>
      <c r="H18" s="59">
        <v>1890.7745045669146</v>
      </c>
      <c r="I18" s="275">
        <v>5988.24265908904</v>
      </c>
      <c r="J18" s="58">
        <f t="shared" si="2"/>
        <v>7879.0171636559544</v>
      </c>
      <c r="K18" s="59">
        <v>2021.2572047314106</v>
      </c>
      <c r="L18" s="275">
        <v>6191.0952826427838</v>
      </c>
      <c r="M18" s="58">
        <f t="shared" si="3"/>
        <v>8212.3524873741953</v>
      </c>
      <c r="N18" s="59">
        <v>2441.5667923216974</v>
      </c>
      <c r="O18" s="57">
        <v>5576.748545186475</v>
      </c>
      <c r="P18" s="58">
        <f t="shared" si="4"/>
        <v>8018.3153375081729</v>
      </c>
      <c r="Q18" s="59">
        <v>1816.1488324459515</v>
      </c>
      <c r="R18" s="57">
        <v>5288.9419314907509</v>
      </c>
      <c r="S18" s="58">
        <f t="shared" si="5"/>
        <v>7105.0907639367024</v>
      </c>
      <c r="T18" s="59">
        <f>+SUMIF('Arg IV - Nuevos Bonos'!$N:$N,Perfil!$A18,'Arg IV - Nuevos Bonos'!$BM:$BM)</f>
        <v>1913.6872418706475</v>
      </c>
      <c r="U18" s="57">
        <f>+SUMIF('Arg IV - Nuevos Bonos'!$N:$N,Perfil!$A18,'Arg IV - Nuevos Bonos'!$BN:$BN)</f>
        <v>6611.7286321083266</v>
      </c>
      <c r="V18" s="58">
        <f t="shared" si="6"/>
        <v>8525.4158739789746</v>
      </c>
    </row>
    <row r="19" spans="1:22" x14ac:dyDescent="0.2">
      <c r="A19" s="55">
        <v>2032</v>
      </c>
      <c r="B19" s="59">
        <v>1414.5167611048032</v>
      </c>
      <c r="C19" s="57">
        <v>2473.7893244983188</v>
      </c>
      <c r="D19" s="58">
        <f t="shared" si="0"/>
        <v>3888.306085603122</v>
      </c>
      <c r="E19" s="59">
        <v>1568.3141564105374</v>
      </c>
      <c r="F19" s="57">
        <v>4872.5745213067003</v>
      </c>
      <c r="G19" s="58">
        <f t="shared" si="1"/>
        <v>6440.8886777172374</v>
      </c>
      <c r="H19" s="59">
        <v>1626.3030382490267</v>
      </c>
      <c r="I19" s="275">
        <v>5988.24265908904</v>
      </c>
      <c r="J19" s="58">
        <f t="shared" si="2"/>
        <v>7614.5456973380669</v>
      </c>
      <c r="K19" s="59">
        <v>1724.244669012799</v>
      </c>
      <c r="L19" s="275">
        <v>6191.0952826427838</v>
      </c>
      <c r="M19" s="58">
        <f t="shared" si="3"/>
        <v>7915.3399516555828</v>
      </c>
      <c r="N19" s="59">
        <v>2139.9392468750284</v>
      </c>
      <c r="O19" s="57">
        <v>5576.748545186475</v>
      </c>
      <c r="P19" s="58">
        <f t="shared" si="4"/>
        <v>7716.6877920615034</v>
      </c>
      <c r="Q19" s="59">
        <v>1562.4246823674496</v>
      </c>
      <c r="R19" s="57">
        <v>5288.9419314907509</v>
      </c>
      <c r="S19" s="58">
        <f t="shared" si="5"/>
        <v>6851.3666138582003</v>
      </c>
      <c r="T19" s="59">
        <f>+SUMIF('Arg IV - Nuevos Bonos'!$N:$N,Perfil!$A19,'Arg IV - Nuevos Bonos'!$BM:$BM)</f>
        <v>1595.9254930158186</v>
      </c>
      <c r="U19" s="57">
        <f>+SUMIF('Arg IV - Nuevos Bonos'!$N:$N,Perfil!$A19,'Arg IV - Nuevos Bonos'!$BN:$BN)</f>
        <v>6611.7286321083266</v>
      </c>
      <c r="V19" s="58">
        <f t="shared" si="6"/>
        <v>8207.6541251241451</v>
      </c>
    </row>
    <row r="20" spans="1:22" x14ac:dyDescent="0.2">
      <c r="A20" s="55">
        <v>2033</v>
      </c>
      <c r="B20" s="59">
        <v>1254.6504816366132</v>
      </c>
      <c r="C20" s="57">
        <v>2473.7893244983188</v>
      </c>
      <c r="D20" s="58">
        <f t="shared" si="0"/>
        <v>3728.439806134932</v>
      </c>
      <c r="E20" s="59">
        <v>1376.5313884228704</v>
      </c>
      <c r="F20" s="57">
        <v>4872.5745213067003</v>
      </c>
      <c r="G20" s="58">
        <f t="shared" si="1"/>
        <v>6249.1059097295711</v>
      </c>
      <c r="H20" s="59">
        <v>1361.8315719311386</v>
      </c>
      <c r="I20" s="275">
        <v>5988.24265908904</v>
      </c>
      <c r="J20" s="58">
        <f t="shared" si="2"/>
        <v>7350.0742310201786</v>
      </c>
      <c r="K20" s="59">
        <v>1427.2321332941874</v>
      </c>
      <c r="L20" s="275">
        <v>6191.0952826427838</v>
      </c>
      <c r="M20" s="58">
        <f t="shared" si="3"/>
        <v>7618.3274159369712</v>
      </c>
      <c r="N20" s="59">
        <v>1838.3117014283598</v>
      </c>
      <c r="O20" s="57">
        <v>5576.748545186475</v>
      </c>
      <c r="P20" s="58">
        <f t="shared" si="4"/>
        <v>7415.0602466148348</v>
      </c>
      <c r="Q20" s="59">
        <v>1308.7005322889479</v>
      </c>
      <c r="R20" s="57">
        <v>5288.9419314907509</v>
      </c>
      <c r="S20" s="58">
        <f t="shared" si="5"/>
        <v>6597.642463779699</v>
      </c>
      <c r="T20" s="59">
        <f>+SUMIF('Arg IV - Nuevos Bonos'!$N:$N,Perfil!$A20,'Arg IV - Nuevos Bonos'!$BM:$BM)</f>
        <v>1278.1637441609896</v>
      </c>
      <c r="U20" s="57">
        <f>+SUMIF('Arg IV - Nuevos Bonos'!$N:$N,Perfil!$A20,'Arg IV - Nuevos Bonos'!$BN:$BN)</f>
        <v>6611.7286321083266</v>
      </c>
      <c r="V20" s="58">
        <f t="shared" si="6"/>
        <v>7889.8923762693157</v>
      </c>
    </row>
    <row r="21" spans="1:22" x14ac:dyDescent="0.2">
      <c r="A21" s="55">
        <v>2034</v>
      </c>
      <c r="B21" s="59">
        <v>1119.1514425645616</v>
      </c>
      <c r="C21" s="57">
        <v>1267.5094176024747</v>
      </c>
      <c r="D21" s="58">
        <f t="shared" si="0"/>
        <v>2386.6608601670364</v>
      </c>
      <c r="E21" s="59">
        <v>1184.7486204352037</v>
      </c>
      <c r="F21" s="57">
        <v>4872.5745213067003</v>
      </c>
      <c r="G21" s="58">
        <f t="shared" si="1"/>
        <v>6057.3231417419038</v>
      </c>
      <c r="H21" s="59">
        <v>1097.3601056132504</v>
      </c>
      <c r="I21" s="275">
        <v>5988.24265908904</v>
      </c>
      <c r="J21" s="58">
        <f t="shared" si="2"/>
        <v>7085.6027647022902</v>
      </c>
      <c r="K21" s="59">
        <v>1130.2195975755762</v>
      </c>
      <c r="L21" s="275">
        <v>6191.0952826427838</v>
      </c>
      <c r="M21" s="58">
        <f t="shared" si="3"/>
        <v>7321.3148802183605</v>
      </c>
      <c r="N21" s="59">
        <v>1535.8596902899021</v>
      </c>
      <c r="O21" s="57">
        <v>5576.7485451864759</v>
      </c>
      <c r="P21" s="58">
        <f t="shared" si="4"/>
        <v>7112.6082354763785</v>
      </c>
      <c r="Q21" s="59">
        <v>1054.976382210446</v>
      </c>
      <c r="R21" s="57">
        <v>5288.9419314907509</v>
      </c>
      <c r="S21" s="58">
        <f t="shared" si="5"/>
        <v>6343.9183137011969</v>
      </c>
      <c r="T21" s="59">
        <f>+SUMIF('Arg IV - Nuevos Bonos'!$N:$N,Perfil!$A21,'Arg IV - Nuevos Bonos'!$BM:$BM)</f>
        <v>960.40199530616098</v>
      </c>
      <c r="U21" s="57">
        <f>+SUMIF('Arg IV - Nuevos Bonos'!$N:$N,Perfil!$A21,'Arg IV - Nuevos Bonos'!$BN:$BN)</f>
        <v>6611.7286321083266</v>
      </c>
      <c r="V21" s="58">
        <f t="shared" si="6"/>
        <v>7572.1306274144872</v>
      </c>
    </row>
    <row r="22" spans="1:22" x14ac:dyDescent="0.2">
      <c r="A22" s="55">
        <v>2035</v>
      </c>
      <c r="B22" s="59">
        <v>1056.3207457045489</v>
      </c>
      <c r="C22" s="57">
        <v>1267.5094176024747</v>
      </c>
      <c r="D22" s="58">
        <f t="shared" si="0"/>
        <v>2323.8301633070237</v>
      </c>
      <c r="E22" s="59">
        <v>992.96585244753703</v>
      </c>
      <c r="F22" s="57">
        <v>4872.5745213067003</v>
      </c>
      <c r="G22" s="58">
        <f t="shared" si="1"/>
        <v>5865.5403737542374</v>
      </c>
      <c r="H22" s="59">
        <v>832.88863929536217</v>
      </c>
      <c r="I22" s="275">
        <v>5679.0773590533972</v>
      </c>
      <c r="J22" s="58">
        <f t="shared" si="2"/>
        <v>6511.9659983487591</v>
      </c>
      <c r="K22" s="59">
        <v>833.20706185696463</v>
      </c>
      <c r="L22" s="275">
        <v>6191.0952826427838</v>
      </c>
      <c r="M22" s="58">
        <f t="shared" si="3"/>
        <v>7024.3023444997489</v>
      </c>
      <c r="N22" s="59">
        <v>1230.9342820760794</v>
      </c>
      <c r="O22" s="57">
        <v>5576.7485451864759</v>
      </c>
      <c r="P22" s="58">
        <f t="shared" si="4"/>
        <v>6807.6828272625553</v>
      </c>
      <c r="Q22" s="59">
        <v>801.2522321319442</v>
      </c>
      <c r="R22" s="57">
        <v>5288.9419314907509</v>
      </c>
      <c r="S22" s="58">
        <f t="shared" si="5"/>
        <v>6090.1941636226948</v>
      </c>
      <c r="T22" s="59">
        <f>+SUMIF('Arg IV - Nuevos Bonos'!$N:$N,Perfil!$A22,'Arg IV - Nuevos Bonos'!$BM:$BM)</f>
        <v>642.64024645133202</v>
      </c>
      <c r="U22" s="57">
        <f>+SUMIF('Arg IV - Nuevos Bonos'!$N:$N,Perfil!$A22,'Arg IV - Nuevos Bonos'!$BN:$BN)</f>
        <v>6611.7286321083266</v>
      </c>
      <c r="V22" s="58">
        <f t="shared" si="6"/>
        <v>7254.3688785596587</v>
      </c>
    </row>
    <row r="23" spans="1:22" x14ac:dyDescent="0.2">
      <c r="A23" s="55">
        <v>2036</v>
      </c>
      <c r="B23" s="59">
        <v>993.63450850707807</v>
      </c>
      <c r="C23" s="57">
        <v>3017.5094176024745</v>
      </c>
      <c r="D23" s="58">
        <f t="shared" si="0"/>
        <v>4011.1439261095525</v>
      </c>
      <c r="E23" s="59">
        <v>801.18308445987054</v>
      </c>
      <c r="F23" s="57">
        <v>4872.5745213067003</v>
      </c>
      <c r="G23" s="58">
        <f t="shared" si="1"/>
        <v>5673.757605766571</v>
      </c>
      <c r="H23" s="59">
        <v>611.45335722783057</v>
      </c>
      <c r="I23" s="275">
        <v>2401.5773590533977</v>
      </c>
      <c r="J23" s="58">
        <f t="shared" si="2"/>
        <v>3013.0307162812283</v>
      </c>
      <c r="K23" s="59">
        <v>582.93578738694691</v>
      </c>
      <c r="L23" s="275">
        <v>2353.594157783391</v>
      </c>
      <c r="M23" s="58">
        <f t="shared" si="3"/>
        <v>2936.5299451703377</v>
      </c>
      <c r="N23" s="59">
        <v>926.00887386225645</v>
      </c>
      <c r="O23" s="57">
        <v>5576.7485451864759</v>
      </c>
      <c r="P23" s="58">
        <f t="shared" si="4"/>
        <v>6502.7574190487321</v>
      </c>
      <c r="Q23" s="59">
        <v>583.43562281234836</v>
      </c>
      <c r="R23" s="57">
        <v>2353.594157783391</v>
      </c>
      <c r="S23" s="58">
        <f t="shared" si="5"/>
        <v>2937.0297805957393</v>
      </c>
      <c r="T23" s="59">
        <f>+SUMIF('Arg IV - Nuevos Bonos'!$N:$N,Perfil!$A23,'Arg IV - Nuevos Bonos'!$BM:$BM)</f>
        <v>381.17221424847162</v>
      </c>
      <c r="U23" s="57">
        <f>+SUMIF('Arg IV - Nuevos Bonos'!$N:$N,Perfil!$A23,'Arg IV - Nuevos Bonos'!$BN:$BN)</f>
        <v>2001.9819669114772</v>
      </c>
      <c r="V23" s="58">
        <f t="shared" si="6"/>
        <v>2383.1541811599491</v>
      </c>
    </row>
    <row r="24" spans="1:22" x14ac:dyDescent="0.2">
      <c r="A24" s="55">
        <v>2037</v>
      </c>
      <c r="B24" s="59">
        <v>805.9718519845228</v>
      </c>
      <c r="C24" s="57">
        <v>1267.5094176024747</v>
      </c>
      <c r="D24" s="58">
        <f t="shared" si="0"/>
        <v>2073.4812695869978</v>
      </c>
      <c r="E24" s="59">
        <v>609.40031647220371</v>
      </c>
      <c r="F24" s="57">
        <v>2405.7319669114772</v>
      </c>
      <c r="G24" s="58">
        <f t="shared" si="1"/>
        <v>3015.1322833836812</v>
      </c>
      <c r="H24" s="59">
        <v>509.85166891029888</v>
      </c>
      <c r="I24" s="275">
        <v>2401.5773590533977</v>
      </c>
      <c r="J24" s="58">
        <f t="shared" si="2"/>
        <v>2911.4290279636966</v>
      </c>
      <c r="K24" s="59">
        <v>472.88829666271113</v>
      </c>
      <c r="L24" s="275">
        <v>2353.594157783391</v>
      </c>
      <c r="M24" s="58">
        <f t="shared" si="3"/>
        <v>2826.4824544461021</v>
      </c>
      <c r="N24" s="59">
        <v>667.41225267505513</v>
      </c>
      <c r="O24" s="57">
        <v>2278.8857780323692</v>
      </c>
      <c r="P24" s="58">
        <f t="shared" si="4"/>
        <v>2946.2980307074245</v>
      </c>
      <c r="Q24" s="59">
        <v>473.34163576947049</v>
      </c>
      <c r="R24" s="57">
        <v>2353.594157783391</v>
      </c>
      <c r="S24" s="58">
        <f t="shared" si="5"/>
        <v>2826.9357935528615</v>
      </c>
      <c r="T24" s="59">
        <f>+SUMIF('Arg IV - Nuevos Bonos'!$N:$N,Perfil!$A24,'Arg IV - Nuevos Bonos'!$BM:$BM)</f>
        <v>288.5853320015168</v>
      </c>
      <c r="U24" s="57">
        <f>+SUMIF('Arg IV - Nuevos Bonos'!$N:$N,Perfil!$A24,'Arg IV - Nuevos Bonos'!$BN:$BN)</f>
        <v>2001.9819669114772</v>
      </c>
      <c r="V24" s="58">
        <f t="shared" si="6"/>
        <v>2290.5672989129939</v>
      </c>
    </row>
    <row r="25" spans="1:22" x14ac:dyDescent="0.2">
      <c r="A25" s="55">
        <v>2038</v>
      </c>
      <c r="B25" s="59">
        <v>750.99499222638747</v>
      </c>
      <c r="C25" s="57">
        <v>1901.264126403712</v>
      </c>
      <c r="D25" s="58">
        <f t="shared" si="0"/>
        <v>2652.2591186300997</v>
      </c>
      <c r="E25" s="59">
        <v>509.32246651108426</v>
      </c>
      <c r="F25" s="57">
        <v>2405.7319669114772</v>
      </c>
      <c r="G25" s="58">
        <f t="shared" si="1"/>
        <v>2915.0544334225615</v>
      </c>
      <c r="H25" s="59">
        <v>408.2499805927672</v>
      </c>
      <c r="I25" s="275">
        <v>2401.5773590533977</v>
      </c>
      <c r="J25" s="58">
        <f t="shared" si="2"/>
        <v>2809.827339646165</v>
      </c>
      <c r="K25" s="59">
        <v>362.84080593847528</v>
      </c>
      <c r="L25" s="275">
        <v>2353.594157783391</v>
      </c>
      <c r="M25" s="58">
        <f t="shared" si="3"/>
        <v>2716.4349637218661</v>
      </c>
      <c r="N25" s="59">
        <v>547.8019925677188</v>
      </c>
      <c r="O25" s="57">
        <v>2278.8857780323692</v>
      </c>
      <c r="P25" s="58">
        <f t="shared" si="4"/>
        <v>2826.6877706000878</v>
      </c>
      <c r="Q25" s="59">
        <v>363.24764872659262</v>
      </c>
      <c r="R25" s="57">
        <v>2353.594157783391</v>
      </c>
      <c r="S25" s="58">
        <f t="shared" si="5"/>
        <v>2716.8418065099836</v>
      </c>
      <c r="T25" s="59">
        <f>+SUMIF('Arg IV - Nuevos Bonos'!$N:$N,Perfil!$A25,'Arg IV - Nuevos Bonos'!$BM:$BM)</f>
        <v>195.99844975456202</v>
      </c>
      <c r="U25" s="57">
        <f>+SUMIF('Arg IV - Nuevos Bonos'!$N:$N,Perfil!$A25,'Arg IV - Nuevos Bonos'!$BN:$BN)</f>
        <v>2001.9819669114772</v>
      </c>
      <c r="V25" s="58">
        <f t="shared" si="6"/>
        <v>2197.9804166660392</v>
      </c>
    </row>
    <row r="26" spans="1:22" x14ac:dyDescent="0.2">
      <c r="A26" s="55">
        <v>2039</v>
      </c>
      <c r="B26" s="59">
        <v>664.60278402699669</v>
      </c>
      <c r="C26" s="57">
        <v>0</v>
      </c>
      <c r="D26" s="58">
        <f t="shared" si="0"/>
        <v>664.60278402699669</v>
      </c>
      <c r="E26" s="59">
        <v>409.2446165499648</v>
      </c>
      <c r="F26" s="57">
        <v>2405.7319669114772</v>
      </c>
      <c r="G26" s="58">
        <f t="shared" si="1"/>
        <v>2814.9765834614418</v>
      </c>
      <c r="H26" s="59">
        <v>306.64829227523558</v>
      </c>
      <c r="I26" s="275">
        <v>1304.9592618579736</v>
      </c>
      <c r="J26" s="58">
        <f t="shared" si="2"/>
        <v>1611.6075541332093</v>
      </c>
      <c r="K26" s="59">
        <v>265.39351177019932</v>
      </c>
      <c r="L26" s="275">
        <v>1256.9760605879674</v>
      </c>
      <c r="M26" s="58">
        <f t="shared" si="3"/>
        <v>1522.3695723581668</v>
      </c>
      <c r="N26" s="59">
        <v>441.73378686267324</v>
      </c>
      <c r="O26" s="57">
        <v>1213.0508255832435</v>
      </c>
      <c r="P26" s="58">
        <f t="shared" si="4"/>
        <v>1654.7846124459168</v>
      </c>
      <c r="Q26" s="59">
        <v>265.75385823967474</v>
      </c>
      <c r="R26" s="57">
        <v>1256.9760605879674</v>
      </c>
      <c r="S26" s="58">
        <f t="shared" si="5"/>
        <v>1522.729918827642</v>
      </c>
      <c r="T26" s="59">
        <f>+SUMIF('Arg IV - Nuevos Bonos'!$N:$N,Perfil!$A26,'Arg IV - Nuevos Bonos'!$BM:$BM)</f>
        <v>116.01176406356703</v>
      </c>
      <c r="U26" s="57">
        <f>+SUMIF('Arg IV - Nuevos Bonos'!$N:$N,Perfil!$A26,'Arg IV - Nuevos Bonos'!$BN:$BN)</f>
        <v>905.36386971605339</v>
      </c>
      <c r="V26" s="58">
        <f t="shared" si="6"/>
        <v>1021.3756337796204</v>
      </c>
    </row>
    <row r="27" spans="1:22" x14ac:dyDescent="0.2">
      <c r="A27" s="55">
        <v>2040</v>
      </c>
      <c r="B27" s="59">
        <v>664.74724371203592</v>
      </c>
      <c r="C27" s="57">
        <v>0</v>
      </c>
      <c r="D27" s="58">
        <f t="shared" si="0"/>
        <v>664.74724371203592</v>
      </c>
      <c r="E27" s="59">
        <v>309.16676658884541</v>
      </c>
      <c r="F27" s="57">
        <v>1309.1138697160534</v>
      </c>
      <c r="G27" s="58">
        <f t="shared" si="1"/>
        <v>1618.2806363048987</v>
      </c>
      <c r="H27" s="59">
        <v>251.86155824208345</v>
      </c>
      <c r="I27" s="275">
        <v>1304.9592618579736</v>
      </c>
      <c r="J27" s="58">
        <f t="shared" si="2"/>
        <v>1556.8208201000571</v>
      </c>
      <c r="K27" s="59">
        <v>205.74680726980313</v>
      </c>
      <c r="L27" s="275">
        <v>1256.9760605879674</v>
      </c>
      <c r="M27" s="58">
        <f t="shared" si="3"/>
        <v>1462.7228678577706</v>
      </c>
      <c r="N27" s="59">
        <v>376.29174436449955</v>
      </c>
      <c r="O27" s="57">
        <v>1213.0508255832435</v>
      </c>
      <c r="P27" s="58">
        <f t="shared" si="4"/>
        <v>1589.342569947743</v>
      </c>
      <c r="Q27" s="59">
        <v>206.06065742063657</v>
      </c>
      <c r="R27" s="57">
        <v>1256.9760605879674</v>
      </c>
      <c r="S27" s="58">
        <f t="shared" si="5"/>
        <v>1463.0367180086039</v>
      </c>
      <c r="T27" s="59">
        <f>+SUMIF('Arg IV - Nuevos Bonos'!$N:$N,Perfil!$A27,'Arg IV - Nuevos Bonos'!$BM:$BM)</f>
        <v>73.825668040451774</v>
      </c>
      <c r="U27" s="57">
        <f>+SUMIF('Arg IV - Nuevos Bonos'!$N:$N,Perfil!$A27,'Arg IV - Nuevos Bonos'!$BN:$BN)</f>
        <v>905.36386971605339</v>
      </c>
      <c r="V27" s="58">
        <f t="shared" si="6"/>
        <v>979.18953775650516</v>
      </c>
    </row>
    <row r="28" spans="1:22" x14ac:dyDescent="0.2">
      <c r="A28" s="55">
        <v>2041</v>
      </c>
      <c r="B28" s="59">
        <v>664.60278402699669</v>
      </c>
      <c r="C28" s="57">
        <v>0</v>
      </c>
      <c r="D28" s="58">
        <f t="shared" si="0"/>
        <v>664.60278402699669</v>
      </c>
      <c r="E28" s="59">
        <v>251.05319994163403</v>
      </c>
      <c r="F28" s="57">
        <v>1309.1138697160534</v>
      </c>
      <c r="G28" s="58">
        <f t="shared" si="1"/>
        <v>1560.1670696576875</v>
      </c>
      <c r="H28" s="59">
        <v>197.07482420893135</v>
      </c>
      <c r="I28" s="275">
        <v>1304.9592618579736</v>
      </c>
      <c r="J28" s="58">
        <f t="shared" si="2"/>
        <v>1502.034086066905</v>
      </c>
      <c r="K28" s="59">
        <v>146.10010276940699</v>
      </c>
      <c r="L28" s="275">
        <v>1256.9760605879674</v>
      </c>
      <c r="M28" s="58">
        <f t="shared" si="3"/>
        <v>1403.0761633573743</v>
      </c>
      <c r="N28" s="59">
        <v>310.84970186632574</v>
      </c>
      <c r="O28" s="57">
        <v>1213.0508255832435</v>
      </c>
      <c r="P28" s="58">
        <f t="shared" si="4"/>
        <v>1523.9005274495694</v>
      </c>
      <c r="Q28" s="59">
        <v>146.36745660159841</v>
      </c>
      <c r="R28" s="57">
        <v>1256.9760605879674</v>
      </c>
      <c r="S28" s="58">
        <f t="shared" si="5"/>
        <v>1403.3435171895658</v>
      </c>
      <c r="T28" s="59">
        <f>+SUMIF('Arg IV - Nuevos Bonos'!$N:$N,Perfil!$A28,'Arg IV - Nuevos Bonos'!$BM:$BM)</f>
        <v>31.63957201733653</v>
      </c>
      <c r="U28" s="57">
        <f>+SUMIF('Arg IV - Nuevos Bonos'!$N:$N,Perfil!$A28,'Arg IV - Nuevos Bonos'!$BN:$BN)</f>
        <v>905.36386971605339</v>
      </c>
      <c r="V28" s="58">
        <f t="shared" si="6"/>
        <v>937.00344173338988</v>
      </c>
    </row>
    <row r="29" spans="1:22" x14ac:dyDescent="0.2">
      <c r="A29" s="55">
        <v>2042</v>
      </c>
      <c r="B29" s="59">
        <v>664.60278402699669</v>
      </c>
      <c r="C29" s="57">
        <v>0</v>
      </c>
      <c r="D29" s="58">
        <f t="shared" si="0"/>
        <v>664.60278402699669</v>
      </c>
      <c r="E29" s="59">
        <v>192.93963329442269</v>
      </c>
      <c r="F29" s="57">
        <v>1309.1138697160534</v>
      </c>
      <c r="G29" s="58">
        <f t="shared" si="1"/>
        <v>1502.0535030104761</v>
      </c>
      <c r="H29" s="59">
        <v>142.28809017577925</v>
      </c>
      <c r="I29" s="275">
        <v>1304.9592618579736</v>
      </c>
      <c r="J29" s="58">
        <f t="shared" si="2"/>
        <v>1447.2473520337528</v>
      </c>
      <c r="K29" s="59">
        <v>96.296820674404216</v>
      </c>
      <c r="L29" s="275">
        <v>411.96978218631762</v>
      </c>
      <c r="M29" s="58">
        <f t="shared" si="3"/>
        <v>508.26660286072183</v>
      </c>
      <c r="N29" s="59">
        <v>245.40765936815203</v>
      </c>
      <c r="O29" s="57">
        <v>1213.0508255832435</v>
      </c>
      <c r="P29" s="58">
        <f t="shared" si="4"/>
        <v>1458.4584849513956</v>
      </c>
      <c r="Q29" s="59">
        <v>96.517678187953649</v>
      </c>
      <c r="R29" s="57">
        <v>411.96978218631762</v>
      </c>
      <c r="S29" s="58">
        <f t="shared" si="5"/>
        <v>508.48746037427128</v>
      </c>
      <c r="T29" s="59">
        <f>+SUMIF('Arg IV - Nuevos Bonos'!$N:$N,Perfil!$A29,'Arg IV - Nuevos Bonos'!$BM:$BM)</f>
        <v>0</v>
      </c>
      <c r="U29" s="57">
        <f>+SUMIF('Arg IV - Nuevos Bonos'!$N:$N,Perfil!$A29,'Arg IV - Nuevos Bonos'!$BN:$BN)</f>
        <v>0</v>
      </c>
      <c r="V29" s="58">
        <f t="shared" si="6"/>
        <v>0</v>
      </c>
    </row>
    <row r="30" spans="1:22" x14ac:dyDescent="0.2">
      <c r="A30" s="55">
        <v>2043</v>
      </c>
      <c r="B30" s="59">
        <v>664.60278402699669</v>
      </c>
      <c r="C30" s="57">
        <v>0</v>
      </c>
      <c r="D30" s="58">
        <f t="shared" si="0"/>
        <v>664.60278402699669</v>
      </c>
      <c r="E30" s="59">
        <v>134.82606664721135</v>
      </c>
      <c r="F30" s="57">
        <v>1309.1138697160534</v>
      </c>
      <c r="G30" s="58">
        <f t="shared" si="1"/>
        <v>1443.9399363632647</v>
      </c>
      <c r="H30" s="59">
        <v>87.501356142627117</v>
      </c>
      <c r="I30" s="275">
        <v>512.76587585642699</v>
      </c>
      <c r="J30" s="58">
        <f t="shared" si="2"/>
        <v>600.26723199905405</v>
      </c>
      <c r="K30" s="59">
        <v>76.023805795582206</v>
      </c>
      <c r="L30" s="275">
        <v>411.96978218631762</v>
      </c>
      <c r="M30" s="58">
        <f t="shared" si="3"/>
        <v>487.99358798189985</v>
      </c>
      <c r="N30" s="59">
        <v>179.96561686997831</v>
      </c>
      <c r="O30" s="57">
        <v>1213.0508255832435</v>
      </c>
      <c r="P30" s="58">
        <f t="shared" si="4"/>
        <v>1393.0164424532218</v>
      </c>
      <c r="Q30" s="59">
        <v>76.198166990489668</v>
      </c>
      <c r="R30" s="57">
        <v>411.96978218631762</v>
      </c>
      <c r="S30" s="58">
        <f t="shared" si="5"/>
        <v>488.16794917680727</v>
      </c>
      <c r="T30" s="59">
        <f>+SUMIF('Arg IV - Nuevos Bonos'!$N:$N,Perfil!$A30,'Arg IV - Nuevos Bonos'!$BM:$BM)</f>
        <v>0</v>
      </c>
      <c r="U30" s="57">
        <f>+SUMIF('Arg IV - Nuevos Bonos'!$N:$N,Perfil!$A30,'Arg IV - Nuevos Bonos'!$BN:$BN)</f>
        <v>0</v>
      </c>
      <c r="V30" s="58">
        <f t="shared" si="6"/>
        <v>0</v>
      </c>
    </row>
    <row r="31" spans="1:22" x14ac:dyDescent="0.2">
      <c r="A31" s="55">
        <v>2044</v>
      </c>
      <c r="B31" s="59">
        <v>664.74724371203592</v>
      </c>
      <c r="C31" s="57">
        <v>0</v>
      </c>
      <c r="D31" s="58">
        <f t="shared" si="0"/>
        <v>664.74724371203592</v>
      </c>
      <c r="E31" s="59">
        <v>76.712500000000006</v>
      </c>
      <c r="F31" s="57">
        <v>403.75</v>
      </c>
      <c r="G31" s="58">
        <f t="shared" si="1"/>
        <v>480.46249999999998</v>
      </c>
      <c r="H31" s="59">
        <v>64.507675487652193</v>
      </c>
      <c r="I31" s="275">
        <v>512.76587585642699</v>
      </c>
      <c r="J31" s="58">
        <f t="shared" si="2"/>
        <v>577.27355134407912</v>
      </c>
      <c r="K31" s="59">
        <v>55.750790916760224</v>
      </c>
      <c r="L31" s="275">
        <v>411.96978218631762</v>
      </c>
      <c r="M31" s="58">
        <f t="shared" si="3"/>
        <v>467.72057310307787</v>
      </c>
      <c r="N31" s="59">
        <v>114.52357437180457</v>
      </c>
      <c r="O31" s="57">
        <v>1213.0508255832435</v>
      </c>
      <c r="P31" s="58">
        <f t="shared" si="4"/>
        <v>1327.5743999550482</v>
      </c>
      <c r="Q31" s="59">
        <v>55.878655793025686</v>
      </c>
      <c r="R31" s="57">
        <v>411.96978218631762</v>
      </c>
      <c r="S31" s="58">
        <f t="shared" si="5"/>
        <v>467.84843797934332</v>
      </c>
      <c r="T31" s="59">
        <f>+SUMIF('Arg IV - Nuevos Bonos'!$N:$N,Perfil!$A31,'Arg IV - Nuevos Bonos'!$BM:$BM)</f>
        <v>0</v>
      </c>
      <c r="U31" s="57">
        <f>+SUMIF('Arg IV - Nuevos Bonos'!$N:$N,Perfil!$A31,'Arg IV - Nuevos Bonos'!$BN:$BN)</f>
        <v>0</v>
      </c>
      <c r="V31" s="58">
        <f t="shared" si="6"/>
        <v>0</v>
      </c>
    </row>
    <row r="32" spans="1:22" x14ac:dyDescent="0.2">
      <c r="A32" s="55">
        <v>2045</v>
      </c>
      <c r="B32" s="59">
        <v>664.60278402699669</v>
      </c>
      <c r="C32" s="57">
        <v>0</v>
      </c>
      <c r="D32" s="58">
        <f t="shared" si="0"/>
        <v>664.60278402699669</v>
      </c>
      <c r="E32" s="59">
        <v>57.534374999999997</v>
      </c>
      <c r="F32" s="57">
        <v>403.75</v>
      </c>
      <c r="G32" s="58">
        <f t="shared" si="1"/>
        <v>461.28437500000001</v>
      </c>
      <c r="H32" s="59">
        <v>41.51399483267727</v>
      </c>
      <c r="I32" s="275">
        <v>512.76587585642699</v>
      </c>
      <c r="J32" s="58">
        <f t="shared" si="2"/>
        <v>554.2798706891042</v>
      </c>
      <c r="K32" s="59">
        <v>35.47777603793822</v>
      </c>
      <c r="L32" s="275">
        <v>411.96978218631762</v>
      </c>
      <c r="M32" s="58">
        <f t="shared" si="3"/>
        <v>447.44755822425583</v>
      </c>
      <c r="N32" s="59">
        <v>49.081531873630823</v>
      </c>
      <c r="O32" s="57">
        <v>1213.0508255832435</v>
      </c>
      <c r="P32" s="58">
        <f t="shared" si="4"/>
        <v>1262.1323574568744</v>
      </c>
      <c r="Q32" s="59">
        <v>35.559144595561698</v>
      </c>
      <c r="R32" s="57">
        <v>411.96978218631762</v>
      </c>
      <c r="S32" s="58">
        <f t="shared" si="5"/>
        <v>447.52892678187931</v>
      </c>
      <c r="T32" s="59">
        <f>+SUMIF('Arg IV - Nuevos Bonos'!$N:$N,Perfil!$A32,'Arg IV - Nuevos Bonos'!$BM:$BM)</f>
        <v>0</v>
      </c>
      <c r="U32" s="57">
        <f>+SUMIF('Arg IV - Nuevos Bonos'!$N:$N,Perfil!$A32,'Arg IV - Nuevos Bonos'!$BN:$BN)</f>
        <v>0</v>
      </c>
      <c r="V32" s="58">
        <f t="shared" si="6"/>
        <v>0</v>
      </c>
    </row>
    <row r="33" spans="1:22" x14ac:dyDescent="0.2">
      <c r="A33" s="55">
        <v>2046</v>
      </c>
      <c r="B33" s="59">
        <v>559.75903402699669</v>
      </c>
      <c r="C33" s="57">
        <v>2750</v>
      </c>
      <c r="D33" s="58">
        <f t="shared" si="0"/>
        <v>3309.7590340269967</v>
      </c>
      <c r="E33" s="59">
        <v>38.356250000000003</v>
      </c>
      <c r="F33" s="57">
        <v>403.75</v>
      </c>
      <c r="G33" s="58">
        <f t="shared" si="1"/>
        <v>442.10624999999999</v>
      </c>
      <c r="H33" s="59">
        <v>18.520314177702353</v>
      </c>
      <c r="I33" s="275">
        <v>512.76587585642699</v>
      </c>
      <c r="J33" s="58">
        <f t="shared" si="2"/>
        <v>531.28619003412939</v>
      </c>
      <c r="K33" s="59">
        <v>15.204761159116224</v>
      </c>
      <c r="L33" s="275">
        <v>411.96978218631762</v>
      </c>
      <c r="M33" s="58">
        <f t="shared" si="3"/>
        <v>427.17454334543385</v>
      </c>
      <c r="N33" s="59">
        <v>0</v>
      </c>
      <c r="O33" s="57">
        <v>0</v>
      </c>
      <c r="P33" s="58">
        <f t="shared" si="4"/>
        <v>0</v>
      </c>
      <c r="Q33" s="59">
        <v>15.239633398097716</v>
      </c>
      <c r="R33" s="57">
        <v>411.96978218631762</v>
      </c>
      <c r="S33" s="58">
        <f t="shared" si="5"/>
        <v>427.20941558441535</v>
      </c>
      <c r="T33" s="59">
        <f>+SUMIF('Arg IV - Nuevos Bonos'!$N:$N,Perfil!$A33,'Arg IV - Nuevos Bonos'!$BM:$BM)</f>
        <v>0</v>
      </c>
      <c r="U33" s="57">
        <f>+SUMIF('Arg IV - Nuevos Bonos'!$N:$N,Perfil!$A33,'Arg IV - Nuevos Bonos'!$BN:$BN)</f>
        <v>0</v>
      </c>
      <c r="V33" s="58">
        <f t="shared" si="6"/>
        <v>0</v>
      </c>
    </row>
    <row r="34" spans="1:22" x14ac:dyDescent="0.2">
      <c r="A34" s="55">
        <v>2047</v>
      </c>
      <c r="B34" s="59">
        <v>454.91528402699663</v>
      </c>
      <c r="C34" s="57">
        <v>843.64454443194609</v>
      </c>
      <c r="D34" s="58">
        <f t="shared" si="0"/>
        <v>1298.5598284589428</v>
      </c>
      <c r="E34" s="59">
        <v>19.178125000000001</v>
      </c>
      <c r="F34" s="57">
        <v>403.75</v>
      </c>
      <c r="G34" s="58">
        <f t="shared" si="1"/>
        <v>422.92812500000002</v>
      </c>
      <c r="H34" s="59">
        <v>0</v>
      </c>
      <c r="I34" s="275">
        <v>0</v>
      </c>
      <c r="J34" s="58">
        <f t="shared" si="2"/>
        <v>0</v>
      </c>
      <c r="K34" s="59">
        <v>0</v>
      </c>
      <c r="L34" s="275">
        <v>0</v>
      </c>
      <c r="M34" s="58">
        <f t="shared" si="3"/>
        <v>0</v>
      </c>
      <c r="N34" s="59">
        <v>0</v>
      </c>
      <c r="O34" s="57">
        <v>0</v>
      </c>
      <c r="P34" s="58">
        <f t="shared" si="4"/>
        <v>0</v>
      </c>
      <c r="Q34" s="59">
        <v>0</v>
      </c>
      <c r="R34" s="57">
        <v>0</v>
      </c>
      <c r="S34" s="58">
        <f t="shared" si="5"/>
        <v>0</v>
      </c>
      <c r="T34" s="59">
        <f>+SUMIF('Arg IV - Nuevos Bonos'!$N:$N,Perfil!$A34,'Arg IV - Nuevos Bonos'!$BM:$BM)</f>
        <v>0</v>
      </c>
      <c r="U34" s="57">
        <f>+SUMIF('Arg IV - Nuevos Bonos'!$N:$N,Perfil!$A34,'Arg IV - Nuevos Bonos'!$BN:$BN)</f>
        <v>0</v>
      </c>
      <c r="V34" s="58">
        <f t="shared" si="6"/>
        <v>0</v>
      </c>
    </row>
    <row r="35" spans="1:22" x14ac:dyDescent="0.2">
      <c r="A35" s="55">
        <v>2048</v>
      </c>
      <c r="B35" s="59">
        <v>299.0625</v>
      </c>
      <c r="C35" s="57">
        <v>3000</v>
      </c>
      <c r="D35" s="58">
        <f t="shared" si="0"/>
        <v>3299.0625</v>
      </c>
      <c r="E35" s="59">
        <v>0</v>
      </c>
      <c r="F35" s="57">
        <v>0</v>
      </c>
      <c r="G35" s="58">
        <f t="shared" si="1"/>
        <v>0</v>
      </c>
      <c r="H35" s="59">
        <v>0</v>
      </c>
      <c r="I35" s="275">
        <v>0</v>
      </c>
      <c r="J35" s="58">
        <f t="shared" si="2"/>
        <v>0</v>
      </c>
      <c r="K35" s="59">
        <v>0</v>
      </c>
      <c r="L35" s="275">
        <v>0</v>
      </c>
      <c r="M35" s="58">
        <f t="shared" si="3"/>
        <v>0</v>
      </c>
      <c r="N35" s="59">
        <v>0</v>
      </c>
      <c r="O35" s="57">
        <v>0</v>
      </c>
      <c r="P35" s="58">
        <f t="shared" si="4"/>
        <v>0</v>
      </c>
      <c r="Q35" s="59">
        <v>0</v>
      </c>
      <c r="R35" s="57">
        <v>0</v>
      </c>
      <c r="S35" s="58">
        <f t="shared" si="5"/>
        <v>0</v>
      </c>
      <c r="T35" s="59">
        <f>+SUMIF('Arg IV - Nuevos Bonos'!$N:$N,Perfil!$A35,'Arg IV - Nuevos Bonos'!$BM:$BM)</f>
        <v>0</v>
      </c>
      <c r="U35" s="57">
        <f>+SUMIF('Arg IV - Nuevos Bonos'!$N:$N,Perfil!$A35,'Arg IV - Nuevos Bonos'!$BN:$BN)</f>
        <v>0</v>
      </c>
      <c r="V35" s="58">
        <f t="shared" si="6"/>
        <v>0</v>
      </c>
    </row>
    <row r="36" spans="1:22" x14ac:dyDescent="0.2">
      <c r="A36" s="55" t="s">
        <v>109</v>
      </c>
      <c r="B36" s="59">
        <v>13421.71875</v>
      </c>
      <c r="C36" s="57">
        <v>2750</v>
      </c>
      <c r="D36" s="58">
        <f t="shared" si="0"/>
        <v>16171.71875</v>
      </c>
      <c r="E36" s="59">
        <v>0</v>
      </c>
      <c r="F36" s="57">
        <v>0</v>
      </c>
      <c r="G36" s="58">
        <f t="shared" si="1"/>
        <v>0</v>
      </c>
      <c r="H36" s="59">
        <v>0</v>
      </c>
      <c r="I36" s="275">
        <v>0</v>
      </c>
      <c r="J36" s="58">
        <f t="shared" si="2"/>
        <v>0</v>
      </c>
      <c r="K36" s="59">
        <v>0</v>
      </c>
      <c r="L36" s="275">
        <v>0</v>
      </c>
      <c r="M36" s="58">
        <f t="shared" si="3"/>
        <v>0</v>
      </c>
      <c r="N36" s="59">
        <v>0</v>
      </c>
      <c r="O36" s="57">
        <v>0</v>
      </c>
      <c r="P36" s="58">
        <f t="shared" si="4"/>
        <v>0</v>
      </c>
      <c r="Q36" s="59">
        <v>0</v>
      </c>
      <c r="R36" s="57">
        <v>0</v>
      </c>
      <c r="S36" s="58">
        <f t="shared" si="5"/>
        <v>0</v>
      </c>
      <c r="T36" s="59">
        <f>+SUMIF('Arg IV - Nuevos Bonos'!$N:$N,Perfil!$A36,'Arg IV - Nuevos Bonos'!$BM:$BM)</f>
        <v>0</v>
      </c>
      <c r="U36" s="57">
        <f>+SUMIF('Arg IV - Nuevos Bonos'!$N:$N,Perfil!$A36,'Arg IV - Nuevos Bonos'!$BN:$BN)</f>
        <v>0</v>
      </c>
      <c r="V36" s="58">
        <f t="shared" si="6"/>
        <v>0</v>
      </c>
    </row>
    <row r="37" spans="1:22" ht="20.25" customHeight="1" x14ac:dyDescent="0.2">
      <c r="A37" s="27" t="s">
        <v>114</v>
      </c>
      <c r="B37" s="28">
        <f t="shared" ref="B37:R37" si="7">+SUM(B7:B36)</f>
        <v>60068.145450131859</v>
      </c>
      <c r="C37" s="29">
        <f t="shared" si="7"/>
        <v>66316.372170313669</v>
      </c>
      <c r="D37" s="30">
        <f t="shared" si="7"/>
        <v>126384.51762044549</v>
      </c>
      <c r="E37" s="28">
        <f t="shared" si="7"/>
        <v>21190.306373423413</v>
      </c>
      <c r="F37" s="29">
        <f t="shared" si="7"/>
        <v>62613.498627788736</v>
      </c>
      <c r="G37" s="30">
        <f t="shared" si="7"/>
        <v>83803.805001212124</v>
      </c>
      <c r="H37" s="28">
        <v>23918.042418306475</v>
      </c>
      <c r="I37" s="29">
        <v>65390.474222890552</v>
      </c>
      <c r="J37" s="30">
        <v>89308.516641196984</v>
      </c>
      <c r="K37" s="28">
        <v>26541.827972828196</v>
      </c>
      <c r="L37" s="29">
        <v>67861.375514984757</v>
      </c>
      <c r="M37" s="30">
        <v>94403.20348781292</v>
      </c>
      <c r="N37" s="28">
        <f t="shared" si="7"/>
        <v>36168.658996945982</v>
      </c>
      <c r="O37" s="29">
        <f t="shared" si="7"/>
        <v>67392.061095695884</v>
      </c>
      <c r="P37" s="30">
        <f t="shared" si="7"/>
        <v>103560.72009264186</v>
      </c>
      <c r="Q37" s="28">
        <f t="shared" si="7"/>
        <v>26309.36305812201</v>
      </c>
      <c r="R37" s="29">
        <f t="shared" si="7"/>
        <v>68032.417272520164</v>
      </c>
      <c r="S37" s="30">
        <f t="shared" ref="S37:V37" si="8">+SUM(S7:S36)</f>
        <v>94341.780330642127</v>
      </c>
      <c r="T37" s="28">
        <f t="shared" si="8"/>
        <v>23797.501546937136</v>
      </c>
      <c r="U37" s="29">
        <f t="shared" si="8"/>
        <v>67866.193825876544</v>
      </c>
      <c r="V37" s="30">
        <f t="shared" si="8"/>
        <v>91663.695372813701</v>
      </c>
    </row>
    <row r="39" spans="1:22" ht="18.75" x14ac:dyDescent="0.3">
      <c r="A39" s="276" t="s">
        <v>110</v>
      </c>
      <c r="I39" s="277"/>
      <c r="O39" s="60"/>
      <c r="R39" s="277"/>
    </row>
    <row r="40" spans="1:22" x14ac:dyDescent="0.2">
      <c r="A40" s="60" t="s">
        <v>105</v>
      </c>
      <c r="O40" s="60"/>
    </row>
  </sheetData>
  <mergeCells count="7">
    <mergeCell ref="T4:V5"/>
    <mergeCell ref="B4:D5"/>
    <mergeCell ref="E4:G5"/>
    <mergeCell ref="N4:P5"/>
    <mergeCell ref="Q4:S5"/>
    <mergeCell ref="H4:J5"/>
    <mergeCell ref="K4:M5"/>
  </mergeCells>
  <pageMargins left="0.7" right="0.7" top="0.75" bottom="0.75" header="0.3" footer="0.3"/>
  <pageSetup orientation="portrait" r:id="rId1"/>
  <ignoredErrors>
    <ignoredError sqref="D7:D8 D9:D3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AFC74-A699-410C-BD01-149DF5B743E9}">
  <sheetPr codeName="Hoja9"/>
  <dimension ref="A1:CE238"/>
  <sheetViews>
    <sheetView showGridLines="0" zoomScaleNormal="100" workbookViewId="0"/>
  </sheetViews>
  <sheetFormatPr baseColWidth="10" defaultColWidth="11.42578125" defaultRowHeight="12.75" x14ac:dyDescent="0.25"/>
  <cols>
    <col min="1" max="1" width="25.7109375" style="17" customWidth="1"/>
    <col min="2" max="13" width="11.28515625" style="17" customWidth="1"/>
    <col min="14" max="14" width="4.7109375" style="17" customWidth="1"/>
    <col min="15" max="15" width="12" style="17" customWidth="1"/>
    <col min="16" max="60" width="10" style="5" customWidth="1"/>
    <col min="61" max="61" width="11.42578125" style="17"/>
    <col min="62" max="62" width="12.42578125" style="17" bestFit="1" customWidth="1"/>
    <col min="63" max="16384" width="11.42578125" style="17"/>
  </cols>
  <sheetData>
    <row r="1" spans="1:83" s="60" customFormat="1" ht="15.75" x14ac:dyDescent="0.2">
      <c r="A1" s="35" t="s">
        <v>138</v>
      </c>
      <c r="B1" s="100"/>
      <c r="C1" s="100"/>
      <c r="J1" s="33"/>
      <c r="K1" s="101" t="s">
        <v>11</v>
      </c>
      <c r="L1" s="101">
        <v>12</v>
      </c>
      <c r="M1" s="101">
        <v>1</v>
      </c>
      <c r="N1" s="101"/>
      <c r="O1" s="101"/>
      <c r="P1" s="292" t="s">
        <v>131</v>
      </c>
      <c r="Q1" s="294">
        <v>44015</v>
      </c>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row>
    <row r="2" spans="1:83" x14ac:dyDescent="0.25">
      <c r="A2" s="60" t="s">
        <v>12</v>
      </c>
      <c r="K2" s="101" t="s">
        <v>13</v>
      </c>
      <c r="L2" s="101">
        <v>4</v>
      </c>
      <c r="M2" s="101">
        <v>3</v>
      </c>
      <c r="N2" s="136"/>
      <c r="O2" s="136"/>
      <c r="P2" s="292" t="s">
        <v>14</v>
      </c>
      <c r="Q2" s="293">
        <v>0.88900000000000001</v>
      </c>
    </row>
    <row r="3" spans="1:83" x14ac:dyDescent="0.25">
      <c r="A3" s="60" t="s">
        <v>15</v>
      </c>
      <c r="K3" s="101" t="s">
        <v>0</v>
      </c>
      <c r="L3" s="101">
        <v>2</v>
      </c>
      <c r="M3" s="101">
        <v>6</v>
      </c>
      <c r="N3" s="136"/>
      <c r="O3" s="136"/>
      <c r="P3" s="292" t="s">
        <v>16</v>
      </c>
      <c r="Q3" s="293">
        <v>0.94569999999999999</v>
      </c>
    </row>
    <row r="4" spans="1:83" x14ac:dyDescent="0.25">
      <c r="K4" s="101" t="s">
        <v>17</v>
      </c>
      <c r="L4" s="101">
        <v>1</v>
      </c>
      <c r="M4" s="101">
        <v>12</v>
      </c>
      <c r="N4" s="136"/>
      <c r="O4" s="136"/>
      <c r="P4" s="137"/>
      <c r="Q4" s="137"/>
    </row>
    <row r="5" spans="1:83" ht="15" customHeight="1" x14ac:dyDescent="0.25">
      <c r="A5" s="138" t="s">
        <v>18</v>
      </c>
      <c r="B5" s="139">
        <v>0.1</v>
      </c>
      <c r="C5" s="140"/>
      <c r="P5" s="60"/>
      <c r="Q5" s="135"/>
      <c r="R5" s="135"/>
      <c r="S5" s="135"/>
      <c r="T5" s="135"/>
      <c r="U5" s="135"/>
      <c r="V5" s="135"/>
      <c r="W5" s="135"/>
      <c r="X5" s="60"/>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60"/>
      <c r="BX5" s="60"/>
      <c r="BY5" s="60"/>
      <c r="BZ5" s="60"/>
      <c r="CA5" s="60"/>
      <c r="CB5" s="60"/>
      <c r="CC5" s="60"/>
      <c r="CD5" s="60"/>
      <c r="CE5" s="60"/>
    </row>
    <row r="6" spans="1:83" s="36" customFormat="1" ht="24.75" customHeight="1" x14ac:dyDescent="0.25">
      <c r="A6" s="174" t="s">
        <v>19</v>
      </c>
      <c r="B6" s="175" t="s">
        <v>111</v>
      </c>
      <c r="C6" s="175" t="s">
        <v>113</v>
      </c>
      <c r="D6" s="176" t="s">
        <v>1</v>
      </c>
      <c r="E6" s="176" t="s">
        <v>6</v>
      </c>
      <c r="F6" s="176" t="s">
        <v>2</v>
      </c>
      <c r="G6" s="176" t="s">
        <v>7</v>
      </c>
      <c r="H6" s="176" t="s">
        <v>3</v>
      </c>
      <c r="I6" s="176" t="s">
        <v>8</v>
      </c>
      <c r="J6" s="176" t="s">
        <v>4</v>
      </c>
      <c r="K6" s="176" t="s">
        <v>9</v>
      </c>
      <c r="L6" s="176" t="s">
        <v>5</v>
      </c>
      <c r="M6" s="176" t="s">
        <v>10</v>
      </c>
      <c r="N6" s="177"/>
      <c r="O6" s="161"/>
    </row>
    <row r="7" spans="1:83" x14ac:dyDescent="0.25">
      <c r="A7" s="143" t="s">
        <v>20</v>
      </c>
      <c r="B7" s="144">
        <v>44078</v>
      </c>
      <c r="C7" s="144">
        <f>$B$7</f>
        <v>44078</v>
      </c>
      <c r="D7" s="144">
        <f t="shared" ref="D7:M7" si="0">$B$7</f>
        <v>44078</v>
      </c>
      <c r="E7" s="144">
        <f t="shared" si="0"/>
        <v>44078</v>
      </c>
      <c r="F7" s="144">
        <f t="shared" si="0"/>
        <v>44078</v>
      </c>
      <c r="G7" s="144">
        <f t="shared" si="0"/>
        <v>44078</v>
      </c>
      <c r="H7" s="144">
        <f t="shared" si="0"/>
        <v>44078</v>
      </c>
      <c r="I7" s="144">
        <f t="shared" si="0"/>
        <v>44078</v>
      </c>
      <c r="J7" s="144">
        <f t="shared" si="0"/>
        <v>44078</v>
      </c>
      <c r="K7" s="144">
        <f t="shared" si="0"/>
        <v>44078</v>
      </c>
      <c r="L7" s="144">
        <f t="shared" si="0"/>
        <v>44078</v>
      </c>
      <c r="M7" s="144">
        <f t="shared" si="0"/>
        <v>44078</v>
      </c>
      <c r="N7" s="142"/>
    </row>
    <row r="8" spans="1:83" x14ac:dyDescent="0.25">
      <c r="A8" s="143" t="s">
        <v>21</v>
      </c>
      <c r="B8" s="144">
        <v>47730</v>
      </c>
      <c r="C8" s="144">
        <v>47730</v>
      </c>
      <c r="D8" s="144">
        <v>47730</v>
      </c>
      <c r="E8" s="144">
        <v>47730</v>
      </c>
      <c r="F8" s="144">
        <v>49556</v>
      </c>
      <c r="G8" s="144">
        <v>49556</v>
      </c>
      <c r="H8" s="144">
        <v>50652</v>
      </c>
      <c r="I8" s="144">
        <v>50652</v>
      </c>
      <c r="J8" s="144">
        <v>51748</v>
      </c>
      <c r="K8" s="144">
        <v>51748</v>
      </c>
      <c r="L8" s="144">
        <v>53574</v>
      </c>
      <c r="M8" s="144">
        <v>53574</v>
      </c>
      <c r="N8" s="142"/>
    </row>
    <row r="9" spans="1:83" x14ac:dyDescent="0.25">
      <c r="A9" s="143" t="s">
        <v>22</v>
      </c>
      <c r="B9" s="144" t="s">
        <v>23</v>
      </c>
      <c r="C9" s="144" t="s">
        <v>14</v>
      </c>
      <c r="D9" s="144" t="s">
        <v>23</v>
      </c>
      <c r="E9" s="144" t="s">
        <v>14</v>
      </c>
      <c r="F9" s="144" t="s">
        <v>23</v>
      </c>
      <c r="G9" s="144" t="s">
        <v>14</v>
      </c>
      <c r="H9" s="144" t="s">
        <v>23</v>
      </c>
      <c r="I9" s="144" t="s">
        <v>14</v>
      </c>
      <c r="J9" s="144" t="s">
        <v>23</v>
      </c>
      <c r="K9" s="144" t="s">
        <v>14</v>
      </c>
      <c r="L9" s="144" t="s">
        <v>23</v>
      </c>
      <c r="M9" s="144" t="s">
        <v>14</v>
      </c>
      <c r="N9" s="142"/>
    </row>
    <row r="10" spans="1:83" x14ac:dyDescent="0.25">
      <c r="A10" s="143" t="s">
        <v>24</v>
      </c>
      <c r="B10" s="145">
        <f>+YEARFRAC(B7,B8)</f>
        <v>10</v>
      </c>
      <c r="C10" s="145">
        <f>+YEARFRAC(C7,C8)</f>
        <v>10</v>
      </c>
      <c r="D10" s="145">
        <f>+YEARFRAC(D7,D8)</f>
        <v>10</v>
      </c>
      <c r="E10" s="145">
        <f t="shared" ref="E10:M10" si="1">+YEARFRAC(E7,E8)</f>
        <v>10</v>
      </c>
      <c r="F10" s="145">
        <f t="shared" si="1"/>
        <v>15</v>
      </c>
      <c r="G10" s="145">
        <f t="shared" si="1"/>
        <v>15</v>
      </c>
      <c r="H10" s="145">
        <f t="shared" si="1"/>
        <v>18</v>
      </c>
      <c r="I10" s="145">
        <f t="shared" si="1"/>
        <v>18</v>
      </c>
      <c r="J10" s="145">
        <f t="shared" si="1"/>
        <v>21</v>
      </c>
      <c r="K10" s="145">
        <f t="shared" si="1"/>
        <v>21</v>
      </c>
      <c r="L10" s="145">
        <f t="shared" si="1"/>
        <v>26</v>
      </c>
      <c r="M10" s="145">
        <f t="shared" si="1"/>
        <v>26</v>
      </c>
      <c r="N10" s="142"/>
    </row>
    <row r="11" spans="1:83" x14ac:dyDescent="0.25">
      <c r="A11" s="143" t="s">
        <v>25</v>
      </c>
      <c r="B11" s="145">
        <f>+YEARFRAC(B7,B12)</f>
        <v>0</v>
      </c>
      <c r="C11" s="145">
        <f>+YEARFRAC(C7,C12)</f>
        <v>0</v>
      </c>
      <c r="D11" s="145">
        <f>+YEARFRAC(D7,D12)</f>
        <v>0</v>
      </c>
      <c r="E11" s="145">
        <f t="shared" ref="E11:M11" si="2">+YEARFRAC(E7,E12)</f>
        <v>0</v>
      </c>
      <c r="F11" s="145">
        <f t="shared" si="2"/>
        <v>0</v>
      </c>
      <c r="G11" s="145">
        <f t="shared" si="2"/>
        <v>0</v>
      </c>
      <c r="H11" s="145">
        <f t="shared" si="2"/>
        <v>0</v>
      </c>
      <c r="I11" s="145">
        <f t="shared" si="2"/>
        <v>0</v>
      </c>
      <c r="J11" s="145">
        <f t="shared" si="2"/>
        <v>0</v>
      </c>
      <c r="K11" s="145">
        <f t="shared" si="2"/>
        <v>0</v>
      </c>
      <c r="L11" s="145">
        <f t="shared" si="2"/>
        <v>0</v>
      </c>
      <c r="M11" s="145">
        <f t="shared" si="2"/>
        <v>0</v>
      </c>
      <c r="N11" s="142"/>
    </row>
    <row r="12" spans="1:83" x14ac:dyDescent="0.25">
      <c r="A12" s="143" t="s">
        <v>26</v>
      </c>
      <c r="B12" s="144">
        <f>B7</f>
        <v>44078</v>
      </c>
      <c r="C12" s="144">
        <f t="shared" ref="C12:M12" si="3">C7</f>
        <v>44078</v>
      </c>
      <c r="D12" s="144">
        <f t="shared" si="3"/>
        <v>44078</v>
      </c>
      <c r="E12" s="144">
        <f t="shared" si="3"/>
        <v>44078</v>
      </c>
      <c r="F12" s="144">
        <f t="shared" si="3"/>
        <v>44078</v>
      </c>
      <c r="G12" s="144">
        <f t="shared" si="3"/>
        <v>44078</v>
      </c>
      <c r="H12" s="144">
        <f t="shared" si="3"/>
        <v>44078</v>
      </c>
      <c r="I12" s="144">
        <f t="shared" si="3"/>
        <v>44078</v>
      </c>
      <c r="J12" s="144">
        <f t="shared" si="3"/>
        <v>44078</v>
      </c>
      <c r="K12" s="144">
        <f t="shared" si="3"/>
        <v>44078</v>
      </c>
      <c r="L12" s="144">
        <f t="shared" si="3"/>
        <v>44078</v>
      </c>
      <c r="M12" s="144">
        <f t="shared" si="3"/>
        <v>44078</v>
      </c>
      <c r="N12" s="142"/>
    </row>
    <row r="13" spans="1:83" x14ac:dyDescent="0.25">
      <c r="A13" s="143" t="s">
        <v>27</v>
      </c>
      <c r="B13" s="144">
        <v>44443</v>
      </c>
      <c r="C13" s="144">
        <v>44443</v>
      </c>
      <c r="D13" s="144">
        <v>44443</v>
      </c>
      <c r="E13" s="144">
        <v>44443</v>
      </c>
      <c r="F13" s="144">
        <v>44443</v>
      </c>
      <c r="G13" s="144">
        <v>44443</v>
      </c>
      <c r="H13" s="144">
        <v>44443</v>
      </c>
      <c r="I13" s="144">
        <v>44443</v>
      </c>
      <c r="J13" s="144">
        <v>44443</v>
      </c>
      <c r="K13" s="144">
        <v>44443</v>
      </c>
      <c r="L13" s="144">
        <v>44443</v>
      </c>
      <c r="M13" s="144">
        <v>44443</v>
      </c>
      <c r="N13" s="142"/>
    </row>
    <row r="14" spans="1:83" x14ac:dyDescent="0.25">
      <c r="A14" s="143" t="s">
        <v>28</v>
      </c>
      <c r="B14" s="146" t="s">
        <v>29</v>
      </c>
      <c r="C14" s="146" t="s">
        <v>29</v>
      </c>
      <c r="D14" s="146" t="s">
        <v>29</v>
      </c>
      <c r="E14" s="146" t="s">
        <v>29</v>
      </c>
      <c r="F14" s="146" t="s">
        <v>29</v>
      </c>
      <c r="G14" s="146" t="s">
        <v>29</v>
      </c>
      <c r="H14" s="146" t="s">
        <v>29</v>
      </c>
      <c r="I14" s="146" t="s">
        <v>29</v>
      </c>
      <c r="J14" s="146" t="s">
        <v>29</v>
      </c>
      <c r="K14" s="146" t="s">
        <v>29</v>
      </c>
      <c r="L14" s="146" t="s">
        <v>29</v>
      </c>
      <c r="M14" s="146" t="s">
        <v>29</v>
      </c>
      <c r="N14" s="142"/>
    </row>
    <row r="15" spans="1:83" x14ac:dyDescent="0.25">
      <c r="A15" s="143" t="s">
        <v>30</v>
      </c>
      <c r="B15" s="144" t="s">
        <v>0</v>
      </c>
      <c r="C15" s="144" t="s">
        <v>0</v>
      </c>
      <c r="D15" s="144" t="s">
        <v>0</v>
      </c>
      <c r="E15" s="144" t="s">
        <v>0</v>
      </c>
      <c r="F15" s="144" t="s">
        <v>0</v>
      </c>
      <c r="G15" s="144" t="s">
        <v>0</v>
      </c>
      <c r="H15" s="144" t="s">
        <v>0</v>
      </c>
      <c r="I15" s="144" t="s">
        <v>0</v>
      </c>
      <c r="J15" s="144" t="s">
        <v>0</v>
      </c>
      <c r="K15" s="144" t="s">
        <v>0</v>
      </c>
      <c r="L15" s="144" t="s">
        <v>0</v>
      </c>
      <c r="M15" s="144" t="s">
        <v>0</v>
      </c>
      <c r="N15" s="142"/>
      <c r="O15" s="147"/>
    </row>
    <row r="16" spans="1:83" x14ac:dyDescent="0.25">
      <c r="A16" s="143" t="s">
        <v>31</v>
      </c>
      <c r="B16" s="148">
        <v>8</v>
      </c>
      <c r="C16" s="148">
        <v>8</v>
      </c>
      <c r="D16" s="148">
        <v>12</v>
      </c>
      <c r="E16" s="148">
        <v>12</v>
      </c>
      <c r="F16" s="148">
        <v>10</v>
      </c>
      <c r="G16" s="148">
        <v>10</v>
      </c>
      <c r="H16" s="148">
        <v>22</v>
      </c>
      <c r="I16" s="148">
        <v>22</v>
      </c>
      <c r="J16" s="148">
        <v>28</v>
      </c>
      <c r="K16" s="148">
        <v>28</v>
      </c>
      <c r="L16" s="148">
        <v>44</v>
      </c>
      <c r="M16" s="148">
        <v>44</v>
      </c>
      <c r="N16" s="142"/>
      <c r="O16" s="147"/>
    </row>
    <row r="17" spans="1:83" x14ac:dyDescent="0.25">
      <c r="A17" s="143" t="s">
        <v>32</v>
      </c>
      <c r="B17" s="144">
        <v>46450</v>
      </c>
      <c r="C17" s="144">
        <v>46450</v>
      </c>
      <c r="D17" s="144">
        <v>45720</v>
      </c>
      <c r="E17" s="144">
        <v>45720</v>
      </c>
      <c r="F17" s="144">
        <v>47911</v>
      </c>
      <c r="G17" s="144">
        <v>47911</v>
      </c>
      <c r="H17" s="144">
        <v>46816</v>
      </c>
      <c r="I17" s="144">
        <v>46816</v>
      </c>
      <c r="J17" s="144">
        <v>46816</v>
      </c>
      <c r="K17" s="144">
        <v>46816</v>
      </c>
      <c r="L17" s="144">
        <v>45720</v>
      </c>
      <c r="M17" s="144">
        <v>45720</v>
      </c>
      <c r="N17" s="142"/>
      <c r="O17" s="147"/>
    </row>
    <row r="18" spans="1:83" x14ac:dyDescent="0.25">
      <c r="A18" s="149" t="s">
        <v>33</v>
      </c>
      <c r="B18" s="156">
        <v>100</v>
      </c>
      <c r="C18" s="156">
        <v>100</v>
      </c>
      <c r="D18" s="156">
        <v>97</v>
      </c>
      <c r="E18" s="156">
        <v>97</v>
      </c>
      <c r="F18" s="156">
        <v>97</v>
      </c>
      <c r="G18" s="156">
        <v>97</v>
      </c>
      <c r="H18" s="156">
        <v>100</v>
      </c>
      <c r="I18" s="156">
        <v>100</v>
      </c>
      <c r="J18" s="156">
        <v>100</v>
      </c>
      <c r="K18" s="156">
        <v>100</v>
      </c>
      <c r="L18" s="156">
        <v>97</v>
      </c>
      <c r="M18" s="156">
        <v>97</v>
      </c>
      <c r="N18" s="142"/>
      <c r="O18" s="147"/>
    </row>
    <row r="19" spans="1:83" x14ac:dyDescent="0.25">
      <c r="A19" s="151" t="s">
        <v>34</v>
      </c>
      <c r="B19" s="157">
        <f t="shared" ref="B19:M19" si="4">+B$18*(IF(B$14="no",1,(1+B$14/VLOOKUP(B$15,$K$1:$L$4,2,0))^(VLOOKUP(B$15,$K$1:$L$4,2,0)*B$11)))</f>
        <v>100</v>
      </c>
      <c r="C19" s="157">
        <f t="shared" si="4"/>
        <v>100</v>
      </c>
      <c r="D19" s="157">
        <f t="shared" si="4"/>
        <v>97</v>
      </c>
      <c r="E19" s="157">
        <f t="shared" si="4"/>
        <v>97</v>
      </c>
      <c r="F19" s="157">
        <f t="shared" si="4"/>
        <v>97</v>
      </c>
      <c r="G19" s="157">
        <f t="shared" si="4"/>
        <v>97</v>
      </c>
      <c r="H19" s="157">
        <f t="shared" si="4"/>
        <v>100</v>
      </c>
      <c r="I19" s="157">
        <f t="shared" si="4"/>
        <v>100</v>
      </c>
      <c r="J19" s="157">
        <f t="shared" si="4"/>
        <v>100</v>
      </c>
      <c r="K19" s="157">
        <f t="shared" si="4"/>
        <v>100</v>
      </c>
      <c r="L19" s="157">
        <f t="shared" si="4"/>
        <v>97</v>
      </c>
      <c r="M19" s="157">
        <f t="shared" si="4"/>
        <v>97</v>
      </c>
      <c r="N19" s="142"/>
    </row>
    <row r="20" spans="1:83" s="5" customFormat="1" ht="21" customHeight="1" x14ac:dyDescent="0.25">
      <c r="A20" s="141" t="s">
        <v>35</v>
      </c>
      <c r="B20" s="158">
        <f>$S$78</f>
        <v>51.351928218850389</v>
      </c>
      <c r="C20" s="158">
        <f>$W$78</f>
        <v>48.588131591906944</v>
      </c>
      <c r="D20" s="158">
        <f>$AA$78</f>
        <v>52.357467943687688</v>
      </c>
      <c r="E20" s="158">
        <f>$AE$78</f>
        <v>49.873207412034326</v>
      </c>
      <c r="F20" s="158">
        <f>$AI$78</f>
        <v>51.124279696103009</v>
      </c>
      <c r="G20" s="158">
        <f>$AM$78</f>
        <v>47.156434562589126</v>
      </c>
      <c r="H20" s="158">
        <f>$AQ$78</f>
        <v>57.887956669026288</v>
      </c>
      <c r="I20" s="158">
        <f>$AU$78</f>
        <v>53.578515830352792</v>
      </c>
      <c r="J20" s="158">
        <f>$AY$78</f>
        <v>51.747039417387249</v>
      </c>
      <c r="K20" s="158">
        <f>$BC$78</f>
        <v>48.086461217570061</v>
      </c>
      <c r="L20" s="158">
        <f>$BG$78</f>
        <v>50.103934995470681</v>
      </c>
      <c r="M20" s="158">
        <f>$BK$78</f>
        <v>46.402445519831403</v>
      </c>
      <c r="N20" s="142"/>
      <c r="O20" s="17"/>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row>
    <row r="21" spans="1:83" s="5" customFormat="1" ht="21" customHeight="1" x14ac:dyDescent="0.25">
      <c r="A21" s="141" t="s">
        <v>36</v>
      </c>
      <c r="B21" s="159">
        <f t="shared" ref="B21:M21" si="5">+B20/IF(B$9="USD",1,$Q$2)</f>
        <v>51.351928218850389</v>
      </c>
      <c r="C21" s="159">
        <f t="shared" si="5"/>
        <v>54.654816188871699</v>
      </c>
      <c r="D21" s="159">
        <f t="shared" si="5"/>
        <v>52.357467943687688</v>
      </c>
      <c r="E21" s="159">
        <f t="shared" si="5"/>
        <v>56.100345795314205</v>
      </c>
      <c r="F21" s="159">
        <f t="shared" si="5"/>
        <v>51.124279696103009</v>
      </c>
      <c r="G21" s="159">
        <f t="shared" si="5"/>
        <v>53.044358338120503</v>
      </c>
      <c r="H21" s="159">
        <f t="shared" si="5"/>
        <v>57.887956669026288</v>
      </c>
      <c r="I21" s="159">
        <f t="shared" si="5"/>
        <v>60.268296772050384</v>
      </c>
      <c r="J21" s="159">
        <f t="shared" si="5"/>
        <v>51.747039417387249</v>
      </c>
      <c r="K21" s="159">
        <f t="shared" si="5"/>
        <v>54.090507556321775</v>
      </c>
      <c r="L21" s="159">
        <f t="shared" si="5"/>
        <v>50.103934995470681</v>
      </c>
      <c r="M21" s="159">
        <f t="shared" si="5"/>
        <v>52.196226681475146</v>
      </c>
      <c r="N21" s="142"/>
      <c r="O21" s="17"/>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row>
    <row r="22" spans="1:83" x14ac:dyDescent="0.25">
      <c r="A22" s="5"/>
      <c r="B22" s="5"/>
      <c r="C22" s="5"/>
    </row>
    <row r="23" spans="1:83" s="211" customFormat="1" x14ac:dyDescent="0.25">
      <c r="A23" s="209"/>
      <c r="B23" s="209"/>
      <c r="C23" s="209"/>
      <c r="D23" s="209"/>
      <c r="E23" s="210"/>
      <c r="F23" s="210"/>
      <c r="G23" s="210"/>
      <c r="H23" s="210"/>
      <c r="I23" s="210"/>
      <c r="J23" s="210"/>
      <c r="K23" s="210"/>
      <c r="L23" s="210"/>
      <c r="M23" s="210"/>
      <c r="P23" s="355" t="s">
        <v>111</v>
      </c>
      <c r="Q23" s="353"/>
      <c r="R23" s="353"/>
      <c r="S23" s="354"/>
      <c r="T23" s="355" t="s">
        <v>113</v>
      </c>
      <c r="U23" s="353"/>
      <c r="V23" s="353"/>
      <c r="W23" s="354"/>
      <c r="X23" s="355" t="str">
        <f>D6</f>
        <v>USD 2030</v>
      </c>
      <c r="Y23" s="353"/>
      <c r="Z23" s="353"/>
      <c r="AA23" s="354"/>
      <c r="AB23" s="353" t="str">
        <f>E6</f>
        <v>EUR 2030</v>
      </c>
      <c r="AC23" s="353"/>
      <c r="AD23" s="353"/>
      <c r="AE23" s="354"/>
      <c r="AF23" s="353" t="str">
        <f>F6</f>
        <v>USD 2035</v>
      </c>
      <c r="AG23" s="353"/>
      <c r="AH23" s="353"/>
      <c r="AI23" s="354"/>
      <c r="AJ23" s="353" t="str">
        <f>G6</f>
        <v>EUR 2035</v>
      </c>
      <c r="AK23" s="353"/>
      <c r="AL23" s="353"/>
      <c r="AM23" s="354"/>
      <c r="AN23" s="353" t="str">
        <f>H6</f>
        <v>USD 2038</v>
      </c>
      <c r="AO23" s="353"/>
      <c r="AP23" s="353"/>
      <c r="AQ23" s="354"/>
      <c r="AR23" s="353" t="str">
        <f>I6</f>
        <v>EUR 2038</v>
      </c>
      <c r="AS23" s="353"/>
      <c r="AT23" s="353"/>
      <c r="AU23" s="354"/>
      <c r="AV23" s="353" t="str">
        <f>J6</f>
        <v>USD 2041</v>
      </c>
      <c r="AW23" s="353"/>
      <c r="AX23" s="353"/>
      <c r="AY23" s="354"/>
      <c r="AZ23" s="353" t="str">
        <f>K6</f>
        <v>EUR 2041</v>
      </c>
      <c r="BA23" s="353"/>
      <c r="BB23" s="353"/>
      <c r="BC23" s="354"/>
      <c r="BD23" s="353" t="str">
        <f>L6</f>
        <v>USD 2046</v>
      </c>
      <c r="BE23" s="353"/>
      <c r="BF23" s="353"/>
      <c r="BG23" s="354"/>
      <c r="BH23" s="353" t="str">
        <f>M6</f>
        <v>EUR 2046</v>
      </c>
      <c r="BI23" s="353"/>
      <c r="BJ23" s="353"/>
      <c r="BK23" s="354"/>
      <c r="BL23" s="212"/>
    </row>
    <row r="24" spans="1:83" s="19" customFormat="1" ht="25.5" x14ac:dyDescent="0.25">
      <c r="A24" s="188" t="s">
        <v>37</v>
      </c>
      <c r="B24" s="356" t="s">
        <v>38</v>
      </c>
      <c r="C24" s="357"/>
      <c r="D24" s="357"/>
      <c r="E24" s="357"/>
      <c r="F24" s="357"/>
      <c r="G24" s="357"/>
      <c r="H24" s="357"/>
      <c r="I24" s="357"/>
      <c r="J24" s="357"/>
      <c r="K24" s="357"/>
      <c r="L24" s="357"/>
      <c r="M24" s="358"/>
      <c r="O24" s="202" t="s">
        <v>39</v>
      </c>
      <c r="P24" s="202" t="s">
        <v>40</v>
      </c>
      <c r="Q24" s="203" t="s">
        <v>41</v>
      </c>
      <c r="R24" s="203" t="s">
        <v>42</v>
      </c>
      <c r="S24" s="204" t="s">
        <v>43</v>
      </c>
      <c r="T24" s="202" t="s">
        <v>40</v>
      </c>
      <c r="U24" s="203" t="s">
        <v>41</v>
      </c>
      <c r="V24" s="203" t="s">
        <v>42</v>
      </c>
      <c r="W24" s="204" t="s">
        <v>43</v>
      </c>
      <c r="X24" s="202" t="s">
        <v>40</v>
      </c>
      <c r="Y24" s="203" t="s">
        <v>41</v>
      </c>
      <c r="Z24" s="203" t="s">
        <v>42</v>
      </c>
      <c r="AA24" s="204" t="s">
        <v>43</v>
      </c>
      <c r="AB24" s="202" t="s">
        <v>40</v>
      </c>
      <c r="AC24" s="203" t="s">
        <v>41</v>
      </c>
      <c r="AD24" s="203" t="s">
        <v>42</v>
      </c>
      <c r="AE24" s="204" t="s">
        <v>43</v>
      </c>
      <c r="AF24" s="202" t="s">
        <v>40</v>
      </c>
      <c r="AG24" s="203" t="s">
        <v>41</v>
      </c>
      <c r="AH24" s="203" t="s">
        <v>42</v>
      </c>
      <c r="AI24" s="204" t="s">
        <v>43</v>
      </c>
      <c r="AJ24" s="202" t="s">
        <v>40</v>
      </c>
      <c r="AK24" s="203" t="s">
        <v>41</v>
      </c>
      <c r="AL24" s="203" t="s">
        <v>42</v>
      </c>
      <c r="AM24" s="204" t="s">
        <v>43</v>
      </c>
      <c r="AN24" s="202" t="s">
        <v>40</v>
      </c>
      <c r="AO24" s="203" t="s">
        <v>41</v>
      </c>
      <c r="AP24" s="203" t="s">
        <v>42</v>
      </c>
      <c r="AQ24" s="204" t="s">
        <v>43</v>
      </c>
      <c r="AR24" s="202" t="s">
        <v>40</v>
      </c>
      <c r="AS24" s="203" t="s">
        <v>41</v>
      </c>
      <c r="AT24" s="203" t="s">
        <v>42</v>
      </c>
      <c r="AU24" s="204" t="s">
        <v>43</v>
      </c>
      <c r="AV24" s="202" t="s">
        <v>40</v>
      </c>
      <c r="AW24" s="203" t="s">
        <v>41</v>
      </c>
      <c r="AX24" s="203" t="s">
        <v>42</v>
      </c>
      <c r="AY24" s="204" t="s">
        <v>43</v>
      </c>
      <c r="AZ24" s="202" t="s">
        <v>40</v>
      </c>
      <c r="BA24" s="203" t="s">
        <v>41</v>
      </c>
      <c r="BB24" s="203" t="s">
        <v>42</v>
      </c>
      <c r="BC24" s="204" t="s">
        <v>43</v>
      </c>
      <c r="BD24" s="202" t="s">
        <v>40</v>
      </c>
      <c r="BE24" s="203" t="s">
        <v>41</v>
      </c>
      <c r="BF24" s="203" t="s">
        <v>42</v>
      </c>
      <c r="BG24" s="204" t="s">
        <v>43</v>
      </c>
      <c r="BH24" s="202" t="s">
        <v>40</v>
      </c>
      <c r="BI24" s="203" t="s">
        <v>41</v>
      </c>
      <c r="BJ24" s="203" t="s">
        <v>42</v>
      </c>
      <c r="BK24" s="204" t="s">
        <v>43</v>
      </c>
      <c r="BL24" s="205"/>
    </row>
    <row r="25" spans="1:83" s="20" customFormat="1" x14ac:dyDescent="0.25">
      <c r="A25" s="180">
        <f>+B7</f>
        <v>44078</v>
      </c>
      <c r="B25" s="234">
        <v>0</v>
      </c>
      <c r="C25" s="235">
        <v>0</v>
      </c>
      <c r="D25" s="238">
        <v>0</v>
      </c>
      <c r="E25" s="238">
        <v>0</v>
      </c>
      <c r="F25" s="238">
        <v>0</v>
      </c>
      <c r="G25" s="238">
        <v>0</v>
      </c>
      <c r="H25" s="238">
        <v>0</v>
      </c>
      <c r="I25" s="238">
        <v>0</v>
      </c>
      <c r="J25" s="238">
        <v>0</v>
      </c>
      <c r="K25" s="238">
        <v>0</v>
      </c>
      <c r="L25" s="238">
        <v>0</v>
      </c>
      <c r="M25" s="239">
        <v>0</v>
      </c>
      <c r="O25" s="323">
        <f>+B7</f>
        <v>44078</v>
      </c>
      <c r="P25" s="324"/>
      <c r="Q25" s="325"/>
      <c r="R25" s="182"/>
      <c r="S25" s="183"/>
      <c r="T25" s="324"/>
      <c r="U25" s="325"/>
      <c r="V25" s="182"/>
      <c r="W25" s="183"/>
      <c r="X25" s="184"/>
      <c r="Y25" s="325"/>
      <c r="Z25" s="182"/>
      <c r="AA25" s="183"/>
      <c r="AB25" s="182"/>
      <c r="AC25" s="325"/>
      <c r="AD25" s="182"/>
      <c r="AE25" s="183"/>
      <c r="AF25" s="182"/>
      <c r="AG25" s="325"/>
      <c r="AH25" s="182"/>
      <c r="AI25" s="183"/>
      <c r="AJ25" s="182"/>
      <c r="AK25" s="325"/>
      <c r="AL25" s="182"/>
      <c r="AM25" s="183"/>
      <c r="AN25" s="182"/>
      <c r="AO25" s="325"/>
      <c r="AP25" s="182"/>
      <c r="AQ25" s="183"/>
      <c r="AR25" s="182"/>
      <c r="AS25" s="325"/>
      <c r="AT25" s="182"/>
      <c r="AU25" s="183"/>
      <c r="AV25" s="182"/>
      <c r="AW25" s="325"/>
      <c r="AX25" s="182"/>
      <c r="AY25" s="183"/>
      <c r="AZ25" s="182"/>
      <c r="BA25" s="325"/>
      <c r="BB25" s="182"/>
      <c r="BC25" s="183"/>
      <c r="BD25" s="182"/>
      <c r="BE25" s="325"/>
      <c r="BF25" s="182"/>
      <c r="BG25" s="183"/>
      <c r="BH25" s="182"/>
      <c r="BI25" s="325"/>
      <c r="BJ25" s="182"/>
      <c r="BK25" s="183"/>
      <c r="BL25" s="179"/>
    </row>
    <row r="26" spans="1:83" s="20" customFormat="1" x14ac:dyDescent="0.25">
      <c r="A26" s="180">
        <f t="shared" ref="A26:A77" si="6">DATE(YEAR(A25),MONTH(A25)+VLOOKUP($D$15,$K$1:$M$4,3,0),DAY(A25))</f>
        <v>44259</v>
      </c>
      <c r="B26" s="236">
        <v>0</v>
      </c>
      <c r="C26" s="237">
        <v>0</v>
      </c>
      <c r="D26" s="191">
        <v>0</v>
      </c>
      <c r="E26" s="191">
        <v>0</v>
      </c>
      <c r="F26" s="191">
        <v>0</v>
      </c>
      <c r="G26" s="191">
        <v>0</v>
      </c>
      <c r="H26" s="191">
        <v>0</v>
      </c>
      <c r="I26" s="191">
        <v>0</v>
      </c>
      <c r="J26" s="191">
        <v>0</v>
      </c>
      <c r="K26" s="191">
        <v>0</v>
      </c>
      <c r="L26" s="191">
        <v>0</v>
      </c>
      <c r="M26" s="192">
        <v>0</v>
      </c>
      <c r="O26" s="323">
        <f t="shared" ref="O26:O77" si="7">+DATE(YEAR(O25),MONTH(O25)+VLOOKUP(D$15,$K$1:$M$4,3,0),DAY(O25))</f>
        <v>44259</v>
      </c>
      <c r="P26" s="184">
        <v>0</v>
      </c>
      <c r="Q26" s="325">
        <f t="shared" ref="Q26:Q45" si="8">+IF($O26&gt;$B$8,"FIN",IF($O26&lt;$B$17,0,$B$19/$B$16))</f>
        <v>0</v>
      </c>
      <c r="R26" s="182">
        <f t="shared" ref="R26:R45" si="9">+SUM(P26:Q26)</f>
        <v>0</v>
      </c>
      <c r="S26" s="183">
        <f>R26/(1+$B$5)^(YEARFRAC($O$25,$O26))</f>
        <v>0</v>
      </c>
      <c r="T26" s="184">
        <v>0</v>
      </c>
      <c r="U26" s="325">
        <f t="shared" ref="U26:U45" si="10">+IF($O26&gt;$C$8,"FIN",IF($O26&lt;$C$17,0,$C$19/$C$16))</f>
        <v>0</v>
      </c>
      <c r="V26" s="182">
        <f t="shared" ref="V26:V44" si="11">+SUM(T26:U26)</f>
        <v>0</v>
      </c>
      <c r="W26" s="183">
        <f>V26/(1+$B$5)^(YEARFRAC($O$25,$O26))</f>
        <v>0</v>
      </c>
      <c r="X26" s="184">
        <v>0</v>
      </c>
      <c r="Y26" s="325">
        <f t="shared" ref="Y26:Y45" si="12">+IF($O26&gt;$D$8,"FIN",IF($O26&lt;$D$17,0,$D$19/$D$16))</f>
        <v>0</v>
      </c>
      <c r="Z26" s="182">
        <f t="shared" ref="Z26:Z45" si="13">+SUM(X26:Y26)</f>
        <v>0</v>
      </c>
      <c r="AA26" s="183">
        <f>Z26/(1+$B$5)^(YEARFRAC($O$25,$O26))</f>
        <v>0</v>
      </c>
      <c r="AB26" s="184">
        <v>0</v>
      </c>
      <c r="AC26" s="182">
        <f t="shared" ref="AC26:AC45" si="14">+IF($O26&gt;$E$8,"FIN",IF($O26&lt;$E$17,0,$E$19/$E$16))</f>
        <v>0</v>
      </c>
      <c r="AD26" s="182">
        <f t="shared" ref="AD26:AD45" si="15">+SUM(AB26:AC26)</f>
        <v>0</v>
      </c>
      <c r="AE26" s="183">
        <f>AD26/(1+$B$5)^(YEARFRAC($O$25,$O26))</f>
        <v>0</v>
      </c>
      <c r="AF26" s="184">
        <v>0</v>
      </c>
      <c r="AG26" s="325">
        <f t="shared" ref="AG26:AG55" si="16">+IF($O26&gt;$F$8,"FIN",IF($O26&lt;$F$17,0,$F$19/$F$16))</f>
        <v>0</v>
      </c>
      <c r="AH26" s="182">
        <f t="shared" ref="AH26:AH55" si="17">+SUM(AF26:AG26)</f>
        <v>0</v>
      </c>
      <c r="AI26" s="183">
        <f>AH26/(1+$B$5)^(YEARFRAC($O$25,$O26))</f>
        <v>0</v>
      </c>
      <c r="AJ26" s="184">
        <v>0</v>
      </c>
      <c r="AK26" s="182">
        <f t="shared" ref="AK26:AK55" si="18">+IF($O26&gt;$G$8,"FIN",IF($O26&lt;$G$17,0,$G$19/$G$16))</f>
        <v>0</v>
      </c>
      <c r="AL26" s="182">
        <f t="shared" ref="AL26:AL55" si="19">+SUM(AJ26:AK26)</f>
        <v>0</v>
      </c>
      <c r="AM26" s="183">
        <f>AL26/(1+$B$5)^(YEARFRAC($O$25,$O26))</f>
        <v>0</v>
      </c>
      <c r="AN26" s="184">
        <v>0</v>
      </c>
      <c r="AO26" s="182">
        <f t="shared" ref="AO26:AO61" si="20">+IF($O26&gt;$H$8,"FIN",IF($O26&lt;$H$17,0,$H$19/$H$16))</f>
        <v>0</v>
      </c>
      <c r="AP26" s="182">
        <f t="shared" ref="AP26:AP61" si="21">+SUM(AN26:AO26)</f>
        <v>0</v>
      </c>
      <c r="AQ26" s="183">
        <f>AP26/(1+$B$5)^(YEARFRAC($O$25,$O26))</f>
        <v>0</v>
      </c>
      <c r="AR26" s="184">
        <v>0</v>
      </c>
      <c r="AS26" s="182">
        <f t="shared" ref="AS26:AS61" si="22">+IF($O26&gt;$I$8,"FIN",IF($O26&lt;$I$17,0,$I$19/$I$16))</f>
        <v>0</v>
      </c>
      <c r="AT26" s="182">
        <f t="shared" ref="AT26:AT61" si="23">+SUM(AR26:AS26)</f>
        <v>0</v>
      </c>
      <c r="AU26" s="183">
        <f>AT26/(1+$B$5)^(YEARFRAC($O$25,$O26))</f>
        <v>0</v>
      </c>
      <c r="AV26" s="184">
        <v>0</v>
      </c>
      <c r="AW26" s="182">
        <f t="shared" ref="AW26:AW67" si="24">+IF($O26&gt;$J$8,"FIN",IF($O26&lt;$J$17,0,$J$19/$J$16))</f>
        <v>0</v>
      </c>
      <c r="AX26" s="182">
        <f t="shared" ref="AX26:AX67" si="25">+SUM(AV26:AW26)</f>
        <v>0</v>
      </c>
      <c r="AY26" s="183">
        <f>AX26/(1+$B$5)^(YEARFRAC($O$25,$O26))</f>
        <v>0</v>
      </c>
      <c r="AZ26" s="184">
        <v>0</v>
      </c>
      <c r="BA26" s="182">
        <f t="shared" ref="BA26:BA67" si="26">+IF($O26&gt;$K$8,"FIN",IF($O26&lt;$K$17,0,$K$19/$K$16))</f>
        <v>0</v>
      </c>
      <c r="BB26" s="182">
        <f t="shared" ref="BB26:BB67" si="27">+SUM(AZ26:BA26)</f>
        <v>0</v>
      </c>
      <c r="BC26" s="183">
        <f>BB26/(1+$B$5)^(YEARFRAC($O$25,$O26))</f>
        <v>0</v>
      </c>
      <c r="BD26" s="184">
        <v>0</v>
      </c>
      <c r="BE26" s="325">
        <f t="shared" ref="BE26:BE77" si="28">+IF($O26&gt;$L$8,"FIN",IF($O26&lt;$L$17,0,$L$19/$L$16))</f>
        <v>0</v>
      </c>
      <c r="BF26" s="182">
        <f t="shared" ref="BF26:BF77" si="29">+SUM(BD26:BE26)</f>
        <v>0</v>
      </c>
      <c r="BG26" s="183">
        <f>BF26/(1+$B$5)^(YEARFRAC($O$25,$O26))</f>
        <v>0</v>
      </c>
      <c r="BH26" s="184">
        <v>0</v>
      </c>
      <c r="BI26" s="182">
        <f t="shared" ref="BI26:BI77" si="30">+IF($O26&gt;$M$8,"FIN",IF($O26&lt;$M$17,0,$M$19/$M$16))</f>
        <v>0</v>
      </c>
      <c r="BJ26" s="182">
        <f t="shared" ref="BJ26:BJ77" si="31">+SUM(BH26:BI26)</f>
        <v>0</v>
      </c>
      <c r="BK26" s="183">
        <f>BJ26/(1+$B$5)^(YEARFRAC($O$25,$O26))</f>
        <v>0</v>
      </c>
      <c r="BL26" s="179"/>
      <c r="BM26" s="200"/>
    </row>
    <row r="27" spans="1:83" s="20" customFormat="1" x14ac:dyDescent="0.25">
      <c r="A27" s="180">
        <f t="shared" si="6"/>
        <v>44443</v>
      </c>
      <c r="B27" s="236">
        <v>0.01</v>
      </c>
      <c r="C27" s="237">
        <v>5.0000000000000001E-3</v>
      </c>
      <c r="D27" s="191">
        <v>1.25E-3</v>
      </c>
      <c r="E27" s="191">
        <v>1.25E-3</v>
      </c>
      <c r="F27" s="191">
        <v>1.25E-3</v>
      </c>
      <c r="G27" s="191">
        <v>1.25E-3</v>
      </c>
      <c r="H27" s="191">
        <v>1.25E-3</v>
      </c>
      <c r="I27" s="191">
        <v>1.25E-3</v>
      </c>
      <c r="J27" s="191">
        <v>1.25E-3</v>
      </c>
      <c r="K27" s="191">
        <v>1.25E-3</v>
      </c>
      <c r="L27" s="191">
        <v>1.25E-3</v>
      </c>
      <c r="M27" s="192">
        <v>1.25E-3</v>
      </c>
      <c r="O27" s="323">
        <f t="shared" si="7"/>
        <v>44443</v>
      </c>
      <c r="P27" s="184">
        <f>+IF($O27&gt;B$8,"FIN",(B$19-SUM(Q$25:Q26))*VLOOKUP($O27,$A:$N,2,0)/VLOOKUP(B$15,$K$1:$M$4,2,0))*2</f>
        <v>1</v>
      </c>
      <c r="Q27" s="325">
        <f t="shared" si="8"/>
        <v>0</v>
      </c>
      <c r="R27" s="182">
        <f t="shared" si="9"/>
        <v>1</v>
      </c>
      <c r="S27" s="183">
        <f t="shared" ref="S27:S45" si="32">R27/(1+$B$5)^(YEARFRAC($O$25,$O27))</f>
        <v>0.90909090909090906</v>
      </c>
      <c r="T27" s="184">
        <f>+IF($O27&gt;C$8,"FIN",(C$19-SUM(U$25:U26))*VLOOKUP($O27,$A:$N,3,0)/VLOOKUP(C$15,$K$1:$M$4,2,0))*2</f>
        <v>0.5</v>
      </c>
      <c r="U27" s="325">
        <f t="shared" si="10"/>
        <v>0</v>
      </c>
      <c r="V27" s="182">
        <f t="shared" si="11"/>
        <v>0.5</v>
      </c>
      <c r="W27" s="183">
        <f t="shared" ref="W27:W44" si="33">V27/(1+$B$5)^(YEARFRAC($O$25,$O27))</f>
        <v>0.45454545454545453</v>
      </c>
      <c r="X27" s="184">
        <f>+IF($O27&gt;D$8,"FIN",(D$19-SUM(Y$25:Y26))*VLOOKUP($O27,$A:$N,4,0)/VLOOKUP(D$15,$K$1:$M$4,2,0))*2</f>
        <v>0.12125</v>
      </c>
      <c r="Y27" s="325">
        <f t="shared" si="12"/>
        <v>0</v>
      </c>
      <c r="Z27" s="182">
        <f t="shared" si="13"/>
        <v>0.12125</v>
      </c>
      <c r="AA27" s="183">
        <f t="shared" ref="AA27:AA45" si="34">Z27/(1+$B$5)^(YEARFRAC($O$25,$O27))</f>
        <v>0.11022727272727272</v>
      </c>
      <c r="AB27" s="184">
        <f>+IF($O27&gt;E$8,"FIN",(E$19-SUM(AC$25:AC26))*VLOOKUP($O27,$A:$N,5,0)/VLOOKUP(E$15,$K$1:$M$4,2,0))*2</f>
        <v>0.12125</v>
      </c>
      <c r="AC27" s="182">
        <f t="shared" si="14"/>
        <v>0</v>
      </c>
      <c r="AD27" s="182">
        <f t="shared" si="15"/>
        <v>0.12125</v>
      </c>
      <c r="AE27" s="183">
        <f t="shared" ref="AE27:AE45" si="35">AD27/(1+$B$5)^(YEARFRAC($O$25,$O27))</f>
        <v>0.11022727272727272</v>
      </c>
      <c r="AF27" s="184">
        <f>+IF($O27&gt;F$8,"FIN",(F$19-SUM(AG$25:AG26))*VLOOKUP($O27,$A:$N,6,0)/VLOOKUP(F$15,$K$1:$M$4,2,0))*2</f>
        <v>0.12125</v>
      </c>
      <c r="AG27" s="325">
        <f t="shared" si="16"/>
        <v>0</v>
      </c>
      <c r="AH27" s="182">
        <f t="shared" si="17"/>
        <v>0.12125</v>
      </c>
      <c r="AI27" s="183">
        <f t="shared" ref="AI27:AI55" si="36">AH27/(1+$B$5)^(YEARFRAC($O$25,$O27))</f>
        <v>0.11022727272727272</v>
      </c>
      <c r="AJ27" s="184">
        <f>+IF($O27&gt;G$8,"FIN",(G$19-SUM(AK$25:AK26))*VLOOKUP($O27,$A:$N,7,0)/VLOOKUP(G$15,$K$1:$M$4,2,0))*2</f>
        <v>0.12125</v>
      </c>
      <c r="AK27" s="182">
        <f t="shared" si="18"/>
        <v>0</v>
      </c>
      <c r="AL27" s="182">
        <f t="shared" si="19"/>
        <v>0.12125</v>
      </c>
      <c r="AM27" s="183">
        <f t="shared" ref="AM27:AM55" si="37">AL27/(1+$B$5)^(YEARFRAC($O$25,$O27))</f>
        <v>0.11022727272727272</v>
      </c>
      <c r="AN27" s="184">
        <f>+IF($O27&gt;H$8,"FIN",(H$19-SUM(AO$25:AO26))*VLOOKUP($O27,$A:$N,8,0)/VLOOKUP(H$15,$K$1:$M$4,2,0))*2</f>
        <v>0.125</v>
      </c>
      <c r="AO27" s="182">
        <f t="shared" si="20"/>
        <v>0</v>
      </c>
      <c r="AP27" s="182">
        <f t="shared" si="21"/>
        <v>0.125</v>
      </c>
      <c r="AQ27" s="183">
        <f t="shared" ref="AQ27:AQ61" si="38">AP27/(1+$B$5)^(YEARFRAC($O$25,$O27))</f>
        <v>0.11363636363636363</v>
      </c>
      <c r="AR27" s="184">
        <f>+IF($O27&gt;I$8,"FIN",(I$19-SUM(AS$25:AS26))*VLOOKUP($O27,$A:$N,9,0)/VLOOKUP(I$15,$K$1:$M$4,2,0))*2</f>
        <v>0.125</v>
      </c>
      <c r="AS27" s="182">
        <f t="shared" si="22"/>
        <v>0</v>
      </c>
      <c r="AT27" s="182">
        <f t="shared" si="23"/>
        <v>0.125</v>
      </c>
      <c r="AU27" s="183">
        <f t="shared" ref="AU27:AU61" si="39">AT27/(1+$B$5)^(YEARFRAC($O$25,$O27))</f>
        <v>0.11363636363636363</v>
      </c>
      <c r="AV27" s="184">
        <f>+IF($O27&gt;J$8,"FIN",(J$19-SUM(AW$25:AW26))*VLOOKUP($O27,$A:$N,10,0)/VLOOKUP(J$15,$K$1:$M$4,2,0))*2</f>
        <v>0.125</v>
      </c>
      <c r="AW27" s="182">
        <f t="shared" si="24"/>
        <v>0</v>
      </c>
      <c r="AX27" s="182">
        <f t="shared" si="25"/>
        <v>0.125</v>
      </c>
      <c r="AY27" s="183">
        <f t="shared" ref="AY27:AY67" si="40">AX27/(1+$B$5)^(YEARFRAC($O$25,$O27))</f>
        <v>0.11363636363636363</v>
      </c>
      <c r="AZ27" s="184">
        <f>+IF($O27&gt;K$8,"FIN",(K$19-SUM(BA$25:BA26))*VLOOKUP($O27,$A:$N,11,0)/VLOOKUP(K$15,$K$1:$M$4,2,0))*2</f>
        <v>0.125</v>
      </c>
      <c r="BA27" s="182">
        <f t="shared" si="26"/>
        <v>0</v>
      </c>
      <c r="BB27" s="182">
        <f t="shared" si="27"/>
        <v>0.125</v>
      </c>
      <c r="BC27" s="183">
        <f t="shared" ref="BC27:BC67" si="41">BB27/(1+$B$5)^(YEARFRAC($O$25,$O27))</f>
        <v>0.11363636363636363</v>
      </c>
      <c r="BD27" s="184">
        <f>+IF($O27&gt;L$8,"FIN",(L$19-SUM(BE$25:BE26))*VLOOKUP($O27,$A:$N,12,0)/VLOOKUP(L$15,$K$1:$M$4,2,0))*2</f>
        <v>0.12125</v>
      </c>
      <c r="BE27" s="325">
        <f t="shared" si="28"/>
        <v>0</v>
      </c>
      <c r="BF27" s="182">
        <f t="shared" si="29"/>
        <v>0.12125</v>
      </c>
      <c r="BG27" s="183">
        <f t="shared" ref="BG27:BG77" si="42">BF27/(1+$B$5)^(YEARFRAC($O$25,$O27))</f>
        <v>0.11022727272727272</v>
      </c>
      <c r="BH27" s="184">
        <f>+IF($O27&gt;M$8,"FIN",(M$19-SUM(BI$25:BI26))*VLOOKUP($O27,$A:$N,13,0)/VLOOKUP(M$15,$K$1:$M$4,2,0))*2</f>
        <v>0.12125</v>
      </c>
      <c r="BI27" s="182">
        <f t="shared" si="30"/>
        <v>0</v>
      </c>
      <c r="BJ27" s="182">
        <f t="shared" si="31"/>
        <v>0.12125</v>
      </c>
      <c r="BK27" s="183">
        <f t="shared" ref="BK27:BK77" si="43">BJ27/(1+$B$5)^(YEARFRAC($O$25,$O27))</f>
        <v>0.11022727272727272</v>
      </c>
      <c r="BL27" s="179"/>
      <c r="BM27" s="200"/>
    </row>
    <row r="28" spans="1:83" s="20" customFormat="1" x14ac:dyDescent="0.25">
      <c r="A28" s="180">
        <f t="shared" si="6"/>
        <v>44624</v>
      </c>
      <c r="B28" s="236">
        <v>0.01</v>
      </c>
      <c r="C28" s="237">
        <v>5.0000000000000001E-3</v>
      </c>
      <c r="D28" s="191">
        <v>5.0000000000000001E-3</v>
      </c>
      <c r="E28" s="191">
        <v>1.25E-3</v>
      </c>
      <c r="F28" s="191">
        <v>1.125E-2</v>
      </c>
      <c r="G28" s="191">
        <v>7.4999999999999997E-3</v>
      </c>
      <c r="H28" s="191">
        <v>0.02</v>
      </c>
      <c r="I28" s="191">
        <v>1.4999999999999999E-2</v>
      </c>
      <c r="J28" s="191">
        <v>2.5000000000000001E-2</v>
      </c>
      <c r="K28" s="191">
        <v>1.4999999999999999E-2</v>
      </c>
      <c r="L28" s="191">
        <v>1.125E-2</v>
      </c>
      <c r="M28" s="192">
        <v>7.4999999999999997E-3</v>
      </c>
      <c r="N28" s="179"/>
      <c r="O28" s="181">
        <f t="shared" si="7"/>
        <v>44624</v>
      </c>
      <c r="P28" s="185">
        <f>+IF($O28&gt;B$8,"FIN",(B$19-SUM(Q$25:Q27))*VLOOKUP($O28,$A:$N,2,0)/VLOOKUP(B$15,$K$1:$M$4,2,0))</f>
        <v>0.5</v>
      </c>
      <c r="Q28" s="186">
        <f t="shared" si="8"/>
        <v>0</v>
      </c>
      <c r="R28" s="186">
        <f t="shared" si="9"/>
        <v>0.5</v>
      </c>
      <c r="S28" s="183">
        <f t="shared" si="32"/>
        <v>0.43339208602072371</v>
      </c>
      <c r="T28" s="185">
        <f>+IF($O28&gt;C$8,"FIN",(C$19-SUM(U$25:U27))*VLOOKUP($O28,$A:$N,3,0)/VLOOKUP(C$15,$K$1:$M$4,2,0))</f>
        <v>0.25</v>
      </c>
      <c r="U28" s="186">
        <f t="shared" si="10"/>
        <v>0</v>
      </c>
      <c r="V28" s="186">
        <f t="shared" si="11"/>
        <v>0.25</v>
      </c>
      <c r="W28" s="183">
        <f t="shared" si="33"/>
        <v>0.21669604301036186</v>
      </c>
      <c r="X28" s="185">
        <f>+IF($O28&gt;D$8,"FIN",(D$19-SUM(Y$25:Y27))*VLOOKUP($O28,$A:$N,4,0)/VLOOKUP(D$15,$K$1:$M$4,2,0))</f>
        <v>0.24249999999999999</v>
      </c>
      <c r="Y28" s="186">
        <f t="shared" si="12"/>
        <v>0</v>
      </c>
      <c r="Z28" s="186">
        <f t="shared" si="13"/>
        <v>0.24249999999999999</v>
      </c>
      <c r="AA28" s="183">
        <f t="shared" si="34"/>
        <v>0.21019516172005098</v>
      </c>
      <c r="AB28" s="185">
        <f>+IF($O28&gt;E$8,"FIN",(E$19-SUM(AC$25:AC27))*VLOOKUP($O28,$A:$N,5,0)/VLOOKUP(E$15,$K$1:$M$4,2,0))</f>
        <v>6.0624999999999998E-2</v>
      </c>
      <c r="AC28" s="186">
        <f t="shared" si="14"/>
        <v>0</v>
      </c>
      <c r="AD28" s="186">
        <f t="shared" si="15"/>
        <v>6.0624999999999998E-2</v>
      </c>
      <c r="AE28" s="183">
        <f t="shared" si="35"/>
        <v>5.2548790430012746E-2</v>
      </c>
      <c r="AF28" s="185">
        <f>+IF($O28&gt;F$8,"FIN",(F$19-SUM(AG$25:AG27))*VLOOKUP($O28,$A:$N,6,0)/VLOOKUP(F$15,$K$1:$M$4,2,0))</f>
        <v>0.54562500000000003</v>
      </c>
      <c r="AG28" s="186">
        <f t="shared" si="16"/>
        <v>0</v>
      </c>
      <c r="AH28" s="182">
        <f t="shared" si="17"/>
        <v>0.54562500000000003</v>
      </c>
      <c r="AI28" s="183">
        <f t="shared" si="36"/>
        <v>0.47293911387011478</v>
      </c>
      <c r="AJ28" s="185">
        <f>+IF($O28&gt;G$8,"FIN",(G$19-SUM(AK$25:AK27))*VLOOKUP($O28,$A:$N,7,0)/VLOOKUP(G$15,$K$1:$M$4,2,0))</f>
        <v>0.36374999999999996</v>
      </c>
      <c r="AK28" s="186">
        <f t="shared" si="18"/>
        <v>0</v>
      </c>
      <c r="AL28" s="182">
        <f t="shared" si="19"/>
        <v>0.36374999999999996</v>
      </c>
      <c r="AM28" s="183">
        <f t="shared" si="37"/>
        <v>0.31529274258007645</v>
      </c>
      <c r="AN28" s="185">
        <f>+IF($O28&gt;H$8,"FIN",(H$19-SUM(AO$25:AO27))*VLOOKUP($O28,$A:$N,8,0)/VLOOKUP(H$15,$K$1:$M$4,2,0))</f>
        <v>1</v>
      </c>
      <c r="AO28" s="182">
        <f t="shared" si="20"/>
        <v>0</v>
      </c>
      <c r="AP28" s="182">
        <f t="shared" si="21"/>
        <v>1</v>
      </c>
      <c r="AQ28" s="183">
        <f t="shared" si="38"/>
        <v>0.86678417204144742</v>
      </c>
      <c r="AR28" s="185">
        <f>+IF($O28&gt;I$8,"FIN",(I$19-SUM(AS$25:AS27))*VLOOKUP($O28,$A:$N,9,0)/VLOOKUP(I$15,$K$1:$M$4,2,0))</f>
        <v>0.75</v>
      </c>
      <c r="AS28" s="186">
        <f t="shared" si="22"/>
        <v>0</v>
      </c>
      <c r="AT28" s="182">
        <f t="shared" si="23"/>
        <v>0.75</v>
      </c>
      <c r="AU28" s="183">
        <f t="shared" si="39"/>
        <v>0.65008812903108559</v>
      </c>
      <c r="AV28" s="185">
        <f>+IF($O28&gt;J$8,"FIN",(J$19-SUM(AW$25:AW27))*VLOOKUP($O28,$A:$N,10,0)/VLOOKUP(J$15,$K$1:$M$4,2,0))</f>
        <v>1.25</v>
      </c>
      <c r="AW28" s="186">
        <f t="shared" si="24"/>
        <v>0</v>
      </c>
      <c r="AX28" s="182">
        <f t="shared" si="25"/>
        <v>1.25</v>
      </c>
      <c r="AY28" s="183">
        <f t="shared" si="40"/>
        <v>1.0834802150518092</v>
      </c>
      <c r="AZ28" s="185">
        <f>+IF($O28&gt;K$8,"FIN",(K$19-SUM(BA$25:BA27))*VLOOKUP($O28,$A:$N,11,0)/VLOOKUP(K$15,$K$1:$M$4,2,0))</f>
        <v>0.75</v>
      </c>
      <c r="BA28" s="186">
        <f t="shared" si="26"/>
        <v>0</v>
      </c>
      <c r="BB28" s="186">
        <f t="shared" si="27"/>
        <v>0.75</v>
      </c>
      <c r="BC28" s="183">
        <f t="shared" si="41"/>
        <v>0.65008812903108559</v>
      </c>
      <c r="BD28" s="185">
        <f>+IF($O28&gt;L$8,"FIN",(L$19-SUM(BE$25:BE27))*VLOOKUP($O28,$A:$N,12,0)/VLOOKUP(L$15,$K$1:$M$4,2,0))</f>
        <v>0.54562500000000003</v>
      </c>
      <c r="BE28" s="186">
        <f t="shared" si="28"/>
        <v>0</v>
      </c>
      <c r="BF28" s="182">
        <f t="shared" si="29"/>
        <v>0.54562500000000003</v>
      </c>
      <c r="BG28" s="183">
        <f t="shared" si="42"/>
        <v>0.47293911387011478</v>
      </c>
      <c r="BH28" s="185">
        <f>+IF($O28&gt;M$8,"FIN",(M$19-SUM(BI$25:BI27))*VLOOKUP($O28,$A:$N,13,0)/VLOOKUP(M$15,$K$1:$M$4,2,0))</f>
        <v>0.36374999999999996</v>
      </c>
      <c r="BI28" s="182">
        <f t="shared" si="30"/>
        <v>0</v>
      </c>
      <c r="BJ28" s="182">
        <f t="shared" si="31"/>
        <v>0.36374999999999996</v>
      </c>
      <c r="BK28" s="183">
        <f t="shared" si="43"/>
        <v>0.31529274258007645</v>
      </c>
      <c r="BL28" s="179"/>
      <c r="BM28" s="200"/>
    </row>
    <row r="29" spans="1:83" s="20" customFormat="1" x14ac:dyDescent="0.25">
      <c r="A29" s="180">
        <f t="shared" si="6"/>
        <v>44808</v>
      </c>
      <c r="B29" s="236">
        <v>0.01</v>
      </c>
      <c r="C29" s="237">
        <v>5.0000000000000001E-3</v>
      </c>
      <c r="D29" s="191">
        <v>5.0000000000000001E-3</v>
      </c>
      <c r="E29" s="191">
        <v>1.25E-3</v>
      </c>
      <c r="F29" s="191">
        <v>1.125E-2</v>
      </c>
      <c r="G29" s="191">
        <v>7.4999999999999997E-3</v>
      </c>
      <c r="H29" s="191">
        <v>0.02</v>
      </c>
      <c r="I29" s="191">
        <v>1.4999999999999999E-2</v>
      </c>
      <c r="J29" s="191">
        <v>2.5000000000000001E-2</v>
      </c>
      <c r="K29" s="191">
        <v>1.4999999999999999E-2</v>
      </c>
      <c r="L29" s="191">
        <v>1.125E-2</v>
      </c>
      <c r="M29" s="192">
        <v>7.4999999999999997E-3</v>
      </c>
      <c r="N29" s="179"/>
      <c r="O29" s="181">
        <f t="shared" si="7"/>
        <v>44808</v>
      </c>
      <c r="P29" s="185">
        <f>+IF($O29&gt;B$8,"FIN",(B$19-SUM(Q$25:Q28))*VLOOKUP($O29,$A:$N,2,0)/VLOOKUP(B$15,$K$1:$M$4,2,0))</f>
        <v>0.5</v>
      </c>
      <c r="Q29" s="182">
        <f t="shared" si="8"/>
        <v>0</v>
      </c>
      <c r="R29" s="182">
        <f t="shared" si="9"/>
        <v>0.5</v>
      </c>
      <c r="S29" s="183">
        <f t="shared" si="32"/>
        <v>0.41322314049586772</v>
      </c>
      <c r="T29" s="185">
        <f>+IF($O29&gt;C$8,"FIN",(C$19-SUM(U$25:U28))*VLOOKUP($O29,$A:$N,3,0)/VLOOKUP(C$15,$K$1:$M$4,2,0))</f>
        <v>0.25</v>
      </c>
      <c r="U29" s="182">
        <f t="shared" si="10"/>
        <v>0</v>
      </c>
      <c r="V29" s="182">
        <f t="shared" si="11"/>
        <v>0.25</v>
      </c>
      <c r="W29" s="183">
        <f t="shared" si="33"/>
        <v>0.20661157024793386</v>
      </c>
      <c r="X29" s="185">
        <f>+IF($O29&gt;D$8,"FIN",(D$19-SUM(Y$25:Y28))*VLOOKUP($O29,$A:$N,4,0)/VLOOKUP(D$15,$K$1:$M$4,2,0))</f>
        <v>0.24249999999999999</v>
      </c>
      <c r="Y29" s="182">
        <f t="shared" si="12"/>
        <v>0</v>
      </c>
      <c r="Z29" s="182">
        <f t="shared" si="13"/>
        <v>0.24249999999999999</v>
      </c>
      <c r="AA29" s="183">
        <f t="shared" si="34"/>
        <v>0.20041322314049584</v>
      </c>
      <c r="AB29" s="185">
        <f>+IF($O29&gt;E$8,"FIN",(E$19-SUM(AC$25:AC28))*VLOOKUP($O29,$A:$N,5,0)/VLOOKUP(E$15,$K$1:$M$4,2,0))</f>
        <v>6.0624999999999998E-2</v>
      </c>
      <c r="AC29" s="182">
        <f t="shared" si="14"/>
        <v>0</v>
      </c>
      <c r="AD29" s="182">
        <f t="shared" si="15"/>
        <v>6.0624999999999998E-2</v>
      </c>
      <c r="AE29" s="183">
        <f t="shared" si="35"/>
        <v>5.010330578512396E-2</v>
      </c>
      <c r="AF29" s="185">
        <f>+IF($O29&gt;F$8,"FIN",(F$19-SUM(AG$25:AG28))*VLOOKUP($O29,$A:$N,6,0)/VLOOKUP(F$15,$K$1:$M$4,2,0))</f>
        <v>0.54562500000000003</v>
      </c>
      <c r="AG29" s="182">
        <f t="shared" si="16"/>
        <v>0</v>
      </c>
      <c r="AH29" s="182">
        <f t="shared" si="17"/>
        <v>0.54562500000000003</v>
      </c>
      <c r="AI29" s="183">
        <f t="shared" si="36"/>
        <v>0.45092975206611563</v>
      </c>
      <c r="AJ29" s="185">
        <f>+IF($O29&gt;G$8,"FIN",(G$19-SUM(AK$25:AK28))*VLOOKUP($O29,$A:$N,7,0)/VLOOKUP(G$15,$K$1:$M$4,2,0))</f>
        <v>0.36374999999999996</v>
      </c>
      <c r="AK29" s="182">
        <f t="shared" si="18"/>
        <v>0</v>
      </c>
      <c r="AL29" s="182">
        <f t="shared" si="19"/>
        <v>0.36374999999999996</v>
      </c>
      <c r="AM29" s="183">
        <f t="shared" si="37"/>
        <v>0.30061983471074372</v>
      </c>
      <c r="AN29" s="185">
        <f>+IF($O29&gt;H$8,"FIN",(H$19-SUM(AO$25:AO28))*VLOOKUP($O29,$A:$N,8,0)/VLOOKUP(H$15,$K$1:$M$4,2,0))</f>
        <v>1</v>
      </c>
      <c r="AO29" s="182">
        <f t="shared" si="20"/>
        <v>0</v>
      </c>
      <c r="AP29" s="182">
        <f t="shared" si="21"/>
        <v>1</v>
      </c>
      <c r="AQ29" s="183">
        <f t="shared" si="38"/>
        <v>0.82644628099173545</v>
      </c>
      <c r="AR29" s="185">
        <f>+IF($O29&gt;I$8,"FIN",(I$19-SUM(AS$25:AS28))*VLOOKUP($O29,$A:$N,9,0)/VLOOKUP(I$15,$K$1:$M$4,2,0))</f>
        <v>0.75</v>
      </c>
      <c r="AS29" s="182">
        <f t="shared" si="22"/>
        <v>0</v>
      </c>
      <c r="AT29" s="182">
        <f t="shared" si="23"/>
        <v>0.75</v>
      </c>
      <c r="AU29" s="183">
        <f t="shared" si="39"/>
        <v>0.61983471074380159</v>
      </c>
      <c r="AV29" s="185">
        <f>+IF($O29&gt;J$8,"FIN",(J$19-SUM(AW$25:AW28))*VLOOKUP($O29,$A:$N,10,0)/VLOOKUP(J$15,$K$1:$M$4,2,0))</f>
        <v>1.25</v>
      </c>
      <c r="AW29" s="182">
        <f t="shared" si="24"/>
        <v>0</v>
      </c>
      <c r="AX29" s="182">
        <f t="shared" si="25"/>
        <v>1.25</v>
      </c>
      <c r="AY29" s="183">
        <f t="shared" si="40"/>
        <v>1.0330578512396693</v>
      </c>
      <c r="AZ29" s="185">
        <f>+IF($O29&gt;K$8,"FIN",(K$19-SUM(BA$25:BA28))*VLOOKUP($O29,$A:$N,11,0)/VLOOKUP(K$15,$K$1:$M$4,2,0))</f>
        <v>0.75</v>
      </c>
      <c r="BA29" s="182">
        <f t="shared" si="26"/>
        <v>0</v>
      </c>
      <c r="BB29" s="182">
        <f t="shared" si="27"/>
        <v>0.75</v>
      </c>
      <c r="BC29" s="183">
        <f t="shared" si="41"/>
        <v>0.61983471074380159</v>
      </c>
      <c r="BD29" s="185">
        <f>+IF($O29&gt;L$8,"FIN",(L$19-SUM(BE$25:BE28))*VLOOKUP($O29,$A:$N,12,0)/VLOOKUP(L$15,$K$1:$M$4,2,0))</f>
        <v>0.54562500000000003</v>
      </c>
      <c r="BE29" s="182">
        <f t="shared" si="28"/>
        <v>0</v>
      </c>
      <c r="BF29" s="182">
        <f t="shared" si="29"/>
        <v>0.54562500000000003</v>
      </c>
      <c r="BG29" s="183">
        <f t="shared" si="42"/>
        <v>0.45092975206611563</v>
      </c>
      <c r="BH29" s="185">
        <f>+IF($O29&gt;M$8,"FIN",(M$19-SUM(BI$25:BI28))*VLOOKUP($O29,$A:$N,13,0)/VLOOKUP(M$15,$K$1:$M$4,2,0))</f>
        <v>0.36374999999999996</v>
      </c>
      <c r="BI29" s="182">
        <f t="shared" si="30"/>
        <v>0</v>
      </c>
      <c r="BJ29" s="182">
        <f t="shared" si="31"/>
        <v>0.36374999999999996</v>
      </c>
      <c r="BK29" s="183">
        <f t="shared" si="43"/>
        <v>0.30061983471074372</v>
      </c>
      <c r="BL29" s="179"/>
      <c r="BM29" s="200"/>
    </row>
    <row r="30" spans="1:83" s="20" customFormat="1" x14ac:dyDescent="0.25">
      <c r="A30" s="180">
        <f t="shared" si="6"/>
        <v>44989</v>
      </c>
      <c r="B30" s="236">
        <v>0.01</v>
      </c>
      <c r="C30" s="237">
        <v>5.0000000000000001E-3</v>
      </c>
      <c r="D30" s="191">
        <v>5.0000000000000001E-3</v>
      </c>
      <c r="E30" s="191">
        <v>1.25E-3</v>
      </c>
      <c r="F30" s="191">
        <v>1.4999999999999999E-2</v>
      </c>
      <c r="G30" s="191">
        <v>8.7500000000000008E-3</v>
      </c>
      <c r="H30" s="191">
        <v>3.875E-2</v>
      </c>
      <c r="I30" s="191">
        <v>0.03</v>
      </c>
      <c r="J30" s="191">
        <v>3.5000000000000003E-2</v>
      </c>
      <c r="K30" s="191">
        <v>2.75E-2</v>
      </c>
      <c r="L30" s="191">
        <v>1.4999999999999999E-2</v>
      </c>
      <c r="M30" s="192">
        <v>8.7500000000000008E-3</v>
      </c>
      <c r="N30" s="179"/>
      <c r="O30" s="181">
        <f t="shared" si="7"/>
        <v>44989</v>
      </c>
      <c r="P30" s="185">
        <f>+IF($O30&gt;B$8,"FIN",(B$19-SUM(Q$25:Q29))*VLOOKUP($O30,$A:$N,2,0)/VLOOKUP(B$15,$K$1:$M$4,2,0))</f>
        <v>0.5</v>
      </c>
      <c r="Q30" s="182">
        <f t="shared" si="8"/>
        <v>0</v>
      </c>
      <c r="R30" s="182">
        <f t="shared" si="9"/>
        <v>0.5</v>
      </c>
      <c r="S30" s="183">
        <f t="shared" si="32"/>
        <v>0.39399280547338517</v>
      </c>
      <c r="T30" s="185">
        <f>+IF($O30&gt;C$8,"FIN",(C$19-SUM(U$25:U29))*VLOOKUP($O30,$A:$N,3,0)/VLOOKUP(C$15,$K$1:$M$4,2,0))</f>
        <v>0.25</v>
      </c>
      <c r="U30" s="182">
        <f t="shared" si="10"/>
        <v>0</v>
      </c>
      <c r="V30" s="182">
        <f t="shared" si="11"/>
        <v>0.25</v>
      </c>
      <c r="W30" s="183">
        <f t="shared" si="33"/>
        <v>0.19699640273669258</v>
      </c>
      <c r="X30" s="185">
        <f>+IF($O30&gt;D$8,"FIN",(D$19-SUM(Y$25:Y29))*VLOOKUP($O30,$A:$N,4,0)/VLOOKUP(D$15,$K$1:$M$4,2,0))</f>
        <v>0.24249999999999999</v>
      </c>
      <c r="Y30" s="182">
        <f t="shared" si="12"/>
        <v>0</v>
      </c>
      <c r="Z30" s="182">
        <f t="shared" si="13"/>
        <v>0.24249999999999999</v>
      </c>
      <c r="AA30" s="183">
        <f t="shared" si="34"/>
        <v>0.19108651065459181</v>
      </c>
      <c r="AB30" s="185">
        <f>+IF($O30&gt;E$8,"FIN",(E$19-SUM(AC$25:AC29))*VLOOKUP($O30,$A:$N,5,0)/VLOOKUP(E$15,$K$1:$M$4,2,0))</f>
        <v>6.0624999999999998E-2</v>
      </c>
      <c r="AC30" s="182">
        <f t="shared" si="14"/>
        <v>0</v>
      </c>
      <c r="AD30" s="182">
        <f t="shared" si="15"/>
        <v>6.0624999999999998E-2</v>
      </c>
      <c r="AE30" s="183">
        <f t="shared" si="35"/>
        <v>4.7771627663647953E-2</v>
      </c>
      <c r="AF30" s="185">
        <f>+IF($O30&gt;F$8,"FIN",(F$19-SUM(AG$25:AG29))*VLOOKUP($O30,$A:$N,6,0)/VLOOKUP(F$15,$K$1:$M$4,2,0))</f>
        <v>0.72749999999999992</v>
      </c>
      <c r="AG30" s="182">
        <f t="shared" si="16"/>
        <v>0</v>
      </c>
      <c r="AH30" s="182">
        <f t="shared" si="17"/>
        <v>0.72749999999999992</v>
      </c>
      <c r="AI30" s="183">
        <f t="shared" si="36"/>
        <v>0.57325953196377544</v>
      </c>
      <c r="AJ30" s="185">
        <f>+IF($O30&gt;G$8,"FIN",(G$19-SUM(AK$25:AK29))*VLOOKUP($O30,$A:$N,7,0)/VLOOKUP(G$15,$K$1:$M$4,2,0))</f>
        <v>0.42437500000000006</v>
      </c>
      <c r="AK30" s="182">
        <f t="shared" si="18"/>
        <v>0</v>
      </c>
      <c r="AL30" s="182">
        <f t="shared" si="19"/>
        <v>0.42437500000000006</v>
      </c>
      <c r="AM30" s="183">
        <f t="shared" si="37"/>
        <v>0.33440139364553573</v>
      </c>
      <c r="AN30" s="185">
        <f>+IF($O30&gt;H$8,"FIN",(H$19-SUM(AO$25:AO29))*VLOOKUP($O30,$A:$N,8,0)/VLOOKUP(H$15,$K$1:$M$4,2,0))</f>
        <v>1.9375</v>
      </c>
      <c r="AO30" s="182">
        <f t="shared" si="20"/>
        <v>0</v>
      </c>
      <c r="AP30" s="182">
        <f t="shared" si="21"/>
        <v>1.9375</v>
      </c>
      <c r="AQ30" s="183">
        <f t="shared" si="38"/>
        <v>1.5267221212093676</v>
      </c>
      <c r="AR30" s="185">
        <f>+IF($O30&gt;I$8,"FIN",(I$19-SUM(AS$25:AS29))*VLOOKUP($O30,$A:$N,9,0)/VLOOKUP(I$15,$K$1:$M$4,2,0))</f>
        <v>1.5</v>
      </c>
      <c r="AS30" s="182">
        <f t="shared" si="22"/>
        <v>0</v>
      </c>
      <c r="AT30" s="182">
        <f t="shared" si="23"/>
        <v>1.5</v>
      </c>
      <c r="AU30" s="183">
        <f t="shared" si="39"/>
        <v>1.1819784164201557</v>
      </c>
      <c r="AV30" s="185">
        <f>+IF($O30&gt;J$8,"FIN",(J$19-SUM(AW$25:AW29))*VLOOKUP($O30,$A:$N,10,0)/VLOOKUP(J$15,$K$1:$M$4,2,0))</f>
        <v>1.7500000000000002</v>
      </c>
      <c r="AW30" s="182">
        <f t="shared" si="24"/>
        <v>0</v>
      </c>
      <c r="AX30" s="182">
        <f t="shared" si="25"/>
        <v>1.7500000000000002</v>
      </c>
      <c r="AY30" s="183">
        <f t="shared" si="40"/>
        <v>1.3789748191568483</v>
      </c>
      <c r="AZ30" s="185">
        <f>+IF($O30&gt;K$8,"FIN",(K$19-SUM(BA$25:BA29))*VLOOKUP($O30,$A:$N,11,0)/VLOOKUP(K$15,$K$1:$M$4,2,0))</f>
        <v>1.375</v>
      </c>
      <c r="BA30" s="182">
        <f t="shared" si="26"/>
        <v>0</v>
      </c>
      <c r="BB30" s="182">
        <f t="shared" si="27"/>
        <v>1.375</v>
      </c>
      <c r="BC30" s="183">
        <f t="shared" si="41"/>
        <v>1.0834802150518092</v>
      </c>
      <c r="BD30" s="185">
        <f>+IF($O30&gt;L$8,"FIN",(L$19-SUM(BE$25:BE29))*VLOOKUP($O30,$A:$N,12,0)/VLOOKUP(L$15,$K$1:$M$4,2,0))</f>
        <v>0.72749999999999992</v>
      </c>
      <c r="BE30" s="182">
        <f t="shared" si="28"/>
        <v>0</v>
      </c>
      <c r="BF30" s="182">
        <f t="shared" si="29"/>
        <v>0.72749999999999992</v>
      </c>
      <c r="BG30" s="183">
        <f t="shared" si="42"/>
        <v>0.57325953196377544</v>
      </c>
      <c r="BH30" s="185">
        <f>+IF($O30&gt;M$8,"FIN",(M$19-SUM(BI$25:BI29))*VLOOKUP($O30,$A:$N,13,0)/VLOOKUP(M$15,$K$1:$M$4,2,0))</f>
        <v>0.42437500000000006</v>
      </c>
      <c r="BI30" s="182">
        <f t="shared" si="30"/>
        <v>0</v>
      </c>
      <c r="BJ30" s="182">
        <f t="shared" si="31"/>
        <v>0.42437500000000006</v>
      </c>
      <c r="BK30" s="183">
        <f t="shared" si="43"/>
        <v>0.33440139364553573</v>
      </c>
      <c r="BL30" s="179"/>
      <c r="BM30" s="200"/>
    </row>
    <row r="31" spans="1:83" s="20" customFormat="1" x14ac:dyDescent="0.25">
      <c r="A31" s="180">
        <f t="shared" si="6"/>
        <v>45173</v>
      </c>
      <c r="B31" s="236">
        <v>0.01</v>
      </c>
      <c r="C31" s="237">
        <v>5.0000000000000001E-3</v>
      </c>
      <c r="D31" s="191">
        <v>5.0000000000000001E-3</v>
      </c>
      <c r="E31" s="191">
        <v>1.25E-3</v>
      </c>
      <c r="F31" s="191">
        <v>1.4999999999999999E-2</v>
      </c>
      <c r="G31" s="191">
        <v>8.7500000000000008E-3</v>
      </c>
      <c r="H31" s="191">
        <v>3.875E-2</v>
      </c>
      <c r="I31" s="191">
        <v>0.03</v>
      </c>
      <c r="J31" s="191">
        <v>3.5000000000000003E-2</v>
      </c>
      <c r="K31" s="191">
        <v>2.75E-2</v>
      </c>
      <c r="L31" s="191">
        <v>1.4999999999999999E-2</v>
      </c>
      <c r="M31" s="192">
        <v>8.7500000000000008E-3</v>
      </c>
      <c r="N31" s="179"/>
      <c r="O31" s="181">
        <f t="shared" si="7"/>
        <v>45173</v>
      </c>
      <c r="P31" s="185">
        <f>+IF($O31&gt;B$8,"FIN",(B$19-SUM(Q$25:Q30))*VLOOKUP($O31,$A:$N,2,0)/VLOOKUP(B$15,$K$1:$M$4,2,0))</f>
        <v>0.5</v>
      </c>
      <c r="Q31" s="182">
        <f t="shared" si="8"/>
        <v>0</v>
      </c>
      <c r="R31" s="182">
        <f t="shared" si="9"/>
        <v>0.5</v>
      </c>
      <c r="S31" s="183">
        <f t="shared" si="32"/>
        <v>0.37565740045078877</v>
      </c>
      <c r="T31" s="185">
        <f>+IF($O31&gt;C$8,"FIN",(C$19-SUM(U$25:U30))*VLOOKUP($O31,$A:$N,3,0)/VLOOKUP(C$15,$K$1:$M$4,2,0))</f>
        <v>0.25</v>
      </c>
      <c r="U31" s="182">
        <f t="shared" si="10"/>
        <v>0</v>
      </c>
      <c r="V31" s="182">
        <f t="shared" si="11"/>
        <v>0.25</v>
      </c>
      <c r="W31" s="183">
        <f t="shared" si="33"/>
        <v>0.18782870022539438</v>
      </c>
      <c r="X31" s="185">
        <f>+IF($O31&gt;D$8,"FIN",(D$19-SUM(Y$25:Y30))*VLOOKUP($O31,$A:$N,4,0)/VLOOKUP(D$15,$K$1:$M$4,2,0))</f>
        <v>0.24249999999999999</v>
      </c>
      <c r="Y31" s="182">
        <f t="shared" si="12"/>
        <v>0</v>
      </c>
      <c r="Z31" s="182">
        <f t="shared" si="13"/>
        <v>0.24249999999999999</v>
      </c>
      <c r="AA31" s="183">
        <f t="shared" si="34"/>
        <v>0.18219383921863255</v>
      </c>
      <c r="AB31" s="185">
        <f>+IF($O31&gt;E$8,"FIN",(E$19-SUM(AC$25:AC30))*VLOOKUP($O31,$A:$N,5,0)/VLOOKUP(E$15,$K$1:$M$4,2,0))</f>
        <v>6.0624999999999998E-2</v>
      </c>
      <c r="AC31" s="182">
        <f t="shared" si="14"/>
        <v>0</v>
      </c>
      <c r="AD31" s="182">
        <f t="shared" si="15"/>
        <v>6.0624999999999998E-2</v>
      </c>
      <c r="AE31" s="183">
        <f t="shared" si="35"/>
        <v>4.5548459804658138E-2</v>
      </c>
      <c r="AF31" s="185">
        <f>+IF($O31&gt;F$8,"FIN",(F$19-SUM(AG$25:AG30))*VLOOKUP($O31,$A:$N,6,0)/VLOOKUP(F$15,$K$1:$M$4,2,0))</f>
        <v>0.72749999999999992</v>
      </c>
      <c r="AG31" s="182">
        <f t="shared" si="16"/>
        <v>0</v>
      </c>
      <c r="AH31" s="182">
        <f t="shared" si="17"/>
        <v>0.72749999999999992</v>
      </c>
      <c r="AI31" s="183">
        <f t="shared" si="36"/>
        <v>0.54658151765589758</v>
      </c>
      <c r="AJ31" s="185">
        <f>+IF($O31&gt;G$8,"FIN",(G$19-SUM(AK$25:AK30))*VLOOKUP($O31,$A:$N,7,0)/VLOOKUP(G$15,$K$1:$M$4,2,0))</f>
        <v>0.42437500000000006</v>
      </c>
      <c r="AK31" s="182">
        <f t="shared" si="18"/>
        <v>0</v>
      </c>
      <c r="AL31" s="182">
        <f t="shared" si="19"/>
        <v>0.42437500000000006</v>
      </c>
      <c r="AM31" s="183">
        <f t="shared" si="37"/>
        <v>0.318839218632607</v>
      </c>
      <c r="AN31" s="185">
        <f>+IF($O31&gt;H$8,"FIN",(H$19-SUM(AO$25:AO30))*VLOOKUP($O31,$A:$N,8,0)/VLOOKUP(H$15,$K$1:$M$4,2,0))</f>
        <v>1.9375</v>
      </c>
      <c r="AO31" s="182">
        <f t="shared" si="20"/>
        <v>0</v>
      </c>
      <c r="AP31" s="182">
        <f t="shared" si="21"/>
        <v>1.9375</v>
      </c>
      <c r="AQ31" s="183">
        <f t="shared" si="38"/>
        <v>1.4556724267468064</v>
      </c>
      <c r="AR31" s="185">
        <f>+IF($O31&gt;I$8,"FIN",(I$19-SUM(AS$25:AS30))*VLOOKUP($O31,$A:$N,9,0)/VLOOKUP(I$15,$K$1:$M$4,2,0))</f>
        <v>1.5</v>
      </c>
      <c r="AS31" s="182">
        <f t="shared" si="22"/>
        <v>0</v>
      </c>
      <c r="AT31" s="182">
        <f t="shared" si="23"/>
        <v>1.5</v>
      </c>
      <c r="AU31" s="183">
        <f t="shared" si="39"/>
        <v>1.1269722013523662</v>
      </c>
      <c r="AV31" s="185">
        <f>+IF($O31&gt;J$8,"FIN",(J$19-SUM(AW$25:AW30))*VLOOKUP($O31,$A:$N,10,0)/VLOOKUP(J$15,$K$1:$M$4,2,0))</f>
        <v>1.7500000000000002</v>
      </c>
      <c r="AW31" s="182">
        <f t="shared" si="24"/>
        <v>0</v>
      </c>
      <c r="AX31" s="182">
        <f t="shared" si="25"/>
        <v>1.7500000000000002</v>
      </c>
      <c r="AY31" s="183">
        <f t="shared" si="40"/>
        <v>1.3148009015777609</v>
      </c>
      <c r="AZ31" s="185">
        <f>+IF($O31&gt;K$8,"FIN",(K$19-SUM(BA$25:BA30))*VLOOKUP($O31,$A:$N,11,0)/VLOOKUP(K$15,$K$1:$M$4,2,0))</f>
        <v>1.375</v>
      </c>
      <c r="BA31" s="182">
        <f t="shared" si="26"/>
        <v>0</v>
      </c>
      <c r="BB31" s="182">
        <f t="shared" si="27"/>
        <v>1.375</v>
      </c>
      <c r="BC31" s="183">
        <f t="shared" si="41"/>
        <v>1.0330578512396691</v>
      </c>
      <c r="BD31" s="185">
        <f>+IF($O31&gt;L$8,"FIN",(L$19-SUM(BE$25:BE30))*VLOOKUP($O31,$A:$N,12,0)/VLOOKUP(L$15,$K$1:$M$4,2,0))</f>
        <v>0.72749999999999992</v>
      </c>
      <c r="BE31" s="182">
        <f t="shared" si="28"/>
        <v>0</v>
      </c>
      <c r="BF31" s="182">
        <f t="shared" si="29"/>
        <v>0.72749999999999992</v>
      </c>
      <c r="BG31" s="183">
        <f t="shared" si="42"/>
        <v>0.54658151765589758</v>
      </c>
      <c r="BH31" s="185">
        <f>+IF($O31&gt;M$8,"FIN",(M$19-SUM(BI$25:BI30))*VLOOKUP($O31,$A:$N,13,0)/VLOOKUP(M$15,$K$1:$M$4,2,0))</f>
        <v>0.42437500000000006</v>
      </c>
      <c r="BI31" s="182">
        <f t="shared" si="30"/>
        <v>0</v>
      </c>
      <c r="BJ31" s="182">
        <f t="shared" si="31"/>
        <v>0.42437500000000006</v>
      </c>
      <c r="BK31" s="183">
        <f t="shared" si="43"/>
        <v>0.318839218632607</v>
      </c>
      <c r="BL31" s="179"/>
      <c r="BM31" s="200"/>
    </row>
    <row r="32" spans="1:83" s="20" customFormat="1" x14ac:dyDescent="0.25">
      <c r="A32" s="180">
        <f t="shared" si="6"/>
        <v>45355</v>
      </c>
      <c r="B32" s="236">
        <v>0.01</v>
      </c>
      <c r="C32" s="237">
        <v>5.0000000000000001E-3</v>
      </c>
      <c r="D32" s="191">
        <v>7.4999999999999997E-3</v>
      </c>
      <c r="E32" s="191">
        <v>1.25E-3</v>
      </c>
      <c r="F32" s="191">
        <v>3.6249999999999998E-2</v>
      </c>
      <c r="G32" s="191">
        <v>2.5000000000000001E-2</v>
      </c>
      <c r="H32" s="191">
        <v>4.2500000000000003E-2</v>
      </c>
      <c r="I32" s="191">
        <v>3.7499999999999999E-2</v>
      </c>
      <c r="J32" s="191">
        <v>3.5000000000000003E-2</v>
      </c>
      <c r="K32" s="191">
        <v>0.03</v>
      </c>
      <c r="L32" s="191">
        <v>3.6249999999999998E-2</v>
      </c>
      <c r="M32" s="192">
        <v>2.5000000000000001E-2</v>
      </c>
      <c r="N32" s="179"/>
      <c r="O32" s="181">
        <f t="shared" si="7"/>
        <v>45355</v>
      </c>
      <c r="P32" s="185">
        <f>+IF($O32&gt;B$8,"FIN",(B$19-SUM(Q$25:Q31))*VLOOKUP($O32,$A:$N,2,0)/VLOOKUP(B$15,$K$1:$M$4,2,0))</f>
        <v>0.5</v>
      </c>
      <c r="Q32" s="182">
        <f t="shared" si="8"/>
        <v>0</v>
      </c>
      <c r="R32" s="182">
        <f t="shared" si="9"/>
        <v>0.5</v>
      </c>
      <c r="S32" s="183">
        <f t="shared" si="32"/>
        <v>0.35817527770307744</v>
      </c>
      <c r="T32" s="185">
        <f>+IF($O32&gt;C$8,"FIN",(C$19-SUM(U$25:U31))*VLOOKUP($O32,$A:$N,3,0)/VLOOKUP(C$15,$K$1:$M$4,2,0))</f>
        <v>0.25</v>
      </c>
      <c r="U32" s="182">
        <f t="shared" si="10"/>
        <v>0</v>
      </c>
      <c r="V32" s="182">
        <f t="shared" si="11"/>
        <v>0.25</v>
      </c>
      <c r="W32" s="183">
        <f t="shared" si="33"/>
        <v>0.17908763885153872</v>
      </c>
      <c r="X32" s="185">
        <f>+IF($O32&gt;D$8,"FIN",(D$19-SUM(Y$25:Y31))*VLOOKUP($O32,$A:$N,4,0)/VLOOKUP(D$15,$K$1:$M$4,2,0))</f>
        <v>0.36374999999999996</v>
      </c>
      <c r="Y32" s="182">
        <f t="shared" si="12"/>
        <v>0</v>
      </c>
      <c r="Z32" s="182">
        <f t="shared" si="13"/>
        <v>0.36374999999999996</v>
      </c>
      <c r="AA32" s="183">
        <f t="shared" si="34"/>
        <v>0.26057251452898883</v>
      </c>
      <c r="AB32" s="185">
        <f>+IF($O32&gt;E$8,"FIN",(E$19-SUM(AC$25:AC31))*VLOOKUP($O32,$A:$N,5,0)/VLOOKUP(E$15,$K$1:$M$4,2,0))</f>
        <v>6.0624999999999998E-2</v>
      </c>
      <c r="AC32" s="182">
        <f t="shared" si="14"/>
        <v>0</v>
      </c>
      <c r="AD32" s="182">
        <f t="shared" si="15"/>
        <v>6.0624999999999998E-2</v>
      </c>
      <c r="AE32" s="183">
        <f t="shared" si="35"/>
        <v>4.3428752421498136E-2</v>
      </c>
      <c r="AF32" s="185">
        <f>+IF($O32&gt;F$8,"FIN",(F$19-SUM(AG$25:AG31))*VLOOKUP($O32,$A:$N,6,0)/VLOOKUP(F$15,$K$1:$M$4,2,0))</f>
        <v>1.7581249999999999</v>
      </c>
      <c r="AG32" s="182">
        <f t="shared" si="16"/>
        <v>0</v>
      </c>
      <c r="AH32" s="182">
        <f t="shared" si="17"/>
        <v>1.7581249999999999</v>
      </c>
      <c r="AI32" s="183">
        <f t="shared" si="36"/>
        <v>1.2594338202234461</v>
      </c>
      <c r="AJ32" s="185">
        <f>+IF($O32&gt;G$8,"FIN",(G$19-SUM(AK$25:AK31))*VLOOKUP($O32,$A:$N,7,0)/VLOOKUP(G$15,$K$1:$M$4,2,0))</f>
        <v>1.2125000000000001</v>
      </c>
      <c r="AK32" s="182">
        <f t="shared" si="18"/>
        <v>0</v>
      </c>
      <c r="AL32" s="182">
        <f t="shared" si="19"/>
        <v>1.2125000000000001</v>
      </c>
      <c r="AM32" s="183">
        <f t="shared" si="37"/>
        <v>0.86857504842996291</v>
      </c>
      <c r="AN32" s="185">
        <f>+IF($O32&gt;H$8,"FIN",(H$19-SUM(AO$25:AO31))*VLOOKUP($O32,$A:$N,8,0)/VLOOKUP(H$15,$K$1:$M$4,2,0))</f>
        <v>2.125</v>
      </c>
      <c r="AO32" s="182">
        <f t="shared" si="20"/>
        <v>0</v>
      </c>
      <c r="AP32" s="182">
        <f t="shared" si="21"/>
        <v>2.125</v>
      </c>
      <c r="AQ32" s="183">
        <f t="shared" si="38"/>
        <v>1.5222449302380792</v>
      </c>
      <c r="AR32" s="185">
        <f>+IF($O32&gt;I$8,"FIN",(I$19-SUM(AS$25:AS31))*VLOOKUP($O32,$A:$N,9,0)/VLOOKUP(I$15,$K$1:$M$4,2,0))</f>
        <v>1.875</v>
      </c>
      <c r="AS32" s="182">
        <f t="shared" si="22"/>
        <v>0</v>
      </c>
      <c r="AT32" s="182">
        <f t="shared" si="23"/>
        <v>1.875</v>
      </c>
      <c r="AU32" s="183">
        <f t="shared" si="39"/>
        <v>1.3431572913865404</v>
      </c>
      <c r="AV32" s="185">
        <f>+IF($O32&gt;J$8,"FIN",(J$19-SUM(AW$25:AW31))*VLOOKUP($O32,$A:$N,10,0)/VLOOKUP(J$15,$K$1:$M$4,2,0))</f>
        <v>1.7500000000000002</v>
      </c>
      <c r="AW32" s="182">
        <f t="shared" si="24"/>
        <v>0</v>
      </c>
      <c r="AX32" s="182">
        <f t="shared" si="25"/>
        <v>1.7500000000000002</v>
      </c>
      <c r="AY32" s="183">
        <f t="shared" si="40"/>
        <v>1.2536134719607712</v>
      </c>
      <c r="AZ32" s="185">
        <f>+IF($O32&gt;K$8,"FIN",(K$19-SUM(BA$25:BA31))*VLOOKUP($O32,$A:$N,11,0)/VLOOKUP(K$15,$K$1:$M$4,2,0))</f>
        <v>1.5</v>
      </c>
      <c r="BA32" s="182">
        <f t="shared" si="26"/>
        <v>0</v>
      </c>
      <c r="BB32" s="182">
        <f t="shared" si="27"/>
        <v>1.5</v>
      </c>
      <c r="BC32" s="183">
        <f t="shared" si="41"/>
        <v>1.0745258331092322</v>
      </c>
      <c r="BD32" s="185">
        <f>+IF($O32&gt;L$8,"FIN",(L$19-SUM(BE$25:BE31))*VLOOKUP($O32,$A:$N,12,0)/VLOOKUP(L$15,$K$1:$M$4,2,0))</f>
        <v>1.7581249999999999</v>
      </c>
      <c r="BE32" s="182">
        <f t="shared" si="28"/>
        <v>0</v>
      </c>
      <c r="BF32" s="182">
        <f t="shared" si="29"/>
        <v>1.7581249999999999</v>
      </c>
      <c r="BG32" s="183">
        <f t="shared" si="42"/>
        <v>1.2594338202234461</v>
      </c>
      <c r="BH32" s="185">
        <f>+IF($O32&gt;M$8,"FIN",(M$19-SUM(BI$25:BI31))*VLOOKUP($O32,$A:$N,13,0)/VLOOKUP(M$15,$K$1:$M$4,2,0))</f>
        <v>1.2125000000000001</v>
      </c>
      <c r="BI32" s="182">
        <f t="shared" si="30"/>
        <v>0</v>
      </c>
      <c r="BJ32" s="182">
        <f t="shared" si="31"/>
        <v>1.2125000000000001</v>
      </c>
      <c r="BK32" s="183">
        <f t="shared" si="43"/>
        <v>0.86857504842996291</v>
      </c>
      <c r="BL32" s="179"/>
      <c r="BM32" s="200"/>
    </row>
    <row r="33" spans="1:65" s="20" customFormat="1" x14ac:dyDescent="0.25">
      <c r="A33" s="180">
        <f t="shared" si="6"/>
        <v>45539</v>
      </c>
      <c r="B33" s="236">
        <v>0.01</v>
      </c>
      <c r="C33" s="237">
        <v>5.0000000000000001E-3</v>
      </c>
      <c r="D33" s="191">
        <v>7.4999999999999997E-3</v>
      </c>
      <c r="E33" s="191">
        <v>1.25E-3</v>
      </c>
      <c r="F33" s="191">
        <v>3.6249999999999998E-2</v>
      </c>
      <c r="G33" s="191">
        <v>2.5000000000000001E-2</v>
      </c>
      <c r="H33" s="191">
        <v>4.2500000000000003E-2</v>
      </c>
      <c r="I33" s="191">
        <v>3.7499999999999999E-2</v>
      </c>
      <c r="J33" s="191">
        <v>3.5000000000000003E-2</v>
      </c>
      <c r="K33" s="191">
        <v>0.03</v>
      </c>
      <c r="L33" s="191">
        <v>3.6249999999999998E-2</v>
      </c>
      <c r="M33" s="192">
        <v>2.5000000000000001E-2</v>
      </c>
      <c r="N33" s="179"/>
      <c r="O33" s="181">
        <f t="shared" si="7"/>
        <v>45539</v>
      </c>
      <c r="P33" s="185">
        <f>+IF($O33&gt;B$8,"FIN",(B$19-SUM(Q$25:Q32))*VLOOKUP($O33,$A:$N,2,0)/VLOOKUP(B$15,$K$1:$M$4,2,0))</f>
        <v>0.5</v>
      </c>
      <c r="Q33" s="182">
        <f t="shared" si="8"/>
        <v>0</v>
      </c>
      <c r="R33" s="182">
        <f t="shared" si="9"/>
        <v>0.5</v>
      </c>
      <c r="S33" s="183">
        <f t="shared" si="32"/>
        <v>0.34150672768253526</v>
      </c>
      <c r="T33" s="185">
        <f>+IF($O33&gt;C$8,"FIN",(C$19-SUM(U$25:U32))*VLOOKUP($O33,$A:$N,3,0)/VLOOKUP(C$15,$K$1:$M$4,2,0))</f>
        <v>0.25</v>
      </c>
      <c r="U33" s="182">
        <f t="shared" si="10"/>
        <v>0</v>
      </c>
      <c r="V33" s="182">
        <f t="shared" si="11"/>
        <v>0.25</v>
      </c>
      <c r="W33" s="183">
        <f t="shared" si="33"/>
        <v>0.17075336384126763</v>
      </c>
      <c r="X33" s="185">
        <f>+IF($O33&gt;D$8,"FIN",(D$19-SUM(Y$25:Y32))*VLOOKUP($O33,$A:$N,4,0)/VLOOKUP(D$15,$K$1:$M$4,2,0))</f>
        <v>0.36374999999999996</v>
      </c>
      <c r="Y33" s="182">
        <f t="shared" si="12"/>
        <v>0</v>
      </c>
      <c r="Z33" s="182">
        <f t="shared" si="13"/>
        <v>0.36374999999999996</v>
      </c>
      <c r="AA33" s="183">
        <f t="shared" si="34"/>
        <v>0.24844614438904436</v>
      </c>
      <c r="AB33" s="185">
        <f>+IF($O33&gt;E$8,"FIN",(E$19-SUM(AC$25:AC32))*VLOOKUP($O33,$A:$N,5,0)/VLOOKUP(E$15,$K$1:$M$4,2,0))</f>
        <v>6.0624999999999998E-2</v>
      </c>
      <c r="AC33" s="182">
        <f t="shared" si="14"/>
        <v>0</v>
      </c>
      <c r="AD33" s="182">
        <f t="shared" si="15"/>
        <v>6.0624999999999998E-2</v>
      </c>
      <c r="AE33" s="183">
        <f t="shared" si="35"/>
        <v>4.14076907315074E-2</v>
      </c>
      <c r="AF33" s="185">
        <f>+IF($O33&gt;F$8,"FIN",(F$19-SUM(AG$25:AG32))*VLOOKUP($O33,$A:$N,6,0)/VLOOKUP(F$15,$K$1:$M$4,2,0))</f>
        <v>1.7581249999999999</v>
      </c>
      <c r="AG33" s="182">
        <f t="shared" si="16"/>
        <v>0</v>
      </c>
      <c r="AH33" s="182">
        <f t="shared" si="17"/>
        <v>1.7581249999999999</v>
      </c>
      <c r="AI33" s="183">
        <f t="shared" si="36"/>
        <v>1.2008230312137145</v>
      </c>
      <c r="AJ33" s="185">
        <f>+IF($O33&gt;G$8,"FIN",(G$19-SUM(AK$25:AK32))*VLOOKUP($O33,$A:$N,7,0)/VLOOKUP(G$15,$K$1:$M$4,2,0))</f>
        <v>1.2125000000000001</v>
      </c>
      <c r="AK33" s="182">
        <f t="shared" si="18"/>
        <v>0</v>
      </c>
      <c r="AL33" s="182">
        <f t="shared" si="19"/>
        <v>1.2125000000000001</v>
      </c>
      <c r="AM33" s="183">
        <f t="shared" si="37"/>
        <v>0.82815381463014803</v>
      </c>
      <c r="AN33" s="185">
        <f>+IF($O33&gt;H$8,"FIN",(H$19-SUM(AO$25:AO32))*VLOOKUP($O33,$A:$N,8,0)/VLOOKUP(H$15,$K$1:$M$4,2,0))</f>
        <v>2.125</v>
      </c>
      <c r="AO33" s="182">
        <f t="shared" si="20"/>
        <v>0</v>
      </c>
      <c r="AP33" s="182">
        <f t="shared" si="21"/>
        <v>2.125</v>
      </c>
      <c r="AQ33" s="183">
        <f t="shared" si="38"/>
        <v>1.4514035926507749</v>
      </c>
      <c r="AR33" s="185">
        <f>+IF($O33&gt;I$8,"FIN",(I$19-SUM(AS$25:AS32))*VLOOKUP($O33,$A:$N,9,0)/VLOOKUP(I$15,$K$1:$M$4,2,0))</f>
        <v>1.875</v>
      </c>
      <c r="AS33" s="182">
        <f t="shared" si="22"/>
        <v>0</v>
      </c>
      <c r="AT33" s="182">
        <f t="shared" si="23"/>
        <v>1.875</v>
      </c>
      <c r="AU33" s="183">
        <f t="shared" si="39"/>
        <v>1.2806502288095072</v>
      </c>
      <c r="AV33" s="185">
        <f>+IF($O33&gt;J$8,"FIN",(J$19-SUM(AW$25:AW32))*VLOOKUP($O33,$A:$N,10,0)/VLOOKUP(J$15,$K$1:$M$4,2,0))</f>
        <v>1.7500000000000002</v>
      </c>
      <c r="AW33" s="182">
        <f t="shared" si="24"/>
        <v>0</v>
      </c>
      <c r="AX33" s="182">
        <f t="shared" si="25"/>
        <v>1.7500000000000002</v>
      </c>
      <c r="AY33" s="183">
        <f t="shared" si="40"/>
        <v>1.1952735468888736</v>
      </c>
      <c r="AZ33" s="185">
        <f>+IF($O33&gt;K$8,"FIN",(K$19-SUM(BA$25:BA32))*VLOOKUP($O33,$A:$N,11,0)/VLOOKUP(K$15,$K$1:$M$4,2,0))</f>
        <v>1.5</v>
      </c>
      <c r="BA33" s="182">
        <f t="shared" si="26"/>
        <v>0</v>
      </c>
      <c r="BB33" s="182">
        <f t="shared" si="27"/>
        <v>1.5</v>
      </c>
      <c r="BC33" s="183">
        <f t="shared" si="41"/>
        <v>1.0245201830476058</v>
      </c>
      <c r="BD33" s="185">
        <f>+IF($O33&gt;L$8,"FIN",(L$19-SUM(BE$25:BE32))*VLOOKUP($O33,$A:$N,12,0)/VLOOKUP(L$15,$K$1:$M$4,2,0))</f>
        <v>1.7581249999999999</v>
      </c>
      <c r="BE33" s="182">
        <f t="shared" si="28"/>
        <v>0</v>
      </c>
      <c r="BF33" s="182">
        <f t="shared" si="29"/>
        <v>1.7581249999999999</v>
      </c>
      <c r="BG33" s="183">
        <f t="shared" si="42"/>
        <v>1.2008230312137145</v>
      </c>
      <c r="BH33" s="185">
        <f>+IF($O33&gt;M$8,"FIN",(M$19-SUM(BI$25:BI32))*VLOOKUP($O33,$A:$N,13,0)/VLOOKUP(M$15,$K$1:$M$4,2,0))</f>
        <v>1.2125000000000001</v>
      </c>
      <c r="BI33" s="182">
        <f t="shared" si="30"/>
        <v>0</v>
      </c>
      <c r="BJ33" s="182">
        <f t="shared" si="31"/>
        <v>1.2125000000000001</v>
      </c>
      <c r="BK33" s="183">
        <f t="shared" si="43"/>
        <v>0.82815381463014803</v>
      </c>
      <c r="BL33" s="179"/>
      <c r="BM33" s="200"/>
    </row>
    <row r="34" spans="1:65" s="20" customFormat="1" x14ac:dyDescent="0.25">
      <c r="A34" s="180">
        <f t="shared" si="6"/>
        <v>45720</v>
      </c>
      <c r="B34" s="236">
        <v>0.01</v>
      </c>
      <c r="C34" s="237">
        <v>5.0000000000000001E-3</v>
      </c>
      <c r="D34" s="191">
        <v>7.4999999999999997E-3</v>
      </c>
      <c r="E34" s="191">
        <v>1.25E-3</v>
      </c>
      <c r="F34" s="191">
        <v>4.1250000000000002E-2</v>
      </c>
      <c r="G34" s="191">
        <v>3.875E-2</v>
      </c>
      <c r="H34" s="191">
        <v>0.05</v>
      </c>
      <c r="I34" s="191">
        <v>4.2500000000000003E-2</v>
      </c>
      <c r="J34" s="191">
        <v>3.5000000000000003E-2</v>
      </c>
      <c r="K34" s="191">
        <v>0.03</v>
      </c>
      <c r="L34" s="191">
        <v>4.1250000000000002E-2</v>
      </c>
      <c r="M34" s="192">
        <v>3.7499999999999999E-2</v>
      </c>
      <c r="N34" s="179"/>
      <c r="O34" s="181">
        <f t="shared" si="7"/>
        <v>45720</v>
      </c>
      <c r="P34" s="185">
        <f>+IF($O34&gt;B$8,"FIN",(B$19-SUM(Q$25:Q33))*VLOOKUP($O34,$A:$N,2,0)/VLOOKUP(B$15,$K$1:$M$4,2,0))</f>
        <v>0.5</v>
      </c>
      <c r="Q34" s="182">
        <f t="shared" si="8"/>
        <v>0</v>
      </c>
      <c r="R34" s="182">
        <f t="shared" si="9"/>
        <v>0.5</v>
      </c>
      <c r="S34" s="183">
        <f t="shared" si="32"/>
        <v>0.32561388882097941</v>
      </c>
      <c r="T34" s="185">
        <f>+IF($O34&gt;C$8,"FIN",(C$19-SUM(U$25:U33))*VLOOKUP($O34,$A:$N,3,0)/VLOOKUP(C$15,$K$1:$M$4,2,0))</f>
        <v>0.25</v>
      </c>
      <c r="U34" s="182">
        <f t="shared" si="10"/>
        <v>0</v>
      </c>
      <c r="V34" s="182">
        <f t="shared" si="11"/>
        <v>0.25</v>
      </c>
      <c r="W34" s="183">
        <f t="shared" si="33"/>
        <v>0.16280694441048971</v>
      </c>
      <c r="X34" s="185">
        <f>+IF($O34&gt;D$8,"FIN",(D$19-SUM(Y$25:Y33))*VLOOKUP($O34,$A:$N,4,0)/VLOOKUP(D$15,$K$1:$M$4,2,0))</f>
        <v>0.36374999999999996</v>
      </c>
      <c r="Y34" s="182">
        <f t="shared" si="12"/>
        <v>8.0833333333333339</v>
      </c>
      <c r="Z34" s="182">
        <f t="shared" si="13"/>
        <v>8.4470833333333335</v>
      </c>
      <c r="AA34" s="183">
        <f t="shared" si="34"/>
        <v>5.5009753067230971</v>
      </c>
      <c r="AB34" s="185">
        <f>+IF($O34&gt;E$8,"FIN",(E$19-SUM(AC$25:AC33))*VLOOKUP($O34,$A:$N,5,0)/VLOOKUP(E$15,$K$1:$M$4,2,0))</f>
        <v>6.0624999999999998E-2</v>
      </c>
      <c r="AC34" s="182">
        <f t="shared" si="14"/>
        <v>8.0833333333333339</v>
      </c>
      <c r="AD34" s="182">
        <f t="shared" si="15"/>
        <v>8.1439583333333339</v>
      </c>
      <c r="AE34" s="183">
        <f t="shared" si="35"/>
        <v>5.3035718866253783</v>
      </c>
      <c r="AF34" s="185">
        <f>+IF($O34&gt;F$8,"FIN",(F$19-SUM(AG$25:AG33))*VLOOKUP($O34,$A:$N,6,0)/VLOOKUP(F$15,$K$1:$M$4,2,0))</f>
        <v>2.0006249999999999</v>
      </c>
      <c r="AG34" s="182">
        <f t="shared" si="16"/>
        <v>0</v>
      </c>
      <c r="AH34" s="182">
        <f t="shared" si="17"/>
        <v>2.0006249999999999</v>
      </c>
      <c r="AI34" s="183">
        <f t="shared" si="36"/>
        <v>1.3028625726449439</v>
      </c>
      <c r="AJ34" s="185">
        <f>+IF($O34&gt;G$8,"FIN",(G$19-SUM(AK$25:AK33))*VLOOKUP($O34,$A:$N,7,0)/VLOOKUP(G$15,$K$1:$M$4,2,0))</f>
        <v>1.879375</v>
      </c>
      <c r="AK34" s="182">
        <f t="shared" si="18"/>
        <v>0</v>
      </c>
      <c r="AL34" s="182">
        <f t="shared" si="19"/>
        <v>1.879375</v>
      </c>
      <c r="AM34" s="183">
        <f t="shared" si="37"/>
        <v>1.2239012046058564</v>
      </c>
      <c r="AN34" s="185">
        <f>+IF($O34&gt;H$8,"FIN",(H$19-SUM(AO$25:AO33))*VLOOKUP($O34,$A:$N,8,0)/VLOOKUP(H$15,$K$1:$M$4,2,0))</f>
        <v>2.5</v>
      </c>
      <c r="AO34" s="182">
        <f t="shared" si="20"/>
        <v>0</v>
      </c>
      <c r="AP34" s="182">
        <f t="shared" si="21"/>
        <v>2.5</v>
      </c>
      <c r="AQ34" s="183">
        <f t="shared" si="38"/>
        <v>1.6280694441048971</v>
      </c>
      <c r="AR34" s="185">
        <f>+IF($O34&gt;I$8,"FIN",(I$19-SUM(AS$25:AS33))*VLOOKUP($O34,$A:$N,9,0)/VLOOKUP(I$15,$K$1:$M$4,2,0))</f>
        <v>2.125</v>
      </c>
      <c r="AS34" s="182">
        <f t="shared" si="22"/>
        <v>0</v>
      </c>
      <c r="AT34" s="182">
        <f t="shared" si="23"/>
        <v>2.125</v>
      </c>
      <c r="AU34" s="183">
        <f t="shared" si="39"/>
        <v>1.3838590274891627</v>
      </c>
      <c r="AV34" s="185">
        <f>+IF($O34&gt;J$8,"FIN",(J$19-SUM(AW$25:AW33))*VLOOKUP($O34,$A:$N,10,0)/VLOOKUP(J$15,$K$1:$M$4,2,0))</f>
        <v>1.7500000000000002</v>
      </c>
      <c r="AW34" s="182">
        <f t="shared" si="24"/>
        <v>0</v>
      </c>
      <c r="AX34" s="182">
        <f t="shared" si="25"/>
        <v>1.7500000000000002</v>
      </c>
      <c r="AY34" s="183">
        <f t="shared" si="40"/>
        <v>1.1396486108734281</v>
      </c>
      <c r="AZ34" s="185">
        <f>+IF($O34&gt;K$8,"FIN",(K$19-SUM(BA$25:BA33))*VLOOKUP($O34,$A:$N,11,0)/VLOOKUP(K$15,$K$1:$M$4,2,0))</f>
        <v>1.5</v>
      </c>
      <c r="BA34" s="182">
        <f t="shared" si="26"/>
        <v>0</v>
      </c>
      <c r="BB34" s="182">
        <f t="shared" si="27"/>
        <v>1.5</v>
      </c>
      <c r="BC34" s="183">
        <f t="shared" si="41"/>
        <v>0.97684166646293835</v>
      </c>
      <c r="BD34" s="185">
        <f>+IF($O34&gt;L$8,"FIN",(L$19-SUM(BE$25:BE33))*VLOOKUP($O34,$A:$N,12,0)/VLOOKUP(L$15,$K$1:$M$4,2,0))</f>
        <v>2.0006249999999999</v>
      </c>
      <c r="BE34" s="182">
        <f t="shared" si="28"/>
        <v>2.2045454545454546</v>
      </c>
      <c r="BF34" s="182">
        <f t="shared" si="29"/>
        <v>4.2051704545454545</v>
      </c>
      <c r="BG34" s="183">
        <f t="shared" si="42"/>
        <v>2.7385238097192621</v>
      </c>
      <c r="BH34" s="185">
        <f>+IF($O34&gt;M$8,"FIN",(M$19-SUM(BI$25:BI33))*VLOOKUP($O34,$A:$N,13,0)/VLOOKUP(M$15,$K$1:$M$4,2,0))</f>
        <v>1.8187499999999999</v>
      </c>
      <c r="BI34" s="182">
        <f t="shared" si="30"/>
        <v>2.2045454545454546</v>
      </c>
      <c r="BJ34" s="182">
        <f t="shared" si="31"/>
        <v>4.0232954545454547</v>
      </c>
      <c r="BK34" s="183">
        <f t="shared" si="43"/>
        <v>2.620081757660631</v>
      </c>
      <c r="BL34" s="179"/>
      <c r="BM34" s="200"/>
    </row>
    <row r="35" spans="1:65" s="20" customFormat="1" x14ac:dyDescent="0.25">
      <c r="A35" s="180">
        <f t="shared" si="6"/>
        <v>45904</v>
      </c>
      <c r="B35" s="236">
        <v>0.01</v>
      </c>
      <c r="C35" s="237">
        <v>5.0000000000000001E-3</v>
      </c>
      <c r="D35" s="191">
        <v>7.4999999999999997E-3</v>
      </c>
      <c r="E35" s="191">
        <v>1.25E-3</v>
      </c>
      <c r="F35" s="191">
        <v>4.1250000000000002E-2</v>
      </c>
      <c r="G35" s="191">
        <v>3.875E-2</v>
      </c>
      <c r="H35" s="191">
        <v>0.05</v>
      </c>
      <c r="I35" s="191">
        <v>4.2500000000000003E-2</v>
      </c>
      <c r="J35" s="191">
        <v>3.5000000000000003E-2</v>
      </c>
      <c r="K35" s="191">
        <v>0.03</v>
      </c>
      <c r="L35" s="191">
        <v>4.1250000000000002E-2</v>
      </c>
      <c r="M35" s="192">
        <v>3.7499999999999999E-2</v>
      </c>
      <c r="N35" s="179"/>
      <c r="O35" s="181">
        <f t="shared" si="7"/>
        <v>45904</v>
      </c>
      <c r="P35" s="185">
        <f>+IF($O35&gt;B$8,"FIN",(B$19-SUM(Q$25:Q34))*VLOOKUP($O35,$A:$N,2,0)/VLOOKUP(B$15,$K$1:$M$4,2,0))</f>
        <v>0.5</v>
      </c>
      <c r="Q35" s="182">
        <f t="shared" si="8"/>
        <v>0</v>
      </c>
      <c r="R35" s="182">
        <f t="shared" si="9"/>
        <v>0.5</v>
      </c>
      <c r="S35" s="183">
        <f t="shared" si="32"/>
        <v>0.31046066152957746</v>
      </c>
      <c r="T35" s="185">
        <f>+IF($O35&gt;C$8,"FIN",(C$19-SUM(U$25:U34))*VLOOKUP($O35,$A:$N,3,0)/VLOOKUP(C$15,$K$1:$M$4,2,0))</f>
        <v>0.25</v>
      </c>
      <c r="U35" s="182">
        <f t="shared" si="10"/>
        <v>0</v>
      </c>
      <c r="V35" s="182">
        <f t="shared" si="11"/>
        <v>0.25</v>
      </c>
      <c r="W35" s="183">
        <f t="shared" si="33"/>
        <v>0.15523033076478873</v>
      </c>
      <c r="X35" s="185">
        <f>+IF($O35&gt;D$8,"FIN",(D$19-SUM(Y$25:Y34))*VLOOKUP($O35,$A:$N,4,0)/VLOOKUP(D$15,$K$1:$M$4,2,0))</f>
        <v>0.3334375</v>
      </c>
      <c r="Y35" s="182">
        <f t="shared" si="12"/>
        <v>8.0833333333333339</v>
      </c>
      <c r="Z35" s="182">
        <f t="shared" si="13"/>
        <v>8.4167708333333344</v>
      </c>
      <c r="AA35" s="183">
        <f t="shared" si="34"/>
        <v>5.2261524817190406</v>
      </c>
      <c r="AB35" s="185">
        <f>+IF($O35&gt;E$8,"FIN",(E$19-SUM(AC$25:AC34))*VLOOKUP($O35,$A:$N,5,0)/VLOOKUP(E$15,$K$1:$M$4,2,0))</f>
        <v>5.5572916666666673E-2</v>
      </c>
      <c r="AC35" s="182">
        <f t="shared" si="14"/>
        <v>8.0833333333333339</v>
      </c>
      <c r="AD35" s="182">
        <f t="shared" si="15"/>
        <v>8.1389062499999998</v>
      </c>
      <c r="AE35" s="183">
        <f t="shared" si="35"/>
        <v>5.0536204370044251</v>
      </c>
      <c r="AF35" s="185">
        <f>+IF($O35&gt;F$8,"FIN",(F$19-SUM(AG$25:AG34))*VLOOKUP($O35,$A:$N,6,0)/VLOOKUP(F$15,$K$1:$M$4,2,0))</f>
        <v>2.0006249999999999</v>
      </c>
      <c r="AG35" s="182">
        <f t="shared" si="16"/>
        <v>0</v>
      </c>
      <c r="AH35" s="182">
        <f t="shared" si="17"/>
        <v>2.0006249999999999</v>
      </c>
      <c r="AI35" s="183">
        <f t="shared" si="36"/>
        <v>1.2422307219452218</v>
      </c>
      <c r="AJ35" s="185">
        <f>+IF($O35&gt;G$8,"FIN",(G$19-SUM(AK$25:AK34))*VLOOKUP($O35,$A:$N,7,0)/VLOOKUP(G$15,$K$1:$M$4,2,0))</f>
        <v>1.879375</v>
      </c>
      <c r="AK35" s="182">
        <f t="shared" si="18"/>
        <v>0</v>
      </c>
      <c r="AL35" s="182">
        <f t="shared" si="19"/>
        <v>1.879375</v>
      </c>
      <c r="AM35" s="183">
        <f t="shared" si="37"/>
        <v>1.1669440115242993</v>
      </c>
      <c r="AN35" s="185">
        <f>+IF($O35&gt;H$8,"FIN",(H$19-SUM(AO$25:AO34))*VLOOKUP($O35,$A:$N,8,0)/VLOOKUP(H$15,$K$1:$M$4,2,0))</f>
        <v>2.5</v>
      </c>
      <c r="AO35" s="182">
        <f t="shared" si="20"/>
        <v>0</v>
      </c>
      <c r="AP35" s="182">
        <f t="shared" si="21"/>
        <v>2.5</v>
      </c>
      <c r="AQ35" s="183">
        <f t="shared" si="38"/>
        <v>1.5523033076478874</v>
      </c>
      <c r="AR35" s="185">
        <f>+IF($O35&gt;I$8,"FIN",(I$19-SUM(AS$25:AS34))*VLOOKUP($O35,$A:$N,9,0)/VLOOKUP(I$15,$K$1:$M$4,2,0))</f>
        <v>2.125</v>
      </c>
      <c r="AS35" s="182">
        <f t="shared" si="22"/>
        <v>0</v>
      </c>
      <c r="AT35" s="182">
        <f t="shared" si="23"/>
        <v>2.125</v>
      </c>
      <c r="AU35" s="183">
        <f t="shared" si="39"/>
        <v>1.3194578115007043</v>
      </c>
      <c r="AV35" s="185">
        <f>+IF($O35&gt;J$8,"FIN",(J$19-SUM(AW$25:AW34))*VLOOKUP($O35,$A:$N,10,0)/VLOOKUP(J$15,$K$1:$M$4,2,0))</f>
        <v>1.7500000000000002</v>
      </c>
      <c r="AW35" s="182">
        <f t="shared" si="24"/>
        <v>0</v>
      </c>
      <c r="AX35" s="182">
        <f t="shared" si="25"/>
        <v>1.7500000000000002</v>
      </c>
      <c r="AY35" s="183">
        <f t="shared" si="40"/>
        <v>1.0866123153535214</v>
      </c>
      <c r="AZ35" s="185">
        <f>+IF($O35&gt;K$8,"FIN",(K$19-SUM(BA$25:BA34))*VLOOKUP($O35,$A:$N,11,0)/VLOOKUP(K$15,$K$1:$M$4,2,0))</f>
        <v>1.5</v>
      </c>
      <c r="BA35" s="182">
        <f t="shared" si="26"/>
        <v>0</v>
      </c>
      <c r="BB35" s="182">
        <f t="shared" si="27"/>
        <v>1.5</v>
      </c>
      <c r="BC35" s="183">
        <f t="shared" si="41"/>
        <v>0.93138198458873245</v>
      </c>
      <c r="BD35" s="185">
        <f>+IF($O35&gt;L$8,"FIN",(L$19-SUM(BE$25:BE34))*VLOOKUP($O35,$A:$N,12,0)/VLOOKUP(L$15,$K$1:$M$4,2,0))</f>
        <v>1.9551562500000002</v>
      </c>
      <c r="BE35" s="182">
        <f t="shared" si="28"/>
        <v>2.2045454545454546</v>
      </c>
      <c r="BF35" s="182">
        <f t="shared" si="29"/>
        <v>4.159701704545455</v>
      </c>
      <c r="BG35" s="183">
        <f t="shared" si="42"/>
        <v>2.5828474859177861</v>
      </c>
      <c r="BH35" s="185">
        <f>+IF($O35&gt;M$8,"FIN",(M$19-SUM(BI$25:BI34))*VLOOKUP($O35,$A:$N,13,0)/VLOOKUP(M$15,$K$1:$M$4,2,0))</f>
        <v>1.7774147727272727</v>
      </c>
      <c r="BI35" s="182">
        <f t="shared" si="30"/>
        <v>2.2045454545454546</v>
      </c>
      <c r="BJ35" s="182">
        <f t="shared" si="31"/>
        <v>3.9819602272727272</v>
      </c>
      <c r="BK35" s="183">
        <f t="shared" si="43"/>
        <v>2.472484012687115</v>
      </c>
      <c r="BL35" s="179"/>
      <c r="BM35" s="200"/>
    </row>
    <row r="36" spans="1:65" s="20" customFormat="1" x14ac:dyDescent="0.25">
      <c r="A36" s="180">
        <f t="shared" si="6"/>
        <v>46085</v>
      </c>
      <c r="B36" s="236">
        <v>0.01</v>
      </c>
      <c r="C36" s="237">
        <v>5.0000000000000001E-3</v>
      </c>
      <c r="D36" s="191">
        <v>7.4999999999999997E-3</v>
      </c>
      <c r="E36" s="191">
        <v>1.25E-3</v>
      </c>
      <c r="F36" s="191">
        <v>4.1250000000000002E-2</v>
      </c>
      <c r="G36" s="191">
        <v>3.875E-2</v>
      </c>
      <c r="H36" s="191">
        <v>0.05</v>
      </c>
      <c r="I36" s="191">
        <v>4.2500000000000003E-2</v>
      </c>
      <c r="J36" s="191">
        <v>3.5000000000000003E-2</v>
      </c>
      <c r="K36" s="191">
        <v>0.03</v>
      </c>
      <c r="L36" s="191">
        <v>4.1250000000000002E-2</v>
      </c>
      <c r="M36" s="192">
        <v>0.04</v>
      </c>
      <c r="N36" s="179"/>
      <c r="O36" s="181">
        <f t="shared" si="7"/>
        <v>46085</v>
      </c>
      <c r="P36" s="185">
        <f>+IF($O36&gt;B$8,"FIN",(B$19-SUM(Q$25:Q35))*VLOOKUP($O36,$A:$N,2,0)/VLOOKUP(B$15,$K$1:$M$4,2,0))</f>
        <v>0.5</v>
      </c>
      <c r="Q36" s="182">
        <f t="shared" si="8"/>
        <v>0</v>
      </c>
      <c r="R36" s="182">
        <f t="shared" si="9"/>
        <v>0.5</v>
      </c>
      <c r="S36" s="183">
        <f t="shared" si="32"/>
        <v>0.29601262620089042</v>
      </c>
      <c r="T36" s="185">
        <f>+IF($O36&gt;C$8,"FIN",(C$19-SUM(U$25:U35))*VLOOKUP($O36,$A:$N,3,0)/VLOOKUP(C$15,$K$1:$M$4,2,0))</f>
        <v>0.25</v>
      </c>
      <c r="U36" s="182">
        <f t="shared" si="10"/>
        <v>0</v>
      </c>
      <c r="V36" s="182">
        <f t="shared" si="11"/>
        <v>0.25</v>
      </c>
      <c r="W36" s="183">
        <f t="shared" si="33"/>
        <v>0.14800631310044521</v>
      </c>
      <c r="X36" s="185">
        <f>+IF($O36&gt;D$8,"FIN",(D$19-SUM(Y$25:Y35))*VLOOKUP($O36,$A:$N,4,0)/VLOOKUP(D$15,$K$1:$M$4,2,0))</f>
        <v>0.30312499999999998</v>
      </c>
      <c r="Y36" s="182">
        <f t="shared" si="12"/>
        <v>8.0833333333333339</v>
      </c>
      <c r="Z36" s="182">
        <f t="shared" si="13"/>
        <v>8.3864583333333336</v>
      </c>
      <c r="AA36" s="183">
        <f t="shared" si="34"/>
        <v>4.964995111548685</v>
      </c>
      <c r="AB36" s="185">
        <f>+IF($O36&gt;E$8,"FIN",(E$19-SUM(AC$25:AC35))*VLOOKUP($O36,$A:$N,5,0)/VLOOKUP(E$15,$K$1:$M$4,2,0))</f>
        <v>5.0520833333333334E-2</v>
      </c>
      <c r="AC36" s="182">
        <f t="shared" si="14"/>
        <v>8.0833333333333339</v>
      </c>
      <c r="AD36" s="182">
        <f t="shared" si="15"/>
        <v>8.1338541666666675</v>
      </c>
      <c r="AE36" s="183">
        <f t="shared" si="35"/>
        <v>4.8154470660201101</v>
      </c>
      <c r="AF36" s="185">
        <f>+IF($O36&gt;F$8,"FIN",(F$19-SUM(AG$25:AG35))*VLOOKUP($O36,$A:$N,6,0)/VLOOKUP(F$15,$K$1:$M$4,2,0))</f>
        <v>2.0006249999999999</v>
      </c>
      <c r="AG36" s="182">
        <f t="shared" si="16"/>
        <v>0</v>
      </c>
      <c r="AH36" s="182">
        <f t="shared" si="17"/>
        <v>2.0006249999999999</v>
      </c>
      <c r="AI36" s="183">
        <f t="shared" si="36"/>
        <v>1.1844205205863128</v>
      </c>
      <c r="AJ36" s="185">
        <f>+IF($O36&gt;G$8,"FIN",(G$19-SUM(AK$25:AK35))*VLOOKUP($O36,$A:$N,7,0)/VLOOKUP(G$15,$K$1:$M$4,2,0))</f>
        <v>1.879375</v>
      </c>
      <c r="AK36" s="182">
        <f t="shared" si="18"/>
        <v>0</v>
      </c>
      <c r="AL36" s="182">
        <f t="shared" si="19"/>
        <v>1.879375</v>
      </c>
      <c r="AM36" s="183">
        <f t="shared" si="37"/>
        <v>1.1126374587325969</v>
      </c>
      <c r="AN36" s="185">
        <f>+IF($O36&gt;H$8,"FIN",(H$19-SUM(AO$25:AO35))*VLOOKUP($O36,$A:$N,8,0)/VLOOKUP(H$15,$K$1:$M$4,2,0))</f>
        <v>2.5</v>
      </c>
      <c r="AO36" s="182">
        <f t="shared" si="20"/>
        <v>0</v>
      </c>
      <c r="AP36" s="182">
        <f t="shared" si="21"/>
        <v>2.5</v>
      </c>
      <c r="AQ36" s="183">
        <f t="shared" si="38"/>
        <v>1.4800631310044521</v>
      </c>
      <c r="AR36" s="185">
        <f>+IF($O36&gt;I$8,"FIN",(I$19-SUM(AS$25:AS35))*VLOOKUP($O36,$A:$N,9,0)/VLOOKUP(I$15,$K$1:$M$4,2,0))</f>
        <v>2.125</v>
      </c>
      <c r="AS36" s="182">
        <f t="shared" si="22"/>
        <v>0</v>
      </c>
      <c r="AT36" s="182">
        <f t="shared" si="23"/>
        <v>2.125</v>
      </c>
      <c r="AU36" s="183">
        <f t="shared" si="39"/>
        <v>1.2580536613537843</v>
      </c>
      <c r="AV36" s="185">
        <f>+IF($O36&gt;J$8,"FIN",(J$19-SUM(AW$25:AW35))*VLOOKUP($O36,$A:$N,10,0)/VLOOKUP(J$15,$K$1:$M$4,2,0))</f>
        <v>1.7500000000000002</v>
      </c>
      <c r="AW36" s="182">
        <f t="shared" si="24"/>
        <v>0</v>
      </c>
      <c r="AX36" s="182">
        <f t="shared" si="25"/>
        <v>1.7500000000000002</v>
      </c>
      <c r="AY36" s="183">
        <f t="shared" si="40"/>
        <v>1.0360441917031165</v>
      </c>
      <c r="AZ36" s="185">
        <f>+IF($O36&gt;K$8,"FIN",(K$19-SUM(BA$25:BA35))*VLOOKUP($O36,$A:$N,11,0)/VLOOKUP(K$15,$K$1:$M$4,2,0))</f>
        <v>1.5</v>
      </c>
      <c r="BA36" s="182">
        <f t="shared" si="26"/>
        <v>0</v>
      </c>
      <c r="BB36" s="182">
        <f t="shared" si="27"/>
        <v>1.5</v>
      </c>
      <c r="BC36" s="183">
        <f t="shared" si="41"/>
        <v>0.88803787860267125</v>
      </c>
      <c r="BD36" s="185">
        <f>+IF($O36&gt;L$8,"FIN",(L$19-SUM(BE$25:BE35))*VLOOKUP($O36,$A:$N,12,0)/VLOOKUP(L$15,$K$1:$M$4,2,0))</f>
        <v>1.9096875000000002</v>
      </c>
      <c r="BE36" s="182">
        <f t="shared" si="28"/>
        <v>2.2045454545454546</v>
      </c>
      <c r="BF36" s="182">
        <f t="shared" si="29"/>
        <v>4.1142329545454546</v>
      </c>
      <c r="BG36" s="183">
        <f t="shared" si="42"/>
        <v>2.435729803354497</v>
      </c>
      <c r="BH36" s="185">
        <f>+IF($O36&gt;M$8,"FIN",(M$19-SUM(BI$25:BI35))*VLOOKUP($O36,$A:$N,13,0)/VLOOKUP(M$15,$K$1:$M$4,2,0))</f>
        <v>1.8518181818181818</v>
      </c>
      <c r="BI36" s="182">
        <f t="shared" si="30"/>
        <v>2.2045454545454546</v>
      </c>
      <c r="BJ36" s="182">
        <f t="shared" si="31"/>
        <v>4.0563636363636366</v>
      </c>
      <c r="BK36" s="183">
        <f t="shared" si="43"/>
        <v>2.4014697056515875</v>
      </c>
      <c r="BL36" s="179"/>
      <c r="BM36" s="200"/>
    </row>
    <row r="37" spans="1:65" s="20" customFormat="1" x14ac:dyDescent="0.25">
      <c r="A37" s="180">
        <f t="shared" si="6"/>
        <v>46269</v>
      </c>
      <c r="B37" s="236">
        <v>0.01</v>
      </c>
      <c r="C37" s="237">
        <v>5.0000000000000001E-3</v>
      </c>
      <c r="D37" s="191">
        <v>7.4999999999999997E-3</v>
      </c>
      <c r="E37" s="191">
        <v>1.25E-3</v>
      </c>
      <c r="F37" s="191">
        <v>4.1250000000000002E-2</v>
      </c>
      <c r="G37" s="191">
        <v>3.875E-2</v>
      </c>
      <c r="H37" s="191">
        <v>0.05</v>
      </c>
      <c r="I37" s="191">
        <v>4.2500000000000003E-2</v>
      </c>
      <c r="J37" s="191">
        <v>3.5000000000000003E-2</v>
      </c>
      <c r="K37" s="191">
        <v>0.03</v>
      </c>
      <c r="L37" s="191">
        <v>4.1250000000000002E-2</v>
      </c>
      <c r="M37" s="192">
        <v>0.04</v>
      </c>
      <c r="N37" s="179"/>
      <c r="O37" s="181">
        <f t="shared" si="7"/>
        <v>46269</v>
      </c>
      <c r="P37" s="185">
        <f>+IF($O37&gt;B$8,"FIN",(B$19-SUM(Q$25:Q36))*VLOOKUP($O37,$A:$N,2,0)/VLOOKUP(B$15,$K$1:$M$4,2,0))</f>
        <v>0.5</v>
      </c>
      <c r="Q37" s="182">
        <f t="shared" si="8"/>
        <v>0</v>
      </c>
      <c r="R37" s="182">
        <f t="shared" si="9"/>
        <v>0.5</v>
      </c>
      <c r="S37" s="183">
        <f t="shared" si="32"/>
        <v>0.28223696502688861</v>
      </c>
      <c r="T37" s="185">
        <f>+IF($O37&gt;C$8,"FIN",(C$19-SUM(U$25:U36))*VLOOKUP($O37,$A:$N,3,0)/VLOOKUP(C$15,$K$1:$M$4,2,0))</f>
        <v>0.25</v>
      </c>
      <c r="U37" s="182">
        <f t="shared" si="10"/>
        <v>0</v>
      </c>
      <c r="V37" s="182">
        <f t="shared" si="11"/>
        <v>0.25</v>
      </c>
      <c r="W37" s="183">
        <f t="shared" si="33"/>
        <v>0.1411184825134443</v>
      </c>
      <c r="X37" s="185">
        <f>+IF($O37&gt;D$8,"FIN",(D$19-SUM(Y$25:Y36))*VLOOKUP($O37,$A:$N,4,0)/VLOOKUP(D$15,$K$1:$M$4,2,0))</f>
        <v>0.27281250000000001</v>
      </c>
      <c r="Y37" s="182">
        <f t="shared" si="12"/>
        <v>8.0833333333333339</v>
      </c>
      <c r="Z37" s="182">
        <f t="shared" si="13"/>
        <v>8.3561458333333345</v>
      </c>
      <c r="AA37" s="183">
        <f t="shared" si="34"/>
        <v>4.7168264786441618</v>
      </c>
      <c r="AB37" s="185">
        <f>+IF($O37&gt;E$8,"FIN",(E$19-SUM(AC$25:AC36))*VLOOKUP($O37,$A:$N,5,0)/VLOOKUP(E$15,$K$1:$M$4,2,0))</f>
        <v>4.5468750000000002E-2</v>
      </c>
      <c r="AC37" s="182">
        <f t="shared" si="14"/>
        <v>8.0833333333333339</v>
      </c>
      <c r="AD37" s="182">
        <f t="shared" si="15"/>
        <v>8.1288020833333334</v>
      </c>
      <c r="AE37" s="183">
        <f t="shared" si="35"/>
        <v>4.5884968586084982</v>
      </c>
      <c r="AF37" s="185">
        <f>+IF($O37&gt;F$8,"FIN",(F$19-SUM(AG$25:AG36))*VLOOKUP($O37,$A:$N,6,0)/VLOOKUP(F$15,$K$1:$M$4,2,0))</f>
        <v>2.0006249999999999</v>
      </c>
      <c r="AG37" s="182">
        <f t="shared" si="16"/>
        <v>0</v>
      </c>
      <c r="AH37" s="182">
        <f t="shared" si="17"/>
        <v>2.0006249999999999</v>
      </c>
      <c r="AI37" s="183">
        <f t="shared" si="36"/>
        <v>1.1293006563138379</v>
      </c>
      <c r="AJ37" s="185">
        <f>+IF($O37&gt;G$8,"FIN",(G$19-SUM(AK$25:AK36))*VLOOKUP($O37,$A:$N,7,0)/VLOOKUP(G$15,$K$1:$M$4,2,0))</f>
        <v>1.879375</v>
      </c>
      <c r="AK37" s="182">
        <f t="shared" si="18"/>
        <v>0</v>
      </c>
      <c r="AL37" s="182">
        <f t="shared" si="19"/>
        <v>1.879375</v>
      </c>
      <c r="AM37" s="183">
        <f t="shared" si="37"/>
        <v>1.0608581922948175</v>
      </c>
      <c r="AN37" s="185">
        <f>+IF($O37&gt;H$8,"FIN",(H$19-SUM(AO$25:AO36))*VLOOKUP($O37,$A:$N,8,0)/VLOOKUP(H$15,$K$1:$M$4,2,0))</f>
        <v>2.5</v>
      </c>
      <c r="AO37" s="182">
        <f t="shared" si="20"/>
        <v>0</v>
      </c>
      <c r="AP37" s="182">
        <f t="shared" si="21"/>
        <v>2.5</v>
      </c>
      <c r="AQ37" s="183">
        <f t="shared" si="38"/>
        <v>1.411184825134443</v>
      </c>
      <c r="AR37" s="185">
        <f>+IF($O37&gt;I$8,"FIN",(I$19-SUM(AS$25:AS36))*VLOOKUP($O37,$A:$N,9,0)/VLOOKUP(I$15,$K$1:$M$4,2,0))</f>
        <v>2.125</v>
      </c>
      <c r="AS37" s="182">
        <f t="shared" si="22"/>
        <v>0</v>
      </c>
      <c r="AT37" s="182">
        <f t="shared" si="23"/>
        <v>2.125</v>
      </c>
      <c r="AU37" s="183">
        <f t="shared" si="39"/>
        <v>1.1995071013642764</v>
      </c>
      <c r="AV37" s="185">
        <f>+IF($O37&gt;J$8,"FIN",(J$19-SUM(AW$25:AW36))*VLOOKUP($O37,$A:$N,10,0)/VLOOKUP(J$15,$K$1:$M$4,2,0))</f>
        <v>1.7500000000000002</v>
      </c>
      <c r="AW37" s="182">
        <f t="shared" si="24"/>
        <v>0</v>
      </c>
      <c r="AX37" s="182">
        <f t="shared" si="25"/>
        <v>1.7500000000000002</v>
      </c>
      <c r="AY37" s="183">
        <f t="shared" si="40"/>
        <v>0.98782937759411016</v>
      </c>
      <c r="AZ37" s="185">
        <f>+IF($O37&gt;K$8,"FIN",(K$19-SUM(BA$25:BA36))*VLOOKUP($O37,$A:$N,11,0)/VLOOKUP(K$15,$K$1:$M$4,2,0))</f>
        <v>1.5</v>
      </c>
      <c r="BA37" s="182">
        <f t="shared" si="26"/>
        <v>0</v>
      </c>
      <c r="BB37" s="182">
        <f t="shared" si="27"/>
        <v>1.5</v>
      </c>
      <c r="BC37" s="183">
        <f t="shared" si="41"/>
        <v>0.84671089508066577</v>
      </c>
      <c r="BD37" s="185">
        <f>+IF($O37&gt;L$8,"FIN",(L$19-SUM(BE$25:BE36))*VLOOKUP($O37,$A:$N,12,0)/VLOOKUP(L$15,$K$1:$M$4,2,0))</f>
        <v>1.8642187500000003</v>
      </c>
      <c r="BE37" s="182">
        <f t="shared" si="28"/>
        <v>2.2045454545454546</v>
      </c>
      <c r="BF37" s="182">
        <f t="shared" si="29"/>
        <v>4.0687642045454551</v>
      </c>
      <c r="BG37" s="183">
        <f t="shared" si="42"/>
        <v>2.2967113210019034</v>
      </c>
      <c r="BH37" s="185">
        <f>+IF($O37&gt;M$8,"FIN",(M$19-SUM(BI$25:BI36))*VLOOKUP($O37,$A:$N,13,0)/VLOOKUP(M$15,$K$1:$M$4,2,0))</f>
        <v>1.8077272727272728</v>
      </c>
      <c r="BI37" s="182">
        <f t="shared" si="30"/>
        <v>2.2045454545454546</v>
      </c>
      <c r="BJ37" s="182">
        <f t="shared" si="31"/>
        <v>4.0122727272727277</v>
      </c>
      <c r="BK37" s="183">
        <f t="shared" si="43"/>
        <v>2.2648233548112233</v>
      </c>
      <c r="BL37" s="179"/>
      <c r="BM37" s="200"/>
    </row>
    <row r="38" spans="1:65" s="20" customFormat="1" x14ac:dyDescent="0.25">
      <c r="A38" s="180">
        <f t="shared" si="6"/>
        <v>46450</v>
      </c>
      <c r="B38" s="236">
        <v>0.01</v>
      </c>
      <c r="C38" s="237">
        <v>5.0000000000000001E-3</v>
      </c>
      <c r="D38" s="191">
        <v>7.4999999999999997E-3</v>
      </c>
      <c r="E38" s="191">
        <v>1.25E-3</v>
      </c>
      <c r="F38" s="191">
        <v>4.1250000000000002E-2</v>
      </c>
      <c r="G38" s="191">
        <v>3.875E-2</v>
      </c>
      <c r="H38" s="191">
        <v>0.05</v>
      </c>
      <c r="I38" s="191">
        <v>4.2500000000000003E-2</v>
      </c>
      <c r="J38" s="191">
        <v>3.5000000000000003E-2</v>
      </c>
      <c r="K38" s="191">
        <v>0.03</v>
      </c>
      <c r="L38" s="191">
        <v>4.1250000000000002E-2</v>
      </c>
      <c r="M38" s="192">
        <v>4.1250000000000002E-2</v>
      </c>
      <c r="N38" s="179"/>
      <c r="O38" s="181">
        <f t="shared" si="7"/>
        <v>46450</v>
      </c>
      <c r="P38" s="185">
        <f>+IF($O38&gt;B$8,"FIN",(B$19-SUM(Q$25:Q37))*VLOOKUP($O38,$A:$N,2,0)/VLOOKUP(B$15,$K$1:$M$4,2,0))</f>
        <v>0.5</v>
      </c>
      <c r="Q38" s="182">
        <f t="shared" si="8"/>
        <v>12.5</v>
      </c>
      <c r="R38" s="182">
        <f t="shared" si="9"/>
        <v>13</v>
      </c>
      <c r="S38" s="183">
        <f t="shared" si="32"/>
        <v>6.9966620738392269</v>
      </c>
      <c r="T38" s="185">
        <f>+IF($O38&gt;C$8,"FIN",(C$19-SUM(U$25:U37))*VLOOKUP($O38,$A:$N,3,0)/VLOOKUP(C$15,$K$1:$M$4,2,0))</f>
        <v>0.25</v>
      </c>
      <c r="U38" s="182">
        <f t="shared" si="10"/>
        <v>12.5</v>
      </c>
      <c r="V38" s="182">
        <f t="shared" si="11"/>
        <v>12.75</v>
      </c>
      <c r="W38" s="183">
        <f t="shared" si="33"/>
        <v>6.8621108801115493</v>
      </c>
      <c r="X38" s="185">
        <f>+IF($O38&gt;D$8,"FIN",(D$19-SUM(Y$25:Y37))*VLOOKUP($O38,$A:$N,4,0)/VLOOKUP(D$15,$K$1:$M$4,2,0))</f>
        <v>0.24249999999999997</v>
      </c>
      <c r="Y38" s="182">
        <f t="shared" si="12"/>
        <v>8.0833333333333339</v>
      </c>
      <c r="Z38" s="182">
        <f t="shared" si="13"/>
        <v>8.3258333333333336</v>
      </c>
      <c r="AA38" s="183">
        <f t="shared" si="34"/>
        <v>4.4810032551107515</v>
      </c>
      <c r="AB38" s="185">
        <f>+IF($O38&gt;E$8,"FIN",(E$19-SUM(AC$25:AC37))*VLOOKUP($O38,$A:$N,5,0)/VLOOKUP(E$15,$K$1:$M$4,2,0))</f>
        <v>4.0416666666666663E-2</v>
      </c>
      <c r="AC38" s="182">
        <f t="shared" si="14"/>
        <v>8.0833333333333339</v>
      </c>
      <c r="AD38" s="182">
        <f t="shared" si="15"/>
        <v>8.1237500000000011</v>
      </c>
      <c r="AE38" s="183">
        <f t="shared" si="35"/>
        <v>4.3722410401808789</v>
      </c>
      <c r="AF38" s="185">
        <f>+IF($O38&gt;F$8,"FIN",(F$19-SUM(AG$25:AG37))*VLOOKUP($O38,$A:$N,6,0)/VLOOKUP(F$15,$K$1:$M$4,2,0))</f>
        <v>2.0006249999999999</v>
      </c>
      <c r="AG38" s="182">
        <f t="shared" si="16"/>
        <v>0</v>
      </c>
      <c r="AH38" s="182">
        <f t="shared" si="17"/>
        <v>2.0006249999999999</v>
      </c>
      <c r="AI38" s="183">
        <f t="shared" si="36"/>
        <v>1.0767459278057385</v>
      </c>
      <c r="AJ38" s="185">
        <f>+IF($O38&gt;G$8,"FIN",(G$19-SUM(AK$25:AK37))*VLOOKUP($O38,$A:$N,7,0)/VLOOKUP(G$15,$K$1:$M$4,2,0))</f>
        <v>1.879375</v>
      </c>
      <c r="AK38" s="182">
        <f t="shared" si="18"/>
        <v>0</v>
      </c>
      <c r="AL38" s="182">
        <f t="shared" si="19"/>
        <v>1.879375</v>
      </c>
      <c r="AM38" s="183">
        <f t="shared" si="37"/>
        <v>1.0114885988478151</v>
      </c>
      <c r="AN38" s="185">
        <f>+IF($O38&gt;H$8,"FIN",(H$19-SUM(AO$25:AO37))*VLOOKUP($O38,$A:$N,8,0)/VLOOKUP(H$15,$K$1:$M$4,2,0))</f>
        <v>2.5</v>
      </c>
      <c r="AO38" s="182">
        <f t="shared" si="20"/>
        <v>0</v>
      </c>
      <c r="AP38" s="182">
        <f t="shared" si="21"/>
        <v>2.5</v>
      </c>
      <c r="AQ38" s="183">
        <f t="shared" si="38"/>
        <v>1.3455119372767743</v>
      </c>
      <c r="AR38" s="185">
        <f>+IF($O38&gt;I$8,"FIN",(I$19-SUM(AS$25:AS37))*VLOOKUP($O38,$A:$N,9,0)/VLOOKUP(I$15,$K$1:$M$4,2,0))</f>
        <v>2.125</v>
      </c>
      <c r="AS38" s="182">
        <f t="shared" si="22"/>
        <v>0</v>
      </c>
      <c r="AT38" s="182">
        <f t="shared" si="23"/>
        <v>2.125</v>
      </c>
      <c r="AU38" s="183">
        <f t="shared" si="39"/>
        <v>1.1436851466852582</v>
      </c>
      <c r="AV38" s="185">
        <f>+IF($O38&gt;J$8,"FIN",(J$19-SUM(AW$25:AW37))*VLOOKUP($O38,$A:$N,10,0)/VLOOKUP(J$15,$K$1:$M$4,2,0))</f>
        <v>1.7500000000000002</v>
      </c>
      <c r="AW38" s="182">
        <f t="shared" si="24"/>
        <v>0</v>
      </c>
      <c r="AX38" s="182">
        <f t="shared" si="25"/>
        <v>1.7500000000000002</v>
      </c>
      <c r="AY38" s="183">
        <f t="shared" si="40"/>
        <v>0.94185835609374213</v>
      </c>
      <c r="AZ38" s="185">
        <f>+IF($O38&gt;K$8,"FIN",(K$19-SUM(BA$25:BA37))*VLOOKUP($O38,$A:$N,11,0)/VLOOKUP(K$15,$K$1:$M$4,2,0))</f>
        <v>1.5</v>
      </c>
      <c r="BA38" s="182">
        <f t="shared" si="26"/>
        <v>0</v>
      </c>
      <c r="BB38" s="182">
        <f t="shared" si="27"/>
        <v>1.5</v>
      </c>
      <c r="BC38" s="183">
        <f t="shared" si="41"/>
        <v>0.80730716236606459</v>
      </c>
      <c r="BD38" s="185">
        <f>+IF($O38&gt;L$8,"FIN",(L$19-SUM(BE$25:BE37))*VLOOKUP($O38,$A:$N,12,0)/VLOOKUP(L$15,$K$1:$M$4,2,0))</f>
        <v>1.8187500000000001</v>
      </c>
      <c r="BE38" s="182">
        <f t="shared" si="28"/>
        <v>2.2045454545454546</v>
      </c>
      <c r="BF38" s="182">
        <f t="shared" si="29"/>
        <v>4.0232954545454547</v>
      </c>
      <c r="BG38" s="183">
        <f t="shared" si="42"/>
        <v>2.165356824512918</v>
      </c>
      <c r="BH38" s="185">
        <f>+IF($O38&gt;M$8,"FIN",(M$19-SUM(BI$25:BI37))*VLOOKUP($O38,$A:$N,13,0)/VLOOKUP(M$15,$K$1:$M$4,2,0))</f>
        <v>1.8187500000000001</v>
      </c>
      <c r="BI38" s="182">
        <f t="shared" si="30"/>
        <v>2.2045454545454546</v>
      </c>
      <c r="BJ38" s="182">
        <f t="shared" si="31"/>
        <v>4.0232954545454547</v>
      </c>
      <c r="BK38" s="183">
        <f t="shared" si="43"/>
        <v>2.165356824512918</v>
      </c>
      <c r="BL38" s="179"/>
      <c r="BM38" s="200"/>
    </row>
    <row r="39" spans="1:65" s="20" customFormat="1" x14ac:dyDescent="0.25">
      <c r="A39" s="180">
        <f t="shared" si="6"/>
        <v>46634</v>
      </c>
      <c r="B39" s="236">
        <v>0.01</v>
      </c>
      <c r="C39" s="237">
        <v>5.0000000000000001E-3</v>
      </c>
      <c r="D39" s="191">
        <v>7.4999999999999997E-3</v>
      </c>
      <c r="E39" s="191">
        <v>1.25E-3</v>
      </c>
      <c r="F39" s="191">
        <v>4.1250000000000002E-2</v>
      </c>
      <c r="G39" s="191">
        <v>3.875E-2</v>
      </c>
      <c r="H39" s="191">
        <v>0.05</v>
      </c>
      <c r="I39" s="191">
        <v>4.2500000000000003E-2</v>
      </c>
      <c r="J39" s="191">
        <v>3.5000000000000003E-2</v>
      </c>
      <c r="K39" s="191">
        <v>0.03</v>
      </c>
      <c r="L39" s="191">
        <v>4.1250000000000002E-2</v>
      </c>
      <c r="M39" s="192">
        <v>4.1250000000000002E-2</v>
      </c>
      <c r="N39" s="179"/>
      <c r="O39" s="181">
        <f t="shared" si="7"/>
        <v>46634</v>
      </c>
      <c r="P39" s="185">
        <f>+IF($O39&gt;B$8,"FIN",(B$19-SUM(Q$25:Q38))*VLOOKUP($O39,$A:$N,2,0)/VLOOKUP(B$15,$K$1:$M$4,2,0))</f>
        <v>0.4375</v>
      </c>
      <c r="Q39" s="182">
        <f t="shared" si="8"/>
        <v>12.5</v>
      </c>
      <c r="R39" s="182">
        <f t="shared" si="9"/>
        <v>12.9375</v>
      </c>
      <c r="S39" s="183">
        <f>R39/(1+$B$5)^(YEARFRAC($O$25,$O39))</f>
        <v>6.6389831546097646</v>
      </c>
      <c r="T39" s="185">
        <f>+IF($O39&gt;C$8,"FIN",(C$19-SUM(U$25:U38))*VLOOKUP($O39,$A:$N,3,0)/VLOOKUP(C$15,$K$1:$M$4,2,0))</f>
        <v>0.21875</v>
      </c>
      <c r="U39" s="182">
        <f t="shared" si="10"/>
        <v>12.5</v>
      </c>
      <c r="V39" s="182">
        <f t="shared" si="11"/>
        <v>12.71875</v>
      </c>
      <c r="W39" s="183">
        <f t="shared" si="33"/>
        <v>6.5267298162467977</v>
      </c>
      <c r="X39" s="185">
        <f>+IF($O39&gt;D$8,"FIN",(D$19-SUM(Y$25:Y38))*VLOOKUP($O39,$A:$N,4,0)/VLOOKUP(D$15,$K$1:$M$4,2,0))</f>
        <v>0.21218749999999997</v>
      </c>
      <c r="Y39" s="182">
        <f t="shared" si="12"/>
        <v>8.0833333333333339</v>
      </c>
      <c r="Z39" s="182">
        <f t="shared" si="13"/>
        <v>8.2955208333333346</v>
      </c>
      <c r="AA39" s="183">
        <f t="shared" si="34"/>
        <v>4.2569138605769554</v>
      </c>
      <c r="AB39" s="185">
        <f>+IF($O39&gt;E$8,"FIN",(E$19-SUM(AC$25:AC38))*VLOOKUP($O39,$A:$N,5,0)/VLOOKUP(E$15,$K$1:$M$4,2,0))</f>
        <v>3.5364583333333331E-2</v>
      </c>
      <c r="AC39" s="182">
        <f t="shared" si="14"/>
        <v>8.0833333333333339</v>
      </c>
      <c r="AD39" s="182">
        <f t="shared" si="15"/>
        <v>8.1186979166666671</v>
      </c>
      <c r="AE39" s="183">
        <f t="shared" si="35"/>
        <v>4.1661757454002233</v>
      </c>
      <c r="AF39" s="185">
        <f>+IF($O39&gt;F$8,"FIN",(F$19-SUM(AG$25:AG38))*VLOOKUP($O39,$A:$N,6,0)/VLOOKUP(F$15,$K$1:$M$4,2,0))</f>
        <v>2.0006249999999999</v>
      </c>
      <c r="AG39" s="182">
        <f t="shared" si="16"/>
        <v>0</v>
      </c>
      <c r="AH39" s="182">
        <f t="shared" si="17"/>
        <v>2.0006249999999999</v>
      </c>
      <c r="AI39" s="183">
        <f t="shared" si="36"/>
        <v>1.0266369602853069</v>
      </c>
      <c r="AJ39" s="185">
        <f>+IF($O39&gt;G$8,"FIN",(G$19-SUM(AK$25:AK38))*VLOOKUP($O39,$A:$N,7,0)/VLOOKUP(G$15,$K$1:$M$4,2,0))</f>
        <v>1.879375</v>
      </c>
      <c r="AK39" s="182">
        <f t="shared" si="18"/>
        <v>0</v>
      </c>
      <c r="AL39" s="182">
        <f t="shared" si="19"/>
        <v>1.879375</v>
      </c>
      <c r="AM39" s="183">
        <f t="shared" si="37"/>
        <v>0.96441653844983388</v>
      </c>
      <c r="AN39" s="185">
        <f>+IF($O39&gt;H$8,"FIN",(H$19-SUM(AO$25:AO38))*VLOOKUP($O39,$A:$N,8,0)/VLOOKUP(H$15,$K$1:$M$4,2,0))</f>
        <v>2.5</v>
      </c>
      <c r="AO39" s="182">
        <f t="shared" si="20"/>
        <v>0</v>
      </c>
      <c r="AP39" s="182">
        <f t="shared" si="21"/>
        <v>2.5</v>
      </c>
      <c r="AQ39" s="183">
        <f t="shared" si="38"/>
        <v>1.2828952955767661</v>
      </c>
      <c r="AR39" s="185">
        <f>+IF($O39&gt;I$8,"FIN",(I$19-SUM(AS$25:AS38))*VLOOKUP($O39,$A:$N,9,0)/VLOOKUP(I$15,$K$1:$M$4,2,0))</f>
        <v>2.125</v>
      </c>
      <c r="AS39" s="182">
        <f t="shared" si="22"/>
        <v>0</v>
      </c>
      <c r="AT39" s="182">
        <f t="shared" si="23"/>
        <v>2.125</v>
      </c>
      <c r="AU39" s="183">
        <f t="shared" si="39"/>
        <v>1.0904610012402511</v>
      </c>
      <c r="AV39" s="185">
        <f>+IF($O39&gt;J$8,"FIN",(J$19-SUM(AW$25:AW38))*VLOOKUP($O39,$A:$N,10,0)/VLOOKUP(J$15,$K$1:$M$4,2,0))</f>
        <v>1.7500000000000002</v>
      </c>
      <c r="AW39" s="182">
        <f t="shared" si="24"/>
        <v>0</v>
      </c>
      <c r="AX39" s="182">
        <f t="shared" si="25"/>
        <v>1.7500000000000002</v>
      </c>
      <c r="AY39" s="183">
        <f t="shared" si="40"/>
        <v>0.89802670690373643</v>
      </c>
      <c r="AZ39" s="185">
        <f>+IF($O39&gt;K$8,"FIN",(K$19-SUM(BA$25:BA38))*VLOOKUP($O39,$A:$N,11,0)/VLOOKUP(K$15,$K$1:$M$4,2,0))</f>
        <v>1.5</v>
      </c>
      <c r="BA39" s="182">
        <f t="shared" si="26"/>
        <v>0</v>
      </c>
      <c r="BB39" s="182">
        <f t="shared" si="27"/>
        <v>1.5</v>
      </c>
      <c r="BC39" s="183">
        <f t="shared" si="41"/>
        <v>0.76973717734605962</v>
      </c>
      <c r="BD39" s="185">
        <f>+IF($O39&gt;L$8,"FIN",(L$19-SUM(BE$25:BE38))*VLOOKUP($O39,$A:$N,12,0)/VLOOKUP(L$15,$K$1:$M$4,2,0))</f>
        <v>1.7732812499999999</v>
      </c>
      <c r="BE39" s="182">
        <f t="shared" si="28"/>
        <v>2.2045454545454546</v>
      </c>
      <c r="BF39" s="182">
        <f t="shared" si="29"/>
        <v>3.9778267045454543</v>
      </c>
      <c r="BG39" s="183">
        <f t="shared" si="42"/>
        <v>2.0412540663523977</v>
      </c>
      <c r="BH39" s="185">
        <f>+IF($O39&gt;M$8,"FIN",(M$19-SUM(BI$25:BI38))*VLOOKUP($O39,$A:$N,13,0)/VLOOKUP(M$15,$K$1:$M$4,2,0))</f>
        <v>1.7732812499999999</v>
      </c>
      <c r="BI39" s="182">
        <f t="shared" si="30"/>
        <v>2.2045454545454546</v>
      </c>
      <c r="BJ39" s="182">
        <f t="shared" si="31"/>
        <v>3.9778267045454543</v>
      </c>
      <c r="BK39" s="183">
        <f t="shared" si="43"/>
        <v>2.0412540663523977</v>
      </c>
      <c r="BL39" s="179"/>
      <c r="BM39" s="200"/>
    </row>
    <row r="40" spans="1:65" s="20" customFormat="1" x14ac:dyDescent="0.25">
      <c r="A40" s="180">
        <f t="shared" si="6"/>
        <v>46816</v>
      </c>
      <c r="B40" s="236">
        <v>0.01</v>
      </c>
      <c r="C40" s="237">
        <v>5.0000000000000001E-3</v>
      </c>
      <c r="D40" s="191">
        <v>1.7500000000000002E-2</v>
      </c>
      <c r="E40" s="191">
        <v>1.25E-3</v>
      </c>
      <c r="F40" s="191">
        <v>4.7500000000000001E-2</v>
      </c>
      <c r="G40" s="191">
        <v>0.04</v>
      </c>
      <c r="H40" s="191">
        <v>0.05</v>
      </c>
      <c r="I40" s="191">
        <v>4.2500000000000003E-2</v>
      </c>
      <c r="J40" s="191">
        <v>3.5000000000000003E-2</v>
      </c>
      <c r="K40" s="191">
        <v>0.03</v>
      </c>
      <c r="L40" s="191">
        <v>4.3749999999999997E-2</v>
      </c>
      <c r="M40" s="192">
        <v>4.1250000000000002E-2</v>
      </c>
      <c r="N40" s="179"/>
      <c r="O40" s="181">
        <f t="shared" si="7"/>
        <v>46816</v>
      </c>
      <c r="P40" s="185">
        <f>+IF($O40&gt;B$8,"FIN",(B$19-SUM(Q$25:Q39))*VLOOKUP($O40,$A:$N,2,0)/VLOOKUP(B$15,$K$1:$M$4,2,0))</f>
        <v>0.375</v>
      </c>
      <c r="Q40" s="182">
        <f t="shared" si="8"/>
        <v>12.5</v>
      </c>
      <c r="R40" s="182">
        <f t="shared" si="9"/>
        <v>12.875</v>
      </c>
      <c r="S40" s="183">
        <f t="shared" si="32"/>
        <v>6.2994422517958064</v>
      </c>
      <c r="T40" s="185">
        <f>+IF($O40&gt;C$8,"FIN",(C$19-SUM(U$25:U39))*VLOOKUP($O40,$A:$N,3,0)/VLOOKUP(C$15,$K$1:$M$4,2,0))</f>
        <v>0.1875</v>
      </c>
      <c r="U40" s="182">
        <f t="shared" si="10"/>
        <v>12.5</v>
      </c>
      <c r="V40" s="182">
        <f t="shared" si="11"/>
        <v>12.6875</v>
      </c>
      <c r="W40" s="183">
        <f t="shared" si="33"/>
        <v>6.2077028015269358</v>
      </c>
      <c r="X40" s="185">
        <f>+IF($O40&gt;D$8,"FIN",(D$19-SUM(Y$25:Y39))*VLOOKUP($O40,$A:$N,4,0)/VLOOKUP(D$15,$K$1:$M$4,2,0))</f>
        <v>0.424375</v>
      </c>
      <c r="Y40" s="182">
        <f t="shared" si="12"/>
        <v>8.0833333333333339</v>
      </c>
      <c r="Z40" s="182">
        <f t="shared" si="13"/>
        <v>8.5077083333333334</v>
      </c>
      <c r="AA40" s="183">
        <f t="shared" si="34"/>
        <v>4.1626265895887595</v>
      </c>
      <c r="AB40" s="185">
        <f>+IF($O40&gt;E$8,"FIN",(E$19-SUM(AC$25:AC39))*VLOOKUP($O40,$A:$N,5,0)/VLOOKUP(E$15,$K$1:$M$4,2,0))</f>
        <v>3.0312499999999996E-2</v>
      </c>
      <c r="AC40" s="182">
        <f t="shared" si="14"/>
        <v>8.0833333333333339</v>
      </c>
      <c r="AD40" s="182">
        <f t="shared" si="15"/>
        <v>8.1136458333333348</v>
      </c>
      <c r="AE40" s="183">
        <f t="shared" si="35"/>
        <v>3.96982084494035</v>
      </c>
      <c r="AF40" s="185">
        <f>+IF($O40&gt;F$8,"FIN",(F$19-SUM(AG$25:AG39))*VLOOKUP($O40,$A:$N,6,0)/VLOOKUP(F$15,$K$1:$M$4,2,0))</f>
        <v>2.30375</v>
      </c>
      <c r="AG40" s="182">
        <f t="shared" si="16"/>
        <v>0</v>
      </c>
      <c r="AH40" s="182">
        <f t="shared" si="17"/>
        <v>2.30375</v>
      </c>
      <c r="AI40" s="183">
        <f t="shared" si="36"/>
        <v>1.1271720456368612</v>
      </c>
      <c r="AJ40" s="185">
        <f>+IF($O40&gt;G$8,"FIN",(G$19-SUM(AK$25:AK39))*VLOOKUP($O40,$A:$N,7,0)/VLOOKUP(G$15,$K$1:$M$4,2,0))</f>
        <v>1.94</v>
      </c>
      <c r="AK40" s="182">
        <f t="shared" si="18"/>
        <v>0</v>
      </c>
      <c r="AL40" s="182">
        <f t="shared" si="19"/>
        <v>1.94</v>
      </c>
      <c r="AM40" s="183">
        <f t="shared" si="37"/>
        <v>0.94919751211525161</v>
      </c>
      <c r="AN40" s="185">
        <f>+IF($O40&gt;H$8,"FIN",(H$19-SUM(AO$25:AO39))*VLOOKUP($O40,$A:$N,8,0)/VLOOKUP(H$15,$K$1:$M$4,2,0))</f>
        <v>2.5</v>
      </c>
      <c r="AO40" s="182">
        <f t="shared" si="20"/>
        <v>4.5454545454545459</v>
      </c>
      <c r="AP40" s="182">
        <f t="shared" si="21"/>
        <v>7.0454545454545459</v>
      </c>
      <c r="AQ40" s="183">
        <f t="shared" si="38"/>
        <v>3.447179343436364</v>
      </c>
      <c r="AR40" s="185">
        <f>+IF($O40&gt;I$8,"FIN",(I$19-SUM(AS$25:AS39))*VLOOKUP($O40,$A:$N,9,0)/VLOOKUP(I$15,$K$1:$M$4,2,0))</f>
        <v>2.125</v>
      </c>
      <c r="AS40" s="182">
        <f t="shared" si="22"/>
        <v>4.5454545454545459</v>
      </c>
      <c r="AT40" s="182">
        <f t="shared" si="23"/>
        <v>6.6704545454545459</v>
      </c>
      <c r="AU40" s="183">
        <f t="shared" si="39"/>
        <v>3.2637004428986218</v>
      </c>
      <c r="AV40" s="185">
        <f>+IF($O40&gt;J$8,"FIN",(J$19-SUM(AW$25:AW39))*VLOOKUP($O40,$A:$N,10,0)/VLOOKUP(J$15,$K$1:$M$4,2,0))</f>
        <v>1.7500000000000002</v>
      </c>
      <c r="AW40" s="182">
        <f t="shared" si="24"/>
        <v>3.5714285714285716</v>
      </c>
      <c r="AX40" s="182">
        <f t="shared" si="25"/>
        <v>5.3214285714285721</v>
      </c>
      <c r="AY40" s="183">
        <f t="shared" si="40"/>
        <v>2.6036529695355761</v>
      </c>
      <c r="AZ40" s="185">
        <f>+IF($O40&gt;K$8,"FIN",(K$19-SUM(BA$25:BA39))*VLOOKUP($O40,$A:$N,11,0)/VLOOKUP(K$15,$K$1:$M$4,2,0))</f>
        <v>1.5</v>
      </c>
      <c r="BA40" s="182">
        <f t="shared" si="26"/>
        <v>3.5714285714285716</v>
      </c>
      <c r="BB40" s="182">
        <f t="shared" si="27"/>
        <v>5.0714285714285712</v>
      </c>
      <c r="BC40" s="183">
        <f t="shared" si="41"/>
        <v>2.4813337025104145</v>
      </c>
      <c r="BD40" s="185">
        <f>+IF($O40&gt;L$8,"FIN",(L$19-SUM(BE$25:BE39))*VLOOKUP($O40,$A:$N,12,0)/VLOOKUP(L$15,$K$1:$M$4,2,0))</f>
        <v>1.8325284090909089</v>
      </c>
      <c r="BE40" s="182">
        <f t="shared" si="28"/>
        <v>2.2045454545454546</v>
      </c>
      <c r="BF40" s="182">
        <f t="shared" si="29"/>
        <v>4.0370738636363637</v>
      </c>
      <c r="BG40" s="183">
        <f t="shared" si="42"/>
        <v>1.9752476637057437</v>
      </c>
      <c r="BH40" s="185">
        <f>+IF($O40&gt;M$8,"FIN",(M$19-SUM(BI$25:BI39))*VLOOKUP($O40,$A:$N,13,0)/VLOOKUP(M$15,$K$1:$M$4,2,0))</f>
        <v>1.7278125</v>
      </c>
      <c r="BI40" s="182">
        <f t="shared" si="30"/>
        <v>2.2045454545454546</v>
      </c>
      <c r="BJ40" s="182">
        <f t="shared" si="31"/>
        <v>3.9323579545454548</v>
      </c>
      <c r="BK40" s="183">
        <f t="shared" si="43"/>
        <v>1.9240125707222502</v>
      </c>
      <c r="BL40" s="179"/>
      <c r="BM40" s="200"/>
    </row>
    <row r="41" spans="1:65" s="20" customFormat="1" x14ac:dyDescent="0.25">
      <c r="A41" s="180">
        <f t="shared" si="6"/>
        <v>47000</v>
      </c>
      <c r="B41" s="236">
        <v>0.01</v>
      </c>
      <c r="C41" s="237">
        <v>5.0000000000000001E-3</v>
      </c>
      <c r="D41" s="191">
        <v>1.7500000000000002E-2</v>
      </c>
      <c r="E41" s="191">
        <v>1.25E-3</v>
      </c>
      <c r="F41" s="191">
        <v>4.7500000000000001E-2</v>
      </c>
      <c r="G41" s="191">
        <v>0.04</v>
      </c>
      <c r="H41" s="191">
        <v>0.05</v>
      </c>
      <c r="I41" s="191">
        <v>4.2500000000000003E-2</v>
      </c>
      <c r="J41" s="191">
        <v>3.5000000000000003E-2</v>
      </c>
      <c r="K41" s="191">
        <v>0.03</v>
      </c>
      <c r="L41" s="191">
        <v>4.3749999999999997E-2</v>
      </c>
      <c r="M41" s="192">
        <v>4.1250000000000002E-2</v>
      </c>
      <c r="N41" s="179"/>
      <c r="O41" s="181">
        <f t="shared" si="7"/>
        <v>47000</v>
      </c>
      <c r="P41" s="185">
        <f>+IF($O41&gt;B$8,"FIN",(B$19-SUM(Q$25:Q40))*VLOOKUP($O41,$A:$N,2,0)/VLOOKUP(B$15,$K$1:$M$4,2,0))</f>
        <v>0.3125</v>
      </c>
      <c r="Q41" s="182">
        <f t="shared" si="8"/>
        <v>12.5</v>
      </c>
      <c r="R41" s="182">
        <f t="shared" si="9"/>
        <v>12.8125</v>
      </c>
      <c r="S41" s="183">
        <f t="shared" si="32"/>
        <v>5.9771258089372061</v>
      </c>
      <c r="T41" s="185">
        <f>+IF($O41&gt;C$8,"FIN",(C$19-SUM(U$25:U40))*VLOOKUP($O41,$A:$N,3,0)/VLOOKUP(C$15,$K$1:$M$4,2,0))</f>
        <v>0.15625</v>
      </c>
      <c r="U41" s="182">
        <f t="shared" si="10"/>
        <v>12.5</v>
      </c>
      <c r="V41" s="182">
        <f t="shared" si="11"/>
        <v>12.65625</v>
      </c>
      <c r="W41" s="183">
        <f t="shared" si="33"/>
        <v>5.9042340307794356</v>
      </c>
      <c r="X41" s="185">
        <f>+IF($O41&gt;D$8,"FIN",(D$19-SUM(Y$25:Y40))*VLOOKUP($O41,$A:$N,4,0)/VLOOKUP(D$15,$K$1:$M$4,2,0))</f>
        <v>0.35364583333333327</v>
      </c>
      <c r="Y41" s="182">
        <f t="shared" si="12"/>
        <v>8.0833333333333339</v>
      </c>
      <c r="Z41" s="182">
        <f t="shared" si="13"/>
        <v>8.4369791666666671</v>
      </c>
      <c r="AA41" s="183">
        <f t="shared" si="34"/>
        <v>3.9359130479257645</v>
      </c>
      <c r="AB41" s="185">
        <f>+IF($O41&gt;E$8,"FIN",(E$19-SUM(AC$25:AC40))*VLOOKUP($O41,$A:$N,5,0)/VLOOKUP(E$15,$K$1:$M$4,2,0))</f>
        <v>2.526041666666666E-2</v>
      </c>
      <c r="AC41" s="182">
        <f t="shared" si="14"/>
        <v>8.0833333333333339</v>
      </c>
      <c r="AD41" s="182">
        <f t="shared" si="15"/>
        <v>8.1085937500000007</v>
      </c>
      <c r="AE41" s="183">
        <f t="shared" si="35"/>
        <v>3.7827188274975163</v>
      </c>
      <c r="AF41" s="185">
        <f>+IF($O41&gt;F$8,"FIN",(F$19-SUM(AG$25:AG40))*VLOOKUP($O41,$A:$N,6,0)/VLOOKUP(F$15,$K$1:$M$4,2,0))</f>
        <v>2.30375</v>
      </c>
      <c r="AG41" s="182">
        <f t="shared" si="16"/>
        <v>0</v>
      </c>
      <c r="AH41" s="182">
        <f t="shared" si="17"/>
        <v>2.30375</v>
      </c>
      <c r="AI41" s="183">
        <f t="shared" si="36"/>
        <v>1.0747163771581727</v>
      </c>
      <c r="AJ41" s="185">
        <f>+IF($O41&gt;G$8,"FIN",(G$19-SUM(AK$25:AK40))*VLOOKUP($O41,$A:$N,7,0)/VLOOKUP(G$15,$K$1:$M$4,2,0))</f>
        <v>1.94</v>
      </c>
      <c r="AK41" s="182">
        <f t="shared" si="18"/>
        <v>0</v>
      </c>
      <c r="AL41" s="182">
        <f t="shared" si="19"/>
        <v>1.94</v>
      </c>
      <c r="AM41" s="183">
        <f t="shared" si="37"/>
        <v>0.90502431760688229</v>
      </c>
      <c r="AN41" s="185">
        <f>+IF($O41&gt;H$8,"FIN",(H$19-SUM(AO$25:AO40))*VLOOKUP($O41,$A:$N,8,0)/VLOOKUP(H$15,$K$1:$M$4,2,0))</f>
        <v>2.3863636363636362</v>
      </c>
      <c r="AO41" s="182">
        <f t="shared" si="20"/>
        <v>4.5454545454545459</v>
      </c>
      <c r="AP41" s="182">
        <f t="shared" si="21"/>
        <v>6.9318181818181817</v>
      </c>
      <c r="AQ41" s="183">
        <f t="shared" si="38"/>
        <v>3.2337443400901957</v>
      </c>
      <c r="AR41" s="185">
        <f>+IF($O41&gt;I$8,"FIN",(I$19-SUM(AS$25:AS40))*VLOOKUP($O41,$A:$N,9,0)/VLOOKUP(I$15,$K$1:$M$4,2,0))</f>
        <v>2.0284090909090908</v>
      </c>
      <c r="AS41" s="182">
        <f t="shared" si="22"/>
        <v>4.5454545454545459</v>
      </c>
      <c r="AT41" s="182">
        <f t="shared" si="23"/>
        <v>6.5738636363636367</v>
      </c>
      <c r="AU41" s="183">
        <f t="shared" si="39"/>
        <v>3.0667559028560301</v>
      </c>
      <c r="AV41" s="185">
        <f>+IF($O41&gt;J$8,"FIN",(J$19-SUM(AW$25:AW40))*VLOOKUP($O41,$A:$N,10,0)/VLOOKUP(J$15,$K$1:$M$4,2,0))</f>
        <v>1.6875000000000002</v>
      </c>
      <c r="AW41" s="182">
        <f t="shared" si="24"/>
        <v>3.5714285714285716</v>
      </c>
      <c r="AX41" s="182">
        <f t="shared" si="25"/>
        <v>5.2589285714285721</v>
      </c>
      <c r="AY41" s="183">
        <f t="shared" si="40"/>
        <v>2.453328990567258</v>
      </c>
      <c r="AZ41" s="185">
        <f>+IF($O41&gt;K$8,"FIN",(K$19-SUM(BA$25:BA40))*VLOOKUP($O41,$A:$N,11,0)/VLOOKUP(K$15,$K$1:$M$4,2,0))</f>
        <v>1.4464285714285714</v>
      </c>
      <c r="BA41" s="182">
        <f t="shared" si="26"/>
        <v>3.5714285714285716</v>
      </c>
      <c r="BB41" s="182">
        <f t="shared" si="27"/>
        <v>5.0178571428571432</v>
      </c>
      <c r="BC41" s="183">
        <f t="shared" si="41"/>
        <v>2.3408673899809829</v>
      </c>
      <c r="BD41" s="185">
        <f>+IF($O41&gt;L$8,"FIN",(L$19-SUM(BE$25:BE40))*VLOOKUP($O41,$A:$N,12,0)/VLOOKUP(L$15,$K$1:$M$4,2,0))</f>
        <v>1.7843039772727269</v>
      </c>
      <c r="BE41" s="182">
        <f t="shared" si="28"/>
        <v>2.2045454545454546</v>
      </c>
      <c r="BF41" s="182">
        <f t="shared" si="29"/>
        <v>3.9888494318181813</v>
      </c>
      <c r="BG41" s="183">
        <f t="shared" si="42"/>
        <v>1.8608276984885825</v>
      </c>
      <c r="BH41" s="185">
        <f>+IF($O41&gt;M$8,"FIN",(M$19-SUM(BI$25:BI40))*VLOOKUP($O41,$A:$N,13,0)/VLOOKUP(M$15,$K$1:$M$4,2,0))</f>
        <v>1.68234375</v>
      </c>
      <c r="BI41" s="182">
        <f t="shared" si="30"/>
        <v>2.2045454545454546</v>
      </c>
      <c r="BJ41" s="182">
        <f t="shared" si="31"/>
        <v>3.8868892045454544</v>
      </c>
      <c r="BK41" s="183">
        <f t="shared" si="43"/>
        <v>1.8132624999779936</v>
      </c>
      <c r="BL41" s="179"/>
      <c r="BM41" s="200"/>
    </row>
    <row r="42" spans="1:65" s="20" customFormat="1" x14ac:dyDescent="0.25">
      <c r="A42" s="180">
        <f t="shared" si="6"/>
        <v>47181</v>
      </c>
      <c r="B42" s="236">
        <v>0.01</v>
      </c>
      <c r="C42" s="237">
        <v>5.0000000000000001E-3</v>
      </c>
      <c r="D42" s="191">
        <v>1.7500000000000002E-2</v>
      </c>
      <c r="E42" s="191">
        <v>1.25E-3</v>
      </c>
      <c r="F42" s="191">
        <v>0.05</v>
      </c>
      <c r="G42" s="191">
        <v>0.04</v>
      </c>
      <c r="H42" s="191">
        <v>0.05</v>
      </c>
      <c r="I42" s="191">
        <v>4.2500000000000003E-2</v>
      </c>
      <c r="J42" s="191">
        <v>3.5000000000000003E-2</v>
      </c>
      <c r="K42" s="191">
        <v>0.03</v>
      </c>
      <c r="L42" s="191">
        <v>0.05</v>
      </c>
      <c r="M42" s="192">
        <v>4.1250000000000002E-2</v>
      </c>
      <c r="N42" s="179"/>
      <c r="O42" s="181">
        <f t="shared" si="7"/>
        <v>47181</v>
      </c>
      <c r="P42" s="185">
        <f>+IF($O42&gt;B$8,"FIN",(B$19-SUM(Q$25:Q41))*VLOOKUP($O42,$A:$N,2,0)/VLOOKUP(B$15,$K$1:$M$4,2,0))</f>
        <v>0.25</v>
      </c>
      <c r="Q42" s="182">
        <f t="shared" si="8"/>
        <v>12.5</v>
      </c>
      <c r="R42" s="182">
        <f t="shared" si="9"/>
        <v>12.75</v>
      </c>
      <c r="S42" s="183">
        <f t="shared" si="32"/>
        <v>5.6711660166211137</v>
      </c>
      <c r="T42" s="185">
        <f>+IF($O42&gt;C$8,"FIN",(C$19-SUM(U$25:U41))*VLOOKUP($O42,$A:$N,3,0)/VLOOKUP(C$15,$K$1:$M$4,2,0))</f>
        <v>0.125</v>
      </c>
      <c r="U42" s="182">
        <f t="shared" si="10"/>
        <v>12.5</v>
      </c>
      <c r="V42" s="182">
        <f t="shared" si="11"/>
        <v>12.625</v>
      </c>
      <c r="W42" s="183">
        <f t="shared" si="33"/>
        <v>5.6155663497914947</v>
      </c>
      <c r="X42" s="185">
        <f>+IF($O42&gt;D$8,"FIN",(D$19-SUM(Y$25:Y41))*VLOOKUP($O42,$A:$N,4,0)/VLOOKUP(D$15,$K$1:$M$4,2,0))</f>
        <v>0.28291666666666665</v>
      </c>
      <c r="Y42" s="182">
        <f t="shared" si="12"/>
        <v>8.0833333333333339</v>
      </c>
      <c r="Z42" s="182">
        <f t="shared" si="13"/>
        <v>8.3662500000000009</v>
      </c>
      <c r="AA42" s="183">
        <f t="shared" si="34"/>
        <v>3.721285700906384</v>
      </c>
      <c r="AB42" s="185">
        <f>+IF($O42&gt;E$8,"FIN",(E$19-SUM(AC$25:AC41))*VLOOKUP($O42,$A:$N,5,0)/VLOOKUP(E$15,$K$1:$M$4,2,0))</f>
        <v>2.0208333333333332E-2</v>
      </c>
      <c r="AC42" s="182">
        <f t="shared" si="14"/>
        <v>8.0833333333333339</v>
      </c>
      <c r="AD42" s="182">
        <f t="shared" si="15"/>
        <v>8.1035416666666666</v>
      </c>
      <c r="AE42" s="183">
        <f t="shared" si="35"/>
        <v>3.6044337344528015</v>
      </c>
      <c r="AF42" s="185">
        <f>+IF($O42&gt;F$8,"FIN",(F$19-SUM(AG$25:AG41))*VLOOKUP($O42,$A:$N,6,0)/VLOOKUP(F$15,$K$1:$M$4,2,0))</f>
        <v>2.4250000000000003</v>
      </c>
      <c r="AG42" s="182">
        <f t="shared" si="16"/>
        <v>0</v>
      </c>
      <c r="AH42" s="182">
        <f t="shared" si="17"/>
        <v>2.4250000000000003</v>
      </c>
      <c r="AI42" s="183">
        <f t="shared" si="36"/>
        <v>1.078633536494604</v>
      </c>
      <c r="AJ42" s="185">
        <f>+IF($O42&gt;G$8,"FIN",(G$19-SUM(AK$25:AK41))*VLOOKUP($O42,$A:$N,7,0)/VLOOKUP(G$15,$K$1:$M$4,2,0))</f>
        <v>1.94</v>
      </c>
      <c r="AK42" s="182">
        <f t="shared" si="18"/>
        <v>0</v>
      </c>
      <c r="AL42" s="182">
        <f t="shared" si="19"/>
        <v>1.94</v>
      </c>
      <c r="AM42" s="183">
        <f t="shared" si="37"/>
        <v>0.86290682919568318</v>
      </c>
      <c r="AN42" s="185">
        <f>+IF($O42&gt;H$8,"FIN",(H$19-SUM(AO$25:AO41))*VLOOKUP($O42,$A:$N,8,0)/VLOOKUP(H$15,$K$1:$M$4,2,0))</f>
        <v>2.2727272727272729</v>
      </c>
      <c r="AO42" s="182">
        <f t="shared" si="20"/>
        <v>4.5454545454545459</v>
      </c>
      <c r="AP42" s="182">
        <f t="shared" si="21"/>
        <v>6.8181818181818183</v>
      </c>
      <c r="AQ42" s="183">
        <f t="shared" si="38"/>
        <v>3.0327090997973869</v>
      </c>
      <c r="AR42" s="185">
        <f>+IF($O42&gt;I$8,"FIN",(I$19-SUM(AS$25:AS41))*VLOOKUP($O42,$A:$N,9,0)/VLOOKUP(I$15,$K$1:$M$4,2,0))</f>
        <v>1.9318181818181819</v>
      </c>
      <c r="AS42" s="182">
        <f t="shared" si="22"/>
        <v>4.5454545454545459</v>
      </c>
      <c r="AT42" s="182">
        <f t="shared" si="23"/>
        <v>6.4772727272727275</v>
      </c>
      <c r="AU42" s="183">
        <f t="shared" si="39"/>
        <v>2.8810736448075178</v>
      </c>
      <c r="AV42" s="185">
        <f>+IF($O42&gt;J$8,"FIN",(J$19-SUM(AW$25:AW41))*VLOOKUP($O42,$A:$N,10,0)/VLOOKUP(J$15,$K$1:$M$4,2,0))</f>
        <v>1.6250000000000002</v>
      </c>
      <c r="AW42" s="182">
        <f t="shared" si="24"/>
        <v>3.5714285714285716</v>
      </c>
      <c r="AX42" s="182">
        <f t="shared" si="25"/>
        <v>5.1964285714285721</v>
      </c>
      <c r="AY42" s="183">
        <f t="shared" si="40"/>
        <v>2.3113575782027231</v>
      </c>
      <c r="AZ42" s="185">
        <f>+IF($O42&gt;K$8,"FIN",(K$19-SUM(BA$25:BA41))*VLOOKUP($O42,$A:$N,11,0)/VLOOKUP(K$15,$K$1:$M$4,2,0))</f>
        <v>1.3928571428571428</v>
      </c>
      <c r="BA42" s="182">
        <f t="shared" si="26"/>
        <v>3.5714285714285716</v>
      </c>
      <c r="BB42" s="182">
        <f t="shared" si="27"/>
        <v>4.9642857142857144</v>
      </c>
      <c r="BC42" s="183">
        <f t="shared" si="41"/>
        <v>2.2081010540905739</v>
      </c>
      <c r="BD42" s="185">
        <f>+IF($O42&gt;L$8,"FIN",(L$19-SUM(BE$25:BE41))*VLOOKUP($O42,$A:$N,12,0)/VLOOKUP(L$15,$K$1:$M$4,2,0))</f>
        <v>1.9840909090909091</v>
      </c>
      <c r="BE42" s="182">
        <f t="shared" si="28"/>
        <v>2.2045454545454546</v>
      </c>
      <c r="BF42" s="182">
        <f t="shared" si="29"/>
        <v>4.1886363636363635</v>
      </c>
      <c r="BG42" s="183">
        <f t="shared" si="42"/>
        <v>1.8630942903088614</v>
      </c>
      <c r="BH42" s="185">
        <f>+IF($O42&gt;M$8,"FIN",(M$19-SUM(BI$25:BI41))*VLOOKUP($O42,$A:$N,13,0)/VLOOKUP(M$15,$K$1:$M$4,2,0))</f>
        <v>1.6368750000000001</v>
      </c>
      <c r="BI42" s="182">
        <f t="shared" si="30"/>
        <v>2.2045454545454546</v>
      </c>
      <c r="BJ42" s="182">
        <f t="shared" si="31"/>
        <v>3.8414204545454549</v>
      </c>
      <c r="BK42" s="183">
        <f t="shared" si="43"/>
        <v>1.7086535794016797</v>
      </c>
      <c r="BL42" s="179"/>
      <c r="BM42" s="200"/>
    </row>
    <row r="43" spans="1:65" s="20" customFormat="1" x14ac:dyDescent="0.25">
      <c r="A43" s="180">
        <f t="shared" si="6"/>
        <v>47365</v>
      </c>
      <c r="B43" s="236">
        <v>0.01</v>
      </c>
      <c r="C43" s="237">
        <v>5.0000000000000001E-3</v>
      </c>
      <c r="D43" s="191">
        <v>1.7500000000000002E-2</v>
      </c>
      <c r="E43" s="191">
        <v>1.25E-3</v>
      </c>
      <c r="F43" s="191">
        <v>0.05</v>
      </c>
      <c r="G43" s="191">
        <v>0.04</v>
      </c>
      <c r="H43" s="191">
        <v>0.05</v>
      </c>
      <c r="I43" s="191">
        <v>4.2500000000000003E-2</v>
      </c>
      <c r="J43" s="191">
        <v>3.5000000000000003E-2</v>
      </c>
      <c r="K43" s="191">
        <v>0.03</v>
      </c>
      <c r="L43" s="191">
        <v>0.05</v>
      </c>
      <c r="M43" s="192">
        <v>4.1250000000000002E-2</v>
      </c>
      <c r="N43" s="179"/>
      <c r="O43" s="181">
        <f t="shared" si="7"/>
        <v>47365</v>
      </c>
      <c r="P43" s="185">
        <f>+IF($O43&gt;B$8,"FIN",(B$19-SUM(Q$25:Q42))*VLOOKUP($O43,$A:$N,2,0)/VLOOKUP(B$15,$K$1:$M$4,2,0))</f>
        <v>0.1875</v>
      </c>
      <c r="Q43" s="182">
        <f t="shared" si="8"/>
        <v>12.5</v>
      </c>
      <c r="R43" s="182">
        <f t="shared" si="9"/>
        <v>12.6875</v>
      </c>
      <c r="S43" s="183">
        <f t="shared" si="32"/>
        <v>5.3807385331008994</v>
      </c>
      <c r="T43" s="185">
        <f>+IF($O43&gt;C$8,"FIN",(C$19-SUM(U$25:U42))*VLOOKUP($O43,$A:$N,3,0)/VLOOKUP(C$15,$K$1:$M$4,2,0))</f>
        <v>9.375E-2</v>
      </c>
      <c r="U43" s="182">
        <f t="shared" si="10"/>
        <v>12.5</v>
      </c>
      <c r="V43" s="182">
        <f t="shared" si="11"/>
        <v>12.59375</v>
      </c>
      <c r="W43" s="183">
        <f t="shared" si="33"/>
        <v>5.3409793813784789</v>
      </c>
      <c r="X43" s="185">
        <f>+IF($O43&gt;D$8,"FIN",(D$19-SUM(Y$25:Y42))*VLOOKUP($O43,$A:$N,4,0)/VLOOKUP(D$15,$K$1:$M$4,2,0))</f>
        <v>0.21218750000000003</v>
      </c>
      <c r="Y43" s="182">
        <f t="shared" si="12"/>
        <v>8.0833333333333339</v>
      </c>
      <c r="Z43" s="182">
        <f t="shared" si="13"/>
        <v>8.2955208333333346</v>
      </c>
      <c r="AA43" s="183">
        <f t="shared" si="34"/>
        <v>3.5181106285759967</v>
      </c>
      <c r="AB43" s="185">
        <f>+IF($O43&gt;E$8,"FIN",(E$19-SUM(AC$25:AC42))*VLOOKUP($O43,$A:$N,5,0)/VLOOKUP(E$15,$K$1:$M$4,2,0))</f>
        <v>1.515625E-2</v>
      </c>
      <c r="AC43" s="182">
        <f t="shared" si="14"/>
        <v>8.0833333333333339</v>
      </c>
      <c r="AD43" s="182">
        <f t="shared" si="15"/>
        <v>8.0984895833333344</v>
      </c>
      <c r="AE43" s="183">
        <f t="shared" si="35"/>
        <v>3.4345501447060429</v>
      </c>
      <c r="AF43" s="185">
        <f>+IF($O43&gt;F$8,"FIN",(F$19-SUM(AG$25:AG42))*VLOOKUP($O43,$A:$N,6,0)/VLOOKUP(F$15,$K$1:$M$4,2,0))</f>
        <v>2.4250000000000003</v>
      </c>
      <c r="AG43" s="182">
        <f t="shared" si="16"/>
        <v>0</v>
      </c>
      <c r="AH43" s="182">
        <f t="shared" si="17"/>
        <v>2.4250000000000003</v>
      </c>
      <c r="AI43" s="183">
        <f t="shared" si="36"/>
        <v>1.0284367245532755</v>
      </c>
      <c r="AJ43" s="185">
        <f>+IF($O43&gt;G$8,"FIN",(G$19-SUM(AK$25:AK42))*VLOOKUP($O43,$A:$N,7,0)/VLOOKUP(G$15,$K$1:$M$4,2,0))</f>
        <v>1.94</v>
      </c>
      <c r="AK43" s="182">
        <f t="shared" si="18"/>
        <v>0</v>
      </c>
      <c r="AL43" s="182">
        <f t="shared" si="19"/>
        <v>1.94</v>
      </c>
      <c r="AM43" s="183">
        <f t="shared" si="37"/>
        <v>0.82274937964262018</v>
      </c>
      <c r="AN43" s="185">
        <f>+IF($O43&gt;H$8,"FIN",(H$19-SUM(AO$25:AO42))*VLOOKUP($O43,$A:$N,8,0)/VLOOKUP(H$15,$K$1:$M$4,2,0))</f>
        <v>2.1590909090909092</v>
      </c>
      <c r="AO43" s="182">
        <f t="shared" si="20"/>
        <v>4.5454545454545459</v>
      </c>
      <c r="AP43" s="182">
        <f t="shared" si="21"/>
        <v>6.704545454545455</v>
      </c>
      <c r="AQ43" s="183">
        <f t="shared" si="38"/>
        <v>2.8433817595427953</v>
      </c>
      <c r="AR43" s="185">
        <f>+IF($O43&gt;I$8,"FIN",(I$19-SUM(AS$25:AS42))*VLOOKUP($O43,$A:$N,9,0)/VLOOKUP(I$15,$K$1:$M$4,2,0))</f>
        <v>1.8352272727272727</v>
      </c>
      <c r="AS43" s="182">
        <f t="shared" si="22"/>
        <v>4.5454545454545459</v>
      </c>
      <c r="AT43" s="182">
        <f t="shared" si="23"/>
        <v>6.3806818181818183</v>
      </c>
      <c r="AU43" s="183">
        <f t="shared" si="39"/>
        <v>2.7060319626835243</v>
      </c>
      <c r="AV43" s="185">
        <f>+IF($O43&gt;J$8,"FIN",(J$19-SUM(AW$25:AW42))*VLOOKUP($O43,$A:$N,10,0)/VLOOKUP(J$15,$K$1:$M$4,2,0))</f>
        <v>1.5625</v>
      </c>
      <c r="AW43" s="182">
        <f t="shared" si="24"/>
        <v>3.5714285714285716</v>
      </c>
      <c r="AX43" s="182">
        <f t="shared" si="25"/>
        <v>5.1339285714285712</v>
      </c>
      <c r="AY43" s="183">
        <f t="shared" si="40"/>
        <v>2.1772868800373097</v>
      </c>
      <c r="AZ43" s="185">
        <f>+IF($O43&gt;K$8,"FIN",(K$19-SUM(BA$25:BA42))*VLOOKUP($O43,$A:$N,11,0)/VLOOKUP(K$15,$K$1:$M$4,2,0))</f>
        <v>1.3392857142857142</v>
      </c>
      <c r="BA43" s="182">
        <f t="shared" si="26"/>
        <v>3.5714285714285716</v>
      </c>
      <c r="BB43" s="182">
        <f t="shared" si="27"/>
        <v>4.9107142857142856</v>
      </c>
      <c r="BC43" s="183">
        <f t="shared" si="41"/>
        <v>2.0826222330791655</v>
      </c>
      <c r="BD43" s="185">
        <f>+IF($O43&gt;L$8,"FIN",(L$19-SUM(BE$25:BE42))*VLOOKUP($O43,$A:$N,12,0)/VLOOKUP(L$15,$K$1:$M$4,2,0))</f>
        <v>1.9289772727272727</v>
      </c>
      <c r="BE43" s="182">
        <f t="shared" si="28"/>
        <v>2.2045454545454546</v>
      </c>
      <c r="BF43" s="182">
        <f t="shared" si="29"/>
        <v>4.1335227272727275</v>
      </c>
      <c r="BG43" s="183">
        <f t="shared" si="42"/>
        <v>1.7530171441249012</v>
      </c>
      <c r="BH43" s="185">
        <f>+IF($O43&gt;M$8,"FIN",(M$19-SUM(BI$25:BI42))*VLOOKUP($O43,$A:$N,13,0)/VLOOKUP(M$15,$K$1:$M$4,2,0))</f>
        <v>1.5914062499999999</v>
      </c>
      <c r="BI43" s="182">
        <f t="shared" si="30"/>
        <v>2.2045454545454546</v>
      </c>
      <c r="BJ43" s="182">
        <f t="shared" si="31"/>
        <v>3.7959517045454545</v>
      </c>
      <c r="BK43" s="183">
        <f t="shared" si="43"/>
        <v>1.6098540773547008</v>
      </c>
      <c r="BL43" s="179"/>
      <c r="BM43" s="200"/>
    </row>
    <row r="44" spans="1:65" s="20" customFormat="1" x14ac:dyDescent="0.25">
      <c r="A44" s="180">
        <f t="shared" si="6"/>
        <v>47546</v>
      </c>
      <c r="B44" s="236">
        <v>0.01</v>
      </c>
      <c r="C44" s="237">
        <v>5.0000000000000001E-3</v>
      </c>
      <c r="D44" s="191">
        <v>1.7500000000000002E-2</v>
      </c>
      <c r="E44" s="191">
        <v>1.25E-3</v>
      </c>
      <c r="F44" s="191">
        <v>0.05</v>
      </c>
      <c r="G44" s="191">
        <v>0.04</v>
      </c>
      <c r="H44" s="191">
        <v>0.05</v>
      </c>
      <c r="I44" s="191">
        <v>4.2500000000000003E-2</v>
      </c>
      <c r="J44" s="191">
        <v>4.8750000000000002E-2</v>
      </c>
      <c r="K44" s="191">
        <v>4.4999999999999998E-2</v>
      </c>
      <c r="L44" s="191">
        <v>0.05</v>
      </c>
      <c r="M44" s="192">
        <v>4.1250000000000002E-2</v>
      </c>
      <c r="N44" s="179"/>
      <c r="O44" s="181">
        <f t="shared" si="7"/>
        <v>47546</v>
      </c>
      <c r="P44" s="185">
        <f>+IF($O44&gt;B$8,"FIN",(B$19-SUM(Q$25:Q43))*VLOOKUP($O44,$A:$N,2,0)/VLOOKUP(B$15,$K$1:$M$4,2,0))</f>
        <v>0.125</v>
      </c>
      <c r="Q44" s="182">
        <f t="shared" si="8"/>
        <v>12.5</v>
      </c>
      <c r="R44" s="182">
        <f t="shared" si="9"/>
        <v>12.625</v>
      </c>
      <c r="S44" s="183">
        <f t="shared" si="32"/>
        <v>5.105060317992268</v>
      </c>
      <c r="T44" s="185">
        <f>+IF($O44&gt;C$8,"FIN",(C$19-SUM(U$25:U43))*VLOOKUP($O44,$A:$N,3,0)/VLOOKUP(C$15,$K$1:$M$4,2,0))</f>
        <v>6.25E-2</v>
      </c>
      <c r="U44" s="182">
        <f t="shared" si="10"/>
        <v>12.5</v>
      </c>
      <c r="V44" s="182">
        <f t="shared" si="11"/>
        <v>12.5625</v>
      </c>
      <c r="W44" s="183">
        <f t="shared" si="33"/>
        <v>5.0797877421606232</v>
      </c>
      <c r="X44" s="185">
        <f>+IF($O44&gt;D$8,"FIN",(D$19-SUM(Y$25:Y43))*VLOOKUP($O44,$A:$N,4,0)/VLOOKUP(D$15,$K$1:$M$4,2,0))</f>
        <v>0.14145833333333338</v>
      </c>
      <c r="Y44" s="182">
        <f t="shared" si="12"/>
        <v>8.0833333333333339</v>
      </c>
      <c r="Z44" s="182">
        <f t="shared" si="13"/>
        <v>8.2247916666666665</v>
      </c>
      <c r="AA44" s="183">
        <f t="shared" si="34"/>
        <v>3.325786737525029</v>
      </c>
      <c r="AB44" s="185">
        <f>+IF($O44&gt;E$8,"FIN",(E$19-SUM(AC$25:AC43))*VLOOKUP($O44,$A:$N,5,0)/VLOOKUP(E$15,$K$1:$M$4,2,0))</f>
        <v>1.0104166666666669E-2</v>
      </c>
      <c r="AC44" s="182">
        <f t="shared" si="14"/>
        <v>8.0833333333333339</v>
      </c>
      <c r="AD44" s="182">
        <f t="shared" si="15"/>
        <v>8.0934375000000003</v>
      </c>
      <c r="AE44" s="183">
        <f t="shared" si="35"/>
        <v>3.2726722073188554</v>
      </c>
      <c r="AF44" s="185">
        <f>+IF($O44&gt;F$8,"FIN",(F$19-SUM(AG$25:AG43))*VLOOKUP($O44,$A:$N,6,0)/VLOOKUP(F$15,$K$1:$M$4,2,0))</f>
        <v>2.4250000000000003</v>
      </c>
      <c r="AG44" s="182">
        <f t="shared" si="16"/>
        <v>0</v>
      </c>
      <c r="AH44" s="182">
        <f t="shared" si="17"/>
        <v>2.4250000000000003</v>
      </c>
      <c r="AI44" s="183">
        <f t="shared" si="36"/>
        <v>0.98057594226782197</v>
      </c>
      <c r="AJ44" s="185">
        <f>+IF($O44&gt;G$8,"FIN",(G$19-SUM(AK$25:AK43))*VLOOKUP($O44,$A:$N,7,0)/VLOOKUP(G$15,$K$1:$M$4,2,0))</f>
        <v>1.94</v>
      </c>
      <c r="AK44" s="182">
        <f t="shared" si="18"/>
        <v>0</v>
      </c>
      <c r="AL44" s="182">
        <f t="shared" si="19"/>
        <v>1.94</v>
      </c>
      <c r="AM44" s="183">
        <f t="shared" si="37"/>
        <v>0.78446075381425751</v>
      </c>
      <c r="AN44" s="185">
        <f>+IF($O44&gt;H$8,"FIN",(H$19-SUM(AO$25:AO43))*VLOOKUP($O44,$A:$N,8,0)/VLOOKUP(H$15,$K$1:$M$4,2,0))</f>
        <v>2.0454545454545454</v>
      </c>
      <c r="AO44" s="182">
        <f t="shared" si="20"/>
        <v>4.5454545454545459</v>
      </c>
      <c r="AP44" s="182">
        <f t="shared" si="21"/>
        <v>6.5909090909090917</v>
      </c>
      <c r="AQ44" s="183">
        <f t="shared" si="38"/>
        <v>2.6651079967916438</v>
      </c>
      <c r="AR44" s="185">
        <f>+IF($O44&gt;I$8,"FIN",(I$19-SUM(AS$25:AS43))*VLOOKUP($O44,$A:$N,9,0)/VLOOKUP(I$15,$K$1:$M$4,2,0))</f>
        <v>1.7386363636363638</v>
      </c>
      <c r="AS44" s="182">
        <f t="shared" si="22"/>
        <v>4.5454545454545459</v>
      </c>
      <c r="AT44" s="182">
        <f t="shared" si="23"/>
        <v>6.2840909090909101</v>
      </c>
      <c r="AU44" s="183">
        <f t="shared" si="39"/>
        <v>2.5410426245272051</v>
      </c>
      <c r="AV44" s="185">
        <f>+IF($O44&gt;J$8,"FIN",(J$19-SUM(AW$25:AW43))*VLOOKUP($O44,$A:$N,10,0)/VLOOKUP(J$15,$K$1:$M$4,2,0))</f>
        <v>2.0892857142857144</v>
      </c>
      <c r="AW44" s="182">
        <f t="shared" si="24"/>
        <v>3.5714285714285716</v>
      </c>
      <c r="AX44" s="182">
        <f t="shared" si="25"/>
        <v>5.6607142857142865</v>
      </c>
      <c r="AY44" s="183">
        <f t="shared" si="40"/>
        <v>2.2889732967518377</v>
      </c>
      <c r="AZ44" s="185">
        <f>+IF($O44&gt;K$8,"FIN",(K$19-SUM(BA$25:BA43))*VLOOKUP($O44,$A:$N,11,0)/VLOOKUP(K$15,$K$1:$M$4,2,0))</f>
        <v>1.9285714285714284</v>
      </c>
      <c r="BA44" s="182">
        <f t="shared" si="26"/>
        <v>3.5714285714285716</v>
      </c>
      <c r="BB44" s="182">
        <f t="shared" si="27"/>
        <v>5.5</v>
      </c>
      <c r="BC44" s="183">
        <f t="shared" si="41"/>
        <v>2.2239866731847506</v>
      </c>
      <c r="BD44" s="185">
        <f>+IF($O44&gt;L$8,"FIN",(L$19-SUM(BE$25:BE43))*VLOOKUP($O44,$A:$N,12,0)/VLOOKUP(L$15,$K$1:$M$4,2,0))</f>
        <v>1.8738636363636365</v>
      </c>
      <c r="BE44" s="182">
        <f t="shared" si="28"/>
        <v>2.2045454545454546</v>
      </c>
      <c r="BF44" s="182">
        <f t="shared" si="29"/>
        <v>4.0784090909090907</v>
      </c>
      <c r="BG44" s="183">
        <f t="shared" si="42"/>
        <v>1.6491504483595185</v>
      </c>
      <c r="BH44" s="185">
        <f>+IF($O44&gt;M$8,"FIN",(M$19-SUM(BI$25:BI43))*VLOOKUP($O44,$A:$N,13,0)/VLOOKUP(M$15,$K$1:$M$4,2,0))</f>
        <v>1.5459375</v>
      </c>
      <c r="BI44" s="182">
        <f t="shared" si="30"/>
        <v>2.2045454545454546</v>
      </c>
      <c r="BJ44" s="182">
        <f t="shared" si="31"/>
        <v>3.7504829545454546</v>
      </c>
      <c r="BK44" s="183">
        <f t="shared" si="43"/>
        <v>1.5165498379846654</v>
      </c>
      <c r="BL44" s="179"/>
      <c r="BM44" s="200"/>
    </row>
    <row r="45" spans="1:65" s="20" customFormat="1" x14ac:dyDescent="0.25">
      <c r="A45" s="180">
        <f t="shared" si="6"/>
        <v>47730</v>
      </c>
      <c r="B45" s="236">
        <v>0.01</v>
      </c>
      <c r="C45" s="237">
        <v>5.0000000000000001E-3</v>
      </c>
      <c r="D45" s="191">
        <v>1.7500000000000002E-2</v>
      </c>
      <c r="E45" s="191">
        <v>1.25E-3</v>
      </c>
      <c r="F45" s="191">
        <v>0.05</v>
      </c>
      <c r="G45" s="191">
        <v>0.04</v>
      </c>
      <c r="H45" s="191">
        <v>0.05</v>
      </c>
      <c r="I45" s="191">
        <v>4.2500000000000003E-2</v>
      </c>
      <c r="J45" s="191">
        <v>4.8750000000000002E-2</v>
      </c>
      <c r="K45" s="191">
        <v>4.4999999999999998E-2</v>
      </c>
      <c r="L45" s="191">
        <v>0.05</v>
      </c>
      <c r="M45" s="192">
        <v>4.1250000000000002E-2</v>
      </c>
      <c r="N45" s="179"/>
      <c r="O45" s="181">
        <f t="shared" si="7"/>
        <v>47730</v>
      </c>
      <c r="P45" s="185">
        <f>+IF($O45&gt;B$8,"FIN",(B$19-SUM(Q$25:Q44))*VLOOKUP($O45,$A:$N,2,0)/VLOOKUP(B$15,$K$1:$M$4,2,0))</f>
        <v>6.25E-2</v>
      </c>
      <c r="Q45" s="182">
        <f t="shared" si="8"/>
        <v>12.5</v>
      </c>
      <c r="R45" s="182">
        <f t="shared" si="9"/>
        <v>12.5625</v>
      </c>
      <c r="S45" s="183">
        <f t="shared" si="32"/>
        <v>4.8433875734584895</v>
      </c>
      <c r="T45" s="185">
        <f>+IF($O45&gt;C$8,"FIN",(C$19-SUM(U$25:U44))*VLOOKUP($O45,$A:$N,3,0)/VLOOKUP(C$15,$K$1:$M$4,2,0))</f>
        <v>3.125E-2</v>
      </c>
      <c r="U45" s="182">
        <f t="shared" si="10"/>
        <v>12.5</v>
      </c>
      <c r="V45" s="182">
        <f t="shared" ref="V45" si="44">+SUM(T45:U45)</f>
        <v>12.53125</v>
      </c>
      <c r="W45" s="183">
        <f t="shared" ref="W45" si="45">V45/(1+$B$5)^(YEARFRAC($O$25,$O45))</f>
        <v>4.8313393456638165</v>
      </c>
      <c r="X45" s="185">
        <f>+IF($O45&gt;D$8,"FIN",(D$19-SUM(Y$25:Y44))*VLOOKUP($O45,$A:$N,4,0)/VLOOKUP(D$15,$K$1:$M$4,2,0))</f>
        <v>7.072916666666676E-2</v>
      </c>
      <c r="Y45" s="182">
        <f t="shared" si="12"/>
        <v>8.0833333333333339</v>
      </c>
      <c r="Z45" s="182">
        <f t="shared" si="13"/>
        <v>8.1540625000000002</v>
      </c>
      <c r="AA45" s="183">
        <f t="shared" si="34"/>
        <v>3.143744078463989</v>
      </c>
      <c r="AB45" s="185">
        <f>+IF($O45&gt;E$8,"FIN",(E$19-SUM(AC$25:AC44))*VLOOKUP($O45,$A:$N,5,0)/VLOOKUP(E$15,$K$1:$M$4,2,0))</f>
        <v>5.052083333333339E-3</v>
      </c>
      <c r="AC45" s="182">
        <f t="shared" si="14"/>
        <v>8.0833333333333339</v>
      </c>
      <c r="AD45" s="182">
        <f t="shared" si="15"/>
        <v>8.088385416666668</v>
      </c>
      <c r="AE45" s="183">
        <f t="shared" si="35"/>
        <v>3.1184227197155185</v>
      </c>
      <c r="AF45" s="185">
        <f>+IF($O45&gt;F$8,"FIN",(F$19-SUM(AG$25:AG44))*VLOOKUP($O45,$A:$N,6,0)/VLOOKUP(F$15,$K$1:$M$4,2,0))</f>
        <v>2.4250000000000003</v>
      </c>
      <c r="AG45" s="182">
        <f t="shared" si="16"/>
        <v>0</v>
      </c>
      <c r="AH45" s="182">
        <f t="shared" si="17"/>
        <v>2.4250000000000003</v>
      </c>
      <c r="AI45" s="183">
        <f t="shared" si="36"/>
        <v>0.93494247686661391</v>
      </c>
      <c r="AJ45" s="185">
        <f>+IF($O45&gt;G$8,"FIN",(G$19-SUM(AK$25:AK44))*VLOOKUP($O45,$A:$N,7,0)/VLOOKUP(G$15,$K$1:$M$4,2,0))</f>
        <v>1.94</v>
      </c>
      <c r="AK45" s="182">
        <f t="shared" si="18"/>
        <v>0</v>
      </c>
      <c r="AL45" s="182">
        <f t="shared" si="19"/>
        <v>1.94</v>
      </c>
      <c r="AM45" s="183">
        <f t="shared" si="37"/>
        <v>0.74795398149329106</v>
      </c>
      <c r="AN45" s="185">
        <f>+IF($O45&gt;H$8,"FIN",(H$19-SUM(AO$25:AO44))*VLOOKUP($O45,$A:$N,8,0)/VLOOKUP(H$15,$K$1:$M$4,2,0))</f>
        <v>1.9318181818181817</v>
      </c>
      <c r="AO45" s="182">
        <f t="shared" si="20"/>
        <v>4.5454545454545459</v>
      </c>
      <c r="AP45" s="182">
        <f t="shared" si="21"/>
        <v>6.4772727272727275</v>
      </c>
      <c r="AQ45" s="183">
        <f t="shared" si="38"/>
        <v>2.4972690338049199</v>
      </c>
      <c r="AR45" s="185">
        <f>+IF($O45&gt;I$8,"FIN",(I$19-SUM(AS$25:AS44))*VLOOKUP($O45,$A:$N,9,0)/VLOOKUP(I$15,$K$1:$M$4,2,0))</f>
        <v>1.6420454545454546</v>
      </c>
      <c r="AS45" s="182">
        <f t="shared" si="22"/>
        <v>4.5454545454545459</v>
      </c>
      <c r="AT45" s="182">
        <f t="shared" si="23"/>
        <v>6.1875</v>
      </c>
      <c r="AU45" s="183">
        <f t="shared" si="39"/>
        <v>2.3855491033452259</v>
      </c>
      <c r="AV45" s="185">
        <f>+IF($O45&gt;J$8,"FIN",(J$19-SUM(AW$25:AW44))*VLOOKUP($O45,$A:$N,10,0)/VLOOKUP(J$15,$K$1:$M$4,2,0))</f>
        <v>2.0022321428571428</v>
      </c>
      <c r="AW45" s="182">
        <f t="shared" si="24"/>
        <v>3.5714285714285716</v>
      </c>
      <c r="AX45" s="182">
        <f t="shared" si="25"/>
        <v>5.5736607142857144</v>
      </c>
      <c r="AY45" s="183">
        <f t="shared" si="40"/>
        <v>2.1488874859498663</v>
      </c>
      <c r="AZ45" s="185">
        <f>+IF($O45&gt;K$8,"FIN",(K$19-SUM(BA$25:BA44))*VLOOKUP($O45,$A:$N,11,0)/VLOOKUP(K$15,$K$1:$M$4,2,0))</f>
        <v>1.8482142857142856</v>
      </c>
      <c r="BA45" s="182">
        <f t="shared" si="26"/>
        <v>3.5714285714285716</v>
      </c>
      <c r="BB45" s="182">
        <f t="shared" si="27"/>
        <v>5.4196428571428577</v>
      </c>
      <c r="BC45" s="183">
        <f t="shared" si="41"/>
        <v>2.0895069346761215</v>
      </c>
      <c r="BD45" s="185">
        <f>+IF($O45&gt;L$8,"FIN",(L$19-SUM(BE$25:BE44))*VLOOKUP($O45,$A:$N,12,0)/VLOOKUP(L$15,$K$1:$M$4,2,0))</f>
        <v>1.8187500000000001</v>
      </c>
      <c r="BE45" s="182">
        <f t="shared" si="28"/>
        <v>2.2045454545454546</v>
      </c>
      <c r="BF45" s="182">
        <f t="shared" si="29"/>
        <v>4.0232954545454547</v>
      </c>
      <c r="BG45" s="183">
        <f t="shared" si="42"/>
        <v>1.5511545638923365</v>
      </c>
      <c r="BH45" s="185">
        <f>+IF($O45&gt;M$8,"FIN",(M$19-SUM(BI$25:BI44))*VLOOKUP($O45,$A:$N,13,0)/VLOOKUP(M$15,$K$1:$M$4,2,0))</f>
        <v>1.50046875</v>
      </c>
      <c r="BI45" s="182">
        <f t="shared" si="30"/>
        <v>2.2045454545454546</v>
      </c>
      <c r="BJ45" s="182">
        <f t="shared" si="31"/>
        <v>3.7050142045454546</v>
      </c>
      <c r="BK45" s="183">
        <f t="shared" si="43"/>
        <v>1.4284433638035936</v>
      </c>
      <c r="BL45" s="179"/>
      <c r="BM45" s="200"/>
    </row>
    <row r="46" spans="1:65" s="20" customFormat="1" x14ac:dyDescent="0.25">
      <c r="A46" s="180">
        <f t="shared" si="6"/>
        <v>47911</v>
      </c>
      <c r="B46" s="189"/>
      <c r="C46" s="190"/>
      <c r="D46" s="191"/>
      <c r="E46" s="191"/>
      <c r="F46" s="191">
        <v>0.05</v>
      </c>
      <c r="G46" s="191">
        <v>0.04</v>
      </c>
      <c r="H46" s="191">
        <v>0.05</v>
      </c>
      <c r="I46" s="191">
        <v>4.2500000000000003E-2</v>
      </c>
      <c r="J46" s="191">
        <v>4.8750000000000002E-2</v>
      </c>
      <c r="K46" s="191">
        <v>4.4999999999999998E-2</v>
      </c>
      <c r="L46" s="191">
        <v>0.05</v>
      </c>
      <c r="M46" s="192">
        <v>4.1250000000000002E-2</v>
      </c>
      <c r="N46" s="179"/>
      <c r="O46" s="181">
        <f t="shared" si="7"/>
        <v>47911</v>
      </c>
      <c r="P46" s="185"/>
      <c r="Q46" s="182"/>
      <c r="R46" s="182"/>
      <c r="S46" s="183"/>
      <c r="T46" s="185"/>
      <c r="U46" s="182"/>
      <c r="V46" s="182"/>
      <c r="W46" s="183"/>
      <c r="X46" s="185"/>
      <c r="Y46" s="182"/>
      <c r="Z46" s="182"/>
      <c r="AA46" s="183"/>
      <c r="AB46" s="185"/>
      <c r="AC46" s="182"/>
      <c r="AD46" s="182"/>
      <c r="AE46" s="183"/>
      <c r="AF46" s="185">
        <f>+IF($O46&gt;F$8,"FIN",(F$19-SUM(AG$25:AG45))*VLOOKUP($O46,$A:$N,6,0)/VLOOKUP(F$15,$K$1:$M$4,2,0))</f>
        <v>2.4250000000000003</v>
      </c>
      <c r="AG46" s="182">
        <f t="shared" si="16"/>
        <v>9.6999999999999993</v>
      </c>
      <c r="AH46" s="182">
        <f t="shared" si="17"/>
        <v>12.125</v>
      </c>
      <c r="AI46" s="183">
        <f t="shared" si="36"/>
        <v>4.4571633739446437</v>
      </c>
      <c r="AJ46" s="185">
        <f>+IF($O46&gt;G$8,"FIN",(G$19-SUM(AK$25:AK45))*VLOOKUP($O46,$A:$N,7,0)/VLOOKUP(G$15,$K$1:$M$4,2,0))</f>
        <v>1.94</v>
      </c>
      <c r="AK46" s="182">
        <f t="shared" si="18"/>
        <v>9.6999999999999993</v>
      </c>
      <c r="AL46" s="182">
        <f t="shared" si="19"/>
        <v>11.639999999999999</v>
      </c>
      <c r="AM46" s="183">
        <f t="shared" si="37"/>
        <v>4.2788768389868581</v>
      </c>
      <c r="AN46" s="185">
        <f>+IF($O46&gt;H$8,"FIN",(H$19-SUM(AO$25:AO45))*VLOOKUP($O46,$A:$N,8,0)/VLOOKUP(H$15,$K$1:$M$4,2,0))</f>
        <v>1.8181818181818181</v>
      </c>
      <c r="AO46" s="182">
        <f t="shared" si="20"/>
        <v>4.5454545454545459</v>
      </c>
      <c r="AP46" s="182">
        <f t="shared" si="21"/>
        <v>6.3636363636363642</v>
      </c>
      <c r="AQ46" s="183">
        <f t="shared" si="38"/>
        <v>2.3392797464001882</v>
      </c>
      <c r="AR46" s="185">
        <f>+IF($O46&gt;I$8,"FIN",(I$19-SUM(AS$25:AS45))*VLOOKUP($O46,$A:$N,9,0)/VLOOKUP(I$15,$K$1:$M$4,2,0))</f>
        <v>1.5454545454545454</v>
      </c>
      <c r="AS46" s="182">
        <f t="shared" si="22"/>
        <v>4.5454545454545459</v>
      </c>
      <c r="AT46" s="182">
        <f t="shared" si="23"/>
        <v>6.0909090909090917</v>
      </c>
      <c r="AU46" s="183">
        <f t="shared" si="39"/>
        <v>2.2390249001258944</v>
      </c>
      <c r="AV46" s="185">
        <f>+IF($O46&gt;J$8,"FIN",(J$19-SUM(AW$25:AW45))*VLOOKUP($O46,$A:$N,10,0)/VLOOKUP(J$15,$K$1:$M$4,2,0))</f>
        <v>1.9151785714285714</v>
      </c>
      <c r="AW46" s="182">
        <f t="shared" si="24"/>
        <v>3.5714285714285716</v>
      </c>
      <c r="AX46" s="182">
        <f t="shared" si="25"/>
        <v>5.4866071428571432</v>
      </c>
      <c r="AY46" s="183">
        <f t="shared" si="40"/>
        <v>2.0168828374734784</v>
      </c>
      <c r="AZ46" s="185">
        <f>+IF($O46&gt;K$8,"FIN",(K$19-SUM(BA$25:BA45))*VLOOKUP($O46,$A:$N,11,0)/VLOOKUP(K$15,$K$1:$M$4,2,0))</f>
        <v>1.7678571428571428</v>
      </c>
      <c r="BA46" s="182">
        <f t="shared" si="26"/>
        <v>3.5714285714285716</v>
      </c>
      <c r="BB46" s="182">
        <f t="shared" si="27"/>
        <v>5.3392857142857144</v>
      </c>
      <c r="BC46" s="183">
        <f t="shared" si="41"/>
        <v>1.9627273178342395</v>
      </c>
      <c r="BD46" s="185">
        <f>+IF($O46&gt;L$8,"FIN",(L$19-SUM(BE$25:BE45))*VLOOKUP($O46,$A:$N,12,0)/VLOOKUP(L$15,$K$1:$M$4,2,0))</f>
        <v>1.7636363636363637</v>
      </c>
      <c r="BE46" s="182">
        <f t="shared" si="28"/>
        <v>2.2045454545454546</v>
      </c>
      <c r="BF46" s="182">
        <f t="shared" si="29"/>
        <v>3.9681818181818183</v>
      </c>
      <c r="BG46" s="183">
        <f t="shared" si="42"/>
        <v>1.4587080132909744</v>
      </c>
      <c r="BH46" s="185">
        <f>+IF($O46&gt;M$8,"FIN",(M$19-SUM(BI$25:BI45))*VLOOKUP($O46,$A:$N,13,0)/VLOOKUP(M$15,$K$1:$M$4,2,0))</f>
        <v>1.4550000000000001</v>
      </c>
      <c r="BI46" s="182">
        <f t="shared" si="30"/>
        <v>2.2045454545454546</v>
      </c>
      <c r="BJ46" s="182">
        <f t="shared" si="31"/>
        <v>3.6595454545454547</v>
      </c>
      <c r="BK46" s="183">
        <f t="shared" si="43"/>
        <v>1.3452529455905653</v>
      </c>
      <c r="BL46" s="179"/>
      <c r="BM46" s="200"/>
    </row>
    <row r="47" spans="1:65" s="20" customFormat="1" x14ac:dyDescent="0.25">
      <c r="A47" s="180">
        <f t="shared" si="6"/>
        <v>48095</v>
      </c>
      <c r="B47" s="189"/>
      <c r="C47" s="190"/>
      <c r="D47" s="191"/>
      <c r="E47" s="191"/>
      <c r="F47" s="191">
        <v>0.05</v>
      </c>
      <c r="G47" s="191">
        <v>0.04</v>
      </c>
      <c r="H47" s="191">
        <v>0.05</v>
      </c>
      <c r="I47" s="191">
        <v>4.2500000000000003E-2</v>
      </c>
      <c r="J47" s="191">
        <v>4.8750000000000002E-2</v>
      </c>
      <c r="K47" s="191">
        <v>4.4999999999999998E-2</v>
      </c>
      <c r="L47" s="191">
        <v>0.05</v>
      </c>
      <c r="M47" s="192">
        <v>4.1250000000000002E-2</v>
      </c>
      <c r="N47" s="179"/>
      <c r="O47" s="181">
        <f t="shared" si="7"/>
        <v>48095</v>
      </c>
      <c r="P47" s="185"/>
      <c r="Q47" s="182"/>
      <c r="R47" s="182"/>
      <c r="S47" s="183"/>
      <c r="T47" s="185"/>
      <c r="U47" s="182"/>
      <c r="V47" s="182"/>
      <c r="W47" s="183"/>
      <c r="X47" s="185"/>
      <c r="Y47" s="182"/>
      <c r="Z47" s="182"/>
      <c r="AA47" s="183"/>
      <c r="AB47" s="185"/>
      <c r="AC47" s="182"/>
      <c r="AD47" s="182"/>
      <c r="AE47" s="183"/>
      <c r="AF47" s="185">
        <f>+IF($O47&gt;F$8,"FIN",(F$19-SUM(AG$25:AG46))*VLOOKUP($O47,$A:$N,6,0)/VLOOKUP(F$15,$K$1:$M$4,2,0))</f>
        <v>2.1825000000000001</v>
      </c>
      <c r="AG47" s="182">
        <f t="shared" si="16"/>
        <v>9.6999999999999993</v>
      </c>
      <c r="AH47" s="182">
        <f t="shared" si="17"/>
        <v>11.8825</v>
      </c>
      <c r="AI47" s="183">
        <f t="shared" si="36"/>
        <v>4.1647437605876432</v>
      </c>
      <c r="AJ47" s="185">
        <f>+IF($O47&gt;G$8,"FIN",(G$19-SUM(AK$25:AK46))*VLOOKUP($O47,$A:$N,7,0)/VLOOKUP(G$15,$K$1:$M$4,2,0))</f>
        <v>1.746</v>
      </c>
      <c r="AK47" s="182">
        <f t="shared" si="18"/>
        <v>9.6999999999999993</v>
      </c>
      <c r="AL47" s="182">
        <f t="shared" si="19"/>
        <v>11.446</v>
      </c>
      <c r="AM47" s="183">
        <f t="shared" si="37"/>
        <v>4.0117531734640153</v>
      </c>
      <c r="AN47" s="185">
        <f>+IF($O47&gt;H$8,"FIN",(H$19-SUM(AO$25:AO46))*VLOOKUP($O47,$A:$N,8,0)/VLOOKUP(H$15,$K$1:$M$4,2,0))</f>
        <v>1.7045454545454544</v>
      </c>
      <c r="AO47" s="182">
        <f t="shared" si="20"/>
        <v>4.5454545454545459</v>
      </c>
      <c r="AP47" s="182">
        <f t="shared" si="21"/>
        <v>6.25</v>
      </c>
      <c r="AQ47" s="183">
        <f t="shared" si="38"/>
        <v>2.1905868717587014</v>
      </c>
      <c r="AR47" s="185">
        <f>+IF($O47&gt;I$8,"FIN",(I$19-SUM(AS$25:AS46))*VLOOKUP($O47,$A:$N,9,0)/VLOOKUP(I$15,$K$1:$M$4,2,0))</f>
        <v>1.4488636363636362</v>
      </c>
      <c r="AS47" s="182">
        <f t="shared" si="22"/>
        <v>4.5454545454545459</v>
      </c>
      <c r="AT47" s="182">
        <f t="shared" si="23"/>
        <v>5.9943181818181817</v>
      </c>
      <c r="AU47" s="183">
        <f t="shared" si="39"/>
        <v>2.1009719542776635</v>
      </c>
      <c r="AV47" s="185">
        <f>+IF($O47&gt;J$8,"FIN",(J$19-SUM(AW$25:AW46))*VLOOKUP($O47,$A:$N,10,0)/VLOOKUP(J$15,$K$1:$M$4,2,0))</f>
        <v>1.828125</v>
      </c>
      <c r="AW47" s="182">
        <f t="shared" si="24"/>
        <v>3.5714285714285716</v>
      </c>
      <c r="AX47" s="182">
        <f t="shared" si="25"/>
        <v>5.3995535714285712</v>
      </c>
      <c r="AY47" s="183">
        <f t="shared" si="40"/>
        <v>1.8925105867086778</v>
      </c>
      <c r="AZ47" s="185">
        <f>+IF($O47&gt;K$8,"FIN",(K$19-SUM(BA$25:BA46))*VLOOKUP($O47,$A:$N,11,0)/VLOOKUP(K$15,$K$1:$M$4,2,0))</f>
        <v>1.6875</v>
      </c>
      <c r="BA47" s="182">
        <f t="shared" si="26"/>
        <v>3.5714285714285716</v>
      </c>
      <c r="BB47" s="182">
        <f t="shared" si="27"/>
        <v>5.2589285714285712</v>
      </c>
      <c r="BC47" s="183">
        <f t="shared" si="41"/>
        <v>1.8432223820941072</v>
      </c>
      <c r="BD47" s="185">
        <f>+IF($O47&gt;L$8,"FIN",(L$19-SUM(BE$25:BE46))*VLOOKUP($O47,$A:$N,12,0)/VLOOKUP(L$15,$K$1:$M$4,2,0))</f>
        <v>1.7085227272727275</v>
      </c>
      <c r="BE47" s="182">
        <f t="shared" si="28"/>
        <v>2.2045454545454546</v>
      </c>
      <c r="BF47" s="182">
        <f t="shared" si="29"/>
        <v>3.9130681818181818</v>
      </c>
      <c r="BG47" s="183">
        <f t="shared" si="42"/>
        <v>1.3715065259820161</v>
      </c>
      <c r="BH47" s="185">
        <f>+IF($O47&gt;M$8,"FIN",(M$19-SUM(BI$25:BI46))*VLOOKUP($O47,$A:$N,13,0)/VLOOKUP(M$15,$K$1:$M$4,2,0))</f>
        <v>1.4095312500000001</v>
      </c>
      <c r="BI47" s="182">
        <f t="shared" si="30"/>
        <v>2.2045454545454546</v>
      </c>
      <c r="BJ47" s="182">
        <f t="shared" si="31"/>
        <v>3.6140767045454547</v>
      </c>
      <c r="BK47" s="183">
        <f t="shared" si="43"/>
        <v>1.2667118372009958</v>
      </c>
      <c r="BL47" s="179"/>
      <c r="BM47" s="200"/>
    </row>
    <row r="48" spans="1:65" s="20" customFormat="1" x14ac:dyDescent="0.25">
      <c r="A48" s="180">
        <f t="shared" si="6"/>
        <v>48277</v>
      </c>
      <c r="B48" s="189"/>
      <c r="C48" s="190"/>
      <c r="D48" s="191"/>
      <c r="E48" s="191"/>
      <c r="F48" s="191">
        <v>0.05</v>
      </c>
      <c r="G48" s="191">
        <v>0.04</v>
      </c>
      <c r="H48" s="191">
        <v>0.05</v>
      </c>
      <c r="I48" s="191">
        <v>4.2500000000000003E-2</v>
      </c>
      <c r="J48" s="191">
        <v>4.8750000000000002E-2</v>
      </c>
      <c r="K48" s="191">
        <v>4.4999999999999998E-2</v>
      </c>
      <c r="L48" s="191">
        <v>0.05</v>
      </c>
      <c r="M48" s="192">
        <v>4.1250000000000002E-2</v>
      </c>
      <c r="N48" s="179"/>
      <c r="O48" s="181">
        <f t="shared" si="7"/>
        <v>48277</v>
      </c>
      <c r="P48" s="185"/>
      <c r="Q48" s="182"/>
      <c r="R48" s="182"/>
      <c r="S48" s="183"/>
      <c r="T48" s="185"/>
      <c r="U48" s="182"/>
      <c r="V48" s="182"/>
      <c r="W48" s="183"/>
      <c r="X48" s="185"/>
      <c r="Y48" s="182"/>
      <c r="Z48" s="182"/>
      <c r="AA48" s="183"/>
      <c r="AB48" s="185"/>
      <c r="AC48" s="182"/>
      <c r="AD48" s="182"/>
      <c r="AE48" s="183"/>
      <c r="AF48" s="185">
        <f>+IF($O48&gt;F$8,"FIN",(F$19-SUM(AG$25:AG47))*VLOOKUP($O48,$A:$N,6,0)/VLOOKUP(F$15,$K$1:$M$4,2,0))</f>
        <v>1.94</v>
      </c>
      <c r="AG48" s="182">
        <f t="shared" si="16"/>
        <v>9.6999999999999993</v>
      </c>
      <c r="AH48" s="182">
        <f t="shared" si="17"/>
        <v>11.639999999999999</v>
      </c>
      <c r="AI48" s="183">
        <f t="shared" si="36"/>
        <v>3.8898880354425973</v>
      </c>
      <c r="AJ48" s="185">
        <f>+IF($O48&gt;G$8,"FIN",(G$19-SUM(AK$25:AK47))*VLOOKUP($O48,$A:$N,7,0)/VLOOKUP(G$15,$K$1:$M$4,2,0))</f>
        <v>1.5519999999999998</v>
      </c>
      <c r="AK48" s="182">
        <f t="shared" si="18"/>
        <v>9.6999999999999993</v>
      </c>
      <c r="AL48" s="182">
        <f t="shared" si="19"/>
        <v>11.251999999999999</v>
      </c>
      <c r="AM48" s="183">
        <f t="shared" si="37"/>
        <v>3.760225100927844</v>
      </c>
      <c r="AN48" s="185">
        <f>+IF($O48&gt;H$8,"FIN",(H$19-SUM(AO$25:AO47))*VLOOKUP($O48,$A:$N,8,0)/VLOOKUP(H$15,$K$1:$M$4,2,0))</f>
        <v>1.5909090909090908</v>
      </c>
      <c r="AO48" s="182">
        <f t="shared" si="20"/>
        <v>4.5454545454545459</v>
      </c>
      <c r="AP48" s="182">
        <f t="shared" si="21"/>
        <v>6.1363636363636367</v>
      </c>
      <c r="AQ48" s="183">
        <f t="shared" si="38"/>
        <v>2.0506673101560087</v>
      </c>
      <c r="AR48" s="185">
        <f>+IF($O48&gt;I$8,"FIN",(I$19-SUM(AS$25:AS47))*VLOOKUP($O48,$A:$N,9,0)/VLOOKUP(I$15,$K$1:$M$4,2,0))</f>
        <v>1.3522727272727273</v>
      </c>
      <c r="AS48" s="182">
        <f t="shared" si="22"/>
        <v>4.5454545454545459</v>
      </c>
      <c r="AT48" s="182">
        <f t="shared" si="23"/>
        <v>5.8977272727272734</v>
      </c>
      <c r="AU48" s="183">
        <f t="shared" si="39"/>
        <v>1.9709191369832753</v>
      </c>
      <c r="AV48" s="185">
        <f>+IF($O48&gt;J$8,"FIN",(J$19-SUM(AW$25:AW47))*VLOOKUP($O48,$A:$N,10,0)/VLOOKUP(J$15,$K$1:$M$4,2,0))</f>
        <v>1.7410714285714284</v>
      </c>
      <c r="AW48" s="182">
        <f t="shared" si="24"/>
        <v>3.5714285714285716</v>
      </c>
      <c r="AX48" s="182">
        <f t="shared" si="25"/>
        <v>5.3125</v>
      </c>
      <c r="AY48" s="183">
        <f t="shared" si="40"/>
        <v>1.7753462361072854</v>
      </c>
      <c r="AZ48" s="185">
        <f>+IF($O48&gt;K$8,"FIN",(K$19-SUM(BA$25:BA47))*VLOOKUP($O48,$A:$N,11,0)/VLOOKUP(K$15,$K$1:$M$4,2,0))</f>
        <v>1.6071428571428568</v>
      </c>
      <c r="BA48" s="182">
        <f t="shared" si="26"/>
        <v>3.5714285714285716</v>
      </c>
      <c r="BB48" s="182">
        <f t="shared" si="27"/>
        <v>5.1785714285714288</v>
      </c>
      <c r="BC48" s="183">
        <f t="shared" si="41"/>
        <v>1.7305896083062613</v>
      </c>
      <c r="BD48" s="185">
        <f>+IF($O48&gt;L$8,"FIN",(L$19-SUM(BE$25:BE47))*VLOOKUP($O48,$A:$N,12,0)/VLOOKUP(L$15,$K$1:$M$4,2,0))</f>
        <v>1.6534090909090911</v>
      </c>
      <c r="BE48" s="182">
        <f t="shared" si="28"/>
        <v>2.2045454545454546</v>
      </c>
      <c r="BF48" s="182">
        <f t="shared" si="29"/>
        <v>3.8579545454545459</v>
      </c>
      <c r="BG48" s="183">
        <f t="shared" si="42"/>
        <v>1.2892621329591945</v>
      </c>
      <c r="BH48" s="185">
        <f>+IF($O48&gt;M$8,"FIN",(M$19-SUM(BI$25:BI47))*VLOOKUP($O48,$A:$N,13,0)/VLOOKUP(M$15,$K$1:$M$4,2,0))</f>
        <v>1.3640625000000002</v>
      </c>
      <c r="BI48" s="182">
        <f t="shared" si="30"/>
        <v>2.2045454545454546</v>
      </c>
      <c r="BJ48" s="182">
        <f t="shared" si="31"/>
        <v>3.5686079545454548</v>
      </c>
      <c r="BK48" s="183">
        <f t="shared" si="43"/>
        <v>1.1925674729872549</v>
      </c>
      <c r="BL48" s="179"/>
      <c r="BM48" s="200"/>
    </row>
    <row r="49" spans="1:65" s="20" customFormat="1" x14ac:dyDescent="0.25">
      <c r="A49" s="180">
        <f t="shared" si="6"/>
        <v>48461</v>
      </c>
      <c r="B49" s="189"/>
      <c r="C49" s="190"/>
      <c r="D49" s="191"/>
      <c r="E49" s="191"/>
      <c r="F49" s="191">
        <v>0.05</v>
      </c>
      <c r="G49" s="191">
        <v>0.04</v>
      </c>
      <c r="H49" s="191">
        <v>0.05</v>
      </c>
      <c r="I49" s="191">
        <v>4.2500000000000003E-2</v>
      </c>
      <c r="J49" s="191">
        <v>4.8750000000000002E-2</v>
      </c>
      <c r="K49" s="191">
        <v>4.4999999999999998E-2</v>
      </c>
      <c r="L49" s="191">
        <v>0.05</v>
      </c>
      <c r="M49" s="192">
        <v>4.1250000000000002E-2</v>
      </c>
      <c r="N49" s="179"/>
      <c r="O49" s="181">
        <f t="shared" si="7"/>
        <v>48461</v>
      </c>
      <c r="P49" s="185"/>
      <c r="Q49" s="182"/>
      <c r="R49" s="182"/>
      <c r="S49" s="183"/>
      <c r="T49" s="185"/>
      <c r="U49" s="182"/>
      <c r="V49" s="182"/>
      <c r="W49" s="183"/>
      <c r="X49" s="185"/>
      <c r="Y49" s="182"/>
      <c r="Z49" s="182"/>
      <c r="AA49" s="183"/>
      <c r="AB49" s="185"/>
      <c r="AC49" s="182"/>
      <c r="AD49" s="182"/>
      <c r="AE49" s="183"/>
      <c r="AF49" s="185">
        <f>+IF($O49&gt;F$8,"FIN",(F$19-SUM(AG$25:AG48))*VLOOKUP($O49,$A:$N,6,0)/VLOOKUP(F$15,$K$1:$M$4,2,0))</f>
        <v>1.6975000000000002</v>
      </c>
      <c r="AG49" s="182">
        <f t="shared" si="16"/>
        <v>9.6999999999999993</v>
      </c>
      <c r="AH49" s="182">
        <f t="shared" si="17"/>
        <v>11.397499999999999</v>
      </c>
      <c r="AI49" s="183">
        <f t="shared" si="36"/>
        <v>3.6315947448537886</v>
      </c>
      <c r="AJ49" s="185">
        <f>+IF($O49&gt;G$8,"FIN",(G$19-SUM(AK$25:AK48))*VLOOKUP($O49,$A:$N,7,0)/VLOOKUP(G$15,$K$1:$M$4,2,0))</f>
        <v>1.3580000000000001</v>
      </c>
      <c r="AK49" s="182">
        <f t="shared" si="18"/>
        <v>9.6999999999999993</v>
      </c>
      <c r="AL49" s="182">
        <f t="shared" si="19"/>
        <v>11.058</v>
      </c>
      <c r="AM49" s="183">
        <f t="shared" si="37"/>
        <v>3.5234195822411225</v>
      </c>
      <c r="AN49" s="185">
        <f>+IF($O49&gt;H$8,"FIN",(H$19-SUM(AO$25:AO48))*VLOOKUP($O49,$A:$N,8,0)/VLOOKUP(H$15,$K$1:$M$4,2,0))</f>
        <v>1.4772727272727273</v>
      </c>
      <c r="AO49" s="182">
        <f t="shared" si="20"/>
        <v>4.5454545454545459</v>
      </c>
      <c r="AP49" s="182">
        <f t="shared" si="21"/>
        <v>6.0227272727272734</v>
      </c>
      <c r="AQ49" s="183">
        <f t="shared" si="38"/>
        <v>1.9190265157555566</v>
      </c>
      <c r="AR49" s="185">
        <f>+IF($O49&gt;I$8,"FIN",(I$19-SUM(AS$25:AS48))*VLOOKUP($O49,$A:$N,9,0)/VLOOKUP(I$15,$K$1:$M$4,2,0))</f>
        <v>1.2556818181818181</v>
      </c>
      <c r="AS49" s="182">
        <f t="shared" si="22"/>
        <v>4.5454545454545459</v>
      </c>
      <c r="AT49" s="182">
        <f t="shared" si="23"/>
        <v>5.8011363636363642</v>
      </c>
      <c r="AU49" s="183">
        <f t="shared" si="39"/>
        <v>1.848420823194739</v>
      </c>
      <c r="AV49" s="185">
        <f>+IF($O49&gt;J$8,"FIN",(J$19-SUM(AW$25:AW48))*VLOOKUP($O49,$A:$N,10,0)/VLOOKUP(J$15,$K$1:$M$4,2,0))</f>
        <v>1.6540178571428572</v>
      </c>
      <c r="AW49" s="182">
        <f t="shared" si="24"/>
        <v>3.5714285714285716</v>
      </c>
      <c r="AX49" s="182">
        <f t="shared" si="25"/>
        <v>5.2254464285714288</v>
      </c>
      <c r="AY49" s="183">
        <f t="shared" si="40"/>
        <v>1.6649882684373767</v>
      </c>
      <c r="AZ49" s="185">
        <f>+IF($O49&gt;K$8,"FIN",(K$19-SUM(BA$25:BA48))*VLOOKUP($O49,$A:$N,11,0)/VLOOKUP(K$15,$K$1:$M$4,2,0))</f>
        <v>1.5267857142857144</v>
      </c>
      <c r="BA49" s="182">
        <f t="shared" si="26"/>
        <v>3.5714285714285716</v>
      </c>
      <c r="BB49" s="182">
        <f t="shared" si="27"/>
        <v>5.0982142857142865</v>
      </c>
      <c r="BC49" s="183">
        <f t="shared" si="41"/>
        <v>1.6244481867197644</v>
      </c>
      <c r="BD49" s="185">
        <f>+IF($O49&gt;L$8,"FIN",(L$19-SUM(BE$25:BE48))*VLOOKUP($O49,$A:$N,12,0)/VLOOKUP(L$15,$K$1:$M$4,2,0))</f>
        <v>1.5982954545454549</v>
      </c>
      <c r="BE49" s="182">
        <f t="shared" si="28"/>
        <v>2.2045454545454546</v>
      </c>
      <c r="BF49" s="182">
        <f t="shared" si="29"/>
        <v>3.8028409090909094</v>
      </c>
      <c r="BG49" s="183">
        <f t="shared" si="42"/>
        <v>1.2117023084860321</v>
      </c>
      <c r="BH49" s="185">
        <f>+IF($O49&gt;M$8,"FIN",(M$19-SUM(BI$25:BI48))*VLOOKUP($O49,$A:$N,13,0)/VLOOKUP(M$15,$K$1:$M$4,2,0))</f>
        <v>1.3185937500000002</v>
      </c>
      <c r="BI49" s="182">
        <f t="shared" si="30"/>
        <v>2.2045454545454546</v>
      </c>
      <c r="BJ49" s="182">
        <f t="shared" si="31"/>
        <v>3.5231392045454548</v>
      </c>
      <c r="BK49" s="183">
        <f t="shared" si="43"/>
        <v>1.1225807256517335</v>
      </c>
      <c r="BL49" s="179"/>
      <c r="BM49" s="200"/>
    </row>
    <row r="50" spans="1:65" s="20" customFormat="1" x14ac:dyDescent="0.25">
      <c r="A50" s="180">
        <f t="shared" si="6"/>
        <v>48642</v>
      </c>
      <c r="B50" s="189"/>
      <c r="C50" s="190"/>
      <c r="D50" s="191"/>
      <c r="E50" s="191"/>
      <c r="F50" s="191">
        <v>0.05</v>
      </c>
      <c r="G50" s="191">
        <v>0.04</v>
      </c>
      <c r="H50" s="191">
        <v>0.05</v>
      </c>
      <c r="I50" s="191">
        <v>4.2500000000000003E-2</v>
      </c>
      <c r="J50" s="191">
        <v>4.8750000000000002E-2</v>
      </c>
      <c r="K50" s="191">
        <v>4.4999999999999998E-2</v>
      </c>
      <c r="L50" s="191">
        <v>0.05</v>
      </c>
      <c r="M50" s="192">
        <v>4.1250000000000002E-2</v>
      </c>
      <c r="N50" s="179"/>
      <c r="O50" s="181">
        <f t="shared" si="7"/>
        <v>48642</v>
      </c>
      <c r="P50" s="185"/>
      <c r="Q50" s="182"/>
      <c r="R50" s="182"/>
      <c r="S50" s="183"/>
      <c r="T50" s="185"/>
      <c r="U50" s="182"/>
      <c r="V50" s="182"/>
      <c r="W50" s="183"/>
      <c r="X50" s="185"/>
      <c r="Y50" s="182"/>
      <c r="Z50" s="182"/>
      <c r="AA50" s="183"/>
      <c r="AB50" s="185"/>
      <c r="AC50" s="182"/>
      <c r="AD50" s="182"/>
      <c r="AE50" s="183"/>
      <c r="AF50" s="185">
        <f>+IF($O50&gt;F$8,"FIN",(F$19-SUM(AG$25:AG49))*VLOOKUP($O50,$A:$N,6,0)/VLOOKUP(F$15,$K$1:$M$4,2,0))</f>
        <v>1.4550000000000001</v>
      </c>
      <c r="AG50" s="182">
        <f t="shared" si="16"/>
        <v>9.6999999999999993</v>
      </c>
      <c r="AH50" s="182">
        <f t="shared" si="17"/>
        <v>11.154999999999999</v>
      </c>
      <c r="AI50" s="183">
        <f t="shared" si="36"/>
        <v>3.3889176066355966</v>
      </c>
      <c r="AJ50" s="185">
        <f>+IF($O50&gt;G$8,"FIN",(G$19-SUM(AK$25:AK49))*VLOOKUP($O50,$A:$N,7,0)/VLOOKUP(G$15,$K$1:$M$4,2,0))</f>
        <v>1.1640000000000001</v>
      </c>
      <c r="AK50" s="182">
        <f t="shared" si="18"/>
        <v>9.6999999999999993</v>
      </c>
      <c r="AL50" s="182">
        <f t="shared" si="19"/>
        <v>10.863999999999999</v>
      </c>
      <c r="AM50" s="183">
        <f t="shared" si="37"/>
        <v>3.3005110603755377</v>
      </c>
      <c r="AN50" s="185">
        <f>+IF($O50&gt;H$8,"FIN",(H$19-SUM(AO$25:AO49))*VLOOKUP($O50,$A:$N,8,0)/VLOOKUP(H$15,$K$1:$M$4,2,0))</f>
        <v>1.3636363636363635</v>
      </c>
      <c r="AO50" s="182">
        <f t="shared" si="20"/>
        <v>4.5454545454545459</v>
      </c>
      <c r="AP50" s="182">
        <f t="shared" si="21"/>
        <v>5.9090909090909092</v>
      </c>
      <c r="AQ50" s="183">
        <f t="shared" si="38"/>
        <v>1.795196971853745</v>
      </c>
      <c r="AR50" s="185">
        <f>+IF($O50&gt;I$8,"FIN",(I$19-SUM(AS$25:AS49))*VLOOKUP($O50,$A:$N,9,0)/VLOOKUP(I$15,$K$1:$M$4,2,0))</f>
        <v>1.1590909090909089</v>
      </c>
      <c r="AS50" s="182">
        <f t="shared" si="22"/>
        <v>4.5454545454545459</v>
      </c>
      <c r="AT50" s="182">
        <f t="shared" si="23"/>
        <v>5.704545454545455</v>
      </c>
      <c r="AU50" s="183">
        <f t="shared" si="39"/>
        <v>1.733055538212654</v>
      </c>
      <c r="AV50" s="185">
        <f>+IF($O50&gt;J$8,"FIN",(J$19-SUM(AW$25:AW49))*VLOOKUP($O50,$A:$N,10,0)/VLOOKUP(J$15,$K$1:$M$4,2,0))</f>
        <v>1.5669642857142856</v>
      </c>
      <c r="AW50" s="182">
        <f t="shared" si="24"/>
        <v>3.5714285714285716</v>
      </c>
      <c r="AX50" s="182">
        <f t="shared" si="25"/>
        <v>5.1383928571428577</v>
      </c>
      <c r="AY50" s="183">
        <f t="shared" si="40"/>
        <v>1.5610569272417767</v>
      </c>
      <c r="AZ50" s="185">
        <f>+IF($O50&gt;K$8,"FIN",(K$19-SUM(BA$25:BA49))*VLOOKUP($O50,$A:$N,11,0)/VLOOKUP(K$15,$K$1:$M$4,2,0))</f>
        <v>1.4464285714285712</v>
      </c>
      <c r="BA50" s="182">
        <f t="shared" si="26"/>
        <v>3.5714285714285716</v>
      </c>
      <c r="BB50" s="182">
        <f t="shared" si="27"/>
        <v>5.0178571428571423</v>
      </c>
      <c r="BC50" s="183">
        <f t="shared" si="41"/>
        <v>1.5244378681318478</v>
      </c>
      <c r="BD50" s="185">
        <f>+IF($O50&gt;L$8,"FIN",(L$19-SUM(BE$25:BE49))*VLOOKUP($O50,$A:$N,12,0)/VLOOKUP(L$15,$K$1:$M$4,2,0))</f>
        <v>1.5431818181818184</v>
      </c>
      <c r="BE50" s="182">
        <f t="shared" si="28"/>
        <v>2.2045454545454546</v>
      </c>
      <c r="BF50" s="182">
        <f t="shared" si="29"/>
        <v>3.747727272727273</v>
      </c>
      <c r="BG50" s="183">
        <f t="shared" si="42"/>
        <v>1.1385691563795484</v>
      </c>
      <c r="BH50" s="185">
        <f>+IF($O50&gt;M$8,"FIN",(M$19-SUM(BI$25:BI49))*VLOOKUP($O50,$A:$N,13,0)/VLOOKUP(M$15,$K$1:$M$4,2,0))</f>
        <v>1.2731250000000003</v>
      </c>
      <c r="BI50" s="182">
        <f t="shared" si="30"/>
        <v>2.2045454545454546</v>
      </c>
      <c r="BJ50" s="182">
        <f t="shared" si="31"/>
        <v>3.4776704545454549</v>
      </c>
      <c r="BK50" s="183">
        <f t="shared" si="43"/>
        <v>1.0565252024639633</v>
      </c>
      <c r="BL50" s="179"/>
      <c r="BM50" s="200"/>
    </row>
    <row r="51" spans="1:65" s="20" customFormat="1" x14ac:dyDescent="0.25">
      <c r="A51" s="180">
        <f t="shared" si="6"/>
        <v>48826</v>
      </c>
      <c r="B51" s="189"/>
      <c r="C51" s="190"/>
      <c r="D51" s="191"/>
      <c r="E51" s="191"/>
      <c r="F51" s="191">
        <v>0.05</v>
      </c>
      <c r="G51" s="191">
        <v>0.04</v>
      </c>
      <c r="H51" s="191">
        <v>0.05</v>
      </c>
      <c r="I51" s="191">
        <v>4.2500000000000003E-2</v>
      </c>
      <c r="J51" s="191">
        <v>4.8750000000000002E-2</v>
      </c>
      <c r="K51" s="191">
        <v>4.4999999999999998E-2</v>
      </c>
      <c r="L51" s="191">
        <v>0.05</v>
      </c>
      <c r="M51" s="192">
        <v>4.1250000000000002E-2</v>
      </c>
      <c r="N51" s="179"/>
      <c r="O51" s="181">
        <f t="shared" si="7"/>
        <v>48826</v>
      </c>
      <c r="P51" s="185"/>
      <c r="Q51" s="182"/>
      <c r="R51" s="182"/>
      <c r="S51" s="183"/>
      <c r="T51" s="185"/>
      <c r="U51" s="182"/>
      <c r="V51" s="182"/>
      <c r="W51" s="183"/>
      <c r="X51" s="185"/>
      <c r="Y51" s="182"/>
      <c r="Z51" s="182"/>
      <c r="AA51" s="183"/>
      <c r="AB51" s="185"/>
      <c r="AC51" s="182"/>
      <c r="AD51" s="182"/>
      <c r="AE51" s="183"/>
      <c r="AF51" s="185">
        <f>+IF($O51&gt;F$8,"FIN",(F$19-SUM(AG$25:AG50))*VLOOKUP($O51,$A:$N,6,0)/VLOOKUP(F$15,$K$1:$M$4,2,0))</f>
        <v>1.2125000000000001</v>
      </c>
      <c r="AG51" s="182">
        <f t="shared" si="16"/>
        <v>9.6999999999999993</v>
      </c>
      <c r="AH51" s="182">
        <f t="shared" si="17"/>
        <v>10.9125</v>
      </c>
      <c r="AI51" s="183">
        <f t="shared" si="36"/>
        <v>3.1609625438766051</v>
      </c>
      <c r="AJ51" s="185">
        <f>+IF($O51&gt;G$8,"FIN",(G$19-SUM(AK$25:AK50))*VLOOKUP($O51,$A:$N,7,0)/VLOOKUP(G$15,$K$1:$M$4,2,0))</f>
        <v>0.97</v>
      </c>
      <c r="AK51" s="182">
        <f t="shared" si="18"/>
        <v>9.6999999999999993</v>
      </c>
      <c r="AL51" s="182">
        <f t="shared" si="19"/>
        <v>10.67</v>
      </c>
      <c r="AM51" s="183">
        <f t="shared" si="37"/>
        <v>3.0907189317904584</v>
      </c>
      <c r="AN51" s="185">
        <f>+IF($O51&gt;H$8,"FIN",(H$19-SUM(AO$25:AO50))*VLOOKUP($O51,$A:$N,8,0)/VLOOKUP(H$15,$K$1:$M$4,2,0))</f>
        <v>1.25</v>
      </c>
      <c r="AO51" s="182">
        <f t="shared" si="20"/>
        <v>4.5454545454545459</v>
      </c>
      <c r="AP51" s="182">
        <f t="shared" si="21"/>
        <v>5.7954545454545459</v>
      </c>
      <c r="AQ51" s="183">
        <f t="shared" si="38"/>
        <v>1.6787367462012588</v>
      </c>
      <c r="AR51" s="185">
        <f>+IF($O51&gt;I$8,"FIN",(I$19-SUM(AS$25:AS50))*VLOOKUP($O51,$A:$N,9,0)/VLOOKUP(I$15,$K$1:$M$4,2,0))</f>
        <v>1.0625</v>
      </c>
      <c r="AS51" s="182">
        <f t="shared" si="22"/>
        <v>4.5454545454545459</v>
      </c>
      <c r="AT51" s="182">
        <f t="shared" si="23"/>
        <v>5.6079545454545459</v>
      </c>
      <c r="AU51" s="183">
        <f t="shared" si="39"/>
        <v>1.6244246750006299</v>
      </c>
      <c r="AV51" s="185">
        <f>+IF($O51&gt;J$8,"FIN",(J$19-SUM(AW$25:AW50))*VLOOKUP($O51,$A:$N,10,0)/VLOOKUP(J$15,$K$1:$M$4,2,0))</f>
        <v>1.4799107142857144</v>
      </c>
      <c r="AW51" s="182">
        <f t="shared" si="24"/>
        <v>3.5714285714285716</v>
      </c>
      <c r="AX51" s="182">
        <f t="shared" si="25"/>
        <v>5.0513392857142865</v>
      </c>
      <c r="AY51" s="183">
        <f t="shared" si="40"/>
        <v>1.4631930610359922</v>
      </c>
      <c r="AZ51" s="185">
        <f>+IF($O51&gt;K$8,"FIN",(K$19-SUM(BA$25:BA50))*VLOOKUP($O51,$A:$N,11,0)/VLOOKUP(K$15,$K$1:$M$4,2,0))</f>
        <v>1.3660714285714286</v>
      </c>
      <c r="BA51" s="182">
        <f t="shared" si="26"/>
        <v>3.5714285714285716</v>
      </c>
      <c r="BB51" s="182">
        <f t="shared" si="27"/>
        <v>4.9375</v>
      </c>
      <c r="BC51" s="183">
        <f t="shared" si="41"/>
        <v>1.4302178749498959</v>
      </c>
      <c r="BD51" s="185">
        <f>+IF($O51&gt;L$8,"FIN",(L$19-SUM(BE$25:BE50))*VLOOKUP($O51,$A:$N,12,0)/VLOOKUP(L$15,$K$1:$M$4,2,0))</f>
        <v>1.488068181818182</v>
      </c>
      <c r="BE51" s="182">
        <f t="shared" si="28"/>
        <v>2.2045454545454546</v>
      </c>
      <c r="BF51" s="182">
        <f t="shared" si="29"/>
        <v>3.6926136363636366</v>
      </c>
      <c r="BG51" s="183">
        <f t="shared" si="42"/>
        <v>1.0696186385845079</v>
      </c>
      <c r="BH51" s="185">
        <f>+IF($O51&gt;M$8,"FIN",(M$19-SUM(BI$25:BI50))*VLOOKUP($O51,$A:$N,13,0)/VLOOKUP(M$15,$K$1:$M$4,2,0))</f>
        <v>1.2276562500000001</v>
      </c>
      <c r="BI51" s="182">
        <f t="shared" si="30"/>
        <v>2.2045454545454546</v>
      </c>
      <c r="BJ51" s="182">
        <f t="shared" si="31"/>
        <v>3.4322017045454549</v>
      </c>
      <c r="BK51" s="183">
        <f t="shared" si="43"/>
        <v>0.99418657787836173</v>
      </c>
      <c r="BL51" s="179"/>
      <c r="BM51" s="200"/>
    </row>
    <row r="52" spans="1:65" s="20" customFormat="1" x14ac:dyDescent="0.25">
      <c r="A52" s="180">
        <f t="shared" si="6"/>
        <v>49007</v>
      </c>
      <c r="B52" s="189"/>
      <c r="C52" s="190"/>
      <c r="D52" s="191"/>
      <c r="E52" s="191"/>
      <c r="F52" s="191">
        <v>0.05</v>
      </c>
      <c r="G52" s="191">
        <v>0.04</v>
      </c>
      <c r="H52" s="191">
        <v>0.05</v>
      </c>
      <c r="I52" s="191">
        <v>4.2500000000000003E-2</v>
      </c>
      <c r="J52" s="191">
        <v>4.8750000000000002E-2</v>
      </c>
      <c r="K52" s="191">
        <v>4.4999999999999998E-2</v>
      </c>
      <c r="L52" s="191">
        <v>0.05</v>
      </c>
      <c r="M52" s="192">
        <v>4.1250000000000002E-2</v>
      </c>
      <c r="N52" s="179"/>
      <c r="O52" s="181">
        <f t="shared" si="7"/>
        <v>49007</v>
      </c>
      <c r="P52" s="185"/>
      <c r="Q52" s="182"/>
      <c r="R52" s="182"/>
      <c r="S52" s="183"/>
      <c r="T52" s="185"/>
      <c r="U52" s="182"/>
      <c r="V52" s="182"/>
      <c r="W52" s="183"/>
      <c r="X52" s="185"/>
      <c r="Y52" s="182"/>
      <c r="Z52" s="182"/>
      <c r="AA52" s="183"/>
      <c r="AB52" s="185"/>
      <c r="AC52" s="182"/>
      <c r="AD52" s="182"/>
      <c r="AE52" s="183"/>
      <c r="AF52" s="185">
        <f>+IF($O52&gt;F$8,"FIN",(F$19-SUM(AG$25:AG51))*VLOOKUP($O52,$A:$N,6,0)/VLOOKUP(F$15,$K$1:$M$4,2,0))</f>
        <v>0.97</v>
      </c>
      <c r="AG52" s="182">
        <f t="shared" si="16"/>
        <v>9.6999999999999993</v>
      </c>
      <c r="AH52" s="182">
        <f t="shared" si="17"/>
        <v>10.67</v>
      </c>
      <c r="AI52" s="183">
        <f t="shared" si="36"/>
        <v>2.9468848753353014</v>
      </c>
      <c r="AJ52" s="185">
        <f>+IF($O52&gt;G$8,"FIN",(G$19-SUM(AK$25:AK51))*VLOOKUP($O52,$A:$N,7,0)/VLOOKUP(G$15,$K$1:$M$4,2,0))</f>
        <v>0.77599999999999991</v>
      </c>
      <c r="AK52" s="182">
        <f t="shared" si="18"/>
        <v>9.6999999999999993</v>
      </c>
      <c r="AL52" s="182">
        <f t="shared" si="19"/>
        <v>10.475999999999999</v>
      </c>
      <c r="AM52" s="183">
        <f t="shared" si="37"/>
        <v>2.8933051503292044</v>
      </c>
      <c r="AN52" s="185">
        <f>+IF($O52&gt;H$8,"FIN",(H$19-SUM(AO$25:AO51))*VLOOKUP($O52,$A:$N,8,0)/VLOOKUP(H$15,$K$1:$M$4,2,0))</f>
        <v>1.1363636363636362</v>
      </c>
      <c r="AO52" s="182">
        <f t="shared" si="20"/>
        <v>4.5454545454545459</v>
      </c>
      <c r="AP52" s="182">
        <f t="shared" si="21"/>
        <v>5.6818181818181817</v>
      </c>
      <c r="AQ52" s="183">
        <f t="shared" si="38"/>
        <v>1.569228122249777</v>
      </c>
      <c r="AR52" s="185">
        <f>+IF($O52&gt;I$8,"FIN",(I$19-SUM(AS$25:AS51))*VLOOKUP($O52,$A:$N,9,0)/VLOOKUP(I$15,$K$1:$M$4,2,0))</f>
        <v>0.96590909090909083</v>
      </c>
      <c r="AS52" s="182">
        <f t="shared" si="22"/>
        <v>4.5454545454545459</v>
      </c>
      <c r="AT52" s="182">
        <f t="shared" si="23"/>
        <v>5.5113636363636367</v>
      </c>
      <c r="AU52" s="183">
        <f t="shared" si="39"/>
        <v>1.5221512785822837</v>
      </c>
      <c r="AV52" s="185">
        <f>+IF($O52&gt;J$8,"FIN",(J$19-SUM(AW$25:AW51))*VLOOKUP($O52,$A:$N,10,0)/VLOOKUP(J$15,$K$1:$M$4,2,0))</f>
        <v>1.392857142857143</v>
      </c>
      <c r="AW52" s="182">
        <f t="shared" si="24"/>
        <v>3.5714285714285716</v>
      </c>
      <c r="AX52" s="182">
        <f t="shared" si="25"/>
        <v>4.9642857142857144</v>
      </c>
      <c r="AY52" s="183">
        <f t="shared" si="40"/>
        <v>1.3710570279542338</v>
      </c>
      <c r="AZ52" s="185">
        <f>+IF($O52&gt;K$8,"FIN",(K$19-SUM(BA$25:BA51))*VLOOKUP($O52,$A:$N,11,0)/VLOOKUP(K$15,$K$1:$M$4,2,0))</f>
        <v>1.2857142857142858</v>
      </c>
      <c r="BA52" s="182">
        <f t="shared" si="26"/>
        <v>3.5714285714285716</v>
      </c>
      <c r="BB52" s="182">
        <f t="shared" si="27"/>
        <v>4.8571428571428577</v>
      </c>
      <c r="BC52" s="183">
        <f t="shared" si="41"/>
        <v>1.3414658690775239</v>
      </c>
      <c r="BD52" s="185">
        <f>+IF($O52&gt;L$8,"FIN",(L$19-SUM(BE$25:BE51))*VLOOKUP($O52,$A:$N,12,0)/VLOOKUP(L$15,$K$1:$M$4,2,0))</f>
        <v>1.4329545454545458</v>
      </c>
      <c r="BE52" s="182">
        <f t="shared" si="28"/>
        <v>2.2045454545454546</v>
      </c>
      <c r="BF52" s="182">
        <f t="shared" si="29"/>
        <v>3.6375000000000002</v>
      </c>
      <c r="BG52" s="183">
        <f t="shared" si="42"/>
        <v>1.0046198438643072</v>
      </c>
      <c r="BH52" s="185">
        <f>+IF($O52&gt;M$8,"FIN",(M$19-SUM(BI$25:BI51))*VLOOKUP($O52,$A:$N,13,0)/VLOOKUP(M$15,$K$1:$M$4,2,0))</f>
        <v>1.1821875000000002</v>
      </c>
      <c r="BI52" s="182">
        <f t="shared" si="30"/>
        <v>2.2045454545454546</v>
      </c>
      <c r="BJ52" s="182">
        <f t="shared" si="31"/>
        <v>3.3867329545454545</v>
      </c>
      <c r="BK52" s="183">
        <f t="shared" si="43"/>
        <v>0.93536196068881339</v>
      </c>
      <c r="BL52" s="179"/>
      <c r="BM52" s="200"/>
    </row>
    <row r="53" spans="1:65" s="20" customFormat="1" x14ac:dyDescent="0.25">
      <c r="A53" s="180">
        <f t="shared" si="6"/>
        <v>49191</v>
      </c>
      <c r="B53" s="189"/>
      <c r="C53" s="190"/>
      <c r="D53" s="191"/>
      <c r="E53" s="191"/>
      <c r="F53" s="191">
        <v>0.05</v>
      </c>
      <c r="G53" s="191">
        <v>0.04</v>
      </c>
      <c r="H53" s="191">
        <v>0.05</v>
      </c>
      <c r="I53" s="191">
        <v>4.2500000000000003E-2</v>
      </c>
      <c r="J53" s="191">
        <v>4.8750000000000002E-2</v>
      </c>
      <c r="K53" s="191">
        <v>4.4999999999999998E-2</v>
      </c>
      <c r="L53" s="191">
        <v>0.05</v>
      </c>
      <c r="M53" s="192">
        <v>4.1250000000000002E-2</v>
      </c>
      <c r="N53" s="179"/>
      <c r="O53" s="181">
        <f t="shared" si="7"/>
        <v>49191</v>
      </c>
      <c r="P53" s="185"/>
      <c r="Q53" s="182"/>
      <c r="R53" s="182"/>
      <c r="S53" s="183"/>
      <c r="T53" s="185"/>
      <c r="U53" s="182"/>
      <c r="V53" s="182"/>
      <c r="W53" s="183"/>
      <c r="X53" s="185"/>
      <c r="Y53" s="182"/>
      <c r="Z53" s="182"/>
      <c r="AA53" s="183"/>
      <c r="AB53" s="185"/>
      <c r="AC53" s="182"/>
      <c r="AD53" s="182"/>
      <c r="AE53" s="183"/>
      <c r="AF53" s="185">
        <f>+IF($O53&gt;F$8,"FIN",(F$19-SUM(AG$25:AG52))*VLOOKUP($O53,$A:$N,6,0)/VLOOKUP(F$15,$K$1:$M$4,2,0))</f>
        <v>0.72749999999999992</v>
      </c>
      <c r="AG53" s="182">
        <f t="shared" si="16"/>
        <v>9.6999999999999993</v>
      </c>
      <c r="AH53" s="182">
        <f t="shared" si="17"/>
        <v>10.427499999999998</v>
      </c>
      <c r="AI53" s="183">
        <f t="shared" si="36"/>
        <v>2.7458866542766462</v>
      </c>
      <c r="AJ53" s="185">
        <f>+IF($O53&gt;G$8,"FIN",(G$19-SUM(AK$25:AK52))*VLOOKUP($O53,$A:$N,7,0)/VLOOKUP(G$15,$K$1:$M$4,2,0))</f>
        <v>0.58199999999999985</v>
      </c>
      <c r="AK53" s="182">
        <f t="shared" si="18"/>
        <v>9.6999999999999993</v>
      </c>
      <c r="AL53" s="182">
        <f t="shared" si="19"/>
        <v>10.282</v>
      </c>
      <c r="AM53" s="183">
        <f t="shared" si="37"/>
        <v>2.7075719567751118</v>
      </c>
      <c r="AN53" s="185">
        <f>+IF($O53&gt;H$8,"FIN",(H$19-SUM(AO$25:AO52))*VLOOKUP($O53,$A:$N,8,0)/VLOOKUP(H$15,$K$1:$M$4,2,0))</f>
        <v>1.0227272727272725</v>
      </c>
      <c r="AO53" s="182">
        <f t="shared" si="20"/>
        <v>4.5454545454545459</v>
      </c>
      <c r="AP53" s="182">
        <f t="shared" si="21"/>
        <v>5.5681818181818183</v>
      </c>
      <c r="AQ53" s="183">
        <f t="shared" si="38"/>
        <v>1.4662763023861258</v>
      </c>
      <c r="AR53" s="185">
        <f>+IF($O53&gt;I$8,"FIN",(I$19-SUM(AS$25:AS52))*VLOOKUP($O53,$A:$N,9,0)/VLOOKUP(I$15,$K$1:$M$4,2,0))</f>
        <v>0.86931818181818166</v>
      </c>
      <c r="AS53" s="182">
        <f t="shared" si="22"/>
        <v>4.5454545454545459</v>
      </c>
      <c r="AT53" s="182">
        <f t="shared" si="23"/>
        <v>5.4147727272727275</v>
      </c>
      <c r="AU53" s="183">
        <f t="shared" si="39"/>
        <v>1.4258788940550795</v>
      </c>
      <c r="AV53" s="185">
        <f>+IF($O53&gt;J$8,"FIN",(J$19-SUM(AW$25:AW52))*VLOOKUP($O53,$A:$N,10,0)/VLOOKUP(J$15,$K$1:$M$4,2,0))</f>
        <v>1.3058035714285716</v>
      </c>
      <c r="AW53" s="182">
        <f t="shared" si="24"/>
        <v>3.5714285714285716</v>
      </c>
      <c r="AX53" s="182">
        <f t="shared" si="25"/>
        <v>4.8772321428571432</v>
      </c>
      <c r="AY53" s="183">
        <f t="shared" si="40"/>
        <v>1.2843276577205007</v>
      </c>
      <c r="AZ53" s="185">
        <f>+IF($O53&gt;K$8,"FIN",(K$19-SUM(BA$25:BA52))*VLOOKUP($O53,$A:$N,11,0)/VLOOKUP(K$15,$K$1:$M$4,2,0))</f>
        <v>1.205357142857143</v>
      </c>
      <c r="BA53" s="182">
        <f t="shared" si="26"/>
        <v>3.5714285714285716</v>
      </c>
      <c r="BB53" s="182">
        <f t="shared" si="27"/>
        <v>4.7767857142857144</v>
      </c>
      <c r="BC53" s="183">
        <f t="shared" si="41"/>
        <v>1.2578769736942201</v>
      </c>
      <c r="BD53" s="185">
        <f>+IF($O53&gt;L$8,"FIN",(L$19-SUM(BE$25:BE52))*VLOOKUP($O53,$A:$N,12,0)/VLOOKUP(L$15,$K$1:$M$4,2,0))</f>
        <v>1.3778409090909094</v>
      </c>
      <c r="BE53" s="182">
        <f t="shared" si="28"/>
        <v>2.2045454545454546</v>
      </c>
      <c r="BF53" s="182">
        <f t="shared" si="29"/>
        <v>3.5823863636363642</v>
      </c>
      <c r="BG53" s="183">
        <f t="shared" si="42"/>
        <v>0.94335429454535968</v>
      </c>
      <c r="BH53" s="185">
        <f>+IF($O53&gt;M$8,"FIN",(M$19-SUM(BI$25:BI52))*VLOOKUP($O53,$A:$N,13,0)/VLOOKUP(M$15,$K$1:$M$4,2,0))</f>
        <v>1.1367187500000002</v>
      </c>
      <c r="BI53" s="182">
        <f t="shared" si="30"/>
        <v>2.2045454545454546</v>
      </c>
      <c r="BJ53" s="182">
        <f t="shared" si="31"/>
        <v>3.341264204545455</v>
      </c>
      <c r="BK53" s="183">
        <f t="shared" si="43"/>
        <v>0.87985929395096041</v>
      </c>
      <c r="BL53" s="179"/>
      <c r="BM53" s="200"/>
    </row>
    <row r="54" spans="1:65" s="20" customFormat="1" x14ac:dyDescent="0.25">
      <c r="A54" s="180">
        <f t="shared" si="6"/>
        <v>49372</v>
      </c>
      <c r="B54" s="189"/>
      <c r="C54" s="190"/>
      <c r="D54" s="191"/>
      <c r="E54" s="191"/>
      <c r="F54" s="191">
        <v>0.05</v>
      </c>
      <c r="G54" s="191">
        <v>0.04</v>
      </c>
      <c r="H54" s="191">
        <v>0.05</v>
      </c>
      <c r="I54" s="191">
        <v>4.2500000000000003E-2</v>
      </c>
      <c r="J54" s="191">
        <v>4.8750000000000002E-2</v>
      </c>
      <c r="K54" s="191">
        <v>4.4999999999999998E-2</v>
      </c>
      <c r="L54" s="191">
        <v>0.05</v>
      </c>
      <c r="M54" s="192">
        <v>4.1250000000000002E-2</v>
      </c>
      <c r="N54" s="179"/>
      <c r="O54" s="181">
        <f t="shared" si="7"/>
        <v>49372</v>
      </c>
      <c r="P54" s="185"/>
      <c r="Q54" s="182"/>
      <c r="R54" s="182"/>
      <c r="S54" s="183"/>
      <c r="T54" s="185"/>
      <c r="U54" s="182"/>
      <c r="V54" s="182"/>
      <c r="W54" s="183"/>
      <c r="X54" s="185"/>
      <c r="Y54" s="182"/>
      <c r="Z54" s="182"/>
      <c r="AA54" s="183"/>
      <c r="AB54" s="185"/>
      <c r="AC54" s="182"/>
      <c r="AD54" s="182"/>
      <c r="AE54" s="183"/>
      <c r="AF54" s="185">
        <f>+IF($O54&gt;F$8,"FIN",(F$19-SUM(AG$25:AG53))*VLOOKUP($O54,$A:$N,6,0)/VLOOKUP(F$15,$K$1:$M$4,2,0))</f>
        <v>0.48499999999999982</v>
      </c>
      <c r="AG54" s="182">
        <f t="shared" si="16"/>
        <v>9.6999999999999993</v>
      </c>
      <c r="AH54" s="182">
        <f t="shared" si="17"/>
        <v>10.184999999999999</v>
      </c>
      <c r="AI54" s="183">
        <f t="shared" si="36"/>
        <v>2.557214148018236</v>
      </c>
      <c r="AJ54" s="185">
        <f>+IF($O54&gt;G$8,"FIN",(G$19-SUM(AK$25:AK53))*VLOOKUP($O54,$A:$N,7,0)/VLOOKUP(G$15,$K$1:$M$4,2,0))</f>
        <v>0.38799999999999985</v>
      </c>
      <c r="AK54" s="182">
        <f t="shared" si="18"/>
        <v>9.6999999999999993</v>
      </c>
      <c r="AL54" s="182">
        <f t="shared" si="19"/>
        <v>10.087999999999999</v>
      </c>
      <c r="AM54" s="183">
        <f t="shared" si="37"/>
        <v>2.5328597275609197</v>
      </c>
      <c r="AN54" s="185">
        <f>+IF($O54&gt;H$8,"FIN",(H$19-SUM(AO$25:AO53))*VLOOKUP($O54,$A:$N,8,0)/VLOOKUP(H$15,$K$1:$M$4,2,0))</f>
        <v>0.90909090909090884</v>
      </c>
      <c r="AO54" s="182">
        <f t="shared" si="20"/>
        <v>4.5454545454545459</v>
      </c>
      <c r="AP54" s="182">
        <f t="shared" si="21"/>
        <v>5.454545454545455</v>
      </c>
      <c r="AQ54" s="183">
        <f t="shared" si="38"/>
        <v>1.3695081794179873</v>
      </c>
      <c r="AR54" s="185">
        <f>+IF($O54&gt;I$8,"FIN",(I$19-SUM(AS$25:AS53))*VLOOKUP($O54,$A:$N,9,0)/VLOOKUP(I$15,$K$1:$M$4,2,0))</f>
        <v>0.7727272727272726</v>
      </c>
      <c r="AS54" s="182">
        <f t="shared" si="22"/>
        <v>4.5454545454545459</v>
      </c>
      <c r="AT54" s="182">
        <f t="shared" si="23"/>
        <v>5.3181818181818183</v>
      </c>
      <c r="AU54" s="183">
        <f t="shared" si="39"/>
        <v>1.3352704749325375</v>
      </c>
      <c r="AV54" s="185">
        <f>+IF($O54&gt;J$8,"FIN",(J$19-SUM(AW$25:AW53))*VLOOKUP($O54,$A:$N,10,0)/VLOOKUP(J$15,$K$1:$M$4,2,0))</f>
        <v>1.2187500000000002</v>
      </c>
      <c r="AW54" s="182">
        <f t="shared" si="24"/>
        <v>3.5714285714285716</v>
      </c>
      <c r="AX54" s="182">
        <f t="shared" si="25"/>
        <v>4.7901785714285721</v>
      </c>
      <c r="AY54" s="183">
        <f t="shared" si="40"/>
        <v>1.2027012679814364</v>
      </c>
      <c r="AZ54" s="185">
        <f>+IF($O54&gt;K$8,"FIN",(K$19-SUM(BA$25:BA53))*VLOOKUP($O54,$A:$N,11,0)/VLOOKUP(K$15,$K$1:$M$4,2,0))</f>
        <v>1.1250000000000002</v>
      </c>
      <c r="BA54" s="182">
        <f t="shared" si="26"/>
        <v>3.5714285714285716</v>
      </c>
      <c r="BB54" s="182">
        <f t="shared" si="27"/>
        <v>4.6964285714285721</v>
      </c>
      <c r="BC54" s="183">
        <f t="shared" si="41"/>
        <v>1.1791628461476897</v>
      </c>
      <c r="BD54" s="185">
        <f>+IF($O54&gt;L$8,"FIN",(L$19-SUM(BE$25:BE53))*VLOOKUP($O54,$A:$N,12,0)/VLOOKUP(L$15,$K$1:$M$4,2,0))</f>
        <v>1.3227272727272732</v>
      </c>
      <c r="BE54" s="182">
        <f t="shared" si="28"/>
        <v>2.2045454545454546</v>
      </c>
      <c r="BF54" s="182">
        <f t="shared" si="29"/>
        <v>3.5272727272727278</v>
      </c>
      <c r="BG54" s="183">
        <f t="shared" si="42"/>
        <v>0.8856152893569651</v>
      </c>
      <c r="BH54" s="185">
        <f>+IF($O54&gt;M$8,"FIN",(M$19-SUM(BI$25:BI53))*VLOOKUP($O54,$A:$N,13,0)/VLOOKUP(M$15,$K$1:$M$4,2,0))</f>
        <v>1.0912500000000003</v>
      </c>
      <c r="BI54" s="182">
        <f t="shared" si="30"/>
        <v>2.2045454545454546</v>
      </c>
      <c r="BJ54" s="182">
        <f t="shared" si="31"/>
        <v>3.2957954545454546</v>
      </c>
      <c r="BK54" s="183">
        <f t="shared" si="43"/>
        <v>0.82749678599291421</v>
      </c>
      <c r="BL54" s="179"/>
      <c r="BM54" s="200"/>
    </row>
    <row r="55" spans="1:65" s="20" customFormat="1" x14ac:dyDescent="0.25">
      <c r="A55" s="180">
        <f t="shared" si="6"/>
        <v>49556</v>
      </c>
      <c r="B55" s="181"/>
      <c r="C55" s="193"/>
      <c r="D55" s="191"/>
      <c r="E55" s="191"/>
      <c r="F55" s="191">
        <v>0.05</v>
      </c>
      <c r="G55" s="191">
        <v>0.04</v>
      </c>
      <c r="H55" s="191">
        <v>0.05</v>
      </c>
      <c r="I55" s="191">
        <v>4.2500000000000003E-2</v>
      </c>
      <c r="J55" s="191">
        <v>4.8750000000000002E-2</v>
      </c>
      <c r="K55" s="191">
        <v>4.4999999999999998E-2</v>
      </c>
      <c r="L55" s="191">
        <v>0.05</v>
      </c>
      <c r="M55" s="192">
        <v>4.1250000000000002E-2</v>
      </c>
      <c r="N55" s="179"/>
      <c r="O55" s="181">
        <f t="shared" si="7"/>
        <v>49556</v>
      </c>
      <c r="P55" s="185"/>
      <c r="Q55" s="182"/>
      <c r="R55" s="182"/>
      <c r="S55" s="183"/>
      <c r="T55" s="185"/>
      <c r="U55" s="182"/>
      <c r="V55" s="182"/>
      <c r="W55" s="183"/>
      <c r="X55" s="185"/>
      <c r="Y55" s="182"/>
      <c r="Z55" s="182"/>
      <c r="AA55" s="183"/>
      <c r="AB55" s="185"/>
      <c r="AC55" s="182"/>
      <c r="AD55" s="182"/>
      <c r="AE55" s="183"/>
      <c r="AF55" s="185">
        <f>+IF($O55&gt;F$8,"FIN",(F$19-SUM(AG$25:AG54))*VLOOKUP($O55,$A:$N,6,0)/VLOOKUP(F$15,$K$1:$M$4,2,0))</f>
        <v>0.24249999999999972</v>
      </c>
      <c r="AG55" s="182">
        <f t="shared" si="16"/>
        <v>9.6999999999999993</v>
      </c>
      <c r="AH55" s="182">
        <f t="shared" si="17"/>
        <v>9.942499999999999</v>
      </c>
      <c r="AI55" s="183">
        <f t="shared" si="36"/>
        <v>2.3801554508529068</v>
      </c>
      <c r="AJ55" s="185">
        <f>+IF($O55&gt;G$8,"FIN",(G$19-SUM(AK$25:AK54))*VLOOKUP($O55,$A:$N,7,0)/VLOOKUP(G$15,$K$1:$M$4,2,0))</f>
        <v>0.19399999999999978</v>
      </c>
      <c r="AK55" s="182">
        <f t="shared" si="18"/>
        <v>9.6999999999999993</v>
      </c>
      <c r="AL55" s="182">
        <f t="shared" si="19"/>
        <v>9.8939999999999984</v>
      </c>
      <c r="AM55" s="183">
        <f t="shared" si="37"/>
        <v>2.3685449364585023</v>
      </c>
      <c r="AN55" s="185">
        <f>+IF($O55&gt;H$8,"FIN",(H$19-SUM(AO$25:AO54))*VLOOKUP($O55,$A:$N,8,0)/VLOOKUP(H$15,$K$1:$M$4,2,0))</f>
        <v>0.79545454545454541</v>
      </c>
      <c r="AO55" s="182">
        <f t="shared" si="20"/>
        <v>4.5454545454545459</v>
      </c>
      <c r="AP55" s="182">
        <f t="shared" si="21"/>
        <v>5.3409090909090917</v>
      </c>
      <c r="AQ55" s="183">
        <f t="shared" si="38"/>
        <v>1.278571172767123</v>
      </c>
      <c r="AR55" s="185">
        <f>+IF($O55&gt;I$8,"FIN",(I$19-SUM(AS$25:AS54))*VLOOKUP($O55,$A:$N,9,0)/VLOOKUP(I$15,$K$1:$M$4,2,0))</f>
        <v>0.67613636363636354</v>
      </c>
      <c r="AS55" s="182">
        <f t="shared" si="22"/>
        <v>4.5454545454545459</v>
      </c>
      <c r="AT55" s="182">
        <f t="shared" si="23"/>
        <v>5.2215909090909092</v>
      </c>
      <c r="AU55" s="183">
        <f t="shared" si="39"/>
        <v>1.2500073486946657</v>
      </c>
      <c r="AV55" s="185">
        <f>+IF($O55&gt;J$8,"FIN",(J$19-SUM(AW$25:AW54))*VLOOKUP($O55,$A:$N,10,0)/VLOOKUP(J$15,$K$1:$M$4,2,0))</f>
        <v>1.1316964285714288</v>
      </c>
      <c r="AW55" s="182">
        <f t="shared" si="24"/>
        <v>3.5714285714285716</v>
      </c>
      <c r="AX55" s="182">
        <f t="shared" si="25"/>
        <v>4.703125</v>
      </c>
      <c r="AY55" s="183">
        <f t="shared" si="40"/>
        <v>1.1258907321893465</v>
      </c>
      <c r="AZ55" s="185">
        <f>+IF($O55&gt;K$8,"FIN",(K$19-SUM(BA$25:BA54))*VLOOKUP($O55,$A:$N,11,0)/VLOOKUP(K$15,$K$1:$M$4,2,0))</f>
        <v>1.0446428571428572</v>
      </c>
      <c r="BA55" s="182">
        <f t="shared" si="26"/>
        <v>3.5714285714285716</v>
      </c>
      <c r="BB55" s="182">
        <f t="shared" si="27"/>
        <v>4.6160714285714288</v>
      </c>
      <c r="BC55" s="183">
        <f t="shared" si="41"/>
        <v>1.1050507993201562</v>
      </c>
      <c r="BD55" s="185">
        <f>+IF($O55&gt;L$8,"FIN",(L$19-SUM(BE$25:BE54))*VLOOKUP($O55,$A:$N,12,0)/VLOOKUP(L$15,$K$1:$M$4,2,0))</f>
        <v>1.2676136363636368</v>
      </c>
      <c r="BE55" s="182">
        <f t="shared" si="28"/>
        <v>2.2045454545454546</v>
      </c>
      <c r="BF55" s="182">
        <f t="shared" si="29"/>
        <v>3.4721590909090914</v>
      </c>
      <c r="BG55" s="183">
        <f t="shared" si="42"/>
        <v>0.83120728050849868</v>
      </c>
      <c r="BH55" s="185">
        <f>+IF($O55&gt;M$8,"FIN",(M$19-SUM(BI$25:BI54))*VLOOKUP($O55,$A:$N,13,0)/VLOOKUP(M$15,$K$1:$M$4,2,0))</f>
        <v>1.0457812500000003</v>
      </c>
      <c r="BI55" s="182">
        <f t="shared" si="30"/>
        <v>2.2045454545454546</v>
      </c>
      <c r="BJ55" s="182">
        <f t="shared" si="31"/>
        <v>3.2503267045454551</v>
      </c>
      <c r="BK55" s="183">
        <f t="shared" si="43"/>
        <v>0.77810237092045575</v>
      </c>
      <c r="BL55" s="179"/>
      <c r="BM55" s="200"/>
    </row>
    <row r="56" spans="1:65" s="20" customFormat="1" x14ac:dyDescent="0.25">
      <c r="A56" s="180">
        <f t="shared" si="6"/>
        <v>49738</v>
      </c>
      <c r="B56" s="181"/>
      <c r="C56" s="193"/>
      <c r="D56" s="191"/>
      <c r="E56" s="191"/>
      <c r="F56" s="191"/>
      <c r="G56" s="191"/>
      <c r="H56" s="191">
        <v>0.05</v>
      </c>
      <c r="I56" s="191">
        <v>4.2500000000000003E-2</v>
      </c>
      <c r="J56" s="191">
        <v>4.8750000000000002E-2</v>
      </c>
      <c r="K56" s="191">
        <v>4.4999999999999998E-2</v>
      </c>
      <c r="L56" s="191">
        <v>0.05</v>
      </c>
      <c r="M56" s="192">
        <v>4.1250000000000002E-2</v>
      </c>
      <c r="N56" s="179"/>
      <c r="O56" s="181">
        <f t="shared" si="7"/>
        <v>49738</v>
      </c>
      <c r="P56" s="184"/>
      <c r="Q56" s="182"/>
      <c r="R56" s="182"/>
      <c r="S56" s="183"/>
      <c r="T56" s="185"/>
      <c r="U56" s="182"/>
      <c r="V56" s="182"/>
      <c r="W56" s="183"/>
      <c r="X56" s="185"/>
      <c r="Y56" s="182"/>
      <c r="Z56" s="182"/>
      <c r="AA56" s="183"/>
      <c r="AB56" s="185"/>
      <c r="AC56" s="182"/>
      <c r="AD56" s="182"/>
      <c r="AE56" s="183"/>
      <c r="AF56" s="185"/>
      <c r="AG56" s="182"/>
      <c r="AH56" s="182"/>
      <c r="AI56" s="183"/>
      <c r="AJ56" s="185"/>
      <c r="AK56" s="182"/>
      <c r="AL56" s="182"/>
      <c r="AM56" s="183"/>
      <c r="AN56" s="185">
        <f>+IF($O56&gt;H$8,"FIN",(H$19-SUM(AO$25:AO55))*VLOOKUP($O56,$A:$N,8,0)/VLOOKUP(H$15,$K$1:$M$4,2,0))</f>
        <v>0.68181818181818166</v>
      </c>
      <c r="AO56" s="182">
        <f t="shared" si="20"/>
        <v>4.5454545454545459</v>
      </c>
      <c r="AP56" s="182">
        <f t="shared" si="21"/>
        <v>5.2272727272727275</v>
      </c>
      <c r="AQ56" s="183">
        <f t="shared" si="38"/>
        <v>1.1931321260080949</v>
      </c>
      <c r="AR56" s="185">
        <f>+IF($O56&gt;I$8,"FIN",(I$19-SUM(AS$25:AS55))*VLOOKUP($O56,$A:$N,9,0)/VLOOKUP(I$15,$K$1:$M$4,2,0))</f>
        <v>0.57954545454545447</v>
      </c>
      <c r="AS56" s="182">
        <f t="shared" si="22"/>
        <v>4.5454545454545459</v>
      </c>
      <c r="AT56" s="182">
        <f t="shared" si="23"/>
        <v>5.125</v>
      </c>
      <c r="AU56" s="183">
        <f t="shared" si="39"/>
        <v>1.1697882365861973</v>
      </c>
      <c r="AV56" s="185">
        <f>+IF($O56&gt;J$8,"FIN",(J$19-SUM(AW$25:AW55))*VLOOKUP($O56,$A:$N,10,0)/VLOOKUP(J$15,$K$1:$M$4,2,0))</f>
        <v>1.0446428571428574</v>
      </c>
      <c r="AW56" s="182">
        <f t="shared" si="24"/>
        <v>3.5714285714285716</v>
      </c>
      <c r="AX56" s="182">
        <f t="shared" si="25"/>
        <v>4.6160714285714288</v>
      </c>
      <c r="AY56" s="183">
        <f t="shared" si="40"/>
        <v>1.0536245963677073</v>
      </c>
      <c r="AZ56" s="185">
        <f>+IF($O56&gt;K$8,"FIN",(K$19-SUM(BA$25:BA55))*VLOOKUP($O56,$A:$N,11,0)/VLOOKUP(K$15,$K$1:$M$4,2,0))</f>
        <v>0.96428571428571452</v>
      </c>
      <c r="BA56" s="182">
        <f t="shared" si="26"/>
        <v>3.5714285714285716</v>
      </c>
      <c r="BB56" s="182">
        <f t="shared" si="27"/>
        <v>4.5357142857142865</v>
      </c>
      <c r="BC56" s="183">
        <f t="shared" si="41"/>
        <v>1.035282968964788</v>
      </c>
      <c r="BD56" s="185">
        <f>+IF($O56&gt;L$8,"FIN",(L$19-SUM(BE$25:BE55))*VLOOKUP($O56,$A:$N,12,0)/VLOOKUP(L$15,$K$1:$M$4,2,0))</f>
        <v>1.2125000000000004</v>
      </c>
      <c r="BE56" s="182">
        <f t="shared" si="28"/>
        <v>2.2045454545454546</v>
      </c>
      <c r="BF56" s="182">
        <f t="shared" si="29"/>
        <v>3.4170454545454549</v>
      </c>
      <c r="BG56" s="183">
        <f t="shared" si="42"/>
        <v>0.77994528324050905</v>
      </c>
      <c r="BH56" s="185">
        <f>+IF($O56&gt;M$8,"FIN",(M$19-SUM(BI$25:BI55))*VLOOKUP($O56,$A:$N,13,0)/VLOOKUP(M$15,$K$1:$M$4,2,0))</f>
        <v>1.0003125000000004</v>
      </c>
      <c r="BI56" s="182">
        <f t="shared" si="30"/>
        <v>2.2045454545454546</v>
      </c>
      <c r="BJ56" s="182">
        <f t="shared" si="31"/>
        <v>3.2048579545454547</v>
      </c>
      <c r="BK56" s="183">
        <f t="shared" si="43"/>
        <v>0.73151319710379992</v>
      </c>
      <c r="BL56" s="179"/>
      <c r="BM56" s="200"/>
    </row>
    <row r="57" spans="1:65" s="20" customFormat="1" x14ac:dyDescent="0.25">
      <c r="A57" s="180">
        <f t="shared" si="6"/>
        <v>49922</v>
      </c>
      <c r="B57" s="181"/>
      <c r="C57" s="193"/>
      <c r="D57" s="191"/>
      <c r="E57" s="191"/>
      <c r="F57" s="191"/>
      <c r="G57" s="191"/>
      <c r="H57" s="191">
        <v>0.05</v>
      </c>
      <c r="I57" s="191">
        <v>4.2500000000000003E-2</v>
      </c>
      <c r="J57" s="191">
        <v>4.8750000000000002E-2</v>
      </c>
      <c r="K57" s="191">
        <v>4.4999999999999998E-2</v>
      </c>
      <c r="L57" s="191">
        <v>0.05</v>
      </c>
      <c r="M57" s="192">
        <v>4.1250000000000002E-2</v>
      </c>
      <c r="N57" s="179"/>
      <c r="O57" s="181">
        <f t="shared" si="7"/>
        <v>49922</v>
      </c>
      <c r="P57" s="184"/>
      <c r="Q57" s="182"/>
      <c r="R57" s="182"/>
      <c r="S57" s="183"/>
      <c r="T57" s="185"/>
      <c r="U57" s="182"/>
      <c r="V57" s="182"/>
      <c r="W57" s="183"/>
      <c r="X57" s="185"/>
      <c r="Y57" s="182"/>
      <c r="Z57" s="182"/>
      <c r="AA57" s="183"/>
      <c r="AB57" s="185"/>
      <c r="AC57" s="182"/>
      <c r="AD57" s="182"/>
      <c r="AE57" s="183"/>
      <c r="AF57" s="185"/>
      <c r="AG57" s="182"/>
      <c r="AH57" s="182"/>
      <c r="AI57" s="183"/>
      <c r="AJ57" s="185"/>
      <c r="AK57" s="182"/>
      <c r="AL57" s="182"/>
      <c r="AM57" s="183"/>
      <c r="AN57" s="185">
        <f>+IF($O57&gt;H$8,"FIN",(H$19-SUM(AO$25:AO56))*VLOOKUP($O57,$A:$N,8,0)/VLOOKUP(H$15,$K$1:$M$4,2,0))</f>
        <v>0.56818181818181801</v>
      </c>
      <c r="AO57" s="182">
        <f t="shared" si="20"/>
        <v>4.5454545454545459</v>
      </c>
      <c r="AP57" s="182">
        <f t="shared" si="21"/>
        <v>5.1136363636363642</v>
      </c>
      <c r="AQ57" s="183">
        <f t="shared" si="38"/>
        <v>1.1128762625632598</v>
      </c>
      <c r="AR57" s="185">
        <f>+IF($O57&gt;I$8,"FIN",(I$19-SUM(AS$25:AS56))*VLOOKUP($O57,$A:$N,9,0)/VLOOKUP(I$15,$K$1:$M$4,2,0))</f>
        <v>0.4829545454545453</v>
      </c>
      <c r="AS57" s="182">
        <f t="shared" si="22"/>
        <v>4.5454545454545459</v>
      </c>
      <c r="AT57" s="182">
        <f t="shared" si="23"/>
        <v>5.0284090909090908</v>
      </c>
      <c r="AU57" s="183">
        <f t="shared" si="39"/>
        <v>1.094328324853872</v>
      </c>
      <c r="AV57" s="185">
        <f>+IF($O57&gt;J$8,"FIN",(J$19-SUM(AW$25:AW56))*VLOOKUP($O57,$A:$N,10,0)/VLOOKUP(J$15,$K$1:$M$4,2,0))</f>
        <v>0.95758928571428603</v>
      </c>
      <c r="AW57" s="182">
        <f t="shared" si="24"/>
        <v>3.5714285714285716</v>
      </c>
      <c r="AX57" s="182">
        <f t="shared" si="25"/>
        <v>4.5290178571428577</v>
      </c>
      <c r="AY57" s="183">
        <f t="shared" si="40"/>
        <v>0.98564624222815056</v>
      </c>
      <c r="AZ57" s="185">
        <f>+IF($O57&gt;K$8,"FIN",(K$19-SUM(BA$25:BA56))*VLOOKUP($O57,$A:$N,11,0)/VLOOKUP(K$15,$K$1:$M$4,2,0))</f>
        <v>0.88392857142857173</v>
      </c>
      <c r="BA57" s="182">
        <f t="shared" si="26"/>
        <v>3.5714285714285716</v>
      </c>
      <c r="BB57" s="182">
        <f t="shared" si="27"/>
        <v>4.4553571428571432</v>
      </c>
      <c r="BC57" s="183">
        <f t="shared" si="41"/>
        <v>0.96961552463646539</v>
      </c>
      <c r="BD57" s="185">
        <f>+IF($O57&gt;L$8,"FIN",(L$19-SUM(BE$25:BE56))*VLOOKUP($O57,$A:$N,12,0)/VLOOKUP(L$15,$K$1:$M$4,2,0))</f>
        <v>1.1573863636363642</v>
      </c>
      <c r="BE57" s="182">
        <f t="shared" si="28"/>
        <v>2.2045454545454546</v>
      </c>
      <c r="BF57" s="182">
        <f t="shared" si="29"/>
        <v>3.3619318181818185</v>
      </c>
      <c r="BG57" s="183">
        <f t="shared" si="42"/>
        <v>0.73165431617631194</v>
      </c>
      <c r="BH57" s="185">
        <f>+IF($O57&gt;M$8,"FIN",(M$19-SUM(BI$25:BI56))*VLOOKUP($O57,$A:$N,13,0)/VLOOKUP(M$15,$K$1:$M$4,2,0))</f>
        <v>0.95484375000000032</v>
      </c>
      <c r="BI57" s="182">
        <f t="shared" si="30"/>
        <v>2.2045454545454546</v>
      </c>
      <c r="BJ57" s="182">
        <f t="shared" si="31"/>
        <v>3.1593892045454548</v>
      </c>
      <c r="BK57" s="183">
        <f t="shared" si="43"/>
        <v>0.68757514220995219</v>
      </c>
      <c r="BL57" s="179"/>
      <c r="BM57" s="200"/>
    </row>
    <row r="58" spans="1:65" s="20" customFormat="1" x14ac:dyDescent="0.25">
      <c r="A58" s="180">
        <f t="shared" si="6"/>
        <v>50103</v>
      </c>
      <c r="B58" s="181"/>
      <c r="C58" s="193"/>
      <c r="D58" s="191"/>
      <c r="E58" s="191"/>
      <c r="F58" s="191"/>
      <c r="G58" s="191"/>
      <c r="H58" s="191">
        <v>0.05</v>
      </c>
      <c r="I58" s="191">
        <v>4.2500000000000003E-2</v>
      </c>
      <c r="J58" s="191">
        <v>4.8750000000000002E-2</v>
      </c>
      <c r="K58" s="191">
        <v>4.4999999999999998E-2</v>
      </c>
      <c r="L58" s="191">
        <v>0.05</v>
      </c>
      <c r="M58" s="192">
        <v>4.1250000000000002E-2</v>
      </c>
      <c r="N58" s="179"/>
      <c r="O58" s="181">
        <f t="shared" si="7"/>
        <v>50103</v>
      </c>
      <c r="P58" s="184"/>
      <c r="Q58" s="182"/>
      <c r="R58" s="182"/>
      <c r="S58" s="183"/>
      <c r="T58" s="185"/>
      <c r="U58" s="182"/>
      <c r="V58" s="182"/>
      <c r="W58" s="183"/>
      <c r="X58" s="185"/>
      <c r="Y58" s="182"/>
      <c r="Z58" s="182"/>
      <c r="AA58" s="183"/>
      <c r="AB58" s="185"/>
      <c r="AC58" s="182"/>
      <c r="AD58" s="182"/>
      <c r="AE58" s="183"/>
      <c r="AF58" s="185"/>
      <c r="AG58" s="182"/>
      <c r="AH58" s="182"/>
      <c r="AI58" s="183"/>
      <c r="AJ58" s="185"/>
      <c r="AK58" s="182"/>
      <c r="AL58" s="182"/>
      <c r="AM58" s="183"/>
      <c r="AN58" s="185">
        <f>+IF($O58&gt;H$8,"FIN",(H$19-SUM(AO$25:AO57))*VLOOKUP($O58,$A:$N,8,0)/VLOOKUP(H$15,$K$1:$M$4,2,0))</f>
        <v>0.45454545454545436</v>
      </c>
      <c r="AO58" s="182">
        <f t="shared" si="20"/>
        <v>4.5454545454545459</v>
      </c>
      <c r="AP58" s="182">
        <f t="shared" si="21"/>
        <v>5</v>
      </c>
      <c r="AQ58" s="183">
        <f t="shared" si="38"/>
        <v>1.0375061965287782</v>
      </c>
      <c r="AR58" s="185">
        <f>+IF($O58&gt;I$8,"FIN",(I$19-SUM(AS$25:AS57))*VLOOKUP($O58,$A:$N,9,0)/VLOOKUP(I$15,$K$1:$M$4,2,0))</f>
        <v>0.38636363636363619</v>
      </c>
      <c r="AS58" s="182">
        <f t="shared" si="22"/>
        <v>4.5454545454545459</v>
      </c>
      <c r="AT58" s="182">
        <f t="shared" si="23"/>
        <v>4.9318181818181817</v>
      </c>
      <c r="AU58" s="183">
        <f t="shared" si="39"/>
        <v>1.0233583847579311</v>
      </c>
      <c r="AV58" s="185">
        <f>+IF($O58&gt;J$8,"FIN",(J$19-SUM(AW$25:AW57))*VLOOKUP($O58,$A:$N,10,0)/VLOOKUP(J$15,$K$1:$M$4,2,0))</f>
        <v>0.87053571428571452</v>
      </c>
      <c r="AW58" s="182">
        <f t="shared" si="24"/>
        <v>3.5714285714285716</v>
      </c>
      <c r="AX58" s="182">
        <f t="shared" si="25"/>
        <v>4.4419642857142865</v>
      </c>
      <c r="AY58" s="183">
        <f t="shared" si="40"/>
        <v>0.92171309423762005</v>
      </c>
      <c r="AZ58" s="185">
        <f>+IF($O58&gt;K$8,"FIN",(K$19-SUM(BA$25:BA57))*VLOOKUP($O58,$A:$N,11,0)/VLOOKUP(K$15,$K$1:$M$4,2,0))</f>
        <v>0.80357142857142871</v>
      </c>
      <c r="BA58" s="182">
        <f t="shared" si="26"/>
        <v>3.5714285714285716</v>
      </c>
      <c r="BB58" s="182">
        <f t="shared" si="27"/>
        <v>4.375</v>
      </c>
      <c r="BC58" s="183">
        <f t="shared" si="41"/>
        <v>0.90781792196268085</v>
      </c>
      <c r="BD58" s="185">
        <f>+IF($O58&gt;L$8,"FIN",(L$19-SUM(BE$25:BE57))*VLOOKUP($O58,$A:$N,12,0)/VLOOKUP(L$15,$K$1:$M$4,2,0))</f>
        <v>1.1022727272727277</v>
      </c>
      <c r="BE58" s="182">
        <f t="shared" si="28"/>
        <v>2.2045454545454546</v>
      </c>
      <c r="BF58" s="182">
        <f t="shared" si="29"/>
        <v>3.3068181818181825</v>
      </c>
      <c r="BG58" s="183">
        <f t="shared" si="42"/>
        <v>0.68616887088607836</v>
      </c>
      <c r="BH58" s="185">
        <f>+IF($O58&gt;M$8,"FIN",(M$19-SUM(BI$25:BI57))*VLOOKUP($O58,$A:$N,13,0)/VLOOKUP(M$15,$K$1:$M$4,2,0))</f>
        <v>0.90937500000000038</v>
      </c>
      <c r="BI58" s="182">
        <f t="shared" si="30"/>
        <v>2.2045454545454546</v>
      </c>
      <c r="BJ58" s="182">
        <f t="shared" si="31"/>
        <v>3.1139204545454549</v>
      </c>
      <c r="BK58" s="183">
        <f t="shared" si="43"/>
        <v>0.64614235341772375</v>
      </c>
      <c r="BL58" s="179"/>
      <c r="BM58" s="200"/>
    </row>
    <row r="59" spans="1:65" s="20" customFormat="1" x14ac:dyDescent="0.25">
      <c r="A59" s="180">
        <f t="shared" si="6"/>
        <v>50287</v>
      </c>
      <c r="B59" s="181"/>
      <c r="C59" s="193"/>
      <c r="D59" s="191"/>
      <c r="E59" s="191"/>
      <c r="F59" s="191"/>
      <c r="G59" s="191"/>
      <c r="H59" s="191">
        <v>0.05</v>
      </c>
      <c r="I59" s="191">
        <v>4.2500000000000003E-2</v>
      </c>
      <c r="J59" s="191">
        <v>4.8750000000000002E-2</v>
      </c>
      <c r="K59" s="191">
        <v>4.4999999999999998E-2</v>
      </c>
      <c r="L59" s="191">
        <v>0.05</v>
      </c>
      <c r="M59" s="192">
        <v>4.1250000000000002E-2</v>
      </c>
      <c r="N59" s="179"/>
      <c r="O59" s="181">
        <f t="shared" si="7"/>
        <v>50287</v>
      </c>
      <c r="P59" s="184"/>
      <c r="Q59" s="182"/>
      <c r="R59" s="182"/>
      <c r="S59" s="183"/>
      <c r="T59" s="185"/>
      <c r="U59" s="182"/>
      <c r="V59" s="182"/>
      <c r="W59" s="183"/>
      <c r="X59" s="185"/>
      <c r="Y59" s="182"/>
      <c r="Z59" s="182"/>
      <c r="AA59" s="183"/>
      <c r="AB59" s="185"/>
      <c r="AC59" s="182"/>
      <c r="AD59" s="182"/>
      <c r="AE59" s="183"/>
      <c r="AF59" s="185"/>
      <c r="AG59" s="182"/>
      <c r="AH59" s="182"/>
      <c r="AI59" s="183"/>
      <c r="AJ59" s="185"/>
      <c r="AK59" s="182"/>
      <c r="AL59" s="182"/>
      <c r="AM59" s="183"/>
      <c r="AN59" s="185">
        <f>+IF($O59&gt;H$8,"FIN",(H$19-SUM(AO$25:AO58))*VLOOKUP($O59,$A:$N,8,0)/VLOOKUP(H$15,$K$1:$M$4,2,0))</f>
        <v>0.34090909090909066</v>
      </c>
      <c r="AO59" s="182">
        <f t="shared" si="20"/>
        <v>4.5454545454545459</v>
      </c>
      <c r="AP59" s="182">
        <f t="shared" si="21"/>
        <v>4.8863636363636367</v>
      </c>
      <c r="AQ59" s="183">
        <f t="shared" si="38"/>
        <v>0.96674099576202355</v>
      </c>
      <c r="AR59" s="185">
        <f>+IF($O59&gt;I$8,"FIN",(I$19-SUM(AS$25:AS58))*VLOOKUP($O59,$A:$N,9,0)/VLOOKUP(I$15,$K$1:$M$4,2,0))</f>
        <v>0.28977272727272707</v>
      </c>
      <c r="AS59" s="182">
        <f t="shared" si="22"/>
        <v>4.5454545454545459</v>
      </c>
      <c r="AT59" s="182">
        <f t="shared" si="23"/>
        <v>4.8352272727272734</v>
      </c>
      <c r="AU59" s="183">
        <f t="shared" si="39"/>
        <v>0.95662393882963026</v>
      </c>
      <c r="AV59" s="185">
        <f>+IF($O59&gt;J$8,"FIN",(J$19-SUM(AW$25:AW58))*VLOOKUP($O59,$A:$N,10,0)/VLOOKUP(J$15,$K$1:$M$4,2,0))</f>
        <v>0.78348214285714313</v>
      </c>
      <c r="AW59" s="182">
        <f t="shared" si="24"/>
        <v>3.5714285714285716</v>
      </c>
      <c r="AX59" s="182">
        <f t="shared" si="25"/>
        <v>4.3549107142857144</v>
      </c>
      <c r="AY59" s="183">
        <f t="shared" si="40"/>
        <v>0.86159586835750768</v>
      </c>
      <c r="AZ59" s="185">
        <f>+IF($O59&gt;K$8,"FIN",(K$19-SUM(BA$25:BA58))*VLOOKUP($O59,$A:$N,11,0)/VLOOKUP(K$15,$K$1:$M$4,2,0))</f>
        <v>0.72321428571428592</v>
      </c>
      <c r="BA59" s="182">
        <f t="shared" si="26"/>
        <v>3.5714285714285716</v>
      </c>
      <c r="BB59" s="182">
        <f t="shared" si="27"/>
        <v>4.2946428571428577</v>
      </c>
      <c r="BC59" s="183">
        <f t="shared" si="41"/>
        <v>0.84967219411575856</v>
      </c>
      <c r="BD59" s="185">
        <f>+IF($O59&gt;L$8,"FIN",(L$19-SUM(BE$25:BE58))*VLOOKUP($O59,$A:$N,12,0)/VLOOKUP(L$15,$K$1:$M$4,2,0))</f>
        <v>1.0471590909090913</v>
      </c>
      <c r="BE59" s="182">
        <f t="shared" si="28"/>
        <v>2.2045454545454546</v>
      </c>
      <c r="BF59" s="182">
        <f t="shared" si="29"/>
        <v>3.2517045454545457</v>
      </c>
      <c r="BG59" s="183">
        <f t="shared" si="42"/>
        <v>0.64333240915651868</v>
      </c>
      <c r="BH59" s="185">
        <f>+IF($O59&gt;M$8,"FIN",(M$19-SUM(BI$25:BI58))*VLOOKUP($O59,$A:$N,13,0)/VLOOKUP(M$15,$K$1:$M$4,2,0))</f>
        <v>0.86390625000000043</v>
      </c>
      <c r="BI59" s="182">
        <f t="shared" si="30"/>
        <v>2.2045454545454546</v>
      </c>
      <c r="BJ59" s="182">
        <f t="shared" si="31"/>
        <v>3.0684517045454549</v>
      </c>
      <c r="BK59" s="183">
        <f t="shared" si="43"/>
        <v>0.60707681152185045</v>
      </c>
      <c r="BL59" s="179"/>
      <c r="BM59" s="200"/>
    </row>
    <row r="60" spans="1:65" s="20" customFormat="1" x14ac:dyDescent="0.25">
      <c r="A60" s="180">
        <f t="shared" si="6"/>
        <v>50468</v>
      </c>
      <c r="B60" s="181"/>
      <c r="C60" s="193"/>
      <c r="D60" s="191"/>
      <c r="E60" s="191"/>
      <c r="F60" s="191"/>
      <c r="G60" s="191"/>
      <c r="H60" s="191">
        <v>0.05</v>
      </c>
      <c r="I60" s="191">
        <v>4.2500000000000003E-2</v>
      </c>
      <c r="J60" s="191">
        <v>4.8750000000000002E-2</v>
      </c>
      <c r="K60" s="191">
        <v>4.4999999999999998E-2</v>
      </c>
      <c r="L60" s="191">
        <v>0.05</v>
      </c>
      <c r="M60" s="192">
        <v>4.1250000000000002E-2</v>
      </c>
      <c r="N60" s="179"/>
      <c r="O60" s="181">
        <f t="shared" si="7"/>
        <v>50468</v>
      </c>
      <c r="P60" s="184"/>
      <c r="Q60" s="182"/>
      <c r="R60" s="182"/>
      <c r="S60" s="183"/>
      <c r="T60" s="185"/>
      <c r="U60" s="182"/>
      <c r="V60" s="182"/>
      <c r="W60" s="183"/>
      <c r="X60" s="185"/>
      <c r="Y60" s="182"/>
      <c r="Z60" s="182"/>
      <c r="AA60" s="183"/>
      <c r="AB60" s="185"/>
      <c r="AC60" s="182"/>
      <c r="AD60" s="182"/>
      <c r="AE60" s="183"/>
      <c r="AF60" s="185"/>
      <c r="AG60" s="182"/>
      <c r="AH60" s="182"/>
      <c r="AI60" s="183"/>
      <c r="AJ60" s="185"/>
      <c r="AK60" s="182"/>
      <c r="AL60" s="182"/>
      <c r="AM60" s="183"/>
      <c r="AN60" s="185">
        <f>+IF($O60&gt;H$8,"FIN",(H$19-SUM(AO$25:AO59))*VLOOKUP($O60,$A:$N,8,0)/VLOOKUP(H$15,$K$1:$M$4,2,0))</f>
        <v>0.22727272727272699</v>
      </c>
      <c r="AO60" s="182">
        <f t="shared" si="20"/>
        <v>4.5454545454545459</v>
      </c>
      <c r="AP60" s="182">
        <f t="shared" si="21"/>
        <v>4.7727272727272725</v>
      </c>
      <c r="AQ60" s="183">
        <f t="shared" si="38"/>
        <v>0.90031529450844361</v>
      </c>
      <c r="AR60" s="185">
        <f>+IF($O60&gt;I$8,"FIN",(I$19-SUM(AS$25:AS59))*VLOOKUP($O60,$A:$N,9,0)/VLOOKUP(I$15,$K$1:$M$4,2,0))</f>
        <v>0.19318181818181795</v>
      </c>
      <c r="AS60" s="182">
        <f t="shared" si="22"/>
        <v>4.5454545454545459</v>
      </c>
      <c r="AT60" s="182">
        <f t="shared" si="23"/>
        <v>4.7386363636363642</v>
      </c>
      <c r="AU60" s="183">
        <f t="shared" si="39"/>
        <v>0.89388447097624057</v>
      </c>
      <c r="AV60" s="185">
        <f>+IF($O60&gt;J$8,"FIN",(J$19-SUM(AW$25:AW59))*VLOOKUP($O60,$A:$N,10,0)/VLOOKUP(J$15,$K$1:$M$4,2,0))</f>
        <v>0.69642857142857173</v>
      </c>
      <c r="AW60" s="182">
        <f t="shared" si="24"/>
        <v>3.5714285714285716</v>
      </c>
      <c r="AX60" s="182">
        <f t="shared" si="25"/>
        <v>4.2678571428571432</v>
      </c>
      <c r="AY60" s="183">
        <f t="shared" si="40"/>
        <v>0.80507786029343487</v>
      </c>
      <c r="AZ60" s="185">
        <f>+IF($O60&gt;K$8,"FIN",(K$19-SUM(BA$25:BA59))*VLOOKUP($O60,$A:$N,11,0)/VLOOKUP(K$15,$K$1:$M$4,2,0))</f>
        <v>0.64285714285714313</v>
      </c>
      <c r="BA60" s="182">
        <f t="shared" si="26"/>
        <v>3.5714285714285716</v>
      </c>
      <c r="BB60" s="182">
        <f t="shared" si="27"/>
        <v>4.2142857142857144</v>
      </c>
      <c r="BC60" s="183">
        <f t="shared" si="41"/>
        <v>0.79497228045711554</v>
      </c>
      <c r="BD60" s="185">
        <f>+IF($O60&gt;L$8,"FIN",(L$19-SUM(BE$25:BE59))*VLOOKUP($O60,$A:$N,12,0)/VLOOKUP(L$15,$K$1:$M$4,2,0))</f>
        <v>0.99204545454545512</v>
      </c>
      <c r="BE60" s="182">
        <f t="shared" si="28"/>
        <v>2.2045454545454546</v>
      </c>
      <c r="BF60" s="182">
        <f t="shared" si="29"/>
        <v>3.1965909090909097</v>
      </c>
      <c r="BG60" s="183">
        <f t="shared" si="42"/>
        <v>0.60299688653625061</v>
      </c>
      <c r="BH60" s="185">
        <f>+IF($O60&gt;M$8,"FIN",(M$19-SUM(BI$25:BI59))*VLOOKUP($O60,$A:$N,13,0)/VLOOKUP(M$15,$K$1:$M$4,2,0))</f>
        <v>0.81843750000000048</v>
      </c>
      <c r="BI60" s="182">
        <f t="shared" si="30"/>
        <v>2.2045454545454546</v>
      </c>
      <c r="BJ60" s="182">
        <f t="shared" si="31"/>
        <v>3.022982954545455</v>
      </c>
      <c r="BK60" s="183">
        <f t="shared" si="43"/>
        <v>0.57024791769850591</v>
      </c>
      <c r="BL60" s="179"/>
      <c r="BM60" s="200"/>
    </row>
    <row r="61" spans="1:65" s="20" customFormat="1" x14ac:dyDescent="0.25">
      <c r="A61" s="180">
        <f t="shared" si="6"/>
        <v>50652</v>
      </c>
      <c r="B61" s="181"/>
      <c r="C61" s="193"/>
      <c r="D61" s="191"/>
      <c r="E61" s="191"/>
      <c r="F61" s="191"/>
      <c r="G61" s="191"/>
      <c r="H61" s="191">
        <v>0.05</v>
      </c>
      <c r="I61" s="191">
        <v>4.2500000000000003E-2</v>
      </c>
      <c r="J61" s="191">
        <v>4.8750000000000002E-2</v>
      </c>
      <c r="K61" s="191">
        <v>4.4999999999999998E-2</v>
      </c>
      <c r="L61" s="191">
        <v>0.05</v>
      </c>
      <c r="M61" s="192">
        <v>4.1250000000000002E-2</v>
      </c>
      <c r="N61" s="179"/>
      <c r="O61" s="181">
        <f t="shared" si="7"/>
        <v>50652</v>
      </c>
      <c r="P61" s="184"/>
      <c r="Q61" s="182"/>
      <c r="R61" s="182"/>
      <c r="S61" s="183"/>
      <c r="T61" s="185"/>
      <c r="U61" s="182"/>
      <c r="V61" s="182"/>
      <c r="W61" s="183"/>
      <c r="X61" s="185"/>
      <c r="Y61" s="182"/>
      <c r="Z61" s="182"/>
      <c r="AA61" s="183"/>
      <c r="AB61" s="185"/>
      <c r="AC61" s="182"/>
      <c r="AD61" s="182"/>
      <c r="AE61" s="183"/>
      <c r="AF61" s="185"/>
      <c r="AG61" s="182"/>
      <c r="AH61" s="182"/>
      <c r="AI61" s="183"/>
      <c r="AJ61" s="185"/>
      <c r="AK61" s="182"/>
      <c r="AL61" s="182"/>
      <c r="AM61" s="183"/>
      <c r="AN61" s="185">
        <f>+IF($O61&gt;H$8,"FIN",(H$19-SUM(AO$25:AO60))*VLOOKUP($O61,$A:$N,8,0)/VLOOKUP(H$15,$K$1:$M$4,2,0))</f>
        <v>0.11363636363636331</v>
      </c>
      <c r="AO61" s="182">
        <f t="shared" si="20"/>
        <v>4.5454545454545459</v>
      </c>
      <c r="AP61" s="182">
        <f t="shared" si="21"/>
        <v>4.6590909090909092</v>
      </c>
      <c r="AQ61" s="183">
        <f t="shared" si="38"/>
        <v>0.83797845298610907</v>
      </c>
      <c r="AR61" s="185">
        <f>+IF($O61&gt;I$8,"FIN",(I$19-SUM(AS$25:AS60))*VLOOKUP($O61,$A:$N,9,0)/VLOOKUP(I$15,$K$1:$M$4,2,0))</f>
        <v>9.6590909090908825E-2</v>
      </c>
      <c r="AS61" s="182">
        <f t="shared" si="22"/>
        <v>4.5454545454545459</v>
      </c>
      <c r="AT61" s="182">
        <f t="shared" si="23"/>
        <v>4.642045454545455</v>
      </c>
      <c r="AU61" s="183">
        <f t="shared" si="39"/>
        <v>0.83491267815811121</v>
      </c>
      <c r="AV61" s="185">
        <f>+IF($O61&gt;J$8,"FIN",(J$19-SUM(AW$25:AW60))*VLOOKUP($O61,$A:$N,10,0)/VLOOKUP(J$15,$K$1:$M$4,2,0))</f>
        <v>0.60937500000000033</v>
      </c>
      <c r="AW61" s="182">
        <f t="shared" si="24"/>
        <v>3.5714285714285716</v>
      </c>
      <c r="AX61" s="182">
        <f t="shared" si="25"/>
        <v>4.1808035714285721</v>
      </c>
      <c r="AY61" s="183">
        <f t="shared" si="40"/>
        <v>0.7519542712052617</v>
      </c>
      <c r="AZ61" s="185">
        <f>+IF($O61&gt;K$8,"FIN",(K$19-SUM(BA$25:BA60))*VLOOKUP($O61,$A:$N,11,0)/VLOOKUP(K$15,$K$1:$M$4,2,0))</f>
        <v>0.56250000000000033</v>
      </c>
      <c r="BA61" s="182">
        <f t="shared" si="26"/>
        <v>3.5714285714285716</v>
      </c>
      <c r="BB61" s="182">
        <f t="shared" si="27"/>
        <v>4.1339285714285721</v>
      </c>
      <c r="BC61" s="183">
        <f t="shared" si="41"/>
        <v>0.74352339042826732</v>
      </c>
      <c r="BD61" s="185">
        <f>+IF($O61&gt;L$8,"FIN",(L$19-SUM(BE$25:BE60))*VLOOKUP($O61,$A:$N,12,0)/VLOOKUP(L$15,$K$1:$M$4,2,0))</f>
        <v>0.9369318181818187</v>
      </c>
      <c r="BE61" s="182">
        <f t="shared" si="28"/>
        <v>2.2045454545454546</v>
      </c>
      <c r="BF61" s="182">
        <f t="shared" si="29"/>
        <v>3.1414772727272733</v>
      </c>
      <c r="BG61" s="183">
        <f t="shared" si="42"/>
        <v>0.56502230080002414</v>
      </c>
      <c r="BH61" s="185">
        <f>+IF($O61&gt;M$8,"FIN",(M$19-SUM(BI$25:BI60))*VLOOKUP($O61,$A:$N,13,0)/VLOOKUP(M$15,$K$1:$M$4,2,0))</f>
        <v>0.77296875000000043</v>
      </c>
      <c r="BI61" s="182">
        <f t="shared" si="30"/>
        <v>2.2045454545454546</v>
      </c>
      <c r="BJ61" s="182">
        <f t="shared" si="31"/>
        <v>2.977514204545455</v>
      </c>
      <c r="BK61" s="183">
        <f t="shared" si="43"/>
        <v>0.53553210176704036</v>
      </c>
      <c r="BL61" s="179"/>
      <c r="BM61" s="200"/>
    </row>
    <row r="62" spans="1:65" s="20" customFormat="1" x14ac:dyDescent="0.25">
      <c r="A62" s="180">
        <f t="shared" si="6"/>
        <v>50833</v>
      </c>
      <c r="B62" s="181"/>
      <c r="C62" s="193"/>
      <c r="D62" s="194"/>
      <c r="E62" s="194"/>
      <c r="F62" s="194"/>
      <c r="G62" s="194"/>
      <c r="H62" s="191"/>
      <c r="I62" s="191"/>
      <c r="J62" s="191">
        <v>4.8750000000000002E-2</v>
      </c>
      <c r="K62" s="191">
        <v>4.4999999999999998E-2</v>
      </c>
      <c r="L62" s="191">
        <v>0.05</v>
      </c>
      <c r="M62" s="192">
        <v>4.1250000000000002E-2</v>
      </c>
      <c r="N62" s="179"/>
      <c r="O62" s="181">
        <f t="shared" si="7"/>
        <v>50833</v>
      </c>
      <c r="P62" s="184"/>
      <c r="Q62" s="182"/>
      <c r="R62" s="182"/>
      <c r="S62" s="183"/>
      <c r="T62" s="185"/>
      <c r="U62" s="182"/>
      <c r="V62" s="182"/>
      <c r="W62" s="183"/>
      <c r="X62" s="185"/>
      <c r="Y62" s="182"/>
      <c r="Z62" s="182"/>
      <c r="AA62" s="183"/>
      <c r="AB62" s="185"/>
      <c r="AC62" s="182"/>
      <c r="AD62" s="182"/>
      <c r="AE62" s="183"/>
      <c r="AF62" s="185"/>
      <c r="AG62" s="182"/>
      <c r="AH62" s="182"/>
      <c r="AI62" s="183"/>
      <c r="AJ62" s="185"/>
      <c r="AK62" s="182"/>
      <c r="AL62" s="182"/>
      <c r="AM62" s="183"/>
      <c r="AN62" s="185"/>
      <c r="AO62" s="182"/>
      <c r="AP62" s="182"/>
      <c r="AQ62" s="183"/>
      <c r="AR62" s="185"/>
      <c r="AS62" s="182"/>
      <c r="AT62" s="182"/>
      <c r="AU62" s="183"/>
      <c r="AV62" s="185">
        <f>+IF($O62&gt;J$8,"FIN",(J$19-SUM(AW$25:AW61))*VLOOKUP($O62,$A:$N,10,0)/VLOOKUP(J$15,$K$1:$M$4,2,0))</f>
        <v>0.52232142857142894</v>
      </c>
      <c r="AW62" s="182">
        <f t="shared" si="24"/>
        <v>3.5714285714285716</v>
      </c>
      <c r="AX62" s="182">
        <f t="shared" si="25"/>
        <v>4.0937500000000009</v>
      </c>
      <c r="AY62" s="183">
        <f t="shared" si="40"/>
        <v>0.70203156893217933</v>
      </c>
      <c r="AZ62" s="185">
        <f>+IF($O62&gt;K$8,"FIN",(K$19-SUM(BA$25:BA61))*VLOOKUP($O62,$A:$N,11,0)/VLOOKUP(K$15,$K$1:$M$4,2,0))</f>
        <v>0.48214285714285748</v>
      </c>
      <c r="BA62" s="182">
        <f t="shared" si="26"/>
        <v>3.5714285714285716</v>
      </c>
      <c r="BB62" s="182">
        <f t="shared" si="27"/>
        <v>4.0535714285714288</v>
      </c>
      <c r="BC62" s="183">
        <f t="shared" si="41"/>
        <v>0.69514140086196152</v>
      </c>
      <c r="BD62" s="185">
        <f>+IF($O62&gt;L$8,"FIN",(L$19-SUM(BE$25:BE61))*VLOOKUP($O62,$A:$N,12,0)/VLOOKUP(L$15,$K$1:$M$4,2,0))</f>
        <v>0.88181818181818239</v>
      </c>
      <c r="BE62" s="182">
        <f t="shared" si="28"/>
        <v>2.2045454545454546</v>
      </c>
      <c r="BF62" s="182">
        <f t="shared" si="29"/>
        <v>3.0863636363636369</v>
      </c>
      <c r="BG62" s="183">
        <f t="shared" si="42"/>
        <v>0.52927626404435779</v>
      </c>
      <c r="BH62" s="185">
        <f>+IF($O62&gt;M$8,"FIN",(M$19-SUM(BI$25:BI61))*VLOOKUP($O62,$A:$N,13,0)/VLOOKUP(M$15,$K$1:$M$4,2,0))</f>
        <v>0.72750000000000048</v>
      </c>
      <c r="BI62" s="182">
        <f t="shared" si="30"/>
        <v>2.2045454545454546</v>
      </c>
      <c r="BJ62" s="182">
        <f t="shared" si="31"/>
        <v>2.9320454545454551</v>
      </c>
      <c r="BK62" s="183">
        <f t="shared" si="43"/>
        <v>0.50281245084213988</v>
      </c>
      <c r="BL62" s="179"/>
      <c r="BM62" s="200"/>
    </row>
    <row r="63" spans="1:65" s="20" customFormat="1" x14ac:dyDescent="0.25">
      <c r="A63" s="180">
        <f t="shared" si="6"/>
        <v>51017</v>
      </c>
      <c r="B63" s="181"/>
      <c r="C63" s="193"/>
      <c r="D63" s="194"/>
      <c r="E63" s="194"/>
      <c r="F63" s="194"/>
      <c r="G63" s="194"/>
      <c r="H63" s="191"/>
      <c r="I63" s="191"/>
      <c r="J63" s="191">
        <v>4.8750000000000002E-2</v>
      </c>
      <c r="K63" s="191">
        <v>4.4999999999999998E-2</v>
      </c>
      <c r="L63" s="191">
        <v>0.05</v>
      </c>
      <c r="M63" s="192">
        <v>4.1250000000000002E-2</v>
      </c>
      <c r="N63" s="179"/>
      <c r="O63" s="181">
        <f t="shared" si="7"/>
        <v>51017</v>
      </c>
      <c r="P63" s="184"/>
      <c r="Q63" s="182"/>
      <c r="R63" s="182"/>
      <c r="S63" s="183"/>
      <c r="T63" s="185"/>
      <c r="U63" s="182"/>
      <c r="V63" s="182"/>
      <c r="W63" s="183"/>
      <c r="X63" s="185"/>
      <c r="Y63" s="182"/>
      <c r="Z63" s="182"/>
      <c r="AA63" s="183"/>
      <c r="AB63" s="185"/>
      <c r="AC63" s="182"/>
      <c r="AD63" s="182"/>
      <c r="AE63" s="183"/>
      <c r="AF63" s="185"/>
      <c r="AG63" s="182"/>
      <c r="AH63" s="182"/>
      <c r="AI63" s="183"/>
      <c r="AJ63" s="185"/>
      <c r="AK63" s="182"/>
      <c r="AL63" s="182"/>
      <c r="AM63" s="183"/>
      <c r="AN63" s="185"/>
      <c r="AO63" s="182"/>
      <c r="AP63" s="182"/>
      <c r="AQ63" s="183"/>
      <c r="AR63" s="185"/>
      <c r="AS63" s="182"/>
      <c r="AT63" s="182"/>
      <c r="AU63" s="183"/>
      <c r="AV63" s="185">
        <f>+IF($O63&gt;J$8,"FIN",(J$19-SUM(AW$25:AW62))*VLOOKUP($O63,$A:$N,10,0)/VLOOKUP(J$15,$K$1:$M$4,2,0))</f>
        <v>0.43526785714285759</v>
      </c>
      <c r="AW63" s="182">
        <f t="shared" si="24"/>
        <v>3.5714285714285716</v>
      </c>
      <c r="AX63" s="182">
        <f t="shared" si="25"/>
        <v>4.0066964285714288</v>
      </c>
      <c r="AY63" s="183">
        <f t="shared" si="40"/>
        <v>0.65512688288765919</v>
      </c>
      <c r="AZ63" s="185">
        <f>+IF($O63&gt;K$8,"FIN",(K$19-SUM(BA$25:BA62))*VLOOKUP($O63,$A:$N,11,0)/VLOOKUP(K$15,$K$1:$M$4,2,0))</f>
        <v>0.40178571428571469</v>
      </c>
      <c r="BA63" s="182">
        <f t="shared" si="26"/>
        <v>3.5714285714285716</v>
      </c>
      <c r="BB63" s="182">
        <f t="shared" si="27"/>
        <v>3.9732142857142865</v>
      </c>
      <c r="BC63" s="183">
        <f t="shared" si="41"/>
        <v>0.64965228498052008</v>
      </c>
      <c r="BD63" s="185">
        <f>+IF($O63&gt;L$8,"FIN",(L$19-SUM(BE$25:BE62))*VLOOKUP($O63,$A:$N,12,0)/VLOOKUP(L$15,$K$1:$M$4,2,0))</f>
        <v>0.82670454545454608</v>
      </c>
      <c r="BE63" s="182">
        <f t="shared" si="28"/>
        <v>2.2045454545454546</v>
      </c>
      <c r="BF63" s="182">
        <f t="shared" si="29"/>
        <v>3.0312500000000009</v>
      </c>
      <c r="BG63" s="183">
        <f t="shared" si="42"/>
        <v>0.49563359719300354</v>
      </c>
      <c r="BH63" s="185">
        <f>+IF($O63&gt;M$8,"FIN",(M$19-SUM(BI$25:BI62))*VLOOKUP($O63,$A:$N,13,0)/VLOOKUP(M$15,$K$1:$M$4,2,0))</f>
        <v>0.68203125000000053</v>
      </c>
      <c r="BI63" s="182">
        <f t="shared" si="30"/>
        <v>2.2045454545454546</v>
      </c>
      <c r="BJ63" s="182">
        <f t="shared" si="31"/>
        <v>2.8865767045454551</v>
      </c>
      <c r="BK63" s="183">
        <f t="shared" si="43"/>
        <v>0.4719783573269738</v>
      </c>
      <c r="BL63" s="179"/>
      <c r="BM63" s="200"/>
    </row>
    <row r="64" spans="1:65" s="20" customFormat="1" x14ac:dyDescent="0.25">
      <c r="A64" s="180">
        <f t="shared" si="6"/>
        <v>51199</v>
      </c>
      <c r="B64" s="181"/>
      <c r="C64" s="193"/>
      <c r="D64" s="194"/>
      <c r="E64" s="194"/>
      <c r="F64" s="194"/>
      <c r="G64" s="194"/>
      <c r="H64" s="191"/>
      <c r="I64" s="191"/>
      <c r="J64" s="191">
        <v>4.8750000000000002E-2</v>
      </c>
      <c r="K64" s="191">
        <v>4.4999999999999998E-2</v>
      </c>
      <c r="L64" s="191">
        <v>0.05</v>
      </c>
      <c r="M64" s="192">
        <v>4.1250000000000002E-2</v>
      </c>
      <c r="N64" s="179"/>
      <c r="O64" s="181">
        <f t="shared" si="7"/>
        <v>51199</v>
      </c>
      <c r="P64" s="184"/>
      <c r="Q64" s="182"/>
      <c r="R64" s="182"/>
      <c r="S64" s="183"/>
      <c r="T64" s="185"/>
      <c r="U64" s="182"/>
      <c r="V64" s="182"/>
      <c r="W64" s="183"/>
      <c r="X64" s="185"/>
      <c r="Y64" s="182"/>
      <c r="Z64" s="182"/>
      <c r="AA64" s="183"/>
      <c r="AB64" s="185"/>
      <c r="AC64" s="182"/>
      <c r="AD64" s="182"/>
      <c r="AE64" s="183"/>
      <c r="AF64" s="182"/>
      <c r="AG64" s="182"/>
      <c r="AH64" s="182"/>
      <c r="AI64" s="183"/>
      <c r="AJ64" s="182"/>
      <c r="AK64" s="182"/>
      <c r="AL64" s="182"/>
      <c r="AM64" s="183"/>
      <c r="AN64" s="185"/>
      <c r="AO64" s="182"/>
      <c r="AP64" s="182"/>
      <c r="AQ64" s="183"/>
      <c r="AR64" s="185"/>
      <c r="AS64" s="182"/>
      <c r="AT64" s="182"/>
      <c r="AU64" s="183"/>
      <c r="AV64" s="185">
        <f>+IF($O64&gt;J$8,"FIN",(J$19-SUM(AW$25:AW63))*VLOOKUP($O64,$A:$N,10,0)/VLOOKUP(J$15,$K$1:$M$4,2,0))</f>
        <v>0.3482142857142862</v>
      </c>
      <c r="AW64" s="182">
        <f t="shared" si="24"/>
        <v>3.5714285714285716</v>
      </c>
      <c r="AX64" s="182">
        <f t="shared" si="25"/>
        <v>3.9196428571428577</v>
      </c>
      <c r="AY64" s="183">
        <f>AX64/(1+$B$5)^(YEARFRAC($O$25,$O64))</f>
        <v>0.61106743087385085</v>
      </c>
      <c r="AZ64" s="185">
        <f>+IF($O64&gt;K$8,"FIN",(K$19-SUM(BA$25:BA63))*VLOOKUP($O64,$A:$N,11,0)/VLOOKUP(K$15,$K$1:$M$4,2,0))</f>
        <v>0.3214285714285719</v>
      </c>
      <c r="BA64" s="182">
        <f t="shared" si="26"/>
        <v>3.5714285714285716</v>
      </c>
      <c r="BB64" s="182">
        <f t="shared" si="27"/>
        <v>3.8928571428571437</v>
      </c>
      <c r="BC64" s="183">
        <f>BB64/(1+$B$5)^(YEARFRAC($O$25,$O64))</f>
        <v>0.60689157143735528</v>
      </c>
      <c r="BD64" s="185">
        <f>+IF($O64&gt;L$8,"FIN",(L$19-SUM(BE$25:BE63))*VLOOKUP($O64,$A:$N,12,0)/VLOOKUP(L$15,$K$1:$M$4,2,0))</f>
        <v>0.77159090909090977</v>
      </c>
      <c r="BE64" s="182">
        <f t="shared" si="28"/>
        <v>2.2045454545454546</v>
      </c>
      <c r="BF64" s="182">
        <f t="shared" si="29"/>
        <v>2.9761363636363645</v>
      </c>
      <c r="BG64" s="183">
        <f>BF64/(1+$B$5)^(YEARFRAC($O$25,$O64))</f>
        <v>0.4639759457531708</v>
      </c>
      <c r="BH64" s="185">
        <f>+IF($O64&gt;M$8,"FIN",(M$19-SUM(BI$25:BI63))*VLOOKUP($O64,$A:$N,13,0)/VLOOKUP(M$15,$K$1:$M$4,2,0))</f>
        <v>0.63656250000000059</v>
      </c>
      <c r="BI64" s="182">
        <f t="shared" si="30"/>
        <v>2.2045454545454546</v>
      </c>
      <c r="BJ64" s="182">
        <f t="shared" si="31"/>
        <v>2.8411079545454552</v>
      </c>
      <c r="BK64" s="183">
        <f>BJ64/(1+$B$5)^(YEARFRAC($O$25,$O64))</f>
        <v>0.44292518525140656</v>
      </c>
      <c r="BL64" s="179"/>
      <c r="BM64" s="200"/>
    </row>
    <row r="65" spans="1:65" s="20" customFormat="1" x14ac:dyDescent="0.25">
      <c r="A65" s="180">
        <f t="shared" si="6"/>
        <v>51383</v>
      </c>
      <c r="B65" s="181"/>
      <c r="C65" s="193"/>
      <c r="D65" s="194"/>
      <c r="E65" s="194"/>
      <c r="F65" s="194"/>
      <c r="G65" s="194"/>
      <c r="H65" s="191"/>
      <c r="I65" s="191"/>
      <c r="J65" s="191">
        <v>4.8750000000000002E-2</v>
      </c>
      <c r="K65" s="191">
        <v>4.4999999999999998E-2</v>
      </c>
      <c r="L65" s="191">
        <v>0.05</v>
      </c>
      <c r="M65" s="192">
        <v>4.1250000000000002E-2</v>
      </c>
      <c r="N65" s="179"/>
      <c r="O65" s="181">
        <f t="shared" si="7"/>
        <v>51383</v>
      </c>
      <c r="P65" s="184"/>
      <c r="Q65" s="182"/>
      <c r="R65" s="182"/>
      <c r="S65" s="183"/>
      <c r="T65" s="185"/>
      <c r="U65" s="182"/>
      <c r="V65" s="182"/>
      <c r="W65" s="183"/>
      <c r="X65" s="185"/>
      <c r="Y65" s="182"/>
      <c r="Z65" s="182"/>
      <c r="AA65" s="183"/>
      <c r="AB65" s="185"/>
      <c r="AC65" s="182"/>
      <c r="AD65" s="182"/>
      <c r="AE65" s="183"/>
      <c r="AF65" s="182"/>
      <c r="AG65" s="182"/>
      <c r="AH65" s="182"/>
      <c r="AI65" s="183"/>
      <c r="AJ65" s="182"/>
      <c r="AK65" s="182"/>
      <c r="AL65" s="182"/>
      <c r="AM65" s="183"/>
      <c r="AN65" s="185"/>
      <c r="AO65" s="182"/>
      <c r="AP65" s="182"/>
      <c r="AQ65" s="183"/>
      <c r="AR65" s="185"/>
      <c r="AS65" s="182"/>
      <c r="AT65" s="182"/>
      <c r="AU65" s="183"/>
      <c r="AV65" s="185">
        <f>+IF($O65&gt;J$8,"FIN",(J$19-SUM(AW$25:AW64))*VLOOKUP($O65,$A:$N,10,0)/VLOOKUP(J$15,$K$1:$M$4,2,0))</f>
        <v>0.26116071428571486</v>
      </c>
      <c r="AW65" s="182">
        <f t="shared" si="24"/>
        <v>3.5714285714285716</v>
      </c>
      <c r="AX65" s="182">
        <f t="shared" si="25"/>
        <v>3.8325892857142865</v>
      </c>
      <c r="AY65" s="183">
        <f t="shared" si="40"/>
        <v>0.56968997615503214</v>
      </c>
      <c r="AZ65" s="185">
        <f>+IF($O65&gt;K$8,"FIN",(K$19-SUM(BA$25:BA64))*VLOOKUP($O65,$A:$N,11,0)/VLOOKUP(K$15,$K$1:$M$4,2,0))</f>
        <v>0.24107142857142907</v>
      </c>
      <c r="BA65" s="182">
        <f t="shared" si="26"/>
        <v>3.5714285714285716</v>
      </c>
      <c r="BB65" s="182">
        <f t="shared" si="27"/>
        <v>3.8125000000000009</v>
      </c>
      <c r="BC65" s="183">
        <f t="shared" si="41"/>
        <v>0.5667038318420472</v>
      </c>
      <c r="BD65" s="185">
        <f>+IF($O65&gt;L$8,"FIN",(L$19-SUM(BE$25:BE64))*VLOOKUP($O65,$A:$N,12,0)/VLOOKUP(L$15,$K$1:$M$4,2,0))</f>
        <v>0.71647727272727346</v>
      </c>
      <c r="BE65" s="182">
        <f t="shared" si="28"/>
        <v>2.2045454545454546</v>
      </c>
      <c r="BF65" s="182">
        <f t="shared" si="29"/>
        <v>2.921022727272728</v>
      </c>
      <c r="BG65" s="183">
        <f t="shared" si="42"/>
        <v>0.43419141572279651</v>
      </c>
      <c r="BH65" s="185">
        <f>+IF($O65&gt;M$8,"FIN",(M$19-SUM(BI$25:BI64))*VLOOKUP($O65,$A:$N,13,0)/VLOOKUP(M$15,$K$1:$M$4,2,0))</f>
        <v>0.59109375000000053</v>
      </c>
      <c r="BI65" s="182">
        <f t="shared" si="30"/>
        <v>2.2045454545454546</v>
      </c>
      <c r="BJ65" s="182">
        <f t="shared" si="31"/>
        <v>2.7956392045454552</v>
      </c>
      <c r="BK65" s="183">
        <f t="shared" si="43"/>
        <v>0.41555395401016704</v>
      </c>
      <c r="BL65" s="179"/>
      <c r="BM65" s="200"/>
    </row>
    <row r="66" spans="1:65" s="20" customFormat="1" x14ac:dyDescent="0.25">
      <c r="A66" s="180">
        <f t="shared" si="6"/>
        <v>51564</v>
      </c>
      <c r="B66" s="181"/>
      <c r="C66" s="193"/>
      <c r="D66" s="194"/>
      <c r="E66" s="194"/>
      <c r="F66" s="194"/>
      <c r="G66" s="194"/>
      <c r="H66" s="194"/>
      <c r="I66" s="191"/>
      <c r="J66" s="191">
        <v>4.8750000000000002E-2</v>
      </c>
      <c r="K66" s="191">
        <v>4.4999999999999998E-2</v>
      </c>
      <c r="L66" s="191">
        <v>0.05</v>
      </c>
      <c r="M66" s="192">
        <v>4.1250000000000002E-2</v>
      </c>
      <c r="N66" s="179"/>
      <c r="O66" s="181">
        <f t="shared" si="7"/>
        <v>51564</v>
      </c>
      <c r="P66" s="184"/>
      <c r="Q66" s="182"/>
      <c r="R66" s="182"/>
      <c r="S66" s="183"/>
      <c r="T66" s="185"/>
      <c r="U66" s="182"/>
      <c r="V66" s="182"/>
      <c r="W66" s="183"/>
      <c r="X66" s="185"/>
      <c r="Y66" s="182"/>
      <c r="Z66" s="182"/>
      <c r="AA66" s="183"/>
      <c r="AB66" s="185"/>
      <c r="AC66" s="182"/>
      <c r="AD66" s="182"/>
      <c r="AE66" s="183"/>
      <c r="AF66" s="182"/>
      <c r="AG66" s="182"/>
      <c r="AH66" s="182"/>
      <c r="AI66" s="183"/>
      <c r="AJ66" s="182"/>
      <c r="AK66" s="182"/>
      <c r="AL66" s="182"/>
      <c r="AM66" s="183"/>
      <c r="AN66" s="182"/>
      <c r="AO66" s="182"/>
      <c r="AP66" s="182"/>
      <c r="AQ66" s="183"/>
      <c r="AR66" s="182"/>
      <c r="AS66" s="182"/>
      <c r="AT66" s="182"/>
      <c r="AU66" s="183"/>
      <c r="AV66" s="185">
        <f>+IF($O66&gt;J$8,"FIN",(J$19-SUM(AW$25:AW65))*VLOOKUP($O66,$A:$N,10,0)/VLOOKUP(J$15,$K$1:$M$4,2,0))</f>
        <v>0.17410714285714346</v>
      </c>
      <c r="AW66" s="182">
        <f t="shared" si="24"/>
        <v>3.5714285714285716</v>
      </c>
      <c r="AX66" s="182">
        <f t="shared" si="25"/>
        <v>3.7455357142857153</v>
      </c>
      <c r="AY66" s="183">
        <f t="shared" si="40"/>
        <v>0.53084031321511804</v>
      </c>
      <c r="AZ66" s="185">
        <f>+IF($O66&gt;K$8,"FIN",(K$19-SUM(BA$25:BA65))*VLOOKUP($O66,$A:$N,11,0)/VLOOKUP(K$15,$K$1:$M$4,2,0))</f>
        <v>0.16071428571428625</v>
      </c>
      <c r="BA66" s="182">
        <f t="shared" si="26"/>
        <v>3.5714285714285716</v>
      </c>
      <c r="BB66" s="182">
        <f t="shared" si="27"/>
        <v>3.7321428571428577</v>
      </c>
      <c r="BC66" s="183">
        <f t="shared" si="41"/>
        <v>0.52894219528943809</v>
      </c>
      <c r="BD66" s="185">
        <f>+IF($O66&gt;L$8,"FIN",(L$19-SUM(BE$25:BE65))*VLOOKUP($O66,$A:$N,12,0)/VLOOKUP(L$15,$K$1:$M$4,2,0))</f>
        <v>0.66136363636363704</v>
      </c>
      <c r="BE66" s="182">
        <f t="shared" si="28"/>
        <v>2.2045454545454546</v>
      </c>
      <c r="BF66" s="182">
        <f t="shared" si="29"/>
        <v>2.8659090909090916</v>
      </c>
      <c r="BG66" s="183">
        <f t="shared" si="42"/>
        <v>0.40617422860546942</v>
      </c>
      <c r="BH66" s="185">
        <f>+IF($O66&gt;M$8,"FIN",(M$19-SUM(BI$25:BI65))*VLOOKUP($O66,$A:$N,13,0)/VLOOKUP(M$15,$K$1:$M$4,2,0))</f>
        <v>0.54562500000000058</v>
      </c>
      <c r="BI66" s="182">
        <f t="shared" si="30"/>
        <v>2.2045454545454546</v>
      </c>
      <c r="BJ66" s="182">
        <f t="shared" si="31"/>
        <v>2.7501704545454553</v>
      </c>
      <c r="BK66" s="183">
        <f t="shared" si="43"/>
        <v>0.38977103860409468</v>
      </c>
      <c r="BL66" s="179"/>
      <c r="BM66" s="200"/>
    </row>
    <row r="67" spans="1:65" s="20" customFormat="1" x14ac:dyDescent="0.25">
      <c r="A67" s="180">
        <f t="shared" si="6"/>
        <v>51748</v>
      </c>
      <c r="B67" s="181"/>
      <c r="C67" s="193"/>
      <c r="D67" s="194"/>
      <c r="E67" s="194"/>
      <c r="F67" s="194"/>
      <c r="G67" s="194"/>
      <c r="H67" s="194"/>
      <c r="I67" s="191"/>
      <c r="J67" s="191">
        <v>4.8750000000000002E-2</v>
      </c>
      <c r="K67" s="191">
        <v>4.4999999999999998E-2</v>
      </c>
      <c r="L67" s="191">
        <v>0.05</v>
      </c>
      <c r="M67" s="192">
        <v>4.1250000000000002E-2</v>
      </c>
      <c r="N67" s="179"/>
      <c r="O67" s="181">
        <f t="shared" si="7"/>
        <v>51748</v>
      </c>
      <c r="P67" s="184"/>
      <c r="Q67" s="182"/>
      <c r="R67" s="182"/>
      <c r="S67" s="183"/>
      <c r="T67" s="185"/>
      <c r="U67" s="182"/>
      <c r="V67" s="182"/>
      <c r="W67" s="183"/>
      <c r="X67" s="185"/>
      <c r="Y67" s="182"/>
      <c r="Z67" s="182"/>
      <c r="AA67" s="183"/>
      <c r="AB67" s="185"/>
      <c r="AC67" s="182"/>
      <c r="AD67" s="182"/>
      <c r="AE67" s="183"/>
      <c r="AF67" s="182"/>
      <c r="AG67" s="182"/>
      <c r="AH67" s="182"/>
      <c r="AI67" s="183"/>
      <c r="AJ67" s="182"/>
      <c r="AK67" s="182"/>
      <c r="AL67" s="182"/>
      <c r="AM67" s="183"/>
      <c r="AN67" s="182"/>
      <c r="AO67" s="182"/>
      <c r="AP67" s="182"/>
      <c r="AQ67" s="183"/>
      <c r="AR67" s="182"/>
      <c r="AS67" s="182"/>
      <c r="AT67" s="182"/>
      <c r="AU67" s="183"/>
      <c r="AV67" s="185">
        <f>+IF($O67&gt;J$8,"FIN",(J$19-SUM(AW$25:AW66))*VLOOKUP($O67,$A:$N,10,0)/VLOOKUP(J$15,$K$1:$M$4,2,0))</f>
        <v>8.7053571428572077E-2</v>
      </c>
      <c r="AW67" s="182">
        <f t="shared" si="24"/>
        <v>3.5714285714285716</v>
      </c>
      <c r="AX67" s="182">
        <f t="shared" si="25"/>
        <v>3.6584821428571437</v>
      </c>
      <c r="AY67" s="183">
        <f t="shared" si="40"/>
        <v>0.49437278070529872</v>
      </c>
      <c r="AZ67" s="185">
        <f>+IF($O67&gt;K$8,"FIN",(K$19-SUM(BA$25:BA66))*VLOOKUP($O67,$A:$N,11,0)/VLOOKUP(K$15,$K$1:$M$4,2,0))</f>
        <v>8.0357142857143446E-2</v>
      </c>
      <c r="BA67" s="182">
        <f t="shared" si="26"/>
        <v>3.5714285714285716</v>
      </c>
      <c r="BB67" s="182">
        <f t="shared" si="27"/>
        <v>3.6517857142857149</v>
      </c>
      <c r="BC67" s="183">
        <f t="shared" si="41"/>
        <v>0.49346788848924261</v>
      </c>
      <c r="BD67" s="185">
        <f>+IF($O67&gt;L$8,"FIN",(L$19-SUM(BE$25:BE66))*VLOOKUP($O67,$A:$N,12,0)/VLOOKUP(L$15,$K$1:$M$4,2,0))</f>
        <v>0.60625000000000073</v>
      </c>
      <c r="BE67" s="182">
        <f t="shared" si="28"/>
        <v>2.2045454545454546</v>
      </c>
      <c r="BF67" s="182">
        <f t="shared" si="29"/>
        <v>2.8107954545454552</v>
      </c>
      <c r="BG67" s="183">
        <f t="shared" si="42"/>
        <v>0.37982439454309808</v>
      </c>
      <c r="BH67" s="185">
        <f>+IF($O67&gt;M$8,"FIN",(M$19-SUM(BI$25:BI66))*VLOOKUP($O67,$A:$N,13,0)/VLOOKUP(M$15,$K$1:$M$4,2,0))</f>
        <v>0.50015625000000064</v>
      </c>
      <c r="BI67" s="182">
        <f t="shared" si="30"/>
        <v>2.2045454545454546</v>
      </c>
      <c r="BJ67" s="182">
        <f t="shared" si="31"/>
        <v>2.7047017045454553</v>
      </c>
      <c r="BK67" s="183">
        <f t="shared" si="43"/>
        <v>0.36548788553338313</v>
      </c>
      <c r="BL67" s="179"/>
      <c r="BM67" s="200"/>
    </row>
    <row r="68" spans="1:65" s="20" customFormat="1" x14ac:dyDescent="0.25">
      <c r="A68" s="180">
        <f t="shared" si="6"/>
        <v>51929</v>
      </c>
      <c r="B68" s="181"/>
      <c r="C68" s="193"/>
      <c r="D68" s="194"/>
      <c r="E68" s="194"/>
      <c r="F68" s="194"/>
      <c r="G68" s="194"/>
      <c r="H68" s="194"/>
      <c r="I68" s="191"/>
      <c r="J68" s="191"/>
      <c r="K68" s="191"/>
      <c r="L68" s="191">
        <v>0.05</v>
      </c>
      <c r="M68" s="192">
        <v>4.1250000000000002E-2</v>
      </c>
      <c r="N68" s="179"/>
      <c r="O68" s="181">
        <f t="shared" si="7"/>
        <v>51929</v>
      </c>
      <c r="P68" s="184"/>
      <c r="Q68" s="182"/>
      <c r="R68" s="182"/>
      <c r="S68" s="183"/>
      <c r="T68" s="185"/>
      <c r="U68" s="182"/>
      <c r="V68" s="182"/>
      <c r="W68" s="183"/>
      <c r="X68" s="185"/>
      <c r="Y68" s="182"/>
      <c r="Z68" s="182"/>
      <c r="AA68" s="183"/>
      <c r="AB68" s="185"/>
      <c r="AC68" s="182"/>
      <c r="AD68" s="182"/>
      <c r="AE68" s="183"/>
      <c r="AF68" s="182"/>
      <c r="AG68" s="182"/>
      <c r="AH68" s="182"/>
      <c r="AI68" s="183"/>
      <c r="AJ68" s="182"/>
      <c r="AK68" s="182"/>
      <c r="AL68" s="182"/>
      <c r="AM68" s="183"/>
      <c r="AN68" s="182"/>
      <c r="AO68" s="182"/>
      <c r="AP68" s="182"/>
      <c r="AQ68" s="183"/>
      <c r="AR68" s="182"/>
      <c r="AS68" s="182"/>
      <c r="AT68" s="182"/>
      <c r="AU68" s="183"/>
      <c r="AV68" s="185"/>
      <c r="AW68" s="182"/>
      <c r="AX68" s="182"/>
      <c r="AY68" s="183"/>
      <c r="AZ68" s="185"/>
      <c r="BA68" s="182"/>
      <c r="BB68" s="182"/>
      <c r="BC68" s="183"/>
      <c r="BD68" s="185">
        <f>+IF($O68&gt;L$8,"FIN",(L$19-SUM(BE$25:BE67))*VLOOKUP($O68,$A:$N,12,0)/VLOOKUP(L$15,$K$1:$M$4,2,0))</f>
        <v>0.55113636363636442</v>
      </c>
      <c r="BE68" s="182">
        <f t="shared" si="28"/>
        <v>2.2045454545454546</v>
      </c>
      <c r="BF68" s="182">
        <f t="shared" si="29"/>
        <v>2.7556818181818192</v>
      </c>
      <c r="BG68" s="183">
        <f t="shared" si="42"/>
        <v>0.35504740262715856</v>
      </c>
      <c r="BH68" s="185">
        <f>+IF($O68&gt;M$8,"FIN",(M$19-SUM(BI$25:BI67))*VLOOKUP($O68,$A:$N,13,0)/VLOOKUP(M$15,$K$1:$M$4,2,0))</f>
        <v>0.45468750000000063</v>
      </c>
      <c r="BI68" s="182">
        <f t="shared" si="30"/>
        <v>2.2045454545454546</v>
      </c>
      <c r="BJ68" s="182">
        <f t="shared" si="31"/>
        <v>2.6592329545454554</v>
      </c>
      <c r="BK68" s="183">
        <f t="shared" si="43"/>
        <v>0.34262074353520799</v>
      </c>
      <c r="BL68" s="179"/>
      <c r="BM68" s="200"/>
    </row>
    <row r="69" spans="1:65" s="20" customFormat="1" x14ac:dyDescent="0.25">
      <c r="A69" s="180">
        <f t="shared" si="6"/>
        <v>52113</v>
      </c>
      <c r="B69" s="181"/>
      <c r="C69" s="193"/>
      <c r="D69" s="194"/>
      <c r="E69" s="194"/>
      <c r="F69" s="194"/>
      <c r="G69" s="194"/>
      <c r="H69" s="194"/>
      <c r="I69" s="191"/>
      <c r="J69" s="191"/>
      <c r="K69" s="191"/>
      <c r="L69" s="191">
        <v>0.05</v>
      </c>
      <c r="M69" s="192">
        <v>4.1250000000000002E-2</v>
      </c>
      <c r="N69" s="179"/>
      <c r="O69" s="181">
        <f t="shared" si="7"/>
        <v>52113</v>
      </c>
      <c r="P69" s="184"/>
      <c r="Q69" s="182"/>
      <c r="R69" s="182"/>
      <c r="S69" s="183"/>
      <c r="T69" s="185"/>
      <c r="U69" s="182"/>
      <c r="V69" s="182"/>
      <c r="W69" s="183"/>
      <c r="X69" s="185"/>
      <c r="Y69" s="182"/>
      <c r="Z69" s="182"/>
      <c r="AA69" s="183"/>
      <c r="AB69" s="185"/>
      <c r="AC69" s="182"/>
      <c r="AD69" s="182"/>
      <c r="AE69" s="183"/>
      <c r="AF69" s="182"/>
      <c r="AG69" s="182"/>
      <c r="AH69" s="182"/>
      <c r="AI69" s="183"/>
      <c r="AJ69" s="182"/>
      <c r="AK69" s="182"/>
      <c r="AL69" s="182"/>
      <c r="AM69" s="183"/>
      <c r="AN69" s="182"/>
      <c r="AO69" s="182"/>
      <c r="AP69" s="182"/>
      <c r="AQ69" s="183"/>
      <c r="AR69" s="182"/>
      <c r="AS69" s="182"/>
      <c r="AT69" s="182"/>
      <c r="AU69" s="183"/>
      <c r="AV69" s="185"/>
      <c r="AW69" s="182"/>
      <c r="AX69" s="182"/>
      <c r="AY69" s="183"/>
      <c r="AZ69" s="185"/>
      <c r="BA69" s="182"/>
      <c r="BB69" s="182"/>
      <c r="BC69" s="183"/>
      <c r="BD69" s="185">
        <f>+IF($O69&gt;L$8,"FIN",(L$19-SUM(BE$25:BE68))*VLOOKUP($O69,$A:$N,12,0)/VLOOKUP(L$15,$K$1:$M$4,2,0))</f>
        <v>0.49602272727272806</v>
      </c>
      <c r="BE69" s="182">
        <f t="shared" si="28"/>
        <v>2.2045454545454546</v>
      </c>
      <c r="BF69" s="182">
        <f t="shared" si="29"/>
        <v>2.7005681818181828</v>
      </c>
      <c r="BG69" s="183">
        <f t="shared" si="42"/>
        <v>0.33175392749753668</v>
      </c>
      <c r="BH69" s="185">
        <f>+IF($O69&gt;M$8,"FIN",(M$19-SUM(BI$25:BI68))*VLOOKUP($O69,$A:$N,13,0)/VLOOKUP(M$15,$K$1:$M$4,2,0))</f>
        <v>0.40921875000000069</v>
      </c>
      <c r="BI69" s="182">
        <f t="shared" si="30"/>
        <v>2.2045454545454546</v>
      </c>
      <c r="BJ69" s="182">
        <f t="shared" si="31"/>
        <v>2.6137642045454554</v>
      </c>
      <c r="BK69" s="183">
        <f t="shared" si="43"/>
        <v>0.32109040839940156</v>
      </c>
      <c r="BL69" s="179"/>
      <c r="BM69" s="200"/>
    </row>
    <row r="70" spans="1:65" s="20" customFormat="1" x14ac:dyDescent="0.25">
      <c r="A70" s="180">
        <f t="shared" si="6"/>
        <v>52294</v>
      </c>
      <c r="B70" s="181"/>
      <c r="C70" s="193"/>
      <c r="D70" s="194"/>
      <c r="E70" s="194"/>
      <c r="F70" s="194"/>
      <c r="G70" s="194"/>
      <c r="H70" s="194"/>
      <c r="I70" s="191"/>
      <c r="J70" s="191"/>
      <c r="K70" s="191"/>
      <c r="L70" s="191">
        <v>0.05</v>
      </c>
      <c r="M70" s="192">
        <v>4.1250000000000002E-2</v>
      </c>
      <c r="N70" s="179"/>
      <c r="O70" s="181">
        <f t="shared" si="7"/>
        <v>52294</v>
      </c>
      <c r="P70" s="184"/>
      <c r="Q70" s="182"/>
      <c r="R70" s="182"/>
      <c r="S70" s="183"/>
      <c r="T70" s="184"/>
      <c r="U70" s="182"/>
      <c r="V70" s="182"/>
      <c r="W70" s="183"/>
      <c r="X70" s="185"/>
      <c r="Y70" s="182"/>
      <c r="Z70" s="182"/>
      <c r="AA70" s="183"/>
      <c r="AB70" s="185"/>
      <c r="AC70" s="182"/>
      <c r="AD70" s="182"/>
      <c r="AE70" s="183"/>
      <c r="AF70" s="182"/>
      <c r="AG70" s="182"/>
      <c r="AH70" s="182"/>
      <c r="AI70" s="183"/>
      <c r="AJ70" s="182"/>
      <c r="AK70" s="182"/>
      <c r="AL70" s="182"/>
      <c r="AM70" s="183"/>
      <c r="AN70" s="182"/>
      <c r="AO70" s="182"/>
      <c r="AP70" s="182"/>
      <c r="AQ70" s="183"/>
      <c r="AR70" s="182"/>
      <c r="AS70" s="182"/>
      <c r="AT70" s="182"/>
      <c r="AU70" s="183"/>
      <c r="AV70" s="185"/>
      <c r="AW70" s="182"/>
      <c r="AX70" s="182"/>
      <c r="AY70" s="183"/>
      <c r="AZ70" s="185"/>
      <c r="BA70" s="182"/>
      <c r="BB70" s="182"/>
      <c r="BC70" s="183"/>
      <c r="BD70" s="185">
        <f>+IF($O70&gt;L$8,"FIN",(L$19-SUM(BE$25:BE69))*VLOOKUP($O70,$A:$N,12,0)/VLOOKUP(L$15,$K$1:$M$4,2,0))</f>
        <v>0.44090909090909175</v>
      </c>
      <c r="BE70" s="182">
        <f t="shared" si="28"/>
        <v>2.2045454545454546</v>
      </c>
      <c r="BF70" s="182">
        <f t="shared" si="29"/>
        <v>2.6454545454545464</v>
      </c>
      <c r="BG70" s="183">
        <f t="shared" si="42"/>
        <v>0.30985955138370203</v>
      </c>
      <c r="BH70" s="185">
        <f>+IF($O70&gt;M$8,"FIN",(M$19-SUM(BI$25:BI69))*VLOOKUP($O70,$A:$N,13,0)/VLOOKUP(M$15,$K$1:$M$4,2,0))</f>
        <v>0.36375000000000068</v>
      </c>
      <c r="BI70" s="182">
        <f t="shared" si="30"/>
        <v>2.2045454545454546</v>
      </c>
      <c r="BJ70" s="182">
        <f t="shared" si="31"/>
        <v>2.5682954545454555</v>
      </c>
      <c r="BK70" s="183">
        <f t="shared" si="43"/>
        <v>0.30082198113501074</v>
      </c>
      <c r="BL70" s="179"/>
      <c r="BM70" s="200"/>
    </row>
    <row r="71" spans="1:65" s="20" customFormat="1" x14ac:dyDescent="0.25">
      <c r="A71" s="180">
        <f t="shared" si="6"/>
        <v>52478</v>
      </c>
      <c r="B71" s="181"/>
      <c r="C71" s="193"/>
      <c r="D71" s="194"/>
      <c r="E71" s="194"/>
      <c r="F71" s="194"/>
      <c r="G71" s="194"/>
      <c r="H71" s="194"/>
      <c r="I71" s="191"/>
      <c r="J71" s="191"/>
      <c r="K71" s="191"/>
      <c r="L71" s="191">
        <v>0.05</v>
      </c>
      <c r="M71" s="192">
        <v>4.1250000000000002E-2</v>
      </c>
      <c r="N71" s="179"/>
      <c r="O71" s="181">
        <f t="shared" si="7"/>
        <v>52478</v>
      </c>
      <c r="P71" s="184"/>
      <c r="Q71" s="182"/>
      <c r="R71" s="182"/>
      <c r="S71" s="183"/>
      <c r="T71" s="184"/>
      <c r="U71" s="182"/>
      <c r="V71" s="182"/>
      <c r="W71" s="183"/>
      <c r="X71" s="185"/>
      <c r="Y71" s="182"/>
      <c r="Z71" s="182"/>
      <c r="AA71" s="183"/>
      <c r="AB71" s="185"/>
      <c r="AC71" s="182"/>
      <c r="AD71" s="182"/>
      <c r="AE71" s="183"/>
      <c r="AF71" s="182"/>
      <c r="AG71" s="182"/>
      <c r="AH71" s="182"/>
      <c r="AI71" s="183"/>
      <c r="AJ71" s="182"/>
      <c r="AK71" s="182"/>
      <c r="AL71" s="182"/>
      <c r="AM71" s="183"/>
      <c r="AN71" s="182"/>
      <c r="AO71" s="182"/>
      <c r="AP71" s="182"/>
      <c r="AQ71" s="183"/>
      <c r="AR71" s="182"/>
      <c r="AS71" s="182"/>
      <c r="AT71" s="182"/>
      <c r="AU71" s="183"/>
      <c r="AV71" s="185"/>
      <c r="AW71" s="182"/>
      <c r="AX71" s="182"/>
      <c r="AY71" s="183"/>
      <c r="AZ71" s="185"/>
      <c r="BA71" s="182"/>
      <c r="BB71" s="182"/>
      <c r="BC71" s="183"/>
      <c r="BD71" s="185">
        <f>+IF($O71&gt;L$8,"FIN",(L$19-SUM(BE$25:BE70))*VLOOKUP($O71,$A:$N,12,0)/VLOOKUP(L$15,$K$1:$M$4,2,0))</f>
        <v>0.38579545454545539</v>
      </c>
      <c r="BE71" s="182">
        <f t="shared" si="28"/>
        <v>2.2045454545454546</v>
      </c>
      <c r="BF71" s="182">
        <f t="shared" si="29"/>
        <v>2.59034090909091</v>
      </c>
      <c r="BG71" s="183">
        <f t="shared" si="42"/>
        <v>0.28928450078634921</v>
      </c>
      <c r="BH71" s="185">
        <f>+IF($O71&gt;M$8,"FIN",(M$19-SUM(BI$25:BI70))*VLOOKUP($O71,$A:$N,13,0)/VLOOKUP(M$15,$K$1:$M$4,2,0))</f>
        <v>0.31828125000000068</v>
      </c>
      <c r="BI71" s="182">
        <f t="shared" si="30"/>
        <v>2.2045454545454546</v>
      </c>
      <c r="BJ71" s="182">
        <f t="shared" si="31"/>
        <v>2.5228267045454551</v>
      </c>
      <c r="BK71" s="183">
        <f t="shared" si="43"/>
        <v>0.28174463879776879</v>
      </c>
      <c r="BL71" s="179"/>
      <c r="BM71" s="200"/>
    </row>
    <row r="72" spans="1:65" s="20" customFormat="1" x14ac:dyDescent="0.25">
      <c r="A72" s="180">
        <f t="shared" si="6"/>
        <v>52660</v>
      </c>
      <c r="B72" s="181"/>
      <c r="C72" s="193"/>
      <c r="D72" s="194"/>
      <c r="E72" s="194"/>
      <c r="F72" s="194"/>
      <c r="G72" s="194"/>
      <c r="H72" s="194"/>
      <c r="I72" s="191"/>
      <c r="J72" s="191"/>
      <c r="K72" s="191"/>
      <c r="L72" s="191">
        <v>0.05</v>
      </c>
      <c r="M72" s="192">
        <v>4.1250000000000002E-2</v>
      </c>
      <c r="N72" s="179"/>
      <c r="O72" s="181">
        <f t="shared" si="7"/>
        <v>52660</v>
      </c>
      <c r="P72" s="184"/>
      <c r="Q72" s="182"/>
      <c r="R72" s="182"/>
      <c r="S72" s="183"/>
      <c r="T72" s="184"/>
      <c r="U72" s="182"/>
      <c r="V72" s="182"/>
      <c r="W72" s="183"/>
      <c r="X72" s="185"/>
      <c r="Y72" s="182"/>
      <c r="Z72" s="182"/>
      <c r="AA72" s="183"/>
      <c r="AB72" s="185"/>
      <c r="AC72" s="182"/>
      <c r="AD72" s="182"/>
      <c r="AE72" s="183"/>
      <c r="AF72" s="182"/>
      <c r="AG72" s="182"/>
      <c r="AH72" s="182"/>
      <c r="AI72" s="183"/>
      <c r="AJ72" s="182"/>
      <c r="AK72" s="182"/>
      <c r="AL72" s="182"/>
      <c r="AM72" s="183"/>
      <c r="AN72" s="182"/>
      <c r="AO72" s="182"/>
      <c r="AP72" s="182"/>
      <c r="AQ72" s="183"/>
      <c r="AR72" s="182"/>
      <c r="AS72" s="182"/>
      <c r="AT72" s="182"/>
      <c r="AU72" s="183"/>
      <c r="AV72" s="185"/>
      <c r="AW72" s="182"/>
      <c r="AX72" s="182"/>
      <c r="AY72" s="183"/>
      <c r="AZ72" s="185"/>
      <c r="BA72" s="182"/>
      <c r="BB72" s="182"/>
      <c r="BC72" s="183"/>
      <c r="BD72" s="185">
        <f>+IF($O72&gt;L$8,"FIN",(L$19-SUM(BE$25:BE71))*VLOOKUP($O72,$A:$N,12,0)/VLOOKUP(L$15,$K$1:$M$4,2,0))</f>
        <v>0.33068181818181908</v>
      </c>
      <c r="BE72" s="182">
        <f t="shared" si="28"/>
        <v>2.2045454545454546</v>
      </c>
      <c r="BF72" s="182">
        <f t="shared" si="29"/>
        <v>2.5352272727272736</v>
      </c>
      <c r="BG72" s="183">
        <f t="shared" si="42"/>
        <v>0.26995339703883126</v>
      </c>
      <c r="BH72" s="185">
        <f>+IF($O72&gt;M$8,"FIN",(M$19-SUM(BI$25:BI71))*VLOOKUP($O72,$A:$N,13,0)/VLOOKUP(M$15,$K$1:$M$4,2,0))</f>
        <v>0.27281250000000073</v>
      </c>
      <c r="BI72" s="182">
        <f t="shared" si="30"/>
        <v>2.2045454545454546</v>
      </c>
      <c r="BJ72" s="182">
        <f t="shared" si="31"/>
        <v>2.4773579545454552</v>
      </c>
      <c r="BK72" s="183">
        <f t="shared" si="43"/>
        <v>0.26379141732381445</v>
      </c>
      <c r="BL72" s="179"/>
      <c r="BM72" s="200"/>
    </row>
    <row r="73" spans="1:65" s="20" customFormat="1" x14ac:dyDescent="0.25">
      <c r="A73" s="180">
        <f t="shared" si="6"/>
        <v>52844</v>
      </c>
      <c r="B73" s="181"/>
      <c r="C73" s="193"/>
      <c r="D73" s="194"/>
      <c r="E73" s="194"/>
      <c r="F73" s="194"/>
      <c r="G73" s="194"/>
      <c r="H73" s="194"/>
      <c r="I73" s="191"/>
      <c r="J73" s="194"/>
      <c r="K73" s="194"/>
      <c r="L73" s="191">
        <v>0.05</v>
      </c>
      <c r="M73" s="192">
        <v>4.1250000000000002E-2</v>
      </c>
      <c r="N73" s="179"/>
      <c r="O73" s="181">
        <f t="shared" si="7"/>
        <v>52844</v>
      </c>
      <c r="P73" s="184"/>
      <c r="Q73" s="182"/>
      <c r="R73" s="182"/>
      <c r="S73" s="183"/>
      <c r="T73" s="184"/>
      <c r="U73" s="182"/>
      <c r="V73" s="182"/>
      <c r="W73" s="183"/>
      <c r="X73" s="185"/>
      <c r="Y73" s="182"/>
      <c r="Z73" s="182"/>
      <c r="AA73" s="183"/>
      <c r="AB73" s="185"/>
      <c r="AC73" s="182"/>
      <c r="AD73" s="182"/>
      <c r="AE73" s="183"/>
      <c r="AF73" s="182"/>
      <c r="AG73" s="182"/>
      <c r="AH73" s="182"/>
      <c r="AI73" s="183"/>
      <c r="AJ73" s="182"/>
      <c r="AK73" s="182"/>
      <c r="AL73" s="182"/>
      <c r="AM73" s="183"/>
      <c r="AN73" s="182"/>
      <c r="AO73" s="182"/>
      <c r="AP73" s="182"/>
      <c r="AQ73" s="183"/>
      <c r="AR73" s="182"/>
      <c r="AS73" s="182"/>
      <c r="AT73" s="182"/>
      <c r="AU73" s="183"/>
      <c r="AV73" s="182"/>
      <c r="AW73" s="182"/>
      <c r="AX73" s="182"/>
      <c r="AY73" s="183"/>
      <c r="AZ73" s="185"/>
      <c r="BA73" s="182"/>
      <c r="BB73" s="182"/>
      <c r="BC73" s="183"/>
      <c r="BD73" s="185">
        <f>+IF($O73&gt;L$8,"FIN",(L$19-SUM(BE$25:BE72))*VLOOKUP($O73,$A:$N,12,0)/VLOOKUP(L$15,$K$1:$M$4,2,0))</f>
        <v>0.27556818181818271</v>
      </c>
      <c r="BE73" s="182">
        <f t="shared" si="28"/>
        <v>2.2045454545454546</v>
      </c>
      <c r="BF73" s="182">
        <f t="shared" si="29"/>
        <v>2.4801136363636371</v>
      </c>
      <c r="BG73" s="183">
        <f t="shared" si="42"/>
        <v>0.25179502002680298</v>
      </c>
      <c r="BH73" s="185">
        <f>+IF($O73&gt;M$8,"FIN",(M$19-SUM(BI$25:BI72))*VLOOKUP($O73,$A:$N,13,0)/VLOOKUP(M$15,$K$1:$M$4,2,0))</f>
        <v>0.22734375000000076</v>
      </c>
      <c r="BI73" s="182">
        <f t="shared" si="30"/>
        <v>2.2045454545454546</v>
      </c>
      <c r="BJ73" s="182">
        <f t="shared" si="31"/>
        <v>2.4318892045454552</v>
      </c>
      <c r="BK73" s="183">
        <f t="shared" si="43"/>
        <v>0.24689900574850404</v>
      </c>
      <c r="BL73" s="179"/>
      <c r="BM73" s="200"/>
    </row>
    <row r="74" spans="1:65" s="20" customFormat="1" x14ac:dyDescent="0.25">
      <c r="A74" s="180">
        <f t="shared" si="6"/>
        <v>53025</v>
      </c>
      <c r="B74" s="181"/>
      <c r="C74" s="193"/>
      <c r="D74" s="194"/>
      <c r="E74" s="194"/>
      <c r="F74" s="194"/>
      <c r="G74" s="194"/>
      <c r="H74" s="194"/>
      <c r="I74" s="191"/>
      <c r="J74" s="194"/>
      <c r="K74" s="194"/>
      <c r="L74" s="191">
        <v>0.05</v>
      </c>
      <c r="M74" s="192">
        <v>4.1250000000000002E-2</v>
      </c>
      <c r="N74" s="179"/>
      <c r="O74" s="181">
        <f t="shared" si="7"/>
        <v>53025</v>
      </c>
      <c r="P74" s="184"/>
      <c r="Q74" s="182"/>
      <c r="R74" s="182"/>
      <c r="S74" s="183"/>
      <c r="T74" s="184"/>
      <c r="U74" s="182"/>
      <c r="V74" s="182"/>
      <c r="W74" s="183"/>
      <c r="X74" s="185"/>
      <c r="Y74" s="182"/>
      <c r="Z74" s="182"/>
      <c r="AA74" s="183"/>
      <c r="AB74" s="185"/>
      <c r="AC74" s="182"/>
      <c r="AD74" s="182"/>
      <c r="AE74" s="183"/>
      <c r="AF74" s="182"/>
      <c r="AG74" s="182"/>
      <c r="AH74" s="182"/>
      <c r="AI74" s="183"/>
      <c r="AJ74" s="182"/>
      <c r="AK74" s="182"/>
      <c r="AL74" s="182"/>
      <c r="AM74" s="183"/>
      <c r="AN74" s="182"/>
      <c r="AO74" s="182"/>
      <c r="AP74" s="182"/>
      <c r="AQ74" s="183"/>
      <c r="AR74" s="182"/>
      <c r="AS74" s="182"/>
      <c r="AT74" s="182"/>
      <c r="AU74" s="183"/>
      <c r="AV74" s="182"/>
      <c r="AW74" s="182"/>
      <c r="AX74" s="182"/>
      <c r="AY74" s="183"/>
      <c r="AZ74" s="185"/>
      <c r="BA74" s="182"/>
      <c r="BB74" s="182"/>
      <c r="BC74" s="183"/>
      <c r="BD74" s="185">
        <f>+IF($O74&gt;L$8,"FIN",(L$19-SUM(BE$25:BE73))*VLOOKUP($O74,$A:$N,12,0)/VLOOKUP(L$15,$K$1:$M$4,2,0))</f>
        <v>0.2204545454545464</v>
      </c>
      <c r="BE74" s="182">
        <f t="shared" si="28"/>
        <v>2.2045454545454546</v>
      </c>
      <c r="BF74" s="182">
        <f t="shared" si="29"/>
        <v>2.4250000000000012</v>
      </c>
      <c r="BG74" s="183">
        <f t="shared" si="42"/>
        <v>0.23474208438159244</v>
      </c>
      <c r="BH74" s="185">
        <f>+IF($O74&gt;M$8,"FIN",(M$19-SUM(BI$25:BI73))*VLOOKUP($O74,$A:$N,13,0)/VLOOKUP(M$15,$K$1:$M$4,2,0))</f>
        <v>0.18187500000000079</v>
      </c>
      <c r="BI74" s="182">
        <f t="shared" si="30"/>
        <v>2.2045454545454546</v>
      </c>
      <c r="BJ74" s="182">
        <f t="shared" si="31"/>
        <v>2.3864204545454553</v>
      </c>
      <c r="BK74" s="183">
        <f t="shared" si="43"/>
        <v>0.23100755122097616</v>
      </c>
      <c r="BL74" s="179"/>
      <c r="BM74" s="200"/>
    </row>
    <row r="75" spans="1:65" s="20" customFormat="1" x14ac:dyDescent="0.25">
      <c r="A75" s="180">
        <f t="shared" si="6"/>
        <v>53209</v>
      </c>
      <c r="B75" s="181"/>
      <c r="C75" s="193"/>
      <c r="D75" s="194"/>
      <c r="E75" s="194"/>
      <c r="F75" s="194"/>
      <c r="G75" s="194"/>
      <c r="H75" s="194"/>
      <c r="I75" s="191"/>
      <c r="J75" s="194"/>
      <c r="K75" s="194"/>
      <c r="L75" s="191">
        <v>0.05</v>
      </c>
      <c r="M75" s="192">
        <v>4.1250000000000002E-2</v>
      </c>
      <c r="N75" s="179"/>
      <c r="O75" s="181">
        <f t="shared" si="7"/>
        <v>53209</v>
      </c>
      <c r="P75" s="184"/>
      <c r="Q75" s="182"/>
      <c r="R75" s="182"/>
      <c r="S75" s="183"/>
      <c r="T75" s="184"/>
      <c r="U75" s="182"/>
      <c r="V75" s="182"/>
      <c r="W75" s="183"/>
      <c r="X75" s="185"/>
      <c r="Y75" s="182"/>
      <c r="Z75" s="182"/>
      <c r="AA75" s="183"/>
      <c r="AB75" s="185"/>
      <c r="AC75" s="182"/>
      <c r="AD75" s="182"/>
      <c r="AE75" s="183"/>
      <c r="AF75" s="182"/>
      <c r="AG75" s="182"/>
      <c r="AH75" s="182"/>
      <c r="AI75" s="183"/>
      <c r="AJ75" s="182"/>
      <c r="AK75" s="182"/>
      <c r="AL75" s="182"/>
      <c r="AM75" s="183"/>
      <c r="AN75" s="182"/>
      <c r="AO75" s="182"/>
      <c r="AP75" s="182"/>
      <c r="AQ75" s="183"/>
      <c r="AR75" s="182"/>
      <c r="AS75" s="182"/>
      <c r="AT75" s="182"/>
      <c r="AU75" s="183"/>
      <c r="AV75" s="182"/>
      <c r="AW75" s="182"/>
      <c r="AX75" s="182"/>
      <c r="AY75" s="183"/>
      <c r="AZ75" s="185"/>
      <c r="BA75" s="182"/>
      <c r="BB75" s="182"/>
      <c r="BC75" s="183"/>
      <c r="BD75" s="185">
        <f>+IF($O75&gt;L$8,"FIN",(L$19-SUM(BE$25:BE74))*VLOOKUP($O75,$A:$N,12,0)/VLOOKUP(L$15,$K$1:$M$4,2,0))</f>
        <v>0.16534090909091007</v>
      </c>
      <c r="BE75" s="182">
        <f t="shared" si="28"/>
        <v>2.2045454545454546</v>
      </c>
      <c r="BF75" s="182">
        <f t="shared" si="29"/>
        <v>2.3698863636363647</v>
      </c>
      <c r="BG75" s="183">
        <f t="shared" si="42"/>
        <v>0.21873102749803089</v>
      </c>
      <c r="BH75" s="185">
        <f>+IF($O75&gt;M$8,"FIN",(M$19-SUM(BI$25:BI74))*VLOOKUP($O75,$A:$N,13,0)/VLOOKUP(M$15,$K$1:$M$4,2,0))</f>
        <v>0.13640625000000081</v>
      </c>
      <c r="BI75" s="182">
        <f t="shared" si="30"/>
        <v>2.2045454545454546</v>
      </c>
      <c r="BJ75" s="182">
        <f t="shared" si="31"/>
        <v>2.3409517045454553</v>
      </c>
      <c r="BK75" s="183">
        <f t="shared" si="43"/>
        <v>0.21606047425532232</v>
      </c>
      <c r="BL75" s="179"/>
      <c r="BM75" s="200"/>
    </row>
    <row r="76" spans="1:65" s="20" customFormat="1" x14ac:dyDescent="0.25">
      <c r="A76" s="180">
        <f t="shared" si="6"/>
        <v>53390</v>
      </c>
      <c r="B76" s="181"/>
      <c r="C76" s="193"/>
      <c r="D76" s="194"/>
      <c r="E76" s="194"/>
      <c r="F76" s="194"/>
      <c r="G76" s="194"/>
      <c r="H76" s="194"/>
      <c r="I76" s="191"/>
      <c r="J76" s="194"/>
      <c r="K76" s="194"/>
      <c r="L76" s="191">
        <v>0.05</v>
      </c>
      <c r="M76" s="192">
        <v>4.1250000000000002E-2</v>
      </c>
      <c r="N76" s="179"/>
      <c r="O76" s="181">
        <f t="shared" si="7"/>
        <v>53390</v>
      </c>
      <c r="P76" s="184"/>
      <c r="Q76" s="182"/>
      <c r="R76" s="182"/>
      <c r="S76" s="183"/>
      <c r="T76" s="184"/>
      <c r="U76" s="182"/>
      <c r="V76" s="182"/>
      <c r="W76" s="183"/>
      <c r="X76" s="185"/>
      <c r="Y76" s="182"/>
      <c r="Z76" s="182"/>
      <c r="AA76" s="183"/>
      <c r="AB76" s="182"/>
      <c r="AC76" s="182"/>
      <c r="AD76" s="182"/>
      <c r="AE76" s="183"/>
      <c r="AF76" s="182"/>
      <c r="AG76" s="182"/>
      <c r="AH76" s="182"/>
      <c r="AI76" s="183"/>
      <c r="AJ76" s="182"/>
      <c r="AK76" s="182"/>
      <c r="AL76" s="182"/>
      <c r="AM76" s="183"/>
      <c r="AN76" s="182"/>
      <c r="AO76" s="182"/>
      <c r="AP76" s="182"/>
      <c r="AQ76" s="183"/>
      <c r="AR76" s="182"/>
      <c r="AS76" s="182"/>
      <c r="AT76" s="182"/>
      <c r="AU76" s="183"/>
      <c r="AV76" s="182"/>
      <c r="AW76" s="182"/>
      <c r="AX76" s="182"/>
      <c r="AY76" s="183"/>
      <c r="AZ76" s="182"/>
      <c r="BA76" s="182"/>
      <c r="BB76" s="182"/>
      <c r="BC76" s="183"/>
      <c r="BD76" s="185">
        <f>+IF($O76&gt;L$8,"FIN",(L$19-SUM(BE$25:BE75))*VLOOKUP($O76,$A:$N,12,0)/VLOOKUP(L$15,$K$1:$M$4,2,0))</f>
        <v>0.11022727272727373</v>
      </c>
      <c r="BE76" s="182">
        <f t="shared" si="28"/>
        <v>2.2045454545454546</v>
      </c>
      <c r="BF76" s="182">
        <f t="shared" si="29"/>
        <v>2.3147727272727283</v>
      </c>
      <c r="BG76" s="183">
        <f t="shared" si="42"/>
        <v>0.20370180876088589</v>
      </c>
      <c r="BH76" s="185">
        <f>+IF($O76&gt;M$8,"FIN",(M$19-SUM(BI$25:BI75))*VLOOKUP($O76,$A:$N,13,0)/VLOOKUP(M$15,$K$1:$M$4,2,0))</f>
        <v>9.0937500000000837E-2</v>
      </c>
      <c r="BI76" s="182">
        <f t="shared" si="30"/>
        <v>2.2045454545454546</v>
      </c>
      <c r="BJ76" s="182">
        <f t="shared" si="31"/>
        <v>2.2954829545454554</v>
      </c>
      <c r="BK76" s="183">
        <f t="shared" si="43"/>
        <v>0.20200429368787851</v>
      </c>
      <c r="BL76" s="179"/>
      <c r="BM76" s="200"/>
    </row>
    <row r="77" spans="1:65" s="20" customFormat="1" x14ac:dyDescent="0.25">
      <c r="A77" s="201">
        <f t="shared" si="6"/>
        <v>53574</v>
      </c>
      <c r="B77" s="195"/>
      <c r="C77" s="196"/>
      <c r="D77" s="197"/>
      <c r="E77" s="197"/>
      <c r="F77" s="197"/>
      <c r="G77" s="197"/>
      <c r="H77" s="197"/>
      <c r="I77" s="198"/>
      <c r="J77" s="197"/>
      <c r="K77" s="197"/>
      <c r="L77" s="198">
        <v>0.05</v>
      </c>
      <c r="M77" s="199">
        <v>4.1250000000000002E-2</v>
      </c>
      <c r="N77" s="179"/>
      <c r="O77" s="181">
        <f t="shared" si="7"/>
        <v>53574</v>
      </c>
      <c r="P77" s="184"/>
      <c r="Q77" s="182"/>
      <c r="R77" s="182"/>
      <c r="S77" s="183"/>
      <c r="T77" s="184"/>
      <c r="U77" s="182"/>
      <c r="V77" s="182"/>
      <c r="W77" s="183"/>
      <c r="X77" s="185"/>
      <c r="Y77" s="182"/>
      <c r="Z77" s="182"/>
      <c r="AA77" s="183"/>
      <c r="AB77" s="182"/>
      <c r="AC77" s="182"/>
      <c r="AD77" s="182"/>
      <c r="AE77" s="183"/>
      <c r="AF77" s="182"/>
      <c r="AG77" s="182"/>
      <c r="AH77" s="182"/>
      <c r="AI77" s="183"/>
      <c r="AJ77" s="182"/>
      <c r="AK77" s="182"/>
      <c r="AL77" s="182"/>
      <c r="AM77" s="183"/>
      <c r="AN77" s="182"/>
      <c r="AO77" s="182"/>
      <c r="AP77" s="182"/>
      <c r="AQ77" s="183"/>
      <c r="AR77" s="182"/>
      <c r="AS77" s="182"/>
      <c r="AT77" s="182"/>
      <c r="AU77" s="183"/>
      <c r="AV77" s="182"/>
      <c r="AW77" s="182"/>
      <c r="AX77" s="182"/>
      <c r="AY77" s="183"/>
      <c r="AZ77" s="182"/>
      <c r="BA77" s="182"/>
      <c r="BB77" s="182"/>
      <c r="BC77" s="183"/>
      <c r="BD77" s="185">
        <f>+IF($O77&gt;L$8,"FIN",(L$19-SUM(BE$25:BE76))*VLOOKUP($O77,$A:$N,12,0)/VLOOKUP(L$15,$K$1:$M$4,2,0))</f>
        <v>5.5113636363637399E-2</v>
      </c>
      <c r="BE77" s="182">
        <f t="shared" si="28"/>
        <v>2.2045454545454546</v>
      </c>
      <c r="BF77" s="182">
        <f t="shared" si="29"/>
        <v>2.2596590909090919</v>
      </c>
      <c r="BG77" s="183">
        <f t="shared" si="42"/>
        <v>0.18959771939575615</v>
      </c>
      <c r="BH77" s="185">
        <f>+IF($O77&gt;M$8,"FIN",(M$19-SUM(BI$25:BI76))*VLOOKUP($O77,$A:$N,13,0)/VLOOKUP(M$15,$K$1:$M$4,2,0))</f>
        <v>4.5468750000000856E-2</v>
      </c>
      <c r="BI77" s="182">
        <f t="shared" si="30"/>
        <v>2.2045454545454546</v>
      </c>
      <c r="BJ77" s="182">
        <f t="shared" si="31"/>
        <v>2.2500142045454554</v>
      </c>
      <c r="BK77" s="183">
        <f t="shared" si="43"/>
        <v>0.18878846083735962</v>
      </c>
      <c r="BL77" s="179"/>
      <c r="BM77" s="200"/>
    </row>
    <row r="78" spans="1:65" s="20" customFormat="1" x14ac:dyDescent="0.25">
      <c r="O78" s="187" t="s">
        <v>44</v>
      </c>
      <c r="P78" s="225">
        <f>+SUM(P25:P77)</f>
        <v>8.25</v>
      </c>
      <c r="Q78" s="219">
        <f>+SUM(Q25:Q77)</f>
        <v>100</v>
      </c>
      <c r="R78" s="219"/>
      <c r="S78" s="220">
        <f>+SUM(S25:S77)</f>
        <v>51.351928218850389</v>
      </c>
      <c r="T78" s="225">
        <f>+SUM(T25:T77)</f>
        <v>4.125</v>
      </c>
      <c r="U78" s="219">
        <f>+SUM(U25:U77)</f>
        <v>100</v>
      </c>
      <c r="V78" s="219"/>
      <c r="W78" s="220">
        <f>+SUM(W25:W77)</f>
        <v>48.588131591906944</v>
      </c>
      <c r="X78" s="225">
        <f>+SUM(X25:X77)</f>
        <v>5.0318750000000012</v>
      </c>
      <c r="Y78" s="219">
        <f>+SUM(Y25:Y77)</f>
        <v>96.999999999999986</v>
      </c>
      <c r="Z78" s="219"/>
      <c r="AA78" s="220">
        <f>+SUM(AA25:AA77)</f>
        <v>52.357467943687688</v>
      </c>
      <c r="AB78" s="219">
        <f>+SUM(AB25:AB77)</f>
        <v>0.87906249999999986</v>
      </c>
      <c r="AC78" s="219">
        <f>+SUM(AC25:AC77)</f>
        <v>96.999999999999986</v>
      </c>
      <c r="AD78" s="219"/>
      <c r="AE78" s="220">
        <f>+SUM(AE25:AE77)</f>
        <v>49.873207412034326</v>
      </c>
      <c r="AF78" s="219">
        <f>+SUM(AF25:AF77)</f>
        <v>45.832499999999982</v>
      </c>
      <c r="AG78" s="219">
        <f>+SUM(AG25:AG77)</f>
        <v>97.000000000000014</v>
      </c>
      <c r="AH78" s="219"/>
      <c r="AI78" s="220">
        <f>+SUM(AI25:AI77)</f>
        <v>51.124279696103009</v>
      </c>
      <c r="AJ78" s="219">
        <f>+SUM(AJ25:AJ77)</f>
        <v>37.708750000000009</v>
      </c>
      <c r="AK78" s="219">
        <f>+SUM(AK25:AK77)</f>
        <v>97.000000000000014</v>
      </c>
      <c r="AL78" s="219"/>
      <c r="AM78" s="220">
        <f>+SUM(AM25:AM77)</f>
        <v>47.156434562589126</v>
      </c>
      <c r="AN78" s="219">
        <f>+SUM(AN25:AN77)</f>
        <v>54</v>
      </c>
      <c r="AO78" s="219">
        <f>+SUM(AO25:AO77)</f>
        <v>100.00000000000001</v>
      </c>
      <c r="AP78" s="219"/>
      <c r="AQ78" s="220">
        <f>+SUM(AQ25:AQ77)</f>
        <v>57.887956669026288</v>
      </c>
      <c r="AR78" s="219">
        <f>+SUM(AR25:AR77)</f>
        <v>45.5625</v>
      </c>
      <c r="AS78" s="219">
        <f>+SUM(AS25:AS77)</f>
        <v>100.00000000000001</v>
      </c>
      <c r="AT78" s="219"/>
      <c r="AU78" s="220">
        <f>+SUM(AU25:AU77)</f>
        <v>53.578515830352792</v>
      </c>
      <c r="AV78" s="219">
        <f>+SUM(AV25:AV77)</f>
        <v>52.866071428571431</v>
      </c>
      <c r="AW78" s="219">
        <f>+SUM(AW25:AW77)</f>
        <v>99.999999999999972</v>
      </c>
      <c r="AX78" s="219"/>
      <c r="AY78" s="220">
        <f>+SUM(AY25:AY77)</f>
        <v>51.747039417387249</v>
      </c>
      <c r="AZ78" s="219">
        <f>+SUM(AZ25:AZ77)</f>
        <v>46.160714285714285</v>
      </c>
      <c r="BA78" s="219">
        <f>+SUM(BA25:BA77)</f>
        <v>99.999999999999972</v>
      </c>
      <c r="BB78" s="219"/>
      <c r="BC78" s="220">
        <f>+SUM(BC25:BC77)</f>
        <v>48.086461217570061</v>
      </c>
      <c r="BD78" s="219">
        <f>+SUM(BD25:BD77)</f>
        <v>57.827982954545469</v>
      </c>
      <c r="BE78" s="219">
        <f>+SUM(BE25:BE77)</f>
        <v>96.999999999999957</v>
      </c>
      <c r="BF78" s="219"/>
      <c r="BG78" s="220">
        <f>+SUM(BG25:BG77)</f>
        <v>50.103934995470681</v>
      </c>
      <c r="BH78" s="219">
        <f>+SUM(BH25:BH77)</f>
        <v>48.662585227272736</v>
      </c>
      <c r="BI78" s="219">
        <f>+SUM(BI25:BI77)</f>
        <v>96.999999999999957</v>
      </c>
      <c r="BJ78" s="219"/>
      <c r="BK78" s="220">
        <f>+SUM(BK25:BK77)</f>
        <v>46.402445519831403</v>
      </c>
      <c r="BL78" s="179"/>
      <c r="BM78" s="200"/>
    </row>
    <row r="79" spans="1:65" s="20" customFormat="1" x14ac:dyDescent="0.25">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row>
    <row r="80" spans="1:65" s="20" customFormat="1" x14ac:dyDescent="0.25">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c r="AX80" s="179"/>
      <c r="AY80" s="179"/>
      <c r="AZ80" s="179"/>
      <c r="BA80" s="179"/>
      <c r="BB80" s="179"/>
      <c r="BC80" s="179"/>
      <c r="BD80" s="179"/>
      <c r="BE80" s="179"/>
      <c r="BF80" s="179"/>
      <c r="BG80" s="179"/>
      <c r="BH80" s="179"/>
    </row>
    <row r="81" spans="16:60" s="20" customFormat="1" x14ac:dyDescent="0.25">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79"/>
      <c r="AS81" s="179"/>
      <c r="AT81" s="179"/>
      <c r="AU81" s="179"/>
      <c r="AV81" s="179"/>
      <c r="AW81" s="179"/>
      <c r="AX81" s="179"/>
      <c r="AY81" s="179"/>
      <c r="AZ81" s="179"/>
      <c r="BA81" s="179"/>
      <c r="BB81" s="179"/>
      <c r="BC81" s="179"/>
      <c r="BD81" s="179"/>
      <c r="BE81" s="179"/>
      <c r="BF81" s="179"/>
      <c r="BG81" s="179"/>
      <c r="BH81" s="179"/>
    </row>
    <row r="82" spans="16:60" s="20" customFormat="1" x14ac:dyDescent="0.25">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179"/>
      <c r="AS82" s="179"/>
      <c r="AT82" s="179"/>
      <c r="AU82" s="179"/>
      <c r="AV82" s="179"/>
      <c r="AW82" s="179"/>
      <c r="AX82" s="179"/>
      <c r="AY82" s="179"/>
      <c r="AZ82" s="179"/>
      <c r="BA82" s="179"/>
      <c r="BB82" s="179"/>
      <c r="BC82" s="179"/>
      <c r="BD82" s="179"/>
      <c r="BE82" s="179"/>
      <c r="BF82" s="179"/>
      <c r="BG82" s="179"/>
      <c r="BH82" s="179"/>
    </row>
    <row r="83" spans="16:60" s="20" customFormat="1" x14ac:dyDescent="0.25">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179"/>
      <c r="AS83" s="179"/>
      <c r="AT83" s="179"/>
      <c r="AU83" s="179"/>
      <c r="AV83" s="179"/>
      <c r="AW83" s="179"/>
      <c r="AX83" s="179"/>
      <c r="AY83" s="179"/>
      <c r="AZ83" s="179"/>
      <c r="BA83" s="179"/>
      <c r="BB83" s="179"/>
      <c r="BC83" s="179"/>
      <c r="BD83" s="179"/>
      <c r="BE83" s="179"/>
      <c r="BF83" s="179"/>
      <c r="BG83" s="179"/>
      <c r="BH83" s="179"/>
    </row>
    <row r="84" spans="16:60" s="20" customFormat="1" x14ac:dyDescent="0.25">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179"/>
      <c r="AQ84" s="179"/>
      <c r="AR84" s="179"/>
      <c r="AS84" s="179"/>
      <c r="AT84" s="179"/>
      <c r="AU84" s="179"/>
      <c r="AV84" s="179"/>
      <c r="AW84" s="179"/>
      <c r="AX84" s="179"/>
      <c r="AY84" s="179"/>
      <c r="AZ84" s="179"/>
      <c r="BA84" s="179"/>
      <c r="BB84" s="179"/>
      <c r="BC84" s="179"/>
      <c r="BD84" s="179"/>
      <c r="BE84" s="179"/>
      <c r="BF84" s="179"/>
      <c r="BG84" s="179"/>
      <c r="BH84" s="179"/>
    </row>
    <row r="85" spans="16:60" s="20" customFormat="1" x14ac:dyDescent="0.25">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c r="AS85" s="179"/>
      <c r="AT85" s="179"/>
      <c r="AU85" s="179"/>
      <c r="AV85" s="179"/>
      <c r="AW85" s="179"/>
      <c r="AX85" s="179"/>
      <c r="AY85" s="179"/>
      <c r="AZ85" s="179"/>
      <c r="BA85" s="179"/>
      <c r="BB85" s="179"/>
      <c r="BC85" s="179"/>
      <c r="BD85" s="179"/>
      <c r="BE85" s="179"/>
      <c r="BF85" s="179"/>
      <c r="BG85" s="179"/>
      <c r="BH85" s="179"/>
    </row>
    <row r="86" spans="16:60" s="20" customFormat="1" x14ac:dyDescent="0.25">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c r="AS86" s="179"/>
      <c r="AT86" s="179"/>
      <c r="AU86" s="179"/>
      <c r="AV86" s="179"/>
      <c r="AW86" s="179"/>
      <c r="AX86" s="179"/>
      <c r="AY86" s="179"/>
      <c r="AZ86" s="179"/>
      <c r="BA86" s="179"/>
      <c r="BB86" s="179"/>
      <c r="BC86" s="179"/>
      <c r="BD86" s="179"/>
      <c r="BE86" s="179"/>
      <c r="BF86" s="179"/>
      <c r="BG86" s="179"/>
      <c r="BH86" s="179"/>
    </row>
    <row r="87" spans="16:60" s="20" customFormat="1" x14ac:dyDescent="0.25">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R87" s="179"/>
      <c r="AS87" s="179"/>
      <c r="AT87" s="179"/>
      <c r="AU87" s="179"/>
      <c r="AV87" s="179"/>
      <c r="AW87" s="179"/>
      <c r="AX87" s="179"/>
      <c r="AY87" s="179"/>
      <c r="AZ87" s="179"/>
      <c r="BA87" s="179"/>
      <c r="BB87" s="179"/>
      <c r="BC87" s="179"/>
      <c r="BD87" s="179"/>
      <c r="BE87" s="179"/>
      <c r="BF87" s="179"/>
      <c r="BG87" s="179"/>
      <c r="BH87" s="179"/>
    </row>
    <row r="88" spans="16:60" s="20" customFormat="1" x14ac:dyDescent="0.25">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79"/>
      <c r="AS88" s="179"/>
      <c r="AT88" s="179"/>
      <c r="AU88" s="179"/>
      <c r="AV88" s="179"/>
      <c r="AW88" s="179"/>
      <c r="AX88" s="179"/>
      <c r="AY88" s="179"/>
      <c r="AZ88" s="179"/>
      <c r="BA88" s="179"/>
      <c r="BB88" s="179"/>
      <c r="BC88" s="179"/>
      <c r="BD88" s="179"/>
      <c r="BE88" s="179"/>
      <c r="BF88" s="179"/>
      <c r="BG88" s="179"/>
      <c r="BH88" s="179"/>
    </row>
    <row r="89" spans="16:60" s="20" customFormat="1" x14ac:dyDescent="0.25">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c r="BE89" s="179"/>
      <c r="BF89" s="179"/>
      <c r="BG89" s="179"/>
      <c r="BH89" s="179"/>
    </row>
    <row r="90" spans="16:60" s="20" customFormat="1" x14ac:dyDescent="0.25">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row>
    <row r="91" spans="16:60" s="20" customFormat="1" x14ac:dyDescent="0.25">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c r="BD91" s="179"/>
      <c r="BE91" s="179"/>
      <c r="BF91" s="179"/>
      <c r="BG91" s="179"/>
      <c r="BH91" s="179"/>
    </row>
    <row r="92" spans="16:60" s="20" customFormat="1" x14ac:dyDescent="0.25">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79"/>
      <c r="AS92" s="179"/>
      <c r="AT92" s="179"/>
      <c r="AU92" s="179"/>
      <c r="AV92" s="179"/>
      <c r="AW92" s="179"/>
      <c r="AX92" s="179"/>
      <c r="AY92" s="179"/>
      <c r="AZ92" s="179"/>
      <c r="BA92" s="179"/>
      <c r="BB92" s="179"/>
      <c r="BC92" s="179"/>
      <c r="BD92" s="179"/>
      <c r="BE92" s="179"/>
      <c r="BF92" s="179"/>
      <c r="BG92" s="179"/>
      <c r="BH92" s="179"/>
    </row>
    <row r="93" spans="16:60" s="20" customFormat="1" x14ac:dyDescent="0.25">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79"/>
      <c r="AV93" s="179"/>
      <c r="AW93" s="179"/>
      <c r="AX93" s="179"/>
      <c r="AY93" s="179"/>
      <c r="AZ93" s="179"/>
      <c r="BA93" s="179"/>
      <c r="BB93" s="179"/>
      <c r="BC93" s="179"/>
      <c r="BD93" s="179"/>
      <c r="BE93" s="179"/>
      <c r="BF93" s="179"/>
      <c r="BG93" s="179"/>
      <c r="BH93" s="179"/>
    </row>
    <row r="94" spans="16:60" s="20" customFormat="1" x14ac:dyDescent="0.25">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c r="AX94" s="179"/>
      <c r="AY94" s="179"/>
      <c r="AZ94" s="179"/>
      <c r="BA94" s="179"/>
      <c r="BB94" s="179"/>
      <c r="BC94" s="179"/>
      <c r="BD94" s="179"/>
      <c r="BE94" s="179"/>
      <c r="BF94" s="179"/>
      <c r="BG94" s="179"/>
      <c r="BH94" s="179"/>
    </row>
    <row r="95" spans="16:60" s="20" customFormat="1" x14ac:dyDescent="0.25">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79"/>
      <c r="AS95" s="179"/>
      <c r="AT95" s="179"/>
      <c r="AU95" s="179"/>
      <c r="AV95" s="179"/>
      <c r="AW95" s="179"/>
      <c r="AX95" s="179"/>
      <c r="AY95" s="179"/>
      <c r="AZ95" s="179"/>
      <c r="BA95" s="179"/>
      <c r="BB95" s="179"/>
      <c r="BC95" s="179"/>
      <c r="BD95" s="179"/>
      <c r="BE95" s="179"/>
      <c r="BF95" s="179"/>
      <c r="BG95" s="179"/>
      <c r="BH95" s="179"/>
    </row>
    <row r="96" spans="16:60" s="20" customFormat="1" x14ac:dyDescent="0.25">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c r="BD96" s="179"/>
      <c r="BE96" s="179"/>
      <c r="BF96" s="179"/>
      <c r="BG96" s="179"/>
      <c r="BH96" s="179"/>
    </row>
    <row r="97" spans="16:60" s="20" customFormat="1" x14ac:dyDescent="0.25">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179"/>
      <c r="BE97" s="179"/>
      <c r="BF97" s="179"/>
      <c r="BG97" s="179"/>
      <c r="BH97" s="179"/>
    </row>
    <row r="98" spans="16:60" s="20" customFormat="1" x14ac:dyDescent="0.25">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179"/>
      <c r="BE98" s="179"/>
      <c r="BF98" s="179"/>
      <c r="BG98" s="179"/>
      <c r="BH98" s="179"/>
    </row>
    <row r="99" spans="16:60" s="20" customFormat="1" x14ac:dyDescent="0.25">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79"/>
      <c r="AZ99" s="179"/>
      <c r="BA99" s="179"/>
      <c r="BB99" s="179"/>
      <c r="BC99" s="179"/>
      <c r="BD99" s="179"/>
      <c r="BE99" s="179"/>
      <c r="BF99" s="179"/>
      <c r="BG99" s="179"/>
      <c r="BH99" s="179"/>
    </row>
    <row r="100" spans="16:60" s="20" customFormat="1" x14ac:dyDescent="0.25">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row>
    <row r="101" spans="16:60" s="20" customFormat="1" x14ac:dyDescent="0.25">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row>
    <row r="102" spans="16:60" s="20" customFormat="1" x14ac:dyDescent="0.25">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row>
    <row r="103" spans="16:60" s="20" customFormat="1" x14ac:dyDescent="0.25">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row>
    <row r="104" spans="16:60" s="20" customFormat="1" x14ac:dyDescent="0.25">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row>
    <row r="105" spans="16:60" s="20" customFormat="1" x14ac:dyDescent="0.25">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row>
    <row r="106" spans="16:60" s="20" customFormat="1" x14ac:dyDescent="0.25">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79"/>
      <c r="AZ106" s="179"/>
      <c r="BA106" s="179"/>
      <c r="BB106" s="179"/>
      <c r="BC106" s="179"/>
      <c r="BD106" s="179"/>
      <c r="BE106" s="179"/>
      <c r="BF106" s="179"/>
      <c r="BG106" s="179"/>
      <c r="BH106" s="179"/>
    </row>
    <row r="107" spans="16:60" s="20" customFormat="1" x14ac:dyDescent="0.25">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79"/>
      <c r="AV107" s="179"/>
      <c r="AW107" s="179"/>
      <c r="AX107" s="179"/>
      <c r="AY107" s="179"/>
      <c r="AZ107" s="179"/>
      <c r="BA107" s="179"/>
      <c r="BB107" s="179"/>
      <c r="BC107" s="179"/>
      <c r="BD107" s="179"/>
      <c r="BE107" s="179"/>
      <c r="BF107" s="179"/>
      <c r="BG107" s="179"/>
      <c r="BH107" s="179"/>
    </row>
    <row r="108" spans="16:60" s="20" customFormat="1" x14ac:dyDescent="0.25">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79"/>
      <c r="AV108" s="179"/>
      <c r="AW108" s="179"/>
      <c r="AX108" s="179"/>
      <c r="AY108" s="179"/>
      <c r="AZ108" s="179"/>
      <c r="BA108" s="179"/>
      <c r="BB108" s="179"/>
      <c r="BC108" s="179"/>
      <c r="BD108" s="179"/>
      <c r="BE108" s="179"/>
      <c r="BF108" s="179"/>
      <c r="BG108" s="179"/>
      <c r="BH108" s="179"/>
    </row>
    <row r="109" spans="16:60" s="20" customFormat="1" x14ac:dyDescent="0.25">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c r="AY109" s="179"/>
      <c r="AZ109" s="179"/>
      <c r="BA109" s="179"/>
      <c r="BB109" s="179"/>
      <c r="BC109" s="179"/>
      <c r="BD109" s="179"/>
      <c r="BE109" s="179"/>
      <c r="BF109" s="179"/>
      <c r="BG109" s="179"/>
      <c r="BH109" s="179"/>
    </row>
    <row r="110" spans="16:60" s="20" customFormat="1" x14ac:dyDescent="0.25">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T110" s="179"/>
      <c r="AU110" s="179"/>
      <c r="AV110" s="179"/>
      <c r="AW110" s="179"/>
      <c r="AX110" s="179"/>
      <c r="AY110" s="179"/>
      <c r="AZ110" s="179"/>
      <c r="BA110" s="179"/>
      <c r="BB110" s="179"/>
      <c r="BC110" s="179"/>
      <c r="BD110" s="179"/>
      <c r="BE110" s="179"/>
      <c r="BF110" s="179"/>
      <c r="BG110" s="179"/>
      <c r="BH110" s="179"/>
    </row>
    <row r="111" spans="16:60" s="20" customFormat="1" x14ac:dyDescent="0.25">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T111" s="179"/>
      <c r="AU111" s="179"/>
      <c r="AV111" s="179"/>
      <c r="AW111" s="179"/>
      <c r="AX111" s="179"/>
      <c r="AY111" s="179"/>
      <c r="AZ111" s="179"/>
      <c r="BA111" s="179"/>
      <c r="BB111" s="179"/>
      <c r="BC111" s="179"/>
      <c r="BD111" s="179"/>
      <c r="BE111" s="179"/>
      <c r="BF111" s="179"/>
      <c r="BG111" s="179"/>
      <c r="BH111" s="179"/>
    </row>
    <row r="112" spans="16:60" s="20" customFormat="1" x14ac:dyDescent="0.25">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179"/>
      <c r="BB112" s="179"/>
      <c r="BC112" s="179"/>
      <c r="BD112" s="179"/>
      <c r="BE112" s="179"/>
      <c r="BF112" s="179"/>
      <c r="BG112" s="179"/>
      <c r="BH112" s="179"/>
    </row>
    <row r="113" spans="16:60" s="20" customFormat="1" x14ac:dyDescent="0.25">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c r="AW113" s="179"/>
      <c r="AX113" s="179"/>
      <c r="AY113" s="179"/>
      <c r="AZ113" s="179"/>
      <c r="BA113" s="179"/>
      <c r="BB113" s="179"/>
      <c r="BC113" s="179"/>
      <c r="BD113" s="179"/>
      <c r="BE113" s="179"/>
      <c r="BF113" s="179"/>
      <c r="BG113" s="179"/>
      <c r="BH113" s="179"/>
    </row>
    <row r="114" spans="16:60" s="20" customFormat="1" x14ac:dyDescent="0.25">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row>
    <row r="115" spans="16:60" s="20" customFormat="1" x14ac:dyDescent="0.25">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79"/>
      <c r="BA115" s="179"/>
      <c r="BB115" s="179"/>
      <c r="BC115" s="179"/>
      <c r="BD115" s="179"/>
      <c r="BE115" s="179"/>
      <c r="BF115" s="179"/>
      <c r="BG115" s="179"/>
      <c r="BH115" s="179"/>
    </row>
    <row r="116" spans="16:60" s="20" customFormat="1" x14ac:dyDescent="0.25">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c r="BE116" s="179"/>
      <c r="BF116" s="179"/>
      <c r="BG116" s="179"/>
      <c r="BH116" s="179"/>
    </row>
    <row r="117" spans="16:60" s="20" customFormat="1" x14ac:dyDescent="0.25">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79"/>
      <c r="BD117" s="179"/>
      <c r="BE117" s="179"/>
      <c r="BF117" s="179"/>
      <c r="BG117" s="179"/>
      <c r="BH117" s="179"/>
    </row>
    <row r="118" spans="16:60" s="20" customFormat="1" x14ac:dyDescent="0.25">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c r="BE118" s="179"/>
      <c r="BF118" s="179"/>
      <c r="BG118" s="179"/>
      <c r="BH118" s="179"/>
    </row>
    <row r="119" spans="16:60" s="20" customFormat="1" x14ac:dyDescent="0.25">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79"/>
      <c r="AQ119" s="179"/>
      <c r="AR119" s="179"/>
      <c r="AS119" s="179"/>
      <c r="AT119" s="179"/>
      <c r="AU119" s="179"/>
      <c r="AV119" s="179"/>
      <c r="AW119" s="179"/>
      <c r="AX119" s="179"/>
      <c r="AY119" s="179"/>
      <c r="AZ119" s="179"/>
      <c r="BA119" s="179"/>
      <c r="BB119" s="179"/>
      <c r="BC119" s="179"/>
      <c r="BD119" s="179"/>
      <c r="BE119" s="179"/>
      <c r="BF119" s="179"/>
      <c r="BG119" s="179"/>
      <c r="BH119" s="179"/>
    </row>
    <row r="120" spans="16:60" s="20" customFormat="1" x14ac:dyDescent="0.25">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row>
    <row r="121" spans="16:60" s="20" customFormat="1" x14ac:dyDescent="0.25">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c r="AO121" s="179"/>
      <c r="AP121" s="179"/>
      <c r="AQ121" s="179"/>
      <c r="AR121" s="179"/>
      <c r="AS121" s="179"/>
      <c r="AT121" s="179"/>
      <c r="AU121" s="179"/>
      <c r="AV121" s="179"/>
      <c r="AW121" s="179"/>
      <c r="AX121" s="179"/>
      <c r="AY121" s="179"/>
      <c r="AZ121" s="179"/>
      <c r="BA121" s="179"/>
      <c r="BB121" s="179"/>
      <c r="BC121" s="179"/>
      <c r="BD121" s="179"/>
      <c r="BE121" s="179"/>
      <c r="BF121" s="179"/>
      <c r="BG121" s="179"/>
      <c r="BH121" s="179"/>
    </row>
    <row r="122" spans="16:60" s="20" customFormat="1" x14ac:dyDescent="0.25">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79"/>
      <c r="BA122" s="179"/>
      <c r="BB122" s="179"/>
      <c r="BC122" s="179"/>
      <c r="BD122" s="179"/>
      <c r="BE122" s="179"/>
      <c r="BF122" s="179"/>
      <c r="BG122" s="179"/>
      <c r="BH122" s="179"/>
    </row>
    <row r="123" spans="16:60" s="20" customFormat="1" x14ac:dyDescent="0.25">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row>
    <row r="124" spans="16:60" s="20" customFormat="1" x14ac:dyDescent="0.25">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179"/>
      <c r="AY124" s="179"/>
      <c r="AZ124" s="179"/>
      <c r="BA124" s="179"/>
      <c r="BB124" s="179"/>
      <c r="BC124" s="179"/>
      <c r="BD124" s="179"/>
      <c r="BE124" s="179"/>
      <c r="BF124" s="179"/>
      <c r="BG124" s="179"/>
      <c r="BH124" s="179"/>
    </row>
    <row r="125" spans="16:60" s="20" customFormat="1" x14ac:dyDescent="0.25">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179"/>
      <c r="AR125" s="179"/>
      <c r="AS125" s="179"/>
      <c r="AT125" s="179"/>
      <c r="AU125" s="179"/>
      <c r="AV125" s="179"/>
      <c r="AW125" s="179"/>
      <c r="AX125" s="179"/>
      <c r="AY125" s="179"/>
      <c r="AZ125" s="179"/>
      <c r="BA125" s="179"/>
      <c r="BB125" s="179"/>
      <c r="BC125" s="179"/>
      <c r="BD125" s="179"/>
      <c r="BE125" s="179"/>
      <c r="BF125" s="179"/>
      <c r="BG125" s="179"/>
      <c r="BH125" s="179"/>
    </row>
    <row r="126" spans="16:60" s="20" customFormat="1" x14ac:dyDescent="0.25">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c r="AR126" s="179"/>
      <c r="AS126" s="179"/>
      <c r="AT126" s="179"/>
      <c r="AU126" s="179"/>
      <c r="AV126" s="179"/>
      <c r="AW126" s="179"/>
      <c r="AX126" s="179"/>
      <c r="AY126" s="179"/>
      <c r="AZ126" s="179"/>
      <c r="BA126" s="179"/>
      <c r="BB126" s="179"/>
      <c r="BC126" s="179"/>
      <c r="BD126" s="179"/>
      <c r="BE126" s="179"/>
      <c r="BF126" s="179"/>
      <c r="BG126" s="179"/>
      <c r="BH126" s="179"/>
    </row>
    <row r="127" spans="16:60" s="20" customFormat="1" x14ac:dyDescent="0.25">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c r="AU127" s="179"/>
      <c r="AV127" s="179"/>
      <c r="AW127" s="179"/>
      <c r="AX127" s="179"/>
      <c r="AY127" s="179"/>
      <c r="AZ127" s="179"/>
      <c r="BA127" s="179"/>
      <c r="BB127" s="179"/>
      <c r="BC127" s="179"/>
      <c r="BD127" s="179"/>
      <c r="BE127" s="179"/>
      <c r="BF127" s="179"/>
      <c r="BG127" s="179"/>
      <c r="BH127" s="179"/>
    </row>
    <row r="128" spans="16:60" s="20" customFormat="1" x14ac:dyDescent="0.25">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179"/>
      <c r="AV128" s="179"/>
      <c r="AW128" s="179"/>
      <c r="AX128" s="179"/>
      <c r="AY128" s="179"/>
      <c r="AZ128" s="179"/>
      <c r="BA128" s="179"/>
      <c r="BB128" s="179"/>
      <c r="BC128" s="179"/>
      <c r="BD128" s="179"/>
      <c r="BE128" s="179"/>
      <c r="BF128" s="179"/>
      <c r="BG128" s="179"/>
      <c r="BH128" s="179"/>
    </row>
    <row r="129" spans="16:60" s="20" customFormat="1" x14ac:dyDescent="0.25">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179"/>
      <c r="AV129" s="179"/>
      <c r="AW129" s="179"/>
      <c r="AX129" s="179"/>
      <c r="AY129" s="179"/>
      <c r="AZ129" s="179"/>
      <c r="BA129" s="179"/>
      <c r="BB129" s="179"/>
      <c r="BC129" s="179"/>
      <c r="BD129" s="179"/>
      <c r="BE129" s="179"/>
      <c r="BF129" s="179"/>
      <c r="BG129" s="179"/>
      <c r="BH129" s="179"/>
    </row>
    <row r="130" spans="16:60" s="20" customFormat="1" x14ac:dyDescent="0.25">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c r="AW130" s="179"/>
      <c r="AX130" s="179"/>
      <c r="AY130" s="179"/>
      <c r="AZ130" s="179"/>
      <c r="BA130" s="179"/>
      <c r="BB130" s="179"/>
      <c r="BC130" s="179"/>
      <c r="BD130" s="179"/>
      <c r="BE130" s="179"/>
      <c r="BF130" s="179"/>
      <c r="BG130" s="179"/>
      <c r="BH130" s="179"/>
    </row>
    <row r="131" spans="16:60" s="20" customFormat="1" x14ac:dyDescent="0.25">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row>
    <row r="132" spans="16:60" s="20" customFormat="1" x14ac:dyDescent="0.25">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c r="AR132" s="179"/>
      <c r="AS132" s="179"/>
      <c r="AT132" s="179"/>
      <c r="AU132" s="179"/>
      <c r="AV132" s="179"/>
      <c r="AW132" s="179"/>
      <c r="AX132" s="179"/>
      <c r="AY132" s="179"/>
      <c r="AZ132" s="179"/>
      <c r="BA132" s="179"/>
      <c r="BB132" s="179"/>
      <c r="BC132" s="179"/>
      <c r="BD132" s="179"/>
      <c r="BE132" s="179"/>
      <c r="BF132" s="179"/>
      <c r="BG132" s="179"/>
      <c r="BH132" s="179"/>
    </row>
    <row r="133" spans="16:60" s="20" customFormat="1" x14ac:dyDescent="0.25">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c r="AW133" s="179"/>
      <c r="AX133" s="179"/>
      <c r="AY133" s="179"/>
      <c r="AZ133" s="179"/>
      <c r="BA133" s="179"/>
      <c r="BB133" s="179"/>
      <c r="BC133" s="179"/>
      <c r="BD133" s="179"/>
      <c r="BE133" s="179"/>
      <c r="BF133" s="179"/>
      <c r="BG133" s="179"/>
      <c r="BH133" s="179"/>
    </row>
    <row r="134" spans="16:60" s="20" customFormat="1" x14ac:dyDescent="0.25">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c r="AS134" s="179"/>
      <c r="AT134" s="179"/>
      <c r="AU134" s="179"/>
      <c r="AV134" s="179"/>
      <c r="AW134" s="179"/>
      <c r="AX134" s="179"/>
      <c r="AY134" s="179"/>
      <c r="AZ134" s="179"/>
      <c r="BA134" s="179"/>
      <c r="BB134" s="179"/>
      <c r="BC134" s="179"/>
      <c r="BD134" s="179"/>
      <c r="BE134" s="179"/>
      <c r="BF134" s="179"/>
      <c r="BG134" s="179"/>
      <c r="BH134" s="179"/>
    </row>
    <row r="135" spans="16:60" s="20" customFormat="1" x14ac:dyDescent="0.25">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179"/>
      <c r="AU135" s="179"/>
      <c r="AV135" s="179"/>
      <c r="AW135" s="179"/>
      <c r="AX135" s="179"/>
      <c r="AY135" s="179"/>
      <c r="AZ135" s="179"/>
      <c r="BA135" s="179"/>
      <c r="BB135" s="179"/>
      <c r="BC135" s="179"/>
      <c r="BD135" s="179"/>
      <c r="BE135" s="179"/>
      <c r="BF135" s="179"/>
      <c r="BG135" s="179"/>
      <c r="BH135" s="179"/>
    </row>
    <row r="136" spans="16:60" s="20" customFormat="1" x14ac:dyDescent="0.25">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79"/>
      <c r="AX136" s="179"/>
      <c r="AY136" s="179"/>
      <c r="AZ136" s="179"/>
      <c r="BA136" s="179"/>
      <c r="BB136" s="179"/>
      <c r="BC136" s="179"/>
      <c r="BD136" s="179"/>
      <c r="BE136" s="179"/>
      <c r="BF136" s="179"/>
      <c r="BG136" s="179"/>
      <c r="BH136" s="179"/>
    </row>
    <row r="137" spans="16:60" s="20" customFormat="1" x14ac:dyDescent="0.25">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c r="AS137" s="179"/>
      <c r="AT137" s="179"/>
      <c r="AU137" s="179"/>
      <c r="AV137" s="179"/>
      <c r="AW137" s="179"/>
      <c r="AX137" s="179"/>
      <c r="AY137" s="179"/>
      <c r="AZ137" s="179"/>
      <c r="BA137" s="179"/>
      <c r="BB137" s="179"/>
      <c r="BC137" s="179"/>
      <c r="BD137" s="179"/>
      <c r="BE137" s="179"/>
      <c r="BF137" s="179"/>
      <c r="BG137" s="179"/>
      <c r="BH137" s="179"/>
    </row>
    <row r="138" spans="16:60" s="20" customFormat="1" x14ac:dyDescent="0.25">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c r="AS138" s="179"/>
      <c r="AT138" s="179"/>
      <c r="AU138" s="179"/>
      <c r="AV138" s="179"/>
      <c r="AW138" s="179"/>
      <c r="AX138" s="179"/>
      <c r="AY138" s="179"/>
      <c r="AZ138" s="179"/>
      <c r="BA138" s="179"/>
      <c r="BB138" s="179"/>
      <c r="BC138" s="179"/>
      <c r="BD138" s="179"/>
      <c r="BE138" s="179"/>
      <c r="BF138" s="179"/>
      <c r="BG138" s="179"/>
      <c r="BH138" s="179"/>
    </row>
    <row r="139" spans="16:60" s="20" customFormat="1" x14ac:dyDescent="0.25">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79"/>
      <c r="AL139" s="179"/>
      <c r="AM139" s="179"/>
      <c r="AN139" s="179"/>
      <c r="AO139" s="179"/>
      <c r="AP139" s="179"/>
      <c r="AQ139" s="179"/>
      <c r="AR139" s="179"/>
      <c r="AS139" s="179"/>
      <c r="AT139" s="179"/>
      <c r="AU139" s="179"/>
      <c r="AV139" s="179"/>
      <c r="AW139" s="179"/>
      <c r="AX139" s="179"/>
      <c r="AY139" s="179"/>
      <c r="AZ139" s="179"/>
      <c r="BA139" s="179"/>
      <c r="BB139" s="179"/>
      <c r="BC139" s="179"/>
      <c r="BD139" s="179"/>
      <c r="BE139" s="179"/>
      <c r="BF139" s="179"/>
      <c r="BG139" s="179"/>
      <c r="BH139" s="179"/>
    </row>
    <row r="140" spans="16:60" s="20" customFormat="1" x14ac:dyDescent="0.25">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79"/>
      <c r="AQ140" s="179"/>
      <c r="AR140" s="179"/>
      <c r="AS140" s="179"/>
      <c r="AT140" s="179"/>
      <c r="AU140" s="179"/>
      <c r="AV140" s="179"/>
      <c r="AW140" s="179"/>
      <c r="AX140" s="179"/>
      <c r="AY140" s="179"/>
      <c r="AZ140" s="179"/>
      <c r="BA140" s="179"/>
      <c r="BB140" s="179"/>
      <c r="BC140" s="179"/>
      <c r="BD140" s="179"/>
      <c r="BE140" s="179"/>
      <c r="BF140" s="179"/>
      <c r="BG140" s="179"/>
      <c r="BH140" s="179"/>
    </row>
    <row r="141" spans="16:60" s="20" customFormat="1" x14ac:dyDescent="0.25">
      <c r="P141" s="179"/>
      <c r="Q141" s="179"/>
      <c r="R141" s="179"/>
      <c r="S141" s="179"/>
      <c r="T141" s="179"/>
      <c r="U141" s="179"/>
      <c r="V141" s="179"/>
      <c r="W141" s="179"/>
      <c r="X141" s="179"/>
      <c r="Y141" s="179"/>
      <c r="Z141" s="179"/>
      <c r="AA141" s="179"/>
      <c r="AB141" s="179"/>
      <c r="AC141" s="179"/>
      <c r="AD141" s="179"/>
      <c r="AE141" s="179"/>
      <c r="AF141" s="179"/>
      <c r="AG141" s="179"/>
      <c r="AH141" s="179"/>
      <c r="AI141" s="179"/>
      <c r="AJ141" s="179"/>
      <c r="AK141" s="179"/>
      <c r="AL141" s="179"/>
      <c r="AM141" s="179"/>
      <c r="AN141" s="179"/>
      <c r="AO141" s="179"/>
      <c r="AP141" s="179"/>
      <c r="AQ141" s="179"/>
      <c r="AR141" s="179"/>
      <c r="AS141" s="179"/>
      <c r="AT141" s="179"/>
      <c r="AU141" s="179"/>
      <c r="AV141" s="179"/>
      <c r="AW141" s="179"/>
      <c r="AX141" s="179"/>
      <c r="AY141" s="179"/>
      <c r="AZ141" s="179"/>
      <c r="BA141" s="179"/>
      <c r="BB141" s="179"/>
      <c r="BC141" s="179"/>
      <c r="BD141" s="179"/>
      <c r="BE141" s="179"/>
      <c r="BF141" s="179"/>
      <c r="BG141" s="179"/>
      <c r="BH141" s="179"/>
    </row>
    <row r="142" spans="16:60" s="20" customFormat="1" x14ac:dyDescent="0.25">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c r="AP142" s="179"/>
      <c r="AQ142" s="179"/>
      <c r="AR142" s="179"/>
      <c r="AS142" s="179"/>
      <c r="AT142" s="179"/>
      <c r="AU142" s="179"/>
      <c r="AV142" s="179"/>
      <c r="AW142" s="179"/>
      <c r="AX142" s="179"/>
      <c r="AY142" s="179"/>
      <c r="AZ142" s="179"/>
      <c r="BA142" s="179"/>
      <c r="BB142" s="179"/>
      <c r="BC142" s="179"/>
      <c r="BD142" s="179"/>
      <c r="BE142" s="179"/>
      <c r="BF142" s="179"/>
      <c r="BG142" s="179"/>
      <c r="BH142" s="179"/>
    </row>
    <row r="143" spans="16:60" s="20" customFormat="1" x14ac:dyDescent="0.25">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c r="AK143" s="179"/>
      <c r="AL143" s="179"/>
      <c r="AM143" s="179"/>
      <c r="AN143" s="179"/>
      <c r="AO143" s="179"/>
      <c r="AP143" s="179"/>
      <c r="AQ143" s="179"/>
      <c r="AR143" s="179"/>
      <c r="AS143" s="179"/>
      <c r="AT143" s="179"/>
      <c r="AU143" s="179"/>
      <c r="AV143" s="179"/>
      <c r="AW143" s="179"/>
      <c r="AX143" s="179"/>
      <c r="AY143" s="179"/>
      <c r="AZ143" s="179"/>
      <c r="BA143" s="179"/>
      <c r="BB143" s="179"/>
      <c r="BC143" s="179"/>
      <c r="BD143" s="179"/>
      <c r="BE143" s="179"/>
      <c r="BF143" s="179"/>
      <c r="BG143" s="179"/>
      <c r="BH143" s="179"/>
    </row>
    <row r="144" spans="16:60" s="20" customFormat="1" x14ac:dyDescent="0.25">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179"/>
      <c r="AV144" s="179"/>
      <c r="AW144" s="179"/>
      <c r="AX144" s="179"/>
      <c r="AY144" s="179"/>
      <c r="AZ144" s="179"/>
      <c r="BA144" s="179"/>
      <c r="BB144" s="179"/>
      <c r="BC144" s="179"/>
      <c r="BD144" s="179"/>
      <c r="BE144" s="179"/>
      <c r="BF144" s="179"/>
      <c r="BG144" s="179"/>
      <c r="BH144" s="179"/>
    </row>
    <row r="145" spans="16:60" s="20" customFormat="1" x14ac:dyDescent="0.25">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c r="AS145" s="179"/>
      <c r="AT145" s="179"/>
      <c r="AU145" s="179"/>
      <c r="AV145" s="179"/>
      <c r="AW145" s="179"/>
      <c r="AX145" s="179"/>
      <c r="AY145" s="179"/>
      <c r="AZ145" s="179"/>
      <c r="BA145" s="179"/>
      <c r="BB145" s="179"/>
      <c r="BC145" s="179"/>
      <c r="BD145" s="179"/>
      <c r="BE145" s="179"/>
      <c r="BF145" s="179"/>
      <c r="BG145" s="179"/>
      <c r="BH145" s="179"/>
    </row>
    <row r="146" spans="16:60" s="20" customFormat="1" x14ac:dyDescent="0.25">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c r="AP146" s="179"/>
      <c r="AQ146" s="179"/>
      <c r="AR146" s="179"/>
      <c r="AS146" s="179"/>
      <c r="AT146" s="179"/>
      <c r="AU146" s="179"/>
      <c r="AV146" s="179"/>
      <c r="AW146" s="179"/>
      <c r="AX146" s="179"/>
      <c r="AY146" s="179"/>
      <c r="AZ146" s="179"/>
      <c r="BA146" s="179"/>
      <c r="BB146" s="179"/>
      <c r="BC146" s="179"/>
      <c r="BD146" s="179"/>
      <c r="BE146" s="179"/>
      <c r="BF146" s="179"/>
      <c r="BG146" s="179"/>
      <c r="BH146" s="179"/>
    </row>
    <row r="147" spans="16:60" s="20" customFormat="1" x14ac:dyDescent="0.25">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79"/>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row>
    <row r="148" spans="16:60" s="20" customFormat="1" x14ac:dyDescent="0.25">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c r="AO148" s="179"/>
      <c r="AP148" s="179"/>
      <c r="AQ148" s="179"/>
      <c r="AR148" s="179"/>
      <c r="AS148" s="179"/>
      <c r="AT148" s="179"/>
      <c r="AU148" s="179"/>
      <c r="AV148" s="179"/>
      <c r="AW148" s="179"/>
      <c r="AX148" s="179"/>
      <c r="AY148" s="179"/>
      <c r="AZ148" s="179"/>
      <c r="BA148" s="179"/>
      <c r="BB148" s="179"/>
      <c r="BC148" s="179"/>
      <c r="BD148" s="179"/>
      <c r="BE148" s="179"/>
      <c r="BF148" s="179"/>
      <c r="BG148" s="179"/>
      <c r="BH148" s="179"/>
    </row>
    <row r="149" spans="16:60" s="20" customFormat="1" x14ac:dyDescent="0.25">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c r="AK149" s="179"/>
      <c r="AL149" s="179"/>
      <c r="AM149" s="179"/>
      <c r="AN149" s="179"/>
      <c r="AO149" s="179"/>
      <c r="AP149" s="179"/>
      <c r="AQ149" s="179"/>
      <c r="AR149" s="179"/>
      <c r="AS149" s="179"/>
      <c r="AT149" s="179"/>
      <c r="AU149" s="179"/>
      <c r="AV149" s="179"/>
      <c r="AW149" s="179"/>
      <c r="AX149" s="179"/>
      <c r="AY149" s="179"/>
      <c r="AZ149" s="179"/>
      <c r="BA149" s="179"/>
      <c r="BB149" s="179"/>
      <c r="BC149" s="179"/>
      <c r="BD149" s="179"/>
      <c r="BE149" s="179"/>
      <c r="BF149" s="179"/>
      <c r="BG149" s="179"/>
      <c r="BH149" s="179"/>
    </row>
    <row r="150" spans="16:60" s="20" customFormat="1" x14ac:dyDescent="0.25">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c r="AK150" s="179"/>
      <c r="AL150" s="179"/>
      <c r="AM150" s="179"/>
      <c r="AN150" s="179"/>
      <c r="AO150" s="179"/>
      <c r="AP150" s="179"/>
      <c r="AQ150" s="179"/>
      <c r="AR150" s="179"/>
      <c r="AS150" s="179"/>
      <c r="AT150" s="179"/>
      <c r="AU150" s="179"/>
      <c r="AV150" s="179"/>
      <c r="AW150" s="179"/>
      <c r="AX150" s="179"/>
      <c r="AY150" s="179"/>
      <c r="AZ150" s="179"/>
      <c r="BA150" s="179"/>
      <c r="BB150" s="179"/>
      <c r="BC150" s="179"/>
      <c r="BD150" s="179"/>
      <c r="BE150" s="179"/>
      <c r="BF150" s="179"/>
      <c r="BG150" s="179"/>
      <c r="BH150" s="179"/>
    </row>
    <row r="151" spans="16:60" s="20" customFormat="1" x14ac:dyDescent="0.25">
      <c r="P151" s="179"/>
      <c r="Q151" s="179"/>
      <c r="R151" s="179"/>
      <c r="S151" s="179"/>
      <c r="T151" s="179"/>
      <c r="U151" s="179"/>
      <c r="V151" s="179"/>
      <c r="W151" s="179"/>
      <c r="X151" s="179"/>
      <c r="Y151" s="179"/>
      <c r="Z151" s="179"/>
      <c r="AA151" s="179"/>
      <c r="AB151" s="179"/>
      <c r="AC151" s="179"/>
      <c r="AD151" s="179"/>
      <c r="AE151" s="179"/>
      <c r="AF151" s="179"/>
      <c r="AG151" s="179"/>
      <c r="AH151" s="179"/>
      <c r="AI151" s="179"/>
      <c r="AJ151" s="179"/>
      <c r="AK151" s="179"/>
      <c r="AL151" s="179"/>
      <c r="AM151" s="179"/>
      <c r="AN151" s="179"/>
      <c r="AO151" s="179"/>
      <c r="AP151" s="179"/>
      <c r="AQ151" s="179"/>
      <c r="AR151" s="179"/>
      <c r="AS151" s="179"/>
      <c r="AT151" s="179"/>
      <c r="AU151" s="179"/>
      <c r="AV151" s="179"/>
      <c r="AW151" s="179"/>
      <c r="AX151" s="179"/>
      <c r="AY151" s="179"/>
      <c r="AZ151" s="179"/>
      <c r="BA151" s="179"/>
      <c r="BB151" s="179"/>
      <c r="BC151" s="179"/>
      <c r="BD151" s="179"/>
      <c r="BE151" s="179"/>
      <c r="BF151" s="179"/>
      <c r="BG151" s="179"/>
      <c r="BH151" s="179"/>
    </row>
    <row r="152" spans="16:60" s="20" customFormat="1" x14ac:dyDescent="0.25">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row>
    <row r="153" spans="16:60" s="20" customFormat="1" x14ac:dyDescent="0.25">
      <c r="P153" s="179"/>
      <c r="Q153" s="179"/>
      <c r="R153" s="179"/>
      <c r="S153" s="179"/>
      <c r="T153" s="179"/>
      <c r="U153" s="179"/>
      <c r="V153" s="179"/>
      <c r="W153" s="179"/>
      <c r="X153" s="179"/>
      <c r="Y153" s="179"/>
      <c r="Z153" s="179"/>
      <c r="AA153" s="179"/>
      <c r="AB153" s="179"/>
      <c r="AC153" s="179"/>
      <c r="AD153" s="179"/>
      <c r="AE153" s="179"/>
      <c r="AF153" s="179"/>
      <c r="AG153" s="179"/>
      <c r="AH153" s="179"/>
      <c r="AI153" s="179"/>
      <c r="AJ153" s="179"/>
      <c r="AK153" s="179"/>
      <c r="AL153" s="179"/>
      <c r="AM153" s="179"/>
      <c r="AN153" s="179"/>
      <c r="AO153" s="179"/>
      <c r="AP153" s="179"/>
      <c r="AQ153" s="179"/>
      <c r="AR153" s="179"/>
      <c r="AS153" s="179"/>
      <c r="AT153" s="179"/>
      <c r="AU153" s="179"/>
      <c r="AV153" s="179"/>
      <c r="AW153" s="179"/>
      <c r="AX153" s="179"/>
      <c r="AY153" s="179"/>
      <c r="AZ153" s="179"/>
      <c r="BA153" s="179"/>
      <c r="BB153" s="179"/>
      <c r="BC153" s="179"/>
      <c r="BD153" s="179"/>
      <c r="BE153" s="179"/>
      <c r="BF153" s="179"/>
      <c r="BG153" s="179"/>
      <c r="BH153" s="179"/>
    </row>
    <row r="154" spans="16:60" s="20" customFormat="1" x14ac:dyDescent="0.25">
      <c r="P154" s="179"/>
      <c r="Q154" s="179"/>
      <c r="R154" s="179"/>
      <c r="S154" s="179"/>
      <c r="T154" s="179"/>
      <c r="U154" s="179"/>
      <c r="V154" s="179"/>
      <c r="W154" s="179"/>
      <c r="X154" s="179"/>
      <c r="Y154" s="179"/>
      <c r="Z154" s="179"/>
      <c r="AA154" s="179"/>
      <c r="AB154" s="179"/>
      <c r="AC154" s="179"/>
      <c r="AD154" s="179"/>
      <c r="AE154" s="179"/>
      <c r="AF154" s="179"/>
      <c r="AG154" s="179"/>
      <c r="AH154" s="179"/>
      <c r="AI154" s="179"/>
      <c r="AJ154" s="179"/>
      <c r="AK154" s="179"/>
      <c r="AL154" s="179"/>
      <c r="AM154" s="179"/>
      <c r="AN154" s="179"/>
      <c r="AO154" s="179"/>
      <c r="AP154" s="179"/>
      <c r="AQ154" s="179"/>
      <c r="AR154" s="179"/>
      <c r="AS154" s="179"/>
      <c r="AT154" s="179"/>
      <c r="AU154" s="179"/>
      <c r="AV154" s="179"/>
      <c r="AW154" s="179"/>
      <c r="AX154" s="179"/>
      <c r="AY154" s="179"/>
      <c r="AZ154" s="179"/>
      <c r="BA154" s="179"/>
      <c r="BB154" s="179"/>
      <c r="BC154" s="179"/>
      <c r="BD154" s="179"/>
      <c r="BE154" s="179"/>
      <c r="BF154" s="179"/>
      <c r="BG154" s="179"/>
      <c r="BH154" s="179"/>
    </row>
    <row r="155" spans="16:60" s="20" customFormat="1" x14ac:dyDescent="0.25">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c r="AO155" s="179"/>
      <c r="AP155" s="179"/>
      <c r="AQ155" s="179"/>
      <c r="AR155" s="179"/>
      <c r="AS155" s="179"/>
      <c r="AT155" s="179"/>
      <c r="AU155" s="179"/>
      <c r="AV155" s="179"/>
      <c r="AW155" s="179"/>
      <c r="AX155" s="179"/>
      <c r="AY155" s="179"/>
      <c r="AZ155" s="179"/>
      <c r="BA155" s="179"/>
      <c r="BB155" s="179"/>
      <c r="BC155" s="179"/>
      <c r="BD155" s="179"/>
      <c r="BE155" s="179"/>
      <c r="BF155" s="179"/>
      <c r="BG155" s="179"/>
      <c r="BH155" s="179"/>
    </row>
    <row r="156" spans="16:60" s="20" customFormat="1" x14ac:dyDescent="0.25">
      <c r="P156" s="179"/>
      <c r="Q156" s="179"/>
      <c r="R156" s="179"/>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c r="AO156" s="179"/>
      <c r="AP156" s="179"/>
      <c r="AQ156" s="179"/>
      <c r="AR156" s="179"/>
      <c r="AS156" s="179"/>
      <c r="AT156" s="179"/>
      <c r="AU156" s="179"/>
      <c r="AV156" s="179"/>
      <c r="AW156" s="179"/>
      <c r="AX156" s="179"/>
      <c r="AY156" s="179"/>
      <c r="AZ156" s="179"/>
      <c r="BA156" s="179"/>
      <c r="BB156" s="179"/>
      <c r="BC156" s="179"/>
      <c r="BD156" s="179"/>
      <c r="BE156" s="179"/>
      <c r="BF156" s="179"/>
      <c r="BG156" s="179"/>
      <c r="BH156" s="179"/>
    </row>
    <row r="157" spans="16:60" s="20" customFormat="1" x14ac:dyDescent="0.25">
      <c r="P157" s="179"/>
      <c r="Q157" s="179"/>
      <c r="R157" s="179"/>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c r="AO157" s="179"/>
      <c r="AP157" s="179"/>
      <c r="AQ157" s="179"/>
      <c r="AR157" s="179"/>
      <c r="AS157" s="179"/>
      <c r="AT157" s="179"/>
      <c r="AU157" s="179"/>
      <c r="AV157" s="179"/>
      <c r="AW157" s="179"/>
      <c r="AX157" s="179"/>
      <c r="AY157" s="179"/>
      <c r="AZ157" s="179"/>
      <c r="BA157" s="179"/>
      <c r="BB157" s="179"/>
      <c r="BC157" s="179"/>
      <c r="BD157" s="179"/>
      <c r="BE157" s="179"/>
      <c r="BF157" s="179"/>
      <c r="BG157" s="179"/>
      <c r="BH157" s="179"/>
    </row>
    <row r="158" spans="16:60" s="20" customFormat="1" x14ac:dyDescent="0.25">
      <c r="P158" s="179"/>
      <c r="Q158" s="179"/>
      <c r="R158" s="179"/>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c r="AS158" s="179"/>
      <c r="AT158" s="179"/>
      <c r="AU158" s="179"/>
      <c r="AV158" s="179"/>
      <c r="AW158" s="179"/>
      <c r="AX158" s="179"/>
      <c r="AY158" s="179"/>
      <c r="AZ158" s="179"/>
      <c r="BA158" s="179"/>
      <c r="BB158" s="179"/>
      <c r="BC158" s="179"/>
      <c r="BD158" s="179"/>
      <c r="BE158" s="179"/>
      <c r="BF158" s="179"/>
      <c r="BG158" s="179"/>
      <c r="BH158" s="179"/>
    </row>
    <row r="159" spans="16:60" s="20" customFormat="1" x14ac:dyDescent="0.25">
      <c r="P159" s="179"/>
      <c r="Q159" s="179"/>
      <c r="R159" s="179"/>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c r="AO159" s="179"/>
      <c r="AP159" s="179"/>
      <c r="AQ159" s="179"/>
      <c r="AR159" s="179"/>
      <c r="AS159" s="179"/>
      <c r="AT159" s="179"/>
      <c r="AU159" s="179"/>
      <c r="AV159" s="179"/>
      <c r="AW159" s="179"/>
      <c r="AX159" s="179"/>
      <c r="AY159" s="179"/>
      <c r="AZ159" s="179"/>
      <c r="BA159" s="179"/>
      <c r="BB159" s="179"/>
      <c r="BC159" s="179"/>
      <c r="BD159" s="179"/>
      <c r="BE159" s="179"/>
      <c r="BF159" s="179"/>
      <c r="BG159" s="179"/>
      <c r="BH159" s="179"/>
    </row>
    <row r="160" spans="16:60" s="20" customFormat="1" x14ac:dyDescent="0.25">
      <c r="P160" s="179"/>
      <c r="Q160" s="179"/>
      <c r="R160" s="179"/>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c r="AO160" s="179"/>
      <c r="AP160" s="179"/>
      <c r="AQ160" s="179"/>
      <c r="AR160" s="179"/>
      <c r="AS160" s="179"/>
      <c r="AT160" s="179"/>
      <c r="AU160" s="179"/>
      <c r="AV160" s="179"/>
      <c r="AW160" s="179"/>
      <c r="AX160" s="179"/>
      <c r="AY160" s="179"/>
      <c r="AZ160" s="179"/>
      <c r="BA160" s="179"/>
      <c r="BB160" s="179"/>
      <c r="BC160" s="179"/>
      <c r="BD160" s="179"/>
      <c r="BE160" s="179"/>
      <c r="BF160" s="179"/>
      <c r="BG160" s="179"/>
      <c r="BH160" s="179"/>
    </row>
    <row r="161" spans="16:60" s="20" customFormat="1" x14ac:dyDescent="0.25">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179"/>
      <c r="AV161" s="179"/>
      <c r="AW161" s="179"/>
      <c r="AX161" s="179"/>
      <c r="AY161" s="179"/>
      <c r="AZ161" s="179"/>
      <c r="BA161" s="179"/>
      <c r="BB161" s="179"/>
      <c r="BC161" s="179"/>
      <c r="BD161" s="179"/>
      <c r="BE161" s="179"/>
      <c r="BF161" s="179"/>
      <c r="BG161" s="179"/>
      <c r="BH161" s="179"/>
    </row>
    <row r="162" spans="16:60" s="20" customFormat="1" x14ac:dyDescent="0.25">
      <c r="P162" s="179"/>
      <c r="Q162" s="179"/>
      <c r="R162" s="179"/>
      <c r="S162" s="179"/>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c r="AO162" s="179"/>
      <c r="AP162" s="179"/>
      <c r="AQ162" s="179"/>
      <c r="AR162" s="179"/>
      <c r="AS162" s="179"/>
      <c r="AT162" s="179"/>
      <c r="AU162" s="179"/>
      <c r="AV162" s="179"/>
      <c r="AW162" s="179"/>
      <c r="AX162" s="179"/>
      <c r="AY162" s="179"/>
      <c r="AZ162" s="179"/>
      <c r="BA162" s="179"/>
      <c r="BB162" s="179"/>
      <c r="BC162" s="179"/>
      <c r="BD162" s="179"/>
      <c r="BE162" s="179"/>
      <c r="BF162" s="179"/>
      <c r="BG162" s="179"/>
      <c r="BH162" s="179"/>
    </row>
    <row r="163" spans="16:60" s="20" customFormat="1" x14ac:dyDescent="0.25">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79"/>
      <c r="AL163" s="179"/>
      <c r="AM163" s="179"/>
      <c r="AN163" s="179"/>
      <c r="AO163" s="179"/>
      <c r="AP163" s="179"/>
      <c r="AQ163" s="179"/>
      <c r="AR163" s="179"/>
      <c r="AS163" s="179"/>
      <c r="AT163" s="179"/>
      <c r="AU163" s="179"/>
      <c r="AV163" s="179"/>
      <c r="AW163" s="179"/>
      <c r="AX163" s="179"/>
      <c r="AY163" s="179"/>
      <c r="AZ163" s="179"/>
      <c r="BA163" s="179"/>
      <c r="BB163" s="179"/>
      <c r="BC163" s="179"/>
      <c r="BD163" s="179"/>
      <c r="BE163" s="179"/>
      <c r="BF163" s="179"/>
      <c r="BG163" s="179"/>
      <c r="BH163" s="179"/>
    </row>
    <row r="164" spans="16:60" s="20" customFormat="1" x14ac:dyDescent="0.25">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c r="AO164" s="179"/>
      <c r="AP164" s="179"/>
      <c r="AQ164" s="179"/>
      <c r="AR164" s="179"/>
      <c r="AS164" s="179"/>
      <c r="AT164" s="179"/>
      <c r="AU164" s="179"/>
      <c r="AV164" s="179"/>
      <c r="AW164" s="179"/>
      <c r="AX164" s="179"/>
      <c r="AY164" s="179"/>
      <c r="AZ164" s="179"/>
      <c r="BA164" s="179"/>
      <c r="BB164" s="179"/>
      <c r="BC164" s="179"/>
      <c r="BD164" s="179"/>
      <c r="BE164" s="179"/>
      <c r="BF164" s="179"/>
      <c r="BG164" s="179"/>
      <c r="BH164" s="179"/>
    </row>
    <row r="165" spans="16:60" s="20" customFormat="1" x14ac:dyDescent="0.25">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79"/>
      <c r="AQ165" s="179"/>
      <c r="AR165" s="179"/>
      <c r="AS165" s="179"/>
      <c r="AT165" s="179"/>
      <c r="AU165" s="179"/>
      <c r="AV165" s="179"/>
      <c r="AW165" s="179"/>
      <c r="AX165" s="179"/>
      <c r="AY165" s="179"/>
      <c r="AZ165" s="179"/>
      <c r="BA165" s="179"/>
      <c r="BB165" s="179"/>
      <c r="BC165" s="179"/>
      <c r="BD165" s="179"/>
      <c r="BE165" s="179"/>
      <c r="BF165" s="179"/>
      <c r="BG165" s="179"/>
      <c r="BH165" s="179"/>
    </row>
    <row r="166" spans="16:60" s="20" customFormat="1" x14ac:dyDescent="0.25">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c r="AP166" s="179"/>
      <c r="AQ166" s="179"/>
      <c r="AR166" s="179"/>
      <c r="AS166" s="179"/>
      <c r="AT166" s="179"/>
      <c r="AU166" s="179"/>
      <c r="AV166" s="179"/>
      <c r="AW166" s="179"/>
      <c r="AX166" s="179"/>
      <c r="AY166" s="179"/>
      <c r="AZ166" s="179"/>
      <c r="BA166" s="179"/>
      <c r="BB166" s="179"/>
      <c r="BC166" s="179"/>
      <c r="BD166" s="179"/>
      <c r="BE166" s="179"/>
      <c r="BF166" s="179"/>
      <c r="BG166" s="179"/>
      <c r="BH166" s="179"/>
    </row>
    <row r="167" spans="16:60" s="20" customFormat="1" x14ac:dyDescent="0.25">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79"/>
      <c r="AQ167" s="179"/>
      <c r="AR167" s="179"/>
      <c r="AS167" s="179"/>
      <c r="AT167" s="179"/>
      <c r="AU167" s="179"/>
      <c r="AV167" s="179"/>
      <c r="AW167" s="179"/>
      <c r="AX167" s="179"/>
      <c r="AY167" s="179"/>
      <c r="AZ167" s="179"/>
      <c r="BA167" s="179"/>
      <c r="BB167" s="179"/>
      <c r="BC167" s="179"/>
      <c r="BD167" s="179"/>
      <c r="BE167" s="179"/>
      <c r="BF167" s="179"/>
      <c r="BG167" s="179"/>
      <c r="BH167" s="179"/>
    </row>
    <row r="168" spans="16:60" s="20" customFormat="1" x14ac:dyDescent="0.25">
      <c r="P168" s="179"/>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79"/>
      <c r="AL168" s="179"/>
      <c r="AM168" s="179"/>
      <c r="AN168" s="179"/>
      <c r="AO168" s="179"/>
      <c r="AP168" s="179"/>
      <c r="AQ168" s="179"/>
      <c r="AR168" s="179"/>
      <c r="AS168" s="179"/>
      <c r="AT168" s="179"/>
      <c r="AU168" s="179"/>
      <c r="AV168" s="179"/>
      <c r="AW168" s="179"/>
      <c r="AX168" s="179"/>
      <c r="AY168" s="179"/>
      <c r="AZ168" s="179"/>
      <c r="BA168" s="179"/>
      <c r="BB168" s="179"/>
      <c r="BC168" s="179"/>
      <c r="BD168" s="179"/>
      <c r="BE168" s="179"/>
      <c r="BF168" s="179"/>
      <c r="BG168" s="179"/>
      <c r="BH168" s="179"/>
    </row>
    <row r="169" spans="16:60" s="20" customFormat="1" x14ac:dyDescent="0.25">
      <c r="P169" s="179"/>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79"/>
      <c r="AL169" s="179"/>
      <c r="AM169" s="179"/>
      <c r="AN169" s="179"/>
      <c r="AO169" s="179"/>
      <c r="AP169" s="179"/>
      <c r="AQ169" s="179"/>
      <c r="AR169" s="179"/>
      <c r="AS169" s="179"/>
      <c r="AT169" s="179"/>
      <c r="AU169" s="179"/>
      <c r="AV169" s="179"/>
      <c r="AW169" s="179"/>
      <c r="AX169" s="179"/>
      <c r="AY169" s="179"/>
      <c r="AZ169" s="179"/>
      <c r="BA169" s="179"/>
      <c r="BB169" s="179"/>
      <c r="BC169" s="179"/>
      <c r="BD169" s="179"/>
      <c r="BE169" s="179"/>
      <c r="BF169" s="179"/>
      <c r="BG169" s="179"/>
      <c r="BH169" s="179"/>
    </row>
    <row r="170" spans="16:60" s="20" customFormat="1" x14ac:dyDescent="0.25">
      <c r="P170" s="179"/>
      <c r="Q170" s="179"/>
      <c r="R170" s="179"/>
      <c r="S170" s="179"/>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c r="AO170" s="179"/>
      <c r="AP170" s="179"/>
      <c r="AQ170" s="179"/>
      <c r="AR170" s="179"/>
      <c r="AS170" s="179"/>
      <c r="AT170" s="179"/>
      <c r="AU170" s="179"/>
      <c r="AV170" s="179"/>
      <c r="AW170" s="179"/>
      <c r="AX170" s="179"/>
      <c r="AY170" s="179"/>
      <c r="AZ170" s="179"/>
      <c r="BA170" s="179"/>
      <c r="BB170" s="179"/>
      <c r="BC170" s="179"/>
      <c r="BD170" s="179"/>
      <c r="BE170" s="179"/>
      <c r="BF170" s="179"/>
      <c r="BG170" s="179"/>
      <c r="BH170" s="179"/>
    </row>
    <row r="171" spans="16:60" s="20" customFormat="1" x14ac:dyDescent="0.25">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79"/>
      <c r="AP171" s="179"/>
      <c r="AQ171" s="179"/>
      <c r="AR171" s="179"/>
      <c r="AS171" s="179"/>
      <c r="AT171" s="179"/>
      <c r="AU171" s="179"/>
      <c r="AV171" s="179"/>
      <c r="AW171" s="179"/>
      <c r="AX171" s="179"/>
      <c r="AY171" s="179"/>
      <c r="AZ171" s="179"/>
      <c r="BA171" s="179"/>
      <c r="BB171" s="179"/>
      <c r="BC171" s="179"/>
      <c r="BD171" s="179"/>
      <c r="BE171" s="179"/>
      <c r="BF171" s="179"/>
      <c r="BG171" s="179"/>
      <c r="BH171" s="179"/>
    </row>
    <row r="172" spans="16:60" s="20" customFormat="1" x14ac:dyDescent="0.25">
      <c r="P172" s="179"/>
      <c r="Q172" s="179"/>
      <c r="R172" s="179"/>
      <c r="S172" s="179"/>
      <c r="T172" s="179"/>
      <c r="U172" s="179"/>
      <c r="V172" s="179"/>
      <c r="W172" s="179"/>
      <c r="X172" s="179"/>
      <c r="Y172" s="179"/>
      <c r="Z172" s="179"/>
      <c r="AA172" s="179"/>
      <c r="AB172" s="179"/>
      <c r="AC172" s="179"/>
      <c r="AD172" s="179"/>
      <c r="AE172" s="179"/>
      <c r="AF172" s="179"/>
      <c r="AG172" s="179"/>
      <c r="AH172" s="179"/>
      <c r="AI172" s="179"/>
      <c r="AJ172" s="179"/>
      <c r="AK172" s="179"/>
      <c r="AL172" s="179"/>
      <c r="AM172" s="179"/>
      <c r="AN172" s="179"/>
      <c r="AO172" s="179"/>
      <c r="AP172" s="179"/>
      <c r="AQ172" s="179"/>
      <c r="AR172" s="179"/>
      <c r="AS172" s="179"/>
      <c r="AT172" s="179"/>
      <c r="AU172" s="179"/>
      <c r="AV172" s="179"/>
      <c r="AW172" s="179"/>
      <c r="AX172" s="179"/>
      <c r="AY172" s="179"/>
      <c r="AZ172" s="179"/>
      <c r="BA172" s="179"/>
      <c r="BB172" s="179"/>
      <c r="BC172" s="179"/>
      <c r="BD172" s="179"/>
      <c r="BE172" s="179"/>
      <c r="BF172" s="179"/>
      <c r="BG172" s="179"/>
      <c r="BH172" s="179"/>
    </row>
    <row r="173" spans="16:60" s="20" customFormat="1" x14ac:dyDescent="0.25">
      <c r="P173" s="179"/>
      <c r="Q173" s="179"/>
      <c r="R173" s="179"/>
      <c r="S173" s="179"/>
      <c r="T173" s="179"/>
      <c r="U173" s="179"/>
      <c r="V173" s="179"/>
      <c r="W173" s="179"/>
      <c r="X173" s="179"/>
      <c r="Y173" s="179"/>
      <c r="Z173" s="179"/>
      <c r="AA173" s="179"/>
      <c r="AB173" s="179"/>
      <c r="AC173" s="179"/>
      <c r="AD173" s="179"/>
      <c r="AE173" s="179"/>
      <c r="AF173" s="179"/>
      <c r="AG173" s="179"/>
      <c r="AH173" s="179"/>
      <c r="AI173" s="179"/>
      <c r="AJ173" s="179"/>
      <c r="AK173" s="179"/>
      <c r="AL173" s="179"/>
      <c r="AM173" s="179"/>
      <c r="AN173" s="179"/>
      <c r="AO173" s="179"/>
      <c r="AP173" s="179"/>
      <c r="AQ173" s="179"/>
      <c r="AR173" s="179"/>
      <c r="AS173" s="179"/>
      <c r="AT173" s="179"/>
      <c r="AU173" s="179"/>
      <c r="AV173" s="179"/>
      <c r="AW173" s="179"/>
      <c r="AX173" s="179"/>
      <c r="AY173" s="179"/>
      <c r="AZ173" s="179"/>
      <c r="BA173" s="179"/>
      <c r="BB173" s="179"/>
      <c r="BC173" s="179"/>
      <c r="BD173" s="179"/>
      <c r="BE173" s="179"/>
      <c r="BF173" s="179"/>
      <c r="BG173" s="179"/>
      <c r="BH173" s="179"/>
    </row>
    <row r="174" spans="16:60" s="20" customFormat="1" x14ac:dyDescent="0.25">
      <c r="P174" s="179"/>
      <c r="Q174" s="179"/>
      <c r="R174" s="179"/>
      <c r="S174" s="179"/>
      <c r="T174" s="179"/>
      <c r="U174" s="179"/>
      <c r="V174" s="179"/>
      <c r="W174" s="179"/>
      <c r="X174" s="179"/>
      <c r="Y174" s="179"/>
      <c r="Z174" s="179"/>
      <c r="AA174" s="179"/>
      <c r="AB174" s="179"/>
      <c r="AC174" s="179"/>
      <c r="AD174" s="179"/>
      <c r="AE174" s="179"/>
      <c r="AF174" s="179"/>
      <c r="AG174" s="179"/>
      <c r="AH174" s="179"/>
      <c r="AI174" s="179"/>
      <c r="AJ174" s="179"/>
      <c r="AK174" s="179"/>
      <c r="AL174" s="179"/>
      <c r="AM174" s="179"/>
      <c r="AN174" s="179"/>
      <c r="AO174" s="179"/>
      <c r="AP174" s="179"/>
      <c r="AQ174" s="179"/>
      <c r="AR174" s="179"/>
      <c r="AS174" s="179"/>
      <c r="AT174" s="179"/>
      <c r="AU174" s="179"/>
      <c r="AV174" s="179"/>
      <c r="AW174" s="179"/>
      <c r="AX174" s="179"/>
      <c r="AY174" s="179"/>
      <c r="AZ174" s="179"/>
      <c r="BA174" s="179"/>
      <c r="BB174" s="179"/>
      <c r="BC174" s="179"/>
      <c r="BD174" s="179"/>
      <c r="BE174" s="179"/>
      <c r="BF174" s="179"/>
      <c r="BG174" s="179"/>
      <c r="BH174" s="179"/>
    </row>
    <row r="175" spans="16:60" s="20" customFormat="1" x14ac:dyDescent="0.25">
      <c r="P175" s="179"/>
      <c r="Q175" s="17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c r="AO175" s="179"/>
      <c r="AP175" s="179"/>
      <c r="AQ175" s="179"/>
      <c r="AR175" s="179"/>
      <c r="AS175" s="179"/>
      <c r="AT175" s="179"/>
      <c r="AU175" s="179"/>
      <c r="AV175" s="179"/>
      <c r="AW175" s="179"/>
      <c r="AX175" s="179"/>
      <c r="AY175" s="179"/>
      <c r="AZ175" s="179"/>
      <c r="BA175" s="179"/>
      <c r="BB175" s="179"/>
      <c r="BC175" s="179"/>
      <c r="BD175" s="179"/>
      <c r="BE175" s="179"/>
      <c r="BF175" s="179"/>
      <c r="BG175" s="179"/>
      <c r="BH175" s="179"/>
    </row>
    <row r="176" spans="16:60" s="20" customFormat="1" x14ac:dyDescent="0.25">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c r="AS176" s="179"/>
      <c r="AT176" s="179"/>
      <c r="AU176" s="179"/>
      <c r="AV176" s="179"/>
      <c r="AW176" s="179"/>
      <c r="AX176" s="179"/>
      <c r="AY176" s="179"/>
      <c r="AZ176" s="179"/>
      <c r="BA176" s="179"/>
      <c r="BB176" s="179"/>
      <c r="BC176" s="179"/>
      <c r="BD176" s="179"/>
      <c r="BE176" s="179"/>
      <c r="BF176" s="179"/>
      <c r="BG176" s="179"/>
      <c r="BH176" s="179"/>
    </row>
    <row r="177" spans="16:60" s="20" customFormat="1" x14ac:dyDescent="0.25">
      <c r="P177" s="179"/>
      <c r="Q177" s="17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c r="AO177" s="179"/>
      <c r="AP177" s="179"/>
      <c r="AQ177" s="179"/>
      <c r="AR177" s="179"/>
      <c r="AS177" s="179"/>
      <c r="AT177" s="179"/>
      <c r="AU177" s="179"/>
      <c r="AV177" s="179"/>
      <c r="AW177" s="179"/>
      <c r="AX177" s="179"/>
      <c r="AY177" s="179"/>
      <c r="AZ177" s="179"/>
      <c r="BA177" s="179"/>
      <c r="BB177" s="179"/>
      <c r="BC177" s="179"/>
      <c r="BD177" s="179"/>
      <c r="BE177" s="179"/>
      <c r="BF177" s="179"/>
      <c r="BG177" s="179"/>
      <c r="BH177" s="179"/>
    </row>
    <row r="178" spans="16:60" s="20" customFormat="1" x14ac:dyDescent="0.25">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c r="AP178" s="179"/>
      <c r="AQ178" s="179"/>
      <c r="AR178" s="179"/>
      <c r="AS178" s="179"/>
      <c r="AT178" s="179"/>
      <c r="AU178" s="179"/>
      <c r="AV178" s="179"/>
      <c r="AW178" s="179"/>
      <c r="AX178" s="179"/>
      <c r="AY178" s="179"/>
      <c r="AZ178" s="179"/>
      <c r="BA178" s="179"/>
      <c r="BB178" s="179"/>
      <c r="BC178" s="179"/>
      <c r="BD178" s="179"/>
      <c r="BE178" s="179"/>
      <c r="BF178" s="179"/>
      <c r="BG178" s="179"/>
      <c r="BH178" s="179"/>
    </row>
    <row r="179" spans="16:60" s="20" customFormat="1" x14ac:dyDescent="0.25">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c r="AO179" s="179"/>
      <c r="AP179" s="179"/>
      <c r="AQ179" s="179"/>
      <c r="AR179" s="179"/>
      <c r="AS179" s="179"/>
      <c r="AT179" s="179"/>
      <c r="AU179" s="179"/>
      <c r="AV179" s="179"/>
      <c r="AW179" s="179"/>
      <c r="AX179" s="179"/>
      <c r="AY179" s="179"/>
      <c r="AZ179" s="179"/>
      <c r="BA179" s="179"/>
      <c r="BB179" s="179"/>
      <c r="BC179" s="179"/>
      <c r="BD179" s="179"/>
      <c r="BE179" s="179"/>
      <c r="BF179" s="179"/>
      <c r="BG179" s="179"/>
      <c r="BH179" s="179"/>
    </row>
    <row r="180" spans="16:60" s="20" customFormat="1" x14ac:dyDescent="0.25">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79"/>
      <c r="AK180" s="179"/>
      <c r="AL180" s="179"/>
      <c r="AM180" s="179"/>
      <c r="AN180" s="179"/>
      <c r="AO180" s="179"/>
      <c r="AP180" s="179"/>
      <c r="AQ180" s="179"/>
      <c r="AR180" s="179"/>
      <c r="AS180" s="179"/>
      <c r="AT180" s="179"/>
      <c r="AU180" s="179"/>
      <c r="AV180" s="179"/>
      <c r="AW180" s="179"/>
      <c r="AX180" s="179"/>
      <c r="AY180" s="179"/>
      <c r="AZ180" s="179"/>
      <c r="BA180" s="179"/>
      <c r="BB180" s="179"/>
      <c r="BC180" s="179"/>
      <c r="BD180" s="179"/>
      <c r="BE180" s="179"/>
      <c r="BF180" s="179"/>
      <c r="BG180" s="179"/>
      <c r="BH180" s="179"/>
    </row>
    <row r="181" spans="16:60" s="20" customFormat="1" x14ac:dyDescent="0.25">
      <c r="P181" s="179"/>
      <c r="Q181" s="179"/>
      <c r="R181" s="179"/>
      <c r="S181" s="179"/>
      <c r="T181" s="179"/>
      <c r="U181" s="179"/>
      <c r="V181" s="179"/>
      <c r="W181" s="179"/>
      <c r="X181" s="179"/>
      <c r="Y181" s="179"/>
      <c r="Z181" s="179"/>
      <c r="AA181" s="179"/>
      <c r="AB181" s="179"/>
      <c r="AC181" s="179"/>
      <c r="AD181" s="179"/>
      <c r="AE181" s="179"/>
      <c r="AF181" s="179"/>
      <c r="AG181" s="179"/>
      <c r="AH181" s="179"/>
      <c r="AI181" s="179"/>
      <c r="AJ181" s="179"/>
      <c r="AK181" s="179"/>
      <c r="AL181" s="179"/>
      <c r="AM181" s="179"/>
      <c r="AN181" s="179"/>
      <c r="AO181" s="179"/>
      <c r="AP181" s="179"/>
      <c r="AQ181" s="179"/>
      <c r="AR181" s="179"/>
      <c r="AS181" s="179"/>
      <c r="AT181" s="179"/>
      <c r="AU181" s="179"/>
      <c r="AV181" s="179"/>
      <c r="AW181" s="179"/>
      <c r="AX181" s="179"/>
      <c r="AY181" s="179"/>
      <c r="AZ181" s="179"/>
      <c r="BA181" s="179"/>
      <c r="BB181" s="179"/>
      <c r="BC181" s="179"/>
      <c r="BD181" s="179"/>
      <c r="BE181" s="179"/>
      <c r="BF181" s="179"/>
      <c r="BG181" s="179"/>
      <c r="BH181" s="179"/>
    </row>
    <row r="182" spans="16:60" s="20" customFormat="1" x14ac:dyDescent="0.25">
      <c r="P182" s="179"/>
      <c r="Q182" s="179"/>
      <c r="R182" s="179"/>
      <c r="S182" s="179"/>
      <c r="T182" s="179"/>
      <c r="U182" s="179"/>
      <c r="V182" s="179"/>
      <c r="W182" s="179"/>
      <c r="X182" s="179"/>
      <c r="Y182" s="179"/>
      <c r="Z182" s="179"/>
      <c r="AA182" s="179"/>
      <c r="AB182" s="179"/>
      <c r="AC182" s="179"/>
      <c r="AD182" s="179"/>
      <c r="AE182" s="179"/>
      <c r="AF182" s="179"/>
      <c r="AG182" s="179"/>
      <c r="AH182" s="179"/>
      <c r="AI182" s="179"/>
      <c r="AJ182" s="179"/>
      <c r="AK182" s="179"/>
      <c r="AL182" s="179"/>
      <c r="AM182" s="179"/>
      <c r="AN182" s="179"/>
      <c r="AO182" s="179"/>
      <c r="AP182" s="179"/>
      <c r="AQ182" s="179"/>
      <c r="AR182" s="179"/>
      <c r="AS182" s="179"/>
      <c r="AT182" s="179"/>
      <c r="AU182" s="179"/>
      <c r="AV182" s="179"/>
      <c r="AW182" s="179"/>
      <c r="AX182" s="179"/>
      <c r="AY182" s="179"/>
      <c r="AZ182" s="179"/>
      <c r="BA182" s="179"/>
      <c r="BB182" s="179"/>
      <c r="BC182" s="179"/>
      <c r="BD182" s="179"/>
      <c r="BE182" s="179"/>
      <c r="BF182" s="179"/>
      <c r="BG182" s="179"/>
      <c r="BH182" s="179"/>
    </row>
    <row r="183" spans="16:60" s="20" customFormat="1" x14ac:dyDescent="0.25">
      <c r="P183" s="179"/>
      <c r="Q183" s="179"/>
      <c r="R183" s="179"/>
      <c r="S183" s="179"/>
      <c r="T183" s="179"/>
      <c r="U183" s="179"/>
      <c r="V183" s="179"/>
      <c r="W183" s="179"/>
      <c r="X183" s="179"/>
      <c r="Y183" s="179"/>
      <c r="Z183" s="179"/>
      <c r="AA183" s="179"/>
      <c r="AB183" s="179"/>
      <c r="AC183" s="179"/>
      <c r="AD183" s="179"/>
      <c r="AE183" s="179"/>
      <c r="AF183" s="179"/>
      <c r="AG183" s="179"/>
      <c r="AH183" s="179"/>
      <c r="AI183" s="179"/>
      <c r="AJ183" s="179"/>
      <c r="AK183" s="179"/>
      <c r="AL183" s="179"/>
      <c r="AM183" s="179"/>
      <c r="AN183" s="179"/>
      <c r="AO183" s="179"/>
      <c r="AP183" s="179"/>
      <c r="AQ183" s="179"/>
      <c r="AR183" s="179"/>
      <c r="AS183" s="179"/>
      <c r="AT183" s="179"/>
      <c r="AU183" s="179"/>
      <c r="AV183" s="179"/>
      <c r="AW183" s="179"/>
      <c r="AX183" s="179"/>
      <c r="AY183" s="179"/>
      <c r="AZ183" s="179"/>
      <c r="BA183" s="179"/>
      <c r="BB183" s="179"/>
      <c r="BC183" s="179"/>
      <c r="BD183" s="179"/>
      <c r="BE183" s="179"/>
      <c r="BF183" s="179"/>
      <c r="BG183" s="179"/>
      <c r="BH183" s="179"/>
    </row>
    <row r="184" spans="16:60" s="20" customFormat="1" x14ac:dyDescent="0.25">
      <c r="P184" s="179"/>
      <c r="Q184" s="179"/>
      <c r="R184" s="179"/>
      <c r="S184" s="179"/>
      <c r="T184" s="179"/>
      <c r="U184" s="179"/>
      <c r="V184" s="179"/>
      <c r="W184" s="179"/>
      <c r="X184" s="179"/>
      <c r="Y184" s="179"/>
      <c r="Z184" s="179"/>
      <c r="AA184" s="179"/>
      <c r="AB184" s="179"/>
      <c r="AC184" s="179"/>
      <c r="AD184" s="179"/>
      <c r="AE184" s="179"/>
      <c r="AF184" s="179"/>
      <c r="AG184" s="179"/>
      <c r="AH184" s="179"/>
      <c r="AI184" s="179"/>
      <c r="AJ184" s="179"/>
      <c r="AK184" s="179"/>
      <c r="AL184" s="179"/>
      <c r="AM184" s="179"/>
      <c r="AN184" s="179"/>
      <c r="AO184" s="179"/>
      <c r="AP184" s="179"/>
      <c r="AQ184" s="179"/>
      <c r="AR184" s="179"/>
      <c r="AS184" s="179"/>
      <c r="AT184" s="179"/>
      <c r="AU184" s="179"/>
      <c r="AV184" s="179"/>
      <c r="AW184" s="179"/>
      <c r="AX184" s="179"/>
      <c r="AY184" s="179"/>
      <c r="AZ184" s="179"/>
      <c r="BA184" s="179"/>
      <c r="BB184" s="179"/>
      <c r="BC184" s="179"/>
      <c r="BD184" s="179"/>
      <c r="BE184" s="179"/>
      <c r="BF184" s="179"/>
      <c r="BG184" s="179"/>
      <c r="BH184" s="179"/>
    </row>
    <row r="185" spans="16:60" s="20" customFormat="1" x14ac:dyDescent="0.25">
      <c r="P185" s="179"/>
      <c r="Q185" s="179"/>
      <c r="R185" s="179"/>
      <c r="S185" s="179"/>
      <c r="T185" s="179"/>
      <c r="U185" s="179"/>
      <c r="V185" s="179"/>
      <c r="W185" s="179"/>
      <c r="X185" s="179"/>
      <c r="Y185" s="179"/>
      <c r="Z185" s="179"/>
      <c r="AA185" s="179"/>
      <c r="AB185" s="179"/>
      <c r="AC185" s="179"/>
      <c r="AD185" s="179"/>
      <c r="AE185" s="179"/>
      <c r="AF185" s="179"/>
      <c r="AG185" s="179"/>
      <c r="AH185" s="179"/>
      <c r="AI185" s="179"/>
      <c r="AJ185" s="179"/>
      <c r="AK185" s="179"/>
      <c r="AL185" s="179"/>
      <c r="AM185" s="179"/>
      <c r="AN185" s="179"/>
      <c r="AO185" s="179"/>
      <c r="AP185" s="179"/>
      <c r="AQ185" s="179"/>
      <c r="AR185" s="179"/>
      <c r="AS185" s="179"/>
      <c r="AT185" s="179"/>
      <c r="AU185" s="179"/>
      <c r="AV185" s="179"/>
      <c r="AW185" s="179"/>
      <c r="AX185" s="179"/>
      <c r="AY185" s="179"/>
      <c r="AZ185" s="179"/>
      <c r="BA185" s="179"/>
      <c r="BB185" s="179"/>
      <c r="BC185" s="179"/>
      <c r="BD185" s="179"/>
      <c r="BE185" s="179"/>
      <c r="BF185" s="179"/>
      <c r="BG185" s="179"/>
      <c r="BH185" s="179"/>
    </row>
    <row r="186" spans="16:60" s="20" customFormat="1" x14ac:dyDescent="0.25">
      <c r="P186" s="179"/>
      <c r="Q186" s="179"/>
      <c r="R186" s="179"/>
      <c r="S186" s="179"/>
      <c r="T186" s="179"/>
      <c r="U186" s="179"/>
      <c r="V186" s="179"/>
      <c r="W186" s="179"/>
      <c r="X186" s="179"/>
      <c r="Y186" s="179"/>
      <c r="Z186" s="179"/>
      <c r="AA186" s="179"/>
      <c r="AB186" s="179"/>
      <c r="AC186" s="179"/>
      <c r="AD186" s="179"/>
      <c r="AE186" s="179"/>
      <c r="AF186" s="179"/>
      <c r="AG186" s="179"/>
      <c r="AH186" s="179"/>
      <c r="AI186" s="179"/>
      <c r="AJ186" s="179"/>
      <c r="AK186" s="179"/>
      <c r="AL186" s="179"/>
      <c r="AM186" s="179"/>
      <c r="AN186" s="179"/>
      <c r="AO186" s="179"/>
      <c r="AP186" s="179"/>
      <c r="AQ186" s="179"/>
      <c r="AR186" s="179"/>
      <c r="AS186" s="179"/>
      <c r="AT186" s="179"/>
      <c r="AU186" s="179"/>
      <c r="AV186" s="179"/>
      <c r="AW186" s="179"/>
      <c r="AX186" s="179"/>
      <c r="AY186" s="179"/>
      <c r="AZ186" s="179"/>
      <c r="BA186" s="179"/>
      <c r="BB186" s="179"/>
      <c r="BC186" s="179"/>
      <c r="BD186" s="179"/>
      <c r="BE186" s="179"/>
      <c r="BF186" s="179"/>
      <c r="BG186" s="179"/>
      <c r="BH186" s="179"/>
    </row>
    <row r="187" spans="16:60" s="20" customFormat="1" x14ac:dyDescent="0.25">
      <c r="P187" s="179"/>
      <c r="Q187" s="179"/>
      <c r="R187" s="179"/>
      <c r="S187" s="179"/>
      <c r="T187" s="179"/>
      <c r="U187" s="179"/>
      <c r="V187" s="179"/>
      <c r="W187" s="179"/>
      <c r="X187" s="179"/>
      <c r="Y187" s="179"/>
      <c r="Z187" s="179"/>
      <c r="AA187" s="179"/>
      <c r="AB187" s="179"/>
      <c r="AC187" s="179"/>
      <c r="AD187" s="179"/>
      <c r="AE187" s="179"/>
      <c r="AF187" s="179"/>
      <c r="AG187" s="179"/>
      <c r="AH187" s="179"/>
      <c r="AI187" s="179"/>
      <c r="AJ187" s="179"/>
      <c r="AK187" s="179"/>
      <c r="AL187" s="179"/>
      <c r="AM187" s="179"/>
      <c r="AN187" s="179"/>
      <c r="AO187" s="179"/>
      <c r="AP187" s="179"/>
      <c r="AQ187" s="179"/>
      <c r="AR187" s="179"/>
      <c r="AS187" s="179"/>
      <c r="AT187" s="179"/>
      <c r="AU187" s="179"/>
      <c r="AV187" s="179"/>
      <c r="AW187" s="179"/>
      <c r="AX187" s="179"/>
      <c r="AY187" s="179"/>
      <c r="AZ187" s="179"/>
      <c r="BA187" s="179"/>
      <c r="BB187" s="179"/>
      <c r="BC187" s="179"/>
      <c r="BD187" s="179"/>
      <c r="BE187" s="179"/>
      <c r="BF187" s="179"/>
      <c r="BG187" s="179"/>
      <c r="BH187" s="179"/>
    </row>
    <row r="188" spans="16:60" s="20" customFormat="1" x14ac:dyDescent="0.25">
      <c r="P188" s="179"/>
      <c r="Q188" s="179"/>
      <c r="R188" s="179"/>
      <c r="S188" s="179"/>
      <c r="T188" s="179"/>
      <c r="U188" s="179"/>
      <c r="V188" s="179"/>
      <c r="W188" s="179"/>
      <c r="X188" s="179"/>
      <c r="Y188" s="179"/>
      <c r="Z188" s="179"/>
      <c r="AA188" s="179"/>
      <c r="AB188" s="179"/>
      <c r="AC188" s="179"/>
      <c r="AD188" s="179"/>
      <c r="AE188" s="179"/>
      <c r="AF188" s="179"/>
      <c r="AG188" s="179"/>
      <c r="AH188" s="179"/>
      <c r="AI188" s="179"/>
      <c r="AJ188" s="179"/>
      <c r="AK188" s="179"/>
      <c r="AL188" s="179"/>
      <c r="AM188" s="179"/>
      <c r="AN188" s="179"/>
      <c r="AO188" s="179"/>
      <c r="AP188" s="179"/>
      <c r="AQ188" s="179"/>
      <c r="AR188" s="179"/>
      <c r="AS188" s="179"/>
      <c r="AT188" s="179"/>
      <c r="AU188" s="179"/>
      <c r="AV188" s="179"/>
      <c r="AW188" s="179"/>
      <c r="AX188" s="179"/>
      <c r="AY188" s="179"/>
      <c r="AZ188" s="179"/>
      <c r="BA188" s="179"/>
      <c r="BB188" s="179"/>
      <c r="BC188" s="179"/>
      <c r="BD188" s="179"/>
      <c r="BE188" s="179"/>
      <c r="BF188" s="179"/>
      <c r="BG188" s="179"/>
      <c r="BH188" s="179"/>
    </row>
    <row r="189" spans="16:60" s="20" customFormat="1" x14ac:dyDescent="0.25">
      <c r="P189" s="179"/>
      <c r="Q189" s="179"/>
      <c r="R189" s="179"/>
      <c r="S189" s="179"/>
      <c r="T189" s="179"/>
      <c r="U189" s="179"/>
      <c r="V189" s="179"/>
      <c r="W189" s="179"/>
      <c r="X189" s="179"/>
      <c r="Y189" s="179"/>
      <c r="Z189" s="179"/>
      <c r="AA189" s="179"/>
      <c r="AB189" s="179"/>
      <c r="AC189" s="179"/>
      <c r="AD189" s="179"/>
      <c r="AE189" s="179"/>
      <c r="AF189" s="179"/>
      <c r="AG189" s="179"/>
      <c r="AH189" s="179"/>
      <c r="AI189" s="179"/>
      <c r="AJ189" s="179"/>
      <c r="AK189" s="179"/>
      <c r="AL189" s="179"/>
      <c r="AM189" s="179"/>
      <c r="AN189" s="179"/>
      <c r="AO189" s="179"/>
      <c r="AP189" s="179"/>
      <c r="AQ189" s="179"/>
      <c r="AR189" s="179"/>
      <c r="AS189" s="179"/>
      <c r="AT189" s="179"/>
      <c r="AU189" s="179"/>
      <c r="AV189" s="179"/>
      <c r="AW189" s="179"/>
      <c r="AX189" s="179"/>
      <c r="AY189" s="179"/>
      <c r="AZ189" s="179"/>
      <c r="BA189" s="179"/>
      <c r="BB189" s="179"/>
      <c r="BC189" s="179"/>
      <c r="BD189" s="179"/>
      <c r="BE189" s="179"/>
      <c r="BF189" s="179"/>
      <c r="BG189" s="179"/>
      <c r="BH189" s="179"/>
    </row>
    <row r="190" spans="16:60" s="20" customFormat="1" x14ac:dyDescent="0.25">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79"/>
      <c r="AK190" s="179"/>
      <c r="AL190" s="179"/>
      <c r="AM190" s="179"/>
      <c r="AN190" s="179"/>
      <c r="AO190" s="179"/>
      <c r="AP190" s="179"/>
      <c r="AQ190" s="179"/>
      <c r="AR190" s="179"/>
      <c r="AS190" s="179"/>
      <c r="AT190" s="179"/>
      <c r="AU190" s="179"/>
      <c r="AV190" s="179"/>
      <c r="AW190" s="179"/>
      <c r="AX190" s="179"/>
      <c r="AY190" s="179"/>
      <c r="AZ190" s="179"/>
      <c r="BA190" s="179"/>
      <c r="BB190" s="179"/>
      <c r="BC190" s="179"/>
      <c r="BD190" s="179"/>
      <c r="BE190" s="179"/>
      <c r="BF190" s="179"/>
      <c r="BG190" s="179"/>
      <c r="BH190" s="179"/>
    </row>
    <row r="191" spans="16:60" s="20" customFormat="1" x14ac:dyDescent="0.25">
      <c r="P191" s="179"/>
      <c r="Q191" s="179"/>
      <c r="R191" s="179"/>
      <c r="S191" s="179"/>
      <c r="T191" s="179"/>
      <c r="U191" s="179"/>
      <c r="V191" s="179"/>
      <c r="W191" s="179"/>
      <c r="X191" s="179"/>
      <c r="Y191" s="179"/>
      <c r="Z191" s="179"/>
      <c r="AA191" s="179"/>
      <c r="AB191" s="179"/>
      <c r="AC191" s="179"/>
      <c r="AD191" s="179"/>
      <c r="AE191" s="179"/>
      <c r="AF191" s="179"/>
      <c r="AG191" s="179"/>
      <c r="AH191" s="179"/>
      <c r="AI191" s="179"/>
      <c r="AJ191" s="179"/>
      <c r="AK191" s="179"/>
      <c r="AL191" s="179"/>
      <c r="AM191" s="179"/>
      <c r="AN191" s="179"/>
      <c r="AO191" s="179"/>
      <c r="AP191" s="179"/>
      <c r="AQ191" s="179"/>
      <c r="AR191" s="179"/>
      <c r="AS191" s="179"/>
      <c r="AT191" s="179"/>
      <c r="AU191" s="179"/>
      <c r="AV191" s="179"/>
      <c r="AW191" s="179"/>
      <c r="AX191" s="179"/>
      <c r="AY191" s="179"/>
      <c r="AZ191" s="179"/>
      <c r="BA191" s="179"/>
      <c r="BB191" s="179"/>
      <c r="BC191" s="179"/>
      <c r="BD191" s="179"/>
      <c r="BE191" s="179"/>
      <c r="BF191" s="179"/>
      <c r="BG191" s="179"/>
      <c r="BH191" s="179"/>
    </row>
    <row r="192" spans="16:60" s="20" customFormat="1" x14ac:dyDescent="0.25">
      <c r="P192" s="179"/>
      <c r="Q192" s="179"/>
      <c r="R192" s="179"/>
      <c r="S192" s="179"/>
      <c r="T192" s="179"/>
      <c r="U192" s="179"/>
      <c r="V192" s="179"/>
      <c r="W192" s="179"/>
      <c r="X192" s="179"/>
      <c r="Y192" s="179"/>
      <c r="Z192" s="179"/>
      <c r="AA192" s="179"/>
      <c r="AB192" s="179"/>
      <c r="AC192" s="179"/>
      <c r="AD192" s="179"/>
      <c r="AE192" s="179"/>
      <c r="AF192" s="179"/>
      <c r="AG192" s="179"/>
      <c r="AH192" s="179"/>
      <c r="AI192" s="179"/>
      <c r="AJ192" s="179"/>
      <c r="AK192" s="179"/>
      <c r="AL192" s="179"/>
      <c r="AM192" s="179"/>
      <c r="AN192" s="179"/>
      <c r="AO192" s="179"/>
      <c r="AP192" s="179"/>
      <c r="AQ192" s="179"/>
      <c r="AR192" s="179"/>
      <c r="AS192" s="179"/>
      <c r="AT192" s="179"/>
      <c r="AU192" s="179"/>
      <c r="AV192" s="179"/>
      <c r="AW192" s="179"/>
      <c r="AX192" s="179"/>
      <c r="AY192" s="179"/>
      <c r="AZ192" s="179"/>
      <c r="BA192" s="179"/>
      <c r="BB192" s="179"/>
      <c r="BC192" s="179"/>
      <c r="BD192" s="179"/>
      <c r="BE192" s="179"/>
      <c r="BF192" s="179"/>
      <c r="BG192" s="179"/>
      <c r="BH192" s="179"/>
    </row>
    <row r="193" spans="16:60" s="20" customFormat="1" x14ac:dyDescent="0.25">
      <c r="P193" s="179"/>
      <c r="Q193" s="179"/>
      <c r="R193" s="179"/>
      <c r="S193" s="179"/>
      <c r="T193" s="179"/>
      <c r="U193" s="179"/>
      <c r="V193" s="179"/>
      <c r="W193" s="179"/>
      <c r="X193" s="179"/>
      <c r="Y193" s="179"/>
      <c r="Z193" s="179"/>
      <c r="AA193" s="179"/>
      <c r="AB193" s="179"/>
      <c r="AC193" s="179"/>
      <c r="AD193" s="179"/>
      <c r="AE193" s="179"/>
      <c r="AF193" s="179"/>
      <c r="AG193" s="179"/>
      <c r="AH193" s="179"/>
      <c r="AI193" s="179"/>
      <c r="AJ193" s="179"/>
      <c r="AK193" s="179"/>
      <c r="AL193" s="179"/>
      <c r="AM193" s="179"/>
      <c r="AN193" s="179"/>
      <c r="AO193" s="179"/>
      <c r="AP193" s="179"/>
      <c r="AQ193" s="179"/>
      <c r="AR193" s="179"/>
      <c r="AS193" s="179"/>
      <c r="AT193" s="179"/>
      <c r="AU193" s="179"/>
      <c r="AV193" s="179"/>
      <c r="AW193" s="179"/>
      <c r="AX193" s="179"/>
      <c r="AY193" s="179"/>
      <c r="AZ193" s="179"/>
      <c r="BA193" s="179"/>
      <c r="BB193" s="179"/>
      <c r="BC193" s="179"/>
      <c r="BD193" s="179"/>
      <c r="BE193" s="179"/>
      <c r="BF193" s="179"/>
      <c r="BG193" s="179"/>
      <c r="BH193" s="179"/>
    </row>
    <row r="194" spans="16:60" s="20" customFormat="1" x14ac:dyDescent="0.25">
      <c r="P194" s="179"/>
      <c r="Q194" s="179"/>
      <c r="R194" s="179"/>
      <c r="S194" s="179"/>
      <c r="T194" s="179"/>
      <c r="U194" s="179"/>
      <c r="V194" s="179"/>
      <c r="W194" s="179"/>
      <c r="X194" s="179"/>
      <c r="Y194" s="179"/>
      <c r="Z194" s="179"/>
      <c r="AA194" s="179"/>
      <c r="AB194" s="179"/>
      <c r="AC194" s="179"/>
      <c r="AD194" s="179"/>
      <c r="AE194" s="179"/>
      <c r="AF194" s="179"/>
      <c r="AG194" s="179"/>
      <c r="AH194" s="179"/>
      <c r="AI194" s="179"/>
      <c r="AJ194" s="179"/>
      <c r="AK194" s="179"/>
      <c r="AL194" s="179"/>
      <c r="AM194" s="179"/>
      <c r="AN194" s="179"/>
      <c r="AO194" s="179"/>
      <c r="AP194" s="179"/>
      <c r="AQ194" s="179"/>
      <c r="AR194" s="179"/>
      <c r="AS194" s="179"/>
      <c r="AT194" s="179"/>
      <c r="AU194" s="179"/>
      <c r="AV194" s="179"/>
      <c r="AW194" s="179"/>
      <c r="AX194" s="179"/>
      <c r="AY194" s="179"/>
      <c r="AZ194" s="179"/>
      <c r="BA194" s="179"/>
      <c r="BB194" s="179"/>
      <c r="BC194" s="179"/>
      <c r="BD194" s="179"/>
      <c r="BE194" s="179"/>
      <c r="BF194" s="179"/>
      <c r="BG194" s="179"/>
      <c r="BH194" s="179"/>
    </row>
    <row r="195" spans="16:60" s="20" customFormat="1" x14ac:dyDescent="0.25">
      <c r="P195" s="179"/>
      <c r="Q195" s="179"/>
      <c r="R195" s="179"/>
      <c r="S195" s="179"/>
      <c r="T195" s="179"/>
      <c r="U195" s="179"/>
      <c r="V195" s="179"/>
      <c r="W195" s="179"/>
      <c r="X195" s="179"/>
      <c r="Y195" s="179"/>
      <c r="Z195" s="179"/>
      <c r="AA195" s="179"/>
      <c r="AB195" s="179"/>
      <c r="AC195" s="179"/>
      <c r="AD195" s="179"/>
      <c r="AE195" s="179"/>
      <c r="AF195" s="179"/>
      <c r="AG195" s="179"/>
      <c r="AH195" s="179"/>
      <c r="AI195" s="179"/>
      <c r="AJ195" s="179"/>
      <c r="AK195" s="179"/>
      <c r="AL195" s="179"/>
      <c r="AM195" s="179"/>
      <c r="AN195" s="179"/>
      <c r="AO195" s="179"/>
      <c r="AP195" s="179"/>
      <c r="AQ195" s="179"/>
      <c r="AR195" s="179"/>
      <c r="AS195" s="179"/>
      <c r="AT195" s="179"/>
      <c r="AU195" s="179"/>
      <c r="AV195" s="179"/>
      <c r="AW195" s="179"/>
      <c r="AX195" s="179"/>
      <c r="AY195" s="179"/>
      <c r="AZ195" s="179"/>
      <c r="BA195" s="179"/>
      <c r="BB195" s="179"/>
      <c r="BC195" s="179"/>
      <c r="BD195" s="179"/>
      <c r="BE195" s="179"/>
      <c r="BF195" s="179"/>
      <c r="BG195" s="179"/>
      <c r="BH195" s="179"/>
    </row>
    <row r="196" spans="16:60" s="20" customFormat="1" x14ac:dyDescent="0.25">
      <c r="P196" s="179"/>
      <c r="Q196" s="179"/>
      <c r="R196" s="179"/>
      <c r="S196" s="179"/>
      <c r="T196" s="179"/>
      <c r="U196" s="179"/>
      <c r="V196" s="179"/>
      <c r="W196" s="179"/>
      <c r="X196" s="179"/>
      <c r="Y196" s="179"/>
      <c r="Z196" s="179"/>
      <c r="AA196" s="179"/>
      <c r="AB196" s="179"/>
      <c r="AC196" s="179"/>
      <c r="AD196" s="179"/>
      <c r="AE196" s="179"/>
      <c r="AF196" s="179"/>
      <c r="AG196" s="179"/>
      <c r="AH196" s="179"/>
      <c r="AI196" s="179"/>
      <c r="AJ196" s="179"/>
      <c r="AK196" s="179"/>
      <c r="AL196" s="179"/>
      <c r="AM196" s="179"/>
      <c r="AN196" s="179"/>
      <c r="AO196" s="179"/>
      <c r="AP196" s="179"/>
      <c r="AQ196" s="179"/>
      <c r="AR196" s="179"/>
      <c r="AS196" s="179"/>
      <c r="AT196" s="179"/>
      <c r="AU196" s="179"/>
      <c r="AV196" s="179"/>
      <c r="AW196" s="179"/>
      <c r="AX196" s="179"/>
      <c r="AY196" s="179"/>
      <c r="AZ196" s="179"/>
      <c r="BA196" s="179"/>
      <c r="BB196" s="179"/>
      <c r="BC196" s="179"/>
      <c r="BD196" s="179"/>
      <c r="BE196" s="179"/>
      <c r="BF196" s="179"/>
      <c r="BG196" s="179"/>
      <c r="BH196" s="179"/>
    </row>
    <row r="197" spans="16:60" s="20" customFormat="1" x14ac:dyDescent="0.25">
      <c r="P197" s="179"/>
      <c r="Q197" s="179"/>
      <c r="R197" s="179"/>
      <c r="S197" s="179"/>
      <c r="T197" s="179"/>
      <c r="U197" s="179"/>
      <c r="V197" s="179"/>
      <c r="W197" s="179"/>
      <c r="X197" s="179"/>
      <c r="Y197" s="179"/>
      <c r="Z197" s="179"/>
      <c r="AA197" s="179"/>
      <c r="AB197" s="179"/>
      <c r="AC197" s="179"/>
      <c r="AD197" s="179"/>
      <c r="AE197" s="179"/>
      <c r="AF197" s="179"/>
      <c r="AG197" s="179"/>
      <c r="AH197" s="179"/>
      <c r="AI197" s="179"/>
      <c r="AJ197" s="179"/>
      <c r="AK197" s="179"/>
      <c r="AL197" s="179"/>
      <c r="AM197" s="179"/>
      <c r="AN197" s="179"/>
      <c r="AO197" s="179"/>
      <c r="AP197" s="179"/>
      <c r="AQ197" s="179"/>
      <c r="AR197" s="179"/>
      <c r="AS197" s="179"/>
      <c r="AT197" s="179"/>
      <c r="AU197" s="179"/>
      <c r="AV197" s="179"/>
      <c r="AW197" s="179"/>
      <c r="AX197" s="179"/>
      <c r="AY197" s="179"/>
      <c r="AZ197" s="179"/>
      <c r="BA197" s="179"/>
      <c r="BB197" s="179"/>
      <c r="BC197" s="179"/>
      <c r="BD197" s="179"/>
      <c r="BE197" s="179"/>
      <c r="BF197" s="179"/>
      <c r="BG197" s="179"/>
      <c r="BH197" s="179"/>
    </row>
    <row r="198" spans="16:60" s="20" customFormat="1" x14ac:dyDescent="0.25">
      <c r="P198" s="179"/>
      <c r="Q198" s="179"/>
      <c r="R198" s="179"/>
      <c r="S198" s="179"/>
      <c r="T198" s="179"/>
      <c r="U198" s="179"/>
      <c r="V198" s="179"/>
      <c r="W198" s="179"/>
      <c r="X198" s="179"/>
      <c r="Y198" s="179"/>
      <c r="Z198" s="179"/>
      <c r="AA198" s="179"/>
      <c r="AB198" s="179"/>
      <c r="AC198" s="179"/>
      <c r="AD198" s="179"/>
      <c r="AE198" s="179"/>
      <c r="AF198" s="179"/>
      <c r="AG198" s="179"/>
      <c r="AH198" s="179"/>
      <c r="AI198" s="179"/>
      <c r="AJ198" s="179"/>
      <c r="AK198" s="179"/>
      <c r="AL198" s="179"/>
      <c r="AM198" s="179"/>
      <c r="AN198" s="179"/>
      <c r="AO198" s="179"/>
      <c r="AP198" s="179"/>
      <c r="AQ198" s="179"/>
      <c r="AR198" s="179"/>
      <c r="AS198" s="179"/>
      <c r="AT198" s="179"/>
      <c r="AU198" s="179"/>
      <c r="AV198" s="179"/>
      <c r="AW198" s="179"/>
      <c r="AX198" s="179"/>
      <c r="AY198" s="179"/>
      <c r="AZ198" s="179"/>
      <c r="BA198" s="179"/>
      <c r="BB198" s="179"/>
      <c r="BC198" s="179"/>
      <c r="BD198" s="179"/>
      <c r="BE198" s="179"/>
      <c r="BF198" s="179"/>
      <c r="BG198" s="179"/>
      <c r="BH198" s="179"/>
    </row>
    <row r="199" spans="16:60" s="20" customFormat="1" x14ac:dyDescent="0.25">
      <c r="P199" s="179"/>
      <c r="Q199" s="179"/>
      <c r="R199" s="179"/>
      <c r="S199" s="179"/>
      <c r="T199" s="179"/>
      <c r="U199" s="179"/>
      <c r="V199" s="179"/>
      <c r="W199" s="179"/>
      <c r="X199" s="179"/>
      <c r="Y199" s="179"/>
      <c r="Z199" s="179"/>
      <c r="AA199" s="179"/>
      <c r="AB199" s="179"/>
      <c r="AC199" s="179"/>
      <c r="AD199" s="179"/>
      <c r="AE199" s="179"/>
      <c r="AF199" s="179"/>
      <c r="AG199" s="179"/>
      <c r="AH199" s="179"/>
      <c r="AI199" s="179"/>
      <c r="AJ199" s="179"/>
      <c r="AK199" s="179"/>
      <c r="AL199" s="179"/>
      <c r="AM199" s="179"/>
      <c r="AN199" s="179"/>
      <c r="AO199" s="179"/>
      <c r="AP199" s="179"/>
      <c r="AQ199" s="179"/>
      <c r="AR199" s="179"/>
      <c r="AS199" s="179"/>
      <c r="AT199" s="179"/>
      <c r="AU199" s="179"/>
      <c r="AV199" s="179"/>
      <c r="AW199" s="179"/>
      <c r="AX199" s="179"/>
      <c r="AY199" s="179"/>
      <c r="AZ199" s="179"/>
      <c r="BA199" s="179"/>
      <c r="BB199" s="179"/>
      <c r="BC199" s="179"/>
      <c r="BD199" s="179"/>
      <c r="BE199" s="179"/>
      <c r="BF199" s="179"/>
      <c r="BG199" s="179"/>
      <c r="BH199" s="179"/>
    </row>
    <row r="200" spans="16:60" s="20" customFormat="1" x14ac:dyDescent="0.25">
      <c r="P200" s="179"/>
      <c r="Q200" s="179"/>
      <c r="R200" s="179"/>
      <c r="S200" s="179"/>
      <c r="T200" s="179"/>
      <c r="U200" s="179"/>
      <c r="V200" s="179"/>
      <c r="W200" s="179"/>
      <c r="X200" s="179"/>
      <c r="Y200" s="179"/>
      <c r="Z200" s="179"/>
      <c r="AA200" s="179"/>
      <c r="AB200" s="179"/>
      <c r="AC200" s="179"/>
      <c r="AD200" s="179"/>
      <c r="AE200" s="179"/>
      <c r="AF200" s="179"/>
      <c r="AG200" s="179"/>
      <c r="AH200" s="179"/>
      <c r="AI200" s="179"/>
      <c r="AJ200" s="179"/>
      <c r="AK200" s="179"/>
      <c r="AL200" s="179"/>
      <c r="AM200" s="179"/>
      <c r="AN200" s="179"/>
      <c r="AO200" s="179"/>
      <c r="AP200" s="179"/>
      <c r="AQ200" s="179"/>
      <c r="AR200" s="179"/>
      <c r="AS200" s="179"/>
      <c r="AT200" s="179"/>
      <c r="AU200" s="179"/>
      <c r="AV200" s="179"/>
      <c r="AW200" s="179"/>
      <c r="AX200" s="179"/>
      <c r="AY200" s="179"/>
      <c r="AZ200" s="179"/>
      <c r="BA200" s="179"/>
      <c r="BB200" s="179"/>
      <c r="BC200" s="179"/>
      <c r="BD200" s="179"/>
      <c r="BE200" s="179"/>
      <c r="BF200" s="179"/>
      <c r="BG200" s="179"/>
      <c r="BH200" s="179"/>
    </row>
    <row r="201" spans="16:60" s="20" customFormat="1" x14ac:dyDescent="0.25">
      <c r="P201" s="179"/>
      <c r="Q201" s="179"/>
      <c r="R201" s="179"/>
      <c r="S201" s="179"/>
      <c r="T201" s="179"/>
      <c r="U201" s="179"/>
      <c r="V201" s="179"/>
      <c r="W201" s="179"/>
      <c r="X201" s="179"/>
      <c r="Y201" s="179"/>
      <c r="Z201" s="179"/>
      <c r="AA201" s="179"/>
      <c r="AB201" s="179"/>
      <c r="AC201" s="179"/>
      <c r="AD201" s="179"/>
      <c r="AE201" s="179"/>
      <c r="AF201" s="179"/>
      <c r="AG201" s="179"/>
      <c r="AH201" s="179"/>
      <c r="AI201" s="179"/>
      <c r="AJ201" s="179"/>
      <c r="AK201" s="179"/>
      <c r="AL201" s="179"/>
      <c r="AM201" s="179"/>
      <c r="AN201" s="179"/>
      <c r="AO201" s="179"/>
      <c r="AP201" s="179"/>
      <c r="AQ201" s="179"/>
      <c r="AR201" s="179"/>
      <c r="AS201" s="179"/>
      <c r="AT201" s="179"/>
      <c r="AU201" s="179"/>
      <c r="AV201" s="179"/>
      <c r="AW201" s="179"/>
      <c r="AX201" s="179"/>
      <c r="AY201" s="179"/>
      <c r="AZ201" s="179"/>
      <c r="BA201" s="179"/>
      <c r="BB201" s="179"/>
      <c r="BC201" s="179"/>
      <c r="BD201" s="179"/>
      <c r="BE201" s="179"/>
      <c r="BF201" s="179"/>
      <c r="BG201" s="179"/>
      <c r="BH201" s="179"/>
    </row>
    <row r="202" spans="16:60" s="20" customFormat="1" x14ac:dyDescent="0.25">
      <c r="P202" s="179"/>
      <c r="Q202" s="179"/>
      <c r="R202" s="179"/>
      <c r="S202" s="179"/>
      <c r="T202" s="179"/>
      <c r="U202" s="179"/>
      <c r="V202" s="179"/>
      <c r="W202" s="179"/>
      <c r="X202" s="179"/>
      <c r="Y202" s="179"/>
      <c r="Z202" s="179"/>
      <c r="AA202" s="179"/>
      <c r="AB202" s="179"/>
      <c r="AC202" s="179"/>
      <c r="AD202" s="179"/>
      <c r="AE202" s="179"/>
      <c r="AF202" s="179"/>
      <c r="AG202" s="179"/>
      <c r="AH202" s="179"/>
      <c r="AI202" s="179"/>
      <c r="AJ202" s="179"/>
      <c r="AK202" s="179"/>
      <c r="AL202" s="179"/>
      <c r="AM202" s="179"/>
      <c r="AN202" s="179"/>
      <c r="AO202" s="179"/>
      <c r="AP202" s="179"/>
      <c r="AQ202" s="179"/>
      <c r="AR202" s="179"/>
      <c r="AS202" s="179"/>
      <c r="AT202" s="179"/>
      <c r="AU202" s="179"/>
      <c r="AV202" s="179"/>
      <c r="AW202" s="179"/>
      <c r="AX202" s="179"/>
      <c r="AY202" s="179"/>
      <c r="AZ202" s="179"/>
      <c r="BA202" s="179"/>
      <c r="BB202" s="179"/>
      <c r="BC202" s="179"/>
      <c r="BD202" s="179"/>
      <c r="BE202" s="179"/>
      <c r="BF202" s="179"/>
      <c r="BG202" s="179"/>
      <c r="BH202" s="179"/>
    </row>
    <row r="203" spans="16:60" s="20" customFormat="1" x14ac:dyDescent="0.25">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c r="BC203" s="179"/>
      <c r="BD203" s="179"/>
      <c r="BE203" s="179"/>
      <c r="BF203" s="179"/>
      <c r="BG203" s="179"/>
      <c r="BH203" s="179"/>
    </row>
    <row r="204" spans="16:60" s="20" customFormat="1" x14ac:dyDescent="0.25">
      <c r="P204" s="179"/>
      <c r="Q204" s="179"/>
      <c r="R204" s="179"/>
      <c r="S204" s="179"/>
      <c r="T204" s="179"/>
      <c r="U204" s="179"/>
      <c r="V204" s="179"/>
      <c r="W204" s="179"/>
      <c r="X204" s="179"/>
      <c r="Y204" s="179"/>
      <c r="Z204" s="179"/>
      <c r="AA204" s="179"/>
      <c r="AB204" s="179"/>
      <c r="AC204" s="179"/>
      <c r="AD204" s="179"/>
      <c r="AE204" s="179"/>
      <c r="AF204" s="179"/>
      <c r="AG204" s="179"/>
      <c r="AH204" s="179"/>
      <c r="AI204" s="179"/>
      <c r="AJ204" s="179"/>
      <c r="AK204" s="179"/>
      <c r="AL204" s="179"/>
      <c r="AM204" s="179"/>
      <c r="AN204" s="179"/>
      <c r="AO204" s="179"/>
      <c r="AP204" s="179"/>
      <c r="AQ204" s="179"/>
      <c r="AR204" s="179"/>
      <c r="AS204" s="179"/>
      <c r="AT204" s="179"/>
      <c r="AU204" s="179"/>
      <c r="AV204" s="179"/>
      <c r="AW204" s="179"/>
      <c r="AX204" s="179"/>
      <c r="AY204" s="179"/>
      <c r="AZ204" s="179"/>
      <c r="BA204" s="179"/>
      <c r="BB204" s="179"/>
      <c r="BC204" s="179"/>
      <c r="BD204" s="179"/>
      <c r="BE204" s="179"/>
      <c r="BF204" s="179"/>
      <c r="BG204" s="179"/>
      <c r="BH204" s="179"/>
    </row>
    <row r="205" spans="16:60" s="20" customFormat="1" x14ac:dyDescent="0.25">
      <c r="P205" s="179"/>
      <c r="Q205" s="179"/>
      <c r="R205" s="179"/>
      <c r="S205" s="179"/>
      <c r="T205" s="179"/>
      <c r="U205" s="179"/>
      <c r="V205" s="179"/>
      <c r="W205" s="179"/>
      <c r="X205" s="179"/>
      <c r="Y205" s="179"/>
      <c r="Z205" s="179"/>
      <c r="AA205" s="179"/>
      <c r="AB205" s="179"/>
      <c r="AC205" s="179"/>
      <c r="AD205" s="179"/>
      <c r="AE205" s="179"/>
      <c r="AF205" s="179"/>
      <c r="AG205" s="179"/>
      <c r="AH205" s="179"/>
      <c r="AI205" s="179"/>
      <c r="AJ205" s="179"/>
      <c r="AK205" s="179"/>
      <c r="AL205" s="179"/>
      <c r="AM205" s="179"/>
      <c r="AN205" s="179"/>
      <c r="AO205" s="179"/>
      <c r="AP205" s="179"/>
      <c r="AQ205" s="179"/>
      <c r="AR205" s="179"/>
      <c r="AS205" s="179"/>
      <c r="AT205" s="179"/>
      <c r="AU205" s="179"/>
      <c r="AV205" s="179"/>
      <c r="AW205" s="179"/>
      <c r="AX205" s="179"/>
      <c r="AY205" s="179"/>
      <c r="AZ205" s="179"/>
      <c r="BA205" s="179"/>
      <c r="BB205" s="179"/>
      <c r="BC205" s="179"/>
      <c r="BD205" s="179"/>
      <c r="BE205" s="179"/>
      <c r="BF205" s="179"/>
      <c r="BG205" s="179"/>
      <c r="BH205" s="179"/>
    </row>
    <row r="206" spans="16:60" s="20" customFormat="1" x14ac:dyDescent="0.25">
      <c r="P206" s="179"/>
      <c r="Q206" s="179"/>
      <c r="R206" s="179"/>
      <c r="S206" s="179"/>
      <c r="T206" s="179"/>
      <c r="U206" s="179"/>
      <c r="V206" s="179"/>
      <c r="W206" s="179"/>
      <c r="X206" s="179"/>
      <c r="Y206" s="179"/>
      <c r="Z206" s="179"/>
      <c r="AA206" s="179"/>
      <c r="AB206" s="179"/>
      <c r="AC206" s="179"/>
      <c r="AD206" s="179"/>
      <c r="AE206" s="179"/>
      <c r="AF206" s="179"/>
      <c r="AG206" s="179"/>
      <c r="AH206" s="179"/>
      <c r="AI206" s="179"/>
      <c r="AJ206" s="179"/>
      <c r="AK206" s="179"/>
      <c r="AL206" s="179"/>
      <c r="AM206" s="179"/>
      <c r="AN206" s="179"/>
      <c r="AO206" s="179"/>
      <c r="AP206" s="179"/>
      <c r="AQ206" s="179"/>
      <c r="AR206" s="179"/>
      <c r="AS206" s="179"/>
      <c r="AT206" s="179"/>
      <c r="AU206" s="179"/>
      <c r="AV206" s="179"/>
      <c r="AW206" s="179"/>
      <c r="AX206" s="179"/>
      <c r="AY206" s="179"/>
      <c r="AZ206" s="179"/>
      <c r="BA206" s="179"/>
      <c r="BB206" s="179"/>
      <c r="BC206" s="179"/>
      <c r="BD206" s="179"/>
      <c r="BE206" s="179"/>
      <c r="BF206" s="179"/>
      <c r="BG206" s="179"/>
      <c r="BH206" s="179"/>
    </row>
    <row r="207" spans="16:60" s="20" customFormat="1" x14ac:dyDescent="0.25">
      <c r="P207" s="179"/>
      <c r="Q207" s="179"/>
      <c r="R207" s="179"/>
      <c r="S207" s="179"/>
      <c r="T207" s="179"/>
      <c r="U207" s="179"/>
      <c r="V207" s="179"/>
      <c r="W207" s="179"/>
      <c r="X207" s="179"/>
      <c r="Y207" s="179"/>
      <c r="Z207" s="179"/>
      <c r="AA207" s="179"/>
      <c r="AB207" s="179"/>
      <c r="AC207" s="179"/>
      <c r="AD207" s="179"/>
      <c r="AE207" s="179"/>
      <c r="AF207" s="179"/>
      <c r="AG207" s="179"/>
      <c r="AH207" s="179"/>
      <c r="AI207" s="179"/>
      <c r="AJ207" s="179"/>
      <c r="AK207" s="179"/>
      <c r="AL207" s="179"/>
      <c r="AM207" s="179"/>
      <c r="AN207" s="179"/>
      <c r="AO207" s="179"/>
      <c r="AP207" s="179"/>
      <c r="AQ207" s="179"/>
      <c r="AR207" s="179"/>
      <c r="AS207" s="179"/>
      <c r="AT207" s="179"/>
      <c r="AU207" s="179"/>
      <c r="AV207" s="179"/>
      <c r="AW207" s="179"/>
      <c r="AX207" s="179"/>
      <c r="AY207" s="179"/>
      <c r="AZ207" s="179"/>
      <c r="BA207" s="179"/>
      <c r="BB207" s="179"/>
      <c r="BC207" s="179"/>
      <c r="BD207" s="179"/>
      <c r="BE207" s="179"/>
      <c r="BF207" s="179"/>
      <c r="BG207" s="179"/>
      <c r="BH207" s="179"/>
    </row>
    <row r="208" spans="16:60" s="20" customFormat="1" x14ac:dyDescent="0.25">
      <c r="P208" s="179"/>
      <c r="Q208" s="179"/>
      <c r="R208" s="179"/>
      <c r="S208" s="179"/>
      <c r="T208" s="179"/>
      <c r="U208" s="179"/>
      <c r="V208" s="179"/>
      <c r="W208" s="179"/>
      <c r="X208" s="179"/>
      <c r="Y208" s="179"/>
      <c r="Z208" s="179"/>
      <c r="AA208" s="179"/>
      <c r="AB208" s="179"/>
      <c r="AC208" s="179"/>
      <c r="AD208" s="179"/>
      <c r="AE208" s="179"/>
      <c r="AF208" s="179"/>
      <c r="AG208" s="179"/>
      <c r="AH208" s="179"/>
      <c r="AI208" s="179"/>
      <c r="AJ208" s="179"/>
      <c r="AK208" s="179"/>
      <c r="AL208" s="179"/>
      <c r="AM208" s="179"/>
      <c r="AN208" s="179"/>
      <c r="AO208" s="179"/>
      <c r="AP208" s="179"/>
      <c r="AQ208" s="179"/>
      <c r="AR208" s="179"/>
      <c r="AS208" s="179"/>
      <c r="AT208" s="179"/>
      <c r="AU208" s="179"/>
      <c r="AV208" s="179"/>
      <c r="AW208" s="179"/>
      <c r="AX208" s="179"/>
      <c r="AY208" s="179"/>
      <c r="AZ208" s="179"/>
      <c r="BA208" s="179"/>
      <c r="BB208" s="179"/>
      <c r="BC208" s="179"/>
      <c r="BD208" s="179"/>
      <c r="BE208" s="179"/>
      <c r="BF208" s="179"/>
      <c r="BG208" s="179"/>
      <c r="BH208" s="179"/>
    </row>
    <row r="209" spans="16:60" s="20" customFormat="1" x14ac:dyDescent="0.25">
      <c r="P209" s="179"/>
      <c r="Q209" s="179"/>
      <c r="R209" s="179"/>
      <c r="S209" s="179"/>
      <c r="T209" s="179"/>
      <c r="U209" s="179"/>
      <c r="V209" s="179"/>
      <c r="W209" s="179"/>
      <c r="X209" s="179"/>
      <c r="Y209" s="179"/>
      <c r="Z209" s="179"/>
      <c r="AA209" s="179"/>
      <c r="AB209" s="179"/>
      <c r="AC209" s="179"/>
      <c r="AD209" s="179"/>
      <c r="AE209" s="179"/>
      <c r="AF209" s="179"/>
      <c r="AG209" s="179"/>
      <c r="AH209" s="179"/>
      <c r="AI209" s="179"/>
      <c r="AJ209" s="179"/>
      <c r="AK209" s="179"/>
      <c r="AL209" s="179"/>
      <c r="AM209" s="179"/>
      <c r="AN209" s="179"/>
      <c r="AO209" s="179"/>
      <c r="AP209" s="179"/>
      <c r="AQ209" s="179"/>
      <c r="AR209" s="179"/>
      <c r="AS209" s="179"/>
      <c r="AT209" s="179"/>
      <c r="AU209" s="179"/>
      <c r="AV209" s="179"/>
      <c r="AW209" s="179"/>
      <c r="AX209" s="179"/>
      <c r="AY209" s="179"/>
      <c r="AZ209" s="179"/>
      <c r="BA209" s="179"/>
      <c r="BB209" s="179"/>
      <c r="BC209" s="179"/>
      <c r="BD209" s="179"/>
      <c r="BE209" s="179"/>
      <c r="BF209" s="179"/>
      <c r="BG209" s="179"/>
      <c r="BH209" s="179"/>
    </row>
    <row r="210" spans="16:60" s="20" customFormat="1" x14ac:dyDescent="0.25">
      <c r="P210" s="179"/>
      <c r="Q210" s="179"/>
      <c r="R210" s="179"/>
      <c r="S210" s="179"/>
      <c r="T210" s="179"/>
      <c r="U210" s="179"/>
      <c r="V210" s="179"/>
      <c r="W210" s="179"/>
      <c r="X210" s="179"/>
      <c r="Y210" s="179"/>
      <c r="Z210" s="179"/>
      <c r="AA210" s="179"/>
      <c r="AB210" s="179"/>
      <c r="AC210" s="179"/>
      <c r="AD210" s="179"/>
      <c r="AE210" s="179"/>
      <c r="AF210" s="179"/>
      <c r="AG210" s="179"/>
      <c r="AH210" s="179"/>
      <c r="AI210" s="179"/>
      <c r="AJ210" s="179"/>
      <c r="AK210" s="179"/>
      <c r="AL210" s="179"/>
      <c r="AM210" s="179"/>
      <c r="AN210" s="179"/>
      <c r="AO210" s="179"/>
      <c r="AP210" s="179"/>
      <c r="AQ210" s="179"/>
      <c r="AR210" s="179"/>
      <c r="AS210" s="179"/>
      <c r="AT210" s="179"/>
      <c r="AU210" s="179"/>
      <c r="AV210" s="179"/>
      <c r="AW210" s="179"/>
      <c r="AX210" s="179"/>
      <c r="AY210" s="179"/>
      <c r="AZ210" s="179"/>
      <c r="BA210" s="179"/>
      <c r="BB210" s="179"/>
      <c r="BC210" s="179"/>
      <c r="BD210" s="179"/>
      <c r="BE210" s="179"/>
      <c r="BF210" s="179"/>
      <c r="BG210" s="179"/>
      <c r="BH210" s="179"/>
    </row>
    <row r="211" spans="16:60" s="20" customFormat="1" x14ac:dyDescent="0.25">
      <c r="P211" s="179"/>
      <c r="Q211" s="179"/>
      <c r="R211" s="179"/>
      <c r="S211" s="179"/>
      <c r="T211" s="179"/>
      <c r="U211" s="179"/>
      <c r="V211" s="179"/>
      <c r="W211" s="179"/>
      <c r="X211" s="179"/>
      <c r="Y211" s="179"/>
      <c r="Z211" s="179"/>
      <c r="AA211" s="179"/>
      <c r="AB211" s="179"/>
      <c r="AC211" s="179"/>
      <c r="AD211" s="179"/>
      <c r="AE211" s="179"/>
      <c r="AF211" s="179"/>
      <c r="AG211" s="179"/>
      <c r="AH211" s="179"/>
      <c r="AI211" s="179"/>
      <c r="AJ211" s="179"/>
      <c r="AK211" s="179"/>
      <c r="AL211" s="179"/>
      <c r="AM211" s="179"/>
      <c r="AN211" s="179"/>
      <c r="AO211" s="179"/>
      <c r="AP211" s="179"/>
      <c r="AQ211" s="179"/>
      <c r="AR211" s="179"/>
      <c r="AS211" s="179"/>
      <c r="AT211" s="179"/>
      <c r="AU211" s="179"/>
      <c r="AV211" s="179"/>
      <c r="AW211" s="179"/>
      <c r="AX211" s="179"/>
      <c r="AY211" s="179"/>
      <c r="AZ211" s="179"/>
      <c r="BA211" s="179"/>
      <c r="BB211" s="179"/>
      <c r="BC211" s="179"/>
      <c r="BD211" s="179"/>
      <c r="BE211" s="179"/>
      <c r="BF211" s="179"/>
      <c r="BG211" s="179"/>
      <c r="BH211" s="179"/>
    </row>
    <row r="212" spans="16:60" s="20" customFormat="1" x14ac:dyDescent="0.25">
      <c r="P212" s="179"/>
      <c r="Q212" s="179"/>
      <c r="R212" s="179"/>
      <c r="S212" s="179"/>
      <c r="T212" s="179"/>
      <c r="U212" s="179"/>
      <c r="V212" s="179"/>
      <c r="W212" s="179"/>
      <c r="X212" s="179"/>
      <c r="Y212" s="179"/>
      <c r="Z212" s="179"/>
      <c r="AA212" s="179"/>
      <c r="AB212" s="179"/>
      <c r="AC212" s="179"/>
      <c r="AD212" s="179"/>
      <c r="AE212" s="179"/>
      <c r="AF212" s="179"/>
      <c r="AG212" s="179"/>
      <c r="AH212" s="179"/>
      <c r="AI212" s="179"/>
      <c r="AJ212" s="179"/>
      <c r="AK212" s="179"/>
      <c r="AL212" s="179"/>
      <c r="AM212" s="179"/>
      <c r="AN212" s="179"/>
      <c r="AO212" s="179"/>
      <c r="AP212" s="179"/>
      <c r="AQ212" s="179"/>
      <c r="AR212" s="179"/>
      <c r="AS212" s="179"/>
      <c r="AT212" s="179"/>
      <c r="AU212" s="179"/>
      <c r="AV212" s="179"/>
      <c r="AW212" s="179"/>
      <c r="AX212" s="179"/>
      <c r="AY212" s="179"/>
      <c r="AZ212" s="179"/>
      <c r="BA212" s="179"/>
      <c r="BB212" s="179"/>
      <c r="BC212" s="179"/>
      <c r="BD212" s="179"/>
      <c r="BE212" s="179"/>
      <c r="BF212" s="179"/>
      <c r="BG212" s="179"/>
      <c r="BH212" s="179"/>
    </row>
    <row r="213" spans="16:60" s="20" customFormat="1" x14ac:dyDescent="0.25">
      <c r="P213" s="179"/>
      <c r="Q213" s="179"/>
      <c r="R213" s="179"/>
      <c r="S213" s="179"/>
      <c r="T213" s="179"/>
      <c r="U213" s="179"/>
      <c r="V213" s="179"/>
      <c r="W213" s="179"/>
      <c r="X213" s="179"/>
      <c r="Y213" s="179"/>
      <c r="Z213" s="179"/>
      <c r="AA213" s="179"/>
      <c r="AB213" s="179"/>
      <c r="AC213" s="179"/>
      <c r="AD213" s="179"/>
      <c r="AE213" s="179"/>
      <c r="AF213" s="179"/>
      <c r="AG213" s="179"/>
      <c r="AH213" s="179"/>
      <c r="AI213" s="179"/>
      <c r="AJ213" s="179"/>
      <c r="AK213" s="179"/>
      <c r="AL213" s="179"/>
      <c r="AM213" s="179"/>
      <c r="AN213" s="179"/>
      <c r="AO213" s="179"/>
      <c r="AP213" s="179"/>
      <c r="AQ213" s="179"/>
      <c r="AR213" s="179"/>
      <c r="AS213" s="179"/>
      <c r="AT213" s="179"/>
      <c r="AU213" s="179"/>
      <c r="AV213" s="179"/>
      <c r="AW213" s="179"/>
      <c r="AX213" s="179"/>
      <c r="AY213" s="179"/>
      <c r="AZ213" s="179"/>
      <c r="BA213" s="179"/>
      <c r="BB213" s="179"/>
      <c r="BC213" s="179"/>
      <c r="BD213" s="179"/>
      <c r="BE213" s="179"/>
      <c r="BF213" s="179"/>
      <c r="BG213" s="179"/>
      <c r="BH213" s="179"/>
    </row>
    <row r="214" spans="16:60" s="20" customFormat="1" x14ac:dyDescent="0.25">
      <c r="P214" s="179"/>
      <c r="Q214" s="179"/>
      <c r="R214" s="179"/>
      <c r="S214" s="179"/>
      <c r="T214" s="179"/>
      <c r="U214" s="179"/>
      <c r="V214" s="179"/>
      <c r="W214" s="179"/>
      <c r="X214" s="179"/>
      <c r="Y214" s="179"/>
      <c r="Z214" s="179"/>
      <c r="AA214" s="179"/>
      <c r="AB214" s="179"/>
      <c r="AC214" s="179"/>
      <c r="AD214" s="179"/>
      <c r="AE214" s="179"/>
      <c r="AF214" s="179"/>
      <c r="AG214" s="179"/>
      <c r="AH214" s="179"/>
      <c r="AI214" s="179"/>
      <c r="AJ214" s="179"/>
      <c r="AK214" s="179"/>
      <c r="AL214" s="179"/>
      <c r="AM214" s="179"/>
      <c r="AN214" s="179"/>
      <c r="AO214" s="179"/>
      <c r="AP214" s="179"/>
      <c r="AQ214" s="179"/>
      <c r="AR214" s="179"/>
      <c r="AS214" s="179"/>
      <c r="AT214" s="179"/>
      <c r="AU214" s="179"/>
      <c r="AV214" s="179"/>
      <c r="AW214" s="179"/>
      <c r="AX214" s="179"/>
      <c r="AY214" s="179"/>
      <c r="AZ214" s="179"/>
      <c r="BA214" s="179"/>
      <c r="BB214" s="179"/>
      <c r="BC214" s="179"/>
      <c r="BD214" s="179"/>
      <c r="BE214" s="179"/>
      <c r="BF214" s="179"/>
      <c r="BG214" s="179"/>
      <c r="BH214" s="179"/>
    </row>
    <row r="215" spans="16:60" s="20" customFormat="1" x14ac:dyDescent="0.25">
      <c r="P215" s="179"/>
      <c r="Q215" s="179"/>
      <c r="R215" s="179"/>
      <c r="S215" s="179"/>
      <c r="T215" s="179"/>
      <c r="U215" s="179"/>
      <c r="V215" s="179"/>
      <c r="W215" s="179"/>
      <c r="X215" s="179"/>
      <c r="Y215" s="179"/>
      <c r="Z215" s="179"/>
      <c r="AA215" s="179"/>
      <c r="AB215" s="179"/>
      <c r="AC215" s="179"/>
      <c r="AD215" s="179"/>
      <c r="AE215" s="179"/>
      <c r="AF215" s="179"/>
      <c r="AG215" s="179"/>
      <c r="AH215" s="179"/>
      <c r="AI215" s="179"/>
      <c r="AJ215" s="179"/>
      <c r="AK215" s="179"/>
      <c r="AL215" s="179"/>
      <c r="AM215" s="179"/>
      <c r="AN215" s="179"/>
      <c r="AO215" s="179"/>
      <c r="AP215" s="179"/>
      <c r="AQ215" s="179"/>
      <c r="AR215" s="179"/>
      <c r="AS215" s="179"/>
      <c r="AT215" s="179"/>
      <c r="AU215" s="179"/>
      <c r="AV215" s="179"/>
      <c r="AW215" s="179"/>
      <c r="AX215" s="179"/>
      <c r="AY215" s="179"/>
      <c r="AZ215" s="179"/>
      <c r="BA215" s="179"/>
      <c r="BB215" s="179"/>
      <c r="BC215" s="179"/>
      <c r="BD215" s="179"/>
      <c r="BE215" s="179"/>
      <c r="BF215" s="179"/>
      <c r="BG215" s="179"/>
      <c r="BH215" s="179"/>
    </row>
    <row r="216" spans="16:60" s="20" customFormat="1" x14ac:dyDescent="0.25">
      <c r="P216" s="179"/>
      <c r="Q216" s="179"/>
      <c r="R216" s="179"/>
      <c r="S216" s="179"/>
      <c r="T216" s="179"/>
      <c r="U216" s="179"/>
      <c r="V216" s="179"/>
      <c r="W216" s="179"/>
      <c r="X216" s="179"/>
      <c r="Y216" s="179"/>
      <c r="Z216" s="179"/>
      <c r="AA216" s="179"/>
      <c r="AB216" s="179"/>
      <c r="AC216" s="179"/>
      <c r="AD216" s="179"/>
      <c r="AE216" s="179"/>
      <c r="AF216" s="179"/>
      <c r="AG216" s="179"/>
      <c r="AH216" s="179"/>
      <c r="AI216" s="179"/>
      <c r="AJ216" s="179"/>
      <c r="AK216" s="179"/>
      <c r="AL216" s="179"/>
      <c r="AM216" s="179"/>
      <c r="AN216" s="179"/>
      <c r="AO216" s="179"/>
      <c r="AP216" s="179"/>
      <c r="AQ216" s="179"/>
      <c r="AR216" s="179"/>
      <c r="AS216" s="179"/>
      <c r="AT216" s="179"/>
      <c r="AU216" s="179"/>
      <c r="AV216" s="179"/>
      <c r="AW216" s="179"/>
      <c r="AX216" s="179"/>
      <c r="AY216" s="179"/>
      <c r="AZ216" s="179"/>
      <c r="BA216" s="179"/>
      <c r="BB216" s="179"/>
      <c r="BC216" s="179"/>
      <c r="BD216" s="179"/>
      <c r="BE216" s="179"/>
      <c r="BF216" s="179"/>
      <c r="BG216" s="179"/>
      <c r="BH216" s="179"/>
    </row>
    <row r="217" spans="16:60" s="20" customFormat="1" x14ac:dyDescent="0.25">
      <c r="P217" s="179"/>
      <c r="Q217" s="179"/>
      <c r="R217" s="179"/>
      <c r="S217" s="179"/>
      <c r="T217" s="179"/>
      <c r="U217" s="179"/>
      <c r="V217" s="179"/>
      <c r="W217" s="179"/>
      <c r="X217" s="179"/>
      <c r="Y217" s="179"/>
      <c r="Z217" s="179"/>
      <c r="AA217" s="179"/>
      <c r="AB217" s="179"/>
      <c r="AC217" s="179"/>
      <c r="AD217" s="179"/>
      <c r="AE217" s="179"/>
      <c r="AF217" s="179"/>
      <c r="AG217" s="179"/>
      <c r="AH217" s="179"/>
      <c r="AI217" s="179"/>
      <c r="AJ217" s="179"/>
      <c r="AK217" s="179"/>
      <c r="AL217" s="179"/>
      <c r="AM217" s="179"/>
      <c r="AN217" s="179"/>
      <c r="AO217" s="179"/>
      <c r="AP217" s="179"/>
      <c r="AQ217" s="179"/>
      <c r="AR217" s="179"/>
      <c r="AS217" s="179"/>
      <c r="AT217" s="179"/>
      <c r="AU217" s="179"/>
      <c r="AV217" s="179"/>
      <c r="AW217" s="179"/>
      <c r="AX217" s="179"/>
      <c r="AY217" s="179"/>
      <c r="AZ217" s="179"/>
      <c r="BA217" s="179"/>
      <c r="BB217" s="179"/>
      <c r="BC217" s="179"/>
      <c r="BD217" s="179"/>
      <c r="BE217" s="179"/>
      <c r="BF217" s="179"/>
      <c r="BG217" s="179"/>
      <c r="BH217" s="179"/>
    </row>
    <row r="218" spans="16:60" s="20" customFormat="1" x14ac:dyDescent="0.25">
      <c r="P218" s="179"/>
      <c r="Q218" s="179"/>
      <c r="R218" s="179"/>
      <c r="S218" s="179"/>
      <c r="T218" s="179"/>
      <c r="U218" s="179"/>
      <c r="V218" s="179"/>
      <c r="W218" s="179"/>
      <c r="X218" s="179"/>
      <c r="Y218" s="179"/>
      <c r="Z218" s="179"/>
      <c r="AA218" s="179"/>
      <c r="AB218" s="179"/>
      <c r="AC218" s="179"/>
      <c r="AD218" s="179"/>
      <c r="AE218" s="179"/>
      <c r="AF218" s="179"/>
      <c r="AG218" s="179"/>
      <c r="AH218" s="179"/>
      <c r="AI218" s="179"/>
      <c r="AJ218" s="179"/>
      <c r="AK218" s="179"/>
      <c r="AL218" s="179"/>
      <c r="AM218" s="179"/>
      <c r="AN218" s="179"/>
      <c r="AO218" s="179"/>
      <c r="AP218" s="179"/>
      <c r="AQ218" s="179"/>
      <c r="AR218" s="179"/>
      <c r="AS218" s="179"/>
      <c r="AT218" s="179"/>
      <c r="AU218" s="179"/>
      <c r="AV218" s="179"/>
      <c r="AW218" s="179"/>
      <c r="AX218" s="179"/>
      <c r="AY218" s="179"/>
      <c r="AZ218" s="179"/>
      <c r="BA218" s="179"/>
      <c r="BB218" s="179"/>
      <c r="BC218" s="179"/>
      <c r="BD218" s="179"/>
      <c r="BE218" s="179"/>
      <c r="BF218" s="179"/>
      <c r="BG218" s="179"/>
      <c r="BH218" s="179"/>
    </row>
    <row r="219" spans="16:60" s="20" customFormat="1" x14ac:dyDescent="0.25">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79"/>
      <c r="AK219" s="179"/>
      <c r="AL219" s="179"/>
      <c r="AM219" s="179"/>
      <c r="AN219" s="179"/>
      <c r="AO219" s="179"/>
      <c r="AP219" s="179"/>
      <c r="AQ219" s="179"/>
      <c r="AR219" s="179"/>
      <c r="AS219" s="179"/>
      <c r="AT219" s="179"/>
      <c r="AU219" s="179"/>
      <c r="AV219" s="179"/>
      <c r="AW219" s="179"/>
      <c r="AX219" s="179"/>
      <c r="AY219" s="179"/>
      <c r="AZ219" s="179"/>
      <c r="BA219" s="179"/>
      <c r="BB219" s="179"/>
      <c r="BC219" s="179"/>
      <c r="BD219" s="179"/>
      <c r="BE219" s="179"/>
      <c r="BF219" s="179"/>
      <c r="BG219" s="179"/>
      <c r="BH219" s="179"/>
    </row>
    <row r="220" spans="16:60" s="20" customFormat="1" x14ac:dyDescent="0.25">
      <c r="P220" s="179"/>
      <c r="Q220" s="179"/>
      <c r="R220" s="179"/>
      <c r="S220" s="179"/>
      <c r="T220" s="179"/>
      <c r="U220" s="179"/>
      <c r="V220" s="179"/>
      <c r="W220" s="179"/>
      <c r="X220" s="179"/>
      <c r="Y220" s="179"/>
      <c r="Z220" s="179"/>
      <c r="AA220" s="179"/>
      <c r="AB220" s="179"/>
      <c r="AC220" s="179"/>
      <c r="AD220" s="179"/>
      <c r="AE220" s="179"/>
      <c r="AF220" s="179"/>
      <c r="AG220" s="179"/>
      <c r="AH220" s="179"/>
      <c r="AI220" s="179"/>
      <c r="AJ220" s="179"/>
      <c r="AK220" s="179"/>
      <c r="AL220" s="179"/>
      <c r="AM220" s="179"/>
      <c r="AN220" s="179"/>
      <c r="AO220" s="179"/>
      <c r="AP220" s="179"/>
      <c r="AQ220" s="179"/>
      <c r="AR220" s="179"/>
      <c r="AS220" s="179"/>
      <c r="AT220" s="179"/>
      <c r="AU220" s="179"/>
      <c r="AV220" s="179"/>
      <c r="AW220" s="179"/>
      <c r="AX220" s="179"/>
      <c r="AY220" s="179"/>
      <c r="AZ220" s="179"/>
      <c r="BA220" s="179"/>
      <c r="BB220" s="179"/>
      <c r="BC220" s="179"/>
      <c r="BD220" s="179"/>
      <c r="BE220" s="179"/>
      <c r="BF220" s="179"/>
      <c r="BG220" s="179"/>
      <c r="BH220" s="179"/>
    </row>
    <row r="221" spans="16:60" s="20" customFormat="1" x14ac:dyDescent="0.25">
      <c r="P221" s="179"/>
      <c r="Q221" s="179"/>
      <c r="R221" s="179"/>
      <c r="S221" s="179"/>
      <c r="T221" s="179"/>
      <c r="U221" s="179"/>
      <c r="V221" s="179"/>
      <c r="W221" s="179"/>
      <c r="X221" s="179"/>
      <c r="Y221" s="179"/>
      <c r="Z221" s="179"/>
      <c r="AA221" s="179"/>
      <c r="AB221" s="179"/>
      <c r="AC221" s="179"/>
      <c r="AD221" s="179"/>
      <c r="AE221" s="179"/>
      <c r="AF221" s="179"/>
      <c r="AG221" s="179"/>
      <c r="AH221" s="179"/>
      <c r="AI221" s="179"/>
      <c r="AJ221" s="179"/>
      <c r="AK221" s="179"/>
      <c r="AL221" s="179"/>
      <c r="AM221" s="179"/>
      <c r="AN221" s="179"/>
      <c r="AO221" s="179"/>
      <c r="AP221" s="179"/>
      <c r="AQ221" s="179"/>
      <c r="AR221" s="179"/>
      <c r="AS221" s="179"/>
      <c r="AT221" s="179"/>
      <c r="AU221" s="179"/>
      <c r="AV221" s="179"/>
      <c r="AW221" s="179"/>
      <c r="AX221" s="179"/>
      <c r="AY221" s="179"/>
      <c r="AZ221" s="179"/>
      <c r="BA221" s="179"/>
      <c r="BB221" s="179"/>
      <c r="BC221" s="179"/>
      <c r="BD221" s="179"/>
      <c r="BE221" s="179"/>
      <c r="BF221" s="179"/>
      <c r="BG221" s="179"/>
      <c r="BH221" s="179"/>
    </row>
    <row r="222" spans="16:60" s="20" customFormat="1" x14ac:dyDescent="0.25">
      <c r="P222" s="179"/>
      <c r="Q222" s="179"/>
      <c r="R222" s="179"/>
      <c r="S222" s="179"/>
      <c r="T222" s="179"/>
      <c r="U222" s="179"/>
      <c r="V222" s="179"/>
      <c r="W222" s="179"/>
      <c r="X222" s="179"/>
      <c r="Y222" s="179"/>
      <c r="Z222" s="179"/>
      <c r="AA222" s="179"/>
      <c r="AB222" s="179"/>
      <c r="AC222" s="179"/>
      <c r="AD222" s="179"/>
      <c r="AE222" s="179"/>
      <c r="AF222" s="179"/>
      <c r="AG222" s="179"/>
      <c r="AH222" s="179"/>
      <c r="AI222" s="179"/>
      <c r="AJ222" s="179"/>
      <c r="AK222" s="179"/>
      <c r="AL222" s="179"/>
      <c r="AM222" s="179"/>
      <c r="AN222" s="179"/>
      <c r="AO222" s="179"/>
      <c r="AP222" s="179"/>
      <c r="AQ222" s="179"/>
      <c r="AR222" s="179"/>
      <c r="AS222" s="179"/>
      <c r="AT222" s="179"/>
      <c r="AU222" s="179"/>
      <c r="AV222" s="179"/>
      <c r="AW222" s="179"/>
      <c r="AX222" s="179"/>
      <c r="AY222" s="179"/>
      <c r="AZ222" s="179"/>
      <c r="BA222" s="179"/>
      <c r="BB222" s="179"/>
      <c r="BC222" s="179"/>
      <c r="BD222" s="179"/>
      <c r="BE222" s="179"/>
      <c r="BF222" s="179"/>
      <c r="BG222" s="179"/>
      <c r="BH222" s="179"/>
    </row>
    <row r="223" spans="16:60" s="20" customFormat="1" x14ac:dyDescent="0.25">
      <c r="P223" s="179"/>
      <c r="Q223" s="179"/>
      <c r="R223" s="179"/>
      <c r="S223" s="179"/>
      <c r="T223" s="179"/>
      <c r="U223" s="179"/>
      <c r="V223" s="179"/>
      <c r="W223" s="179"/>
      <c r="X223" s="179"/>
      <c r="Y223" s="179"/>
      <c r="Z223" s="179"/>
      <c r="AA223" s="179"/>
      <c r="AB223" s="179"/>
      <c r="AC223" s="179"/>
      <c r="AD223" s="179"/>
      <c r="AE223" s="179"/>
      <c r="AF223" s="179"/>
      <c r="AG223" s="179"/>
      <c r="AH223" s="179"/>
      <c r="AI223" s="179"/>
      <c r="AJ223" s="179"/>
      <c r="AK223" s="179"/>
      <c r="AL223" s="179"/>
      <c r="AM223" s="179"/>
      <c r="AN223" s="179"/>
      <c r="AO223" s="179"/>
      <c r="AP223" s="179"/>
      <c r="AQ223" s="179"/>
      <c r="AR223" s="179"/>
      <c r="AS223" s="179"/>
      <c r="AT223" s="179"/>
      <c r="AU223" s="179"/>
      <c r="AV223" s="179"/>
      <c r="AW223" s="179"/>
      <c r="AX223" s="179"/>
      <c r="AY223" s="179"/>
      <c r="AZ223" s="179"/>
      <c r="BA223" s="179"/>
      <c r="BB223" s="179"/>
      <c r="BC223" s="179"/>
      <c r="BD223" s="179"/>
      <c r="BE223" s="179"/>
      <c r="BF223" s="179"/>
      <c r="BG223" s="179"/>
      <c r="BH223" s="179"/>
    </row>
    <row r="224" spans="16:60" s="20" customFormat="1" x14ac:dyDescent="0.25">
      <c r="P224" s="179"/>
      <c r="Q224" s="179"/>
      <c r="R224" s="179"/>
      <c r="S224" s="179"/>
      <c r="T224" s="179"/>
      <c r="U224" s="179"/>
      <c r="V224" s="179"/>
      <c r="W224" s="179"/>
      <c r="X224" s="179"/>
      <c r="Y224" s="179"/>
      <c r="Z224" s="179"/>
      <c r="AA224" s="179"/>
      <c r="AB224" s="179"/>
      <c r="AC224" s="179"/>
      <c r="AD224" s="179"/>
      <c r="AE224" s="179"/>
      <c r="AF224" s="179"/>
      <c r="AG224" s="179"/>
      <c r="AH224" s="179"/>
      <c r="AI224" s="179"/>
      <c r="AJ224" s="179"/>
      <c r="AK224" s="179"/>
      <c r="AL224" s="179"/>
      <c r="AM224" s="179"/>
      <c r="AN224" s="179"/>
      <c r="AO224" s="179"/>
      <c r="AP224" s="179"/>
      <c r="AQ224" s="179"/>
      <c r="AR224" s="179"/>
      <c r="AS224" s="179"/>
      <c r="AT224" s="179"/>
      <c r="AU224" s="179"/>
      <c r="AV224" s="179"/>
      <c r="AW224" s="179"/>
      <c r="AX224" s="179"/>
      <c r="AY224" s="179"/>
      <c r="AZ224" s="179"/>
      <c r="BA224" s="179"/>
      <c r="BB224" s="179"/>
      <c r="BC224" s="179"/>
      <c r="BD224" s="179"/>
      <c r="BE224" s="179"/>
      <c r="BF224" s="179"/>
      <c r="BG224" s="179"/>
      <c r="BH224" s="179"/>
    </row>
    <row r="225" spans="16:60" s="20" customFormat="1" x14ac:dyDescent="0.25">
      <c r="P225" s="179"/>
      <c r="Q225" s="179"/>
      <c r="R225" s="179"/>
      <c r="S225" s="179"/>
      <c r="T225" s="179"/>
      <c r="U225" s="179"/>
      <c r="V225" s="179"/>
      <c r="W225" s="179"/>
      <c r="X225" s="179"/>
      <c r="Y225" s="179"/>
      <c r="Z225" s="179"/>
      <c r="AA225" s="179"/>
      <c r="AB225" s="179"/>
      <c r="AC225" s="179"/>
      <c r="AD225" s="179"/>
      <c r="AE225" s="179"/>
      <c r="AF225" s="179"/>
      <c r="AG225" s="179"/>
      <c r="AH225" s="179"/>
      <c r="AI225" s="179"/>
      <c r="AJ225" s="179"/>
      <c r="AK225" s="179"/>
      <c r="AL225" s="179"/>
      <c r="AM225" s="179"/>
      <c r="AN225" s="179"/>
      <c r="AO225" s="179"/>
      <c r="AP225" s="179"/>
      <c r="AQ225" s="179"/>
      <c r="AR225" s="179"/>
      <c r="AS225" s="179"/>
      <c r="AT225" s="179"/>
      <c r="AU225" s="179"/>
      <c r="AV225" s="179"/>
      <c r="AW225" s="179"/>
      <c r="AX225" s="179"/>
      <c r="AY225" s="179"/>
      <c r="AZ225" s="179"/>
      <c r="BA225" s="179"/>
      <c r="BB225" s="179"/>
      <c r="BC225" s="179"/>
      <c r="BD225" s="179"/>
      <c r="BE225" s="179"/>
      <c r="BF225" s="179"/>
      <c r="BG225" s="179"/>
      <c r="BH225" s="179"/>
    </row>
    <row r="226" spans="16:60" s="20" customFormat="1" x14ac:dyDescent="0.25">
      <c r="P226" s="179"/>
      <c r="Q226" s="179"/>
      <c r="R226" s="179"/>
      <c r="S226" s="179"/>
      <c r="T226" s="179"/>
      <c r="U226" s="179"/>
      <c r="V226" s="179"/>
      <c r="W226" s="179"/>
      <c r="X226" s="179"/>
      <c r="Y226" s="179"/>
      <c r="Z226" s="179"/>
      <c r="AA226" s="179"/>
      <c r="AB226" s="179"/>
      <c r="AC226" s="179"/>
      <c r="AD226" s="179"/>
      <c r="AE226" s="179"/>
      <c r="AF226" s="179"/>
      <c r="AG226" s="179"/>
      <c r="AH226" s="179"/>
      <c r="AI226" s="179"/>
      <c r="AJ226" s="179"/>
      <c r="AK226" s="179"/>
      <c r="AL226" s="179"/>
      <c r="AM226" s="179"/>
      <c r="AN226" s="179"/>
      <c r="AO226" s="179"/>
      <c r="AP226" s="179"/>
      <c r="AQ226" s="179"/>
      <c r="AR226" s="179"/>
      <c r="AS226" s="179"/>
      <c r="AT226" s="179"/>
      <c r="AU226" s="179"/>
      <c r="AV226" s="179"/>
      <c r="AW226" s="179"/>
      <c r="AX226" s="179"/>
      <c r="AY226" s="179"/>
      <c r="AZ226" s="179"/>
      <c r="BA226" s="179"/>
      <c r="BB226" s="179"/>
      <c r="BC226" s="179"/>
      <c r="BD226" s="179"/>
      <c r="BE226" s="179"/>
      <c r="BF226" s="179"/>
      <c r="BG226" s="179"/>
      <c r="BH226" s="179"/>
    </row>
    <row r="227" spans="16:60" s="20" customFormat="1" x14ac:dyDescent="0.25">
      <c r="P227" s="179"/>
      <c r="Q227" s="179"/>
      <c r="R227" s="179"/>
      <c r="S227" s="179"/>
      <c r="T227" s="179"/>
      <c r="U227" s="179"/>
      <c r="V227" s="179"/>
      <c r="W227" s="179"/>
      <c r="X227" s="179"/>
      <c r="Y227" s="179"/>
      <c r="Z227" s="179"/>
      <c r="AA227" s="179"/>
      <c r="AB227" s="179"/>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c r="BC227" s="179"/>
      <c r="BD227" s="179"/>
      <c r="BE227" s="179"/>
      <c r="BF227" s="179"/>
      <c r="BG227" s="179"/>
      <c r="BH227" s="179"/>
    </row>
    <row r="228" spans="16:60" s="20" customFormat="1" x14ac:dyDescent="0.25">
      <c r="P228" s="179"/>
      <c r="Q228" s="179"/>
      <c r="R228" s="179"/>
      <c r="S228" s="179"/>
      <c r="T228" s="179"/>
      <c r="U228" s="179"/>
      <c r="V228" s="179"/>
      <c r="W228" s="179"/>
      <c r="X228" s="179"/>
      <c r="Y228" s="179"/>
      <c r="Z228" s="179"/>
      <c r="AA228" s="179"/>
      <c r="AB228" s="179"/>
      <c r="AC228" s="179"/>
      <c r="AD228" s="179"/>
      <c r="AE228" s="179"/>
      <c r="AF228" s="179"/>
      <c r="AG228" s="179"/>
      <c r="AH228" s="179"/>
      <c r="AI228" s="179"/>
      <c r="AJ228" s="179"/>
      <c r="AK228" s="179"/>
      <c r="AL228" s="179"/>
      <c r="AM228" s="179"/>
      <c r="AN228" s="179"/>
      <c r="AO228" s="179"/>
      <c r="AP228" s="179"/>
      <c r="AQ228" s="179"/>
      <c r="AR228" s="179"/>
      <c r="AS228" s="179"/>
      <c r="AT228" s="179"/>
      <c r="AU228" s="179"/>
      <c r="AV228" s="179"/>
      <c r="AW228" s="179"/>
      <c r="AX228" s="179"/>
      <c r="AY228" s="179"/>
      <c r="AZ228" s="179"/>
      <c r="BA228" s="179"/>
      <c r="BB228" s="179"/>
      <c r="BC228" s="179"/>
      <c r="BD228" s="179"/>
      <c r="BE228" s="179"/>
      <c r="BF228" s="179"/>
      <c r="BG228" s="179"/>
      <c r="BH228" s="179"/>
    </row>
    <row r="229" spans="16:60" s="20" customFormat="1" x14ac:dyDescent="0.25">
      <c r="P229" s="179"/>
      <c r="Q229" s="179"/>
      <c r="R229" s="179"/>
      <c r="S229" s="179"/>
      <c r="T229" s="179"/>
      <c r="U229" s="179"/>
      <c r="V229" s="179"/>
      <c r="W229" s="179"/>
      <c r="X229" s="179"/>
      <c r="Y229" s="179"/>
      <c r="Z229" s="179"/>
      <c r="AA229" s="179"/>
      <c r="AB229" s="179"/>
      <c r="AC229" s="179"/>
      <c r="AD229" s="179"/>
      <c r="AE229" s="179"/>
      <c r="AF229" s="179"/>
      <c r="AG229" s="179"/>
      <c r="AH229" s="179"/>
      <c r="AI229" s="179"/>
      <c r="AJ229" s="179"/>
      <c r="AK229" s="179"/>
      <c r="AL229" s="179"/>
      <c r="AM229" s="179"/>
      <c r="AN229" s="179"/>
      <c r="AO229" s="179"/>
      <c r="AP229" s="179"/>
      <c r="AQ229" s="179"/>
      <c r="AR229" s="179"/>
      <c r="AS229" s="179"/>
      <c r="AT229" s="179"/>
      <c r="AU229" s="179"/>
      <c r="AV229" s="179"/>
      <c r="AW229" s="179"/>
      <c r="AX229" s="179"/>
      <c r="AY229" s="179"/>
      <c r="AZ229" s="179"/>
      <c r="BA229" s="179"/>
      <c r="BB229" s="179"/>
      <c r="BC229" s="179"/>
      <c r="BD229" s="179"/>
      <c r="BE229" s="179"/>
      <c r="BF229" s="179"/>
      <c r="BG229" s="179"/>
      <c r="BH229" s="179"/>
    </row>
    <row r="230" spans="16:60" s="20" customFormat="1" x14ac:dyDescent="0.25">
      <c r="P230" s="179"/>
      <c r="Q230" s="179"/>
      <c r="R230" s="179"/>
      <c r="S230" s="179"/>
      <c r="T230" s="179"/>
      <c r="U230" s="179"/>
      <c r="V230" s="179"/>
      <c r="W230" s="179"/>
      <c r="X230" s="179"/>
      <c r="Y230" s="179"/>
      <c r="Z230" s="179"/>
      <c r="AA230" s="179"/>
      <c r="AB230" s="179"/>
      <c r="AC230" s="179"/>
      <c r="AD230" s="179"/>
      <c r="AE230" s="179"/>
      <c r="AF230" s="179"/>
      <c r="AG230" s="179"/>
      <c r="AH230" s="179"/>
      <c r="AI230" s="179"/>
      <c r="AJ230" s="179"/>
      <c r="AK230" s="179"/>
      <c r="AL230" s="179"/>
      <c r="AM230" s="179"/>
      <c r="AN230" s="179"/>
      <c r="AO230" s="179"/>
      <c r="AP230" s="179"/>
      <c r="AQ230" s="179"/>
      <c r="AR230" s="179"/>
      <c r="AS230" s="179"/>
      <c r="AT230" s="179"/>
      <c r="AU230" s="179"/>
      <c r="AV230" s="179"/>
      <c r="AW230" s="179"/>
      <c r="AX230" s="179"/>
      <c r="AY230" s="179"/>
      <c r="AZ230" s="179"/>
      <c r="BA230" s="179"/>
      <c r="BB230" s="179"/>
      <c r="BC230" s="179"/>
      <c r="BD230" s="179"/>
      <c r="BE230" s="179"/>
      <c r="BF230" s="179"/>
      <c r="BG230" s="179"/>
      <c r="BH230" s="179"/>
    </row>
    <row r="231" spans="16:60" s="20" customFormat="1" x14ac:dyDescent="0.25">
      <c r="P231" s="179"/>
      <c r="Q231" s="179"/>
      <c r="R231" s="179"/>
      <c r="S231" s="179"/>
      <c r="T231" s="179"/>
      <c r="U231" s="179"/>
      <c r="V231" s="179"/>
      <c r="W231" s="179"/>
      <c r="X231" s="179"/>
      <c r="Y231" s="179"/>
      <c r="Z231" s="179"/>
      <c r="AA231" s="179"/>
      <c r="AB231" s="179"/>
      <c r="AC231" s="179"/>
      <c r="AD231" s="179"/>
      <c r="AE231" s="179"/>
      <c r="AF231" s="179"/>
      <c r="AG231" s="179"/>
      <c r="AH231" s="179"/>
      <c r="AI231" s="179"/>
      <c r="AJ231" s="179"/>
      <c r="AK231" s="179"/>
      <c r="AL231" s="179"/>
      <c r="AM231" s="179"/>
      <c r="AN231" s="179"/>
      <c r="AO231" s="179"/>
      <c r="AP231" s="179"/>
      <c r="AQ231" s="179"/>
      <c r="AR231" s="179"/>
      <c r="AS231" s="179"/>
      <c r="AT231" s="179"/>
      <c r="AU231" s="179"/>
      <c r="AV231" s="179"/>
      <c r="AW231" s="179"/>
      <c r="AX231" s="179"/>
      <c r="AY231" s="179"/>
      <c r="AZ231" s="179"/>
      <c r="BA231" s="179"/>
      <c r="BB231" s="179"/>
      <c r="BC231" s="179"/>
      <c r="BD231" s="179"/>
      <c r="BE231" s="179"/>
      <c r="BF231" s="179"/>
      <c r="BG231" s="179"/>
      <c r="BH231" s="179"/>
    </row>
    <row r="232" spans="16:60" s="20" customFormat="1" x14ac:dyDescent="0.25">
      <c r="P232" s="179"/>
      <c r="Q232" s="179"/>
      <c r="R232" s="179"/>
      <c r="S232" s="179"/>
      <c r="T232" s="179"/>
      <c r="U232" s="179"/>
      <c r="V232" s="179"/>
      <c r="W232" s="179"/>
      <c r="X232" s="179"/>
      <c r="Y232" s="179"/>
      <c r="Z232" s="179"/>
      <c r="AA232" s="179"/>
      <c r="AB232" s="179"/>
      <c r="AC232" s="179"/>
      <c r="AD232" s="179"/>
      <c r="AE232" s="179"/>
      <c r="AF232" s="179"/>
      <c r="AG232" s="179"/>
      <c r="AH232" s="179"/>
      <c r="AI232" s="179"/>
      <c r="AJ232" s="179"/>
      <c r="AK232" s="179"/>
      <c r="AL232" s="179"/>
      <c r="AM232" s="179"/>
      <c r="AN232" s="179"/>
      <c r="AO232" s="179"/>
      <c r="AP232" s="179"/>
      <c r="AQ232" s="179"/>
      <c r="AR232" s="179"/>
      <c r="AS232" s="179"/>
      <c r="AT232" s="179"/>
      <c r="AU232" s="179"/>
      <c r="AV232" s="179"/>
      <c r="AW232" s="179"/>
      <c r="AX232" s="179"/>
      <c r="AY232" s="179"/>
      <c r="AZ232" s="179"/>
      <c r="BA232" s="179"/>
      <c r="BB232" s="179"/>
      <c r="BC232" s="179"/>
      <c r="BD232" s="179"/>
      <c r="BE232" s="179"/>
      <c r="BF232" s="179"/>
      <c r="BG232" s="179"/>
      <c r="BH232" s="179"/>
    </row>
    <row r="233" spans="16:60" s="20" customFormat="1" x14ac:dyDescent="0.25">
      <c r="P233" s="179"/>
      <c r="Q233" s="179"/>
      <c r="R233" s="179"/>
      <c r="S233" s="179"/>
      <c r="T233" s="179"/>
      <c r="U233" s="179"/>
      <c r="V233" s="179"/>
      <c r="W233" s="179"/>
      <c r="X233" s="179"/>
      <c r="Y233" s="179"/>
      <c r="Z233" s="179"/>
      <c r="AA233" s="179"/>
      <c r="AB233" s="179"/>
      <c r="AC233" s="179"/>
      <c r="AD233" s="179"/>
      <c r="AE233" s="179"/>
      <c r="AF233" s="179"/>
      <c r="AG233" s="179"/>
      <c r="AH233" s="179"/>
      <c r="AI233" s="179"/>
      <c r="AJ233" s="179"/>
      <c r="AK233" s="179"/>
      <c r="AL233" s="179"/>
      <c r="AM233" s="179"/>
      <c r="AN233" s="179"/>
      <c r="AO233" s="179"/>
      <c r="AP233" s="179"/>
      <c r="AQ233" s="179"/>
      <c r="AR233" s="179"/>
      <c r="AS233" s="179"/>
      <c r="AT233" s="179"/>
      <c r="AU233" s="179"/>
      <c r="AV233" s="179"/>
      <c r="AW233" s="179"/>
      <c r="AX233" s="179"/>
      <c r="AY233" s="179"/>
      <c r="AZ233" s="179"/>
      <c r="BA233" s="179"/>
      <c r="BB233" s="179"/>
      <c r="BC233" s="179"/>
      <c r="BD233" s="179"/>
      <c r="BE233" s="179"/>
      <c r="BF233" s="179"/>
      <c r="BG233" s="179"/>
      <c r="BH233" s="179"/>
    </row>
    <row r="234" spans="16:60" s="20" customFormat="1" x14ac:dyDescent="0.25">
      <c r="P234" s="179"/>
      <c r="Q234" s="179"/>
      <c r="R234" s="179"/>
      <c r="S234" s="179"/>
      <c r="T234" s="179"/>
      <c r="U234" s="179"/>
      <c r="V234" s="179"/>
      <c r="W234" s="179"/>
      <c r="X234" s="179"/>
      <c r="Y234" s="179"/>
      <c r="Z234" s="179"/>
      <c r="AA234" s="179"/>
      <c r="AB234" s="179"/>
      <c r="AC234" s="179"/>
      <c r="AD234" s="179"/>
      <c r="AE234" s="179"/>
      <c r="AF234" s="179"/>
      <c r="AG234" s="179"/>
      <c r="AH234" s="179"/>
      <c r="AI234" s="179"/>
      <c r="AJ234" s="179"/>
      <c r="AK234" s="179"/>
      <c r="AL234" s="179"/>
      <c r="AM234" s="179"/>
      <c r="AN234" s="179"/>
      <c r="AO234" s="179"/>
      <c r="AP234" s="179"/>
      <c r="AQ234" s="179"/>
      <c r="AR234" s="179"/>
      <c r="AS234" s="179"/>
      <c r="AT234" s="179"/>
      <c r="AU234" s="179"/>
      <c r="AV234" s="179"/>
      <c r="AW234" s="179"/>
      <c r="AX234" s="179"/>
      <c r="AY234" s="179"/>
      <c r="AZ234" s="179"/>
      <c r="BA234" s="179"/>
      <c r="BB234" s="179"/>
      <c r="BC234" s="179"/>
      <c r="BD234" s="179"/>
      <c r="BE234" s="179"/>
      <c r="BF234" s="179"/>
      <c r="BG234" s="179"/>
      <c r="BH234" s="179"/>
    </row>
    <row r="235" spans="16:60" s="20" customFormat="1" x14ac:dyDescent="0.25">
      <c r="P235" s="179"/>
      <c r="Q235" s="179"/>
      <c r="R235" s="179"/>
      <c r="S235" s="179"/>
      <c r="T235" s="179"/>
      <c r="U235" s="179"/>
      <c r="V235" s="179"/>
      <c r="W235" s="179"/>
      <c r="X235" s="179"/>
      <c r="Y235" s="179"/>
      <c r="Z235" s="179"/>
      <c r="AA235" s="179"/>
      <c r="AB235" s="179"/>
      <c r="AC235" s="179"/>
      <c r="AD235" s="179"/>
      <c r="AE235" s="179"/>
      <c r="AF235" s="179"/>
      <c r="AG235" s="179"/>
      <c r="AH235" s="179"/>
      <c r="AI235" s="179"/>
      <c r="AJ235" s="179"/>
      <c r="AK235" s="179"/>
      <c r="AL235" s="179"/>
      <c r="AM235" s="179"/>
      <c r="AN235" s="179"/>
      <c r="AO235" s="179"/>
      <c r="AP235" s="179"/>
      <c r="AQ235" s="179"/>
      <c r="AR235" s="179"/>
      <c r="AS235" s="179"/>
      <c r="AT235" s="179"/>
      <c r="AU235" s="179"/>
      <c r="AV235" s="179"/>
      <c r="AW235" s="179"/>
      <c r="AX235" s="179"/>
      <c r="AY235" s="179"/>
      <c r="AZ235" s="179"/>
      <c r="BA235" s="179"/>
      <c r="BB235" s="179"/>
      <c r="BC235" s="179"/>
      <c r="BD235" s="179"/>
      <c r="BE235" s="179"/>
      <c r="BF235" s="179"/>
      <c r="BG235" s="179"/>
      <c r="BH235" s="179"/>
    </row>
    <row r="236" spans="16:60" s="20" customFormat="1" x14ac:dyDescent="0.25">
      <c r="P236" s="179"/>
      <c r="Q236" s="179"/>
      <c r="R236" s="179"/>
      <c r="S236" s="179"/>
      <c r="T236" s="179"/>
      <c r="U236" s="179"/>
      <c r="V236" s="179"/>
      <c r="W236" s="179"/>
      <c r="X236" s="179"/>
      <c r="Y236" s="179"/>
      <c r="Z236" s="179"/>
      <c r="AA236" s="179"/>
      <c r="AB236" s="179"/>
      <c r="AC236" s="179"/>
      <c r="AD236" s="179"/>
      <c r="AE236" s="179"/>
      <c r="AF236" s="179"/>
      <c r="AG236" s="179"/>
      <c r="AH236" s="179"/>
      <c r="AI236" s="179"/>
      <c r="AJ236" s="179"/>
      <c r="AK236" s="179"/>
      <c r="AL236" s="179"/>
      <c r="AM236" s="179"/>
      <c r="AN236" s="179"/>
      <c r="AO236" s="179"/>
      <c r="AP236" s="179"/>
      <c r="AQ236" s="179"/>
      <c r="AR236" s="179"/>
      <c r="AS236" s="179"/>
      <c r="AT236" s="179"/>
      <c r="AU236" s="179"/>
      <c r="AV236" s="179"/>
      <c r="AW236" s="179"/>
      <c r="AX236" s="179"/>
      <c r="AY236" s="179"/>
      <c r="AZ236" s="179"/>
      <c r="BA236" s="179"/>
      <c r="BB236" s="179"/>
      <c r="BC236" s="179"/>
      <c r="BD236" s="179"/>
      <c r="BE236" s="179"/>
      <c r="BF236" s="179"/>
      <c r="BG236" s="179"/>
      <c r="BH236" s="179"/>
    </row>
    <row r="237" spans="16:60" s="20" customFormat="1" x14ac:dyDescent="0.25">
      <c r="P237" s="179"/>
      <c r="Q237" s="179"/>
      <c r="R237" s="179"/>
      <c r="S237" s="179"/>
      <c r="T237" s="179"/>
      <c r="U237" s="179"/>
      <c r="V237" s="179"/>
      <c r="W237" s="179"/>
      <c r="X237" s="179"/>
      <c r="Y237" s="179"/>
      <c r="Z237" s="179"/>
      <c r="AA237" s="179"/>
      <c r="AB237" s="179"/>
      <c r="AC237" s="179"/>
      <c r="AD237" s="179"/>
      <c r="AE237" s="179"/>
      <c r="AF237" s="179"/>
      <c r="AG237" s="179"/>
      <c r="AH237" s="179"/>
      <c r="AI237" s="179"/>
      <c r="AJ237" s="179"/>
      <c r="AK237" s="179"/>
      <c r="AL237" s="179"/>
      <c r="AM237" s="179"/>
      <c r="AN237" s="179"/>
      <c r="AO237" s="179"/>
      <c r="AP237" s="179"/>
      <c r="AQ237" s="179"/>
      <c r="AR237" s="179"/>
      <c r="AS237" s="179"/>
      <c r="AT237" s="179"/>
      <c r="AU237" s="179"/>
      <c r="AV237" s="179"/>
      <c r="AW237" s="179"/>
      <c r="AX237" s="179"/>
      <c r="AY237" s="179"/>
      <c r="AZ237" s="179"/>
      <c r="BA237" s="179"/>
      <c r="BB237" s="179"/>
      <c r="BC237" s="179"/>
      <c r="BD237" s="179"/>
      <c r="BE237" s="179"/>
      <c r="BF237" s="179"/>
      <c r="BG237" s="179"/>
      <c r="BH237" s="179"/>
    </row>
    <row r="238" spans="16:60" s="20" customFormat="1" x14ac:dyDescent="0.25">
      <c r="P238" s="179"/>
      <c r="Q238" s="179"/>
      <c r="R238" s="179"/>
      <c r="S238" s="179"/>
      <c r="T238" s="179"/>
      <c r="U238" s="179"/>
      <c r="V238" s="179"/>
      <c r="W238" s="179"/>
      <c r="X238" s="179"/>
      <c r="Y238" s="179"/>
      <c r="Z238" s="179"/>
      <c r="AA238" s="179"/>
      <c r="AB238" s="179"/>
      <c r="AC238" s="179"/>
      <c r="AD238" s="179"/>
      <c r="AE238" s="179"/>
      <c r="AF238" s="179"/>
      <c r="AG238" s="179"/>
      <c r="AH238" s="179"/>
      <c r="AI238" s="179"/>
      <c r="AJ238" s="179"/>
      <c r="AK238" s="179"/>
      <c r="AL238" s="179"/>
      <c r="AM238" s="179"/>
      <c r="AN238" s="179"/>
      <c r="AO238" s="179"/>
      <c r="AP238" s="179"/>
      <c r="AQ238" s="179"/>
      <c r="AR238" s="179"/>
      <c r="AS238" s="179"/>
      <c r="AT238" s="179"/>
      <c r="AU238" s="179"/>
      <c r="AV238" s="179"/>
      <c r="AW238" s="179"/>
      <c r="AX238" s="179"/>
      <c r="AY238" s="179"/>
      <c r="AZ238" s="179"/>
      <c r="BA238" s="179"/>
      <c r="BB238" s="179"/>
      <c r="BC238" s="179"/>
      <c r="BD238" s="179"/>
      <c r="BE238" s="179"/>
      <c r="BF238" s="179"/>
      <c r="BG238" s="179"/>
      <c r="BH238" s="179"/>
    </row>
  </sheetData>
  <mergeCells count="13">
    <mergeCell ref="B24:M24"/>
    <mergeCell ref="AN23:AQ23"/>
    <mergeCell ref="AR23:AU23"/>
    <mergeCell ref="AV23:AY23"/>
    <mergeCell ref="AZ23:BC23"/>
    <mergeCell ref="BD23:BG23"/>
    <mergeCell ref="BH23:BK23"/>
    <mergeCell ref="P23:S23"/>
    <mergeCell ref="T23:W23"/>
    <mergeCell ref="X23:AA23"/>
    <mergeCell ref="AB23:AE23"/>
    <mergeCell ref="AF23:AI23"/>
    <mergeCell ref="AJ23:AM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673F5-0C3D-4430-A4D6-AFCFC66C7D4E}">
  <sheetPr codeName="Hoja3"/>
  <dimension ref="A1:P27"/>
  <sheetViews>
    <sheetView showGridLines="0" zoomScaleNormal="100" workbookViewId="0"/>
  </sheetViews>
  <sheetFormatPr baseColWidth="10" defaultColWidth="11.42578125" defaultRowHeight="12.75" x14ac:dyDescent="0.25"/>
  <cols>
    <col min="1" max="1" width="24.5703125" style="164" customWidth="1"/>
    <col min="2" max="2" width="11.28515625" style="173" customWidth="1"/>
    <col min="3" max="4" width="12.28515625" style="1" customWidth="1"/>
    <col min="5" max="5" width="11.28515625" style="164" customWidth="1"/>
    <col min="6" max="8" width="8.5703125" style="164" customWidth="1"/>
    <col min="9" max="9" width="15.42578125" style="164" bestFit="1" customWidth="1"/>
    <col min="10" max="10" width="12.7109375" style="164" customWidth="1"/>
    <col min="11" max="11" width="3.28515625" style="164" customWidth="1"/>
    <col min="12" max="12" width="11.7109375" style="164" bestFit="1" customWidth="1"/>
    <col min="13" max="13" width="12.42578125" style="164" bestFit="1" customWidth="1"/>
    <col min="14" max="16384" width="11.42578125" style="164"/>
  </cols>
  <sheetData>
    <row r="1" spans="1:16" s="163" customFormat="1" ht="15.75" x14ac:dyDescent="0.25">
      <c r="A1" s="35" t="s">
        <v>48</v>
      </c>
      <c r="B1" s="162"/>
      <c r="C1" s="162"/>
      <c r="D1" s="162"/>
      <c r="L1" s="292" t="s">
        <v>131</v>
      </c>
      <c r="M1" s="294">
        <v>44015</v>
      </c>
      <c r="O1" s="253" t="s">
        <v>146</v>
      </c>
      <c r="P1" s="254">
        <v>43943</v>
      </c>
    </row>
    <row r="2" spans="1:16" x14ac:dyDescent="0.25">
      <c r="A2" s="17" t="s">
        <v>115</v>
      </c>
      <c r="B2" s="1"/>
      <c r="L2" s="292" t="s">
        <v>14</v>
      </c>
      <c r="M2" s="293">
        <v>0.88900000000000001</v>
      </c>
      <c r="O2" s="255" t="s">
        <v>147</v>
      </c>
      <c r="P2" s="254">
        <v>44078</v>
      </c>
    </row>
    <row r="3" spans="1:16" x14ac:dyDescent="0.25">
      <c r="A3" s="17"/>
      <c r="B3" s="1"/>
      <c r="L3" s="292" t="s">
        <v>16</v>
      </c>
      <c r="M3" s="293">
        <v>0.94569999999999999</v>
      </c>
      <c r="O3" s="255"/>
      <c r="P3" s="254"/>
    </row>
    <row r="4" spans="1:16" ht="20.25" customHeight="1" x14ac:dyDescent="0.25">
      <c r="A4" s="359" t="s">
        <v>49</v>
      </c>
      <c r="B4" s="359" t="s">
        <v>50</v>
      </c>
      <c r="C4" s="359" t="s">
        <v>51</v>
      </c>
      <c r="D4" s="359" t="s">
        <v>52</v>
      </c>
      <c r="E4" s="359" t="s">
        <v>53</v>
      </c>
      <c r="F4" s="360" t="s">
        <v>145</v>
      </c>
      <c r="G4" s="360"/>
      <c r="H4" s="360"/>
      <c r="I4" s="359" t="s">
        <v>130</v>
      </c>
      <c r="J4" s="359" t="s">
        <v>54</v>
      </c>
      <c r="O4" s="255"/>
      <c r="P4" s="255"/>
    </row>
    <row r="5" spans="1:16" ht="25.5" x14ac:dyDescent="0.25">
      <c r="A5" s="359"/>
      <c r="B5" s="359"/>
      <c r="C5" s="359"/>
      <c r="D5" s="359"/>
      <c r="E5" s="359"/>
      <c r="F5" s="27" t="s">
        <v>47</v>
      </c>
      <c r="G5" s="27" t="s">
        <v>141</v>
      </c>
      <c r="H5" s="27" t="s">
        <v>142</v>
      </c>
      <c r="I5" s="359"/>
      <c r="J5" s="359"/>
      <c r="O5" s="255"/>
      <c r="P5" s="255"/>
    </row>
    <row r="6" spans="1:16" x14ac:dyDescent="0.2">
      <c r="A6" s="131" t="s">
        <v>55</v>
      </c>
      <c r="B6" s="131">
        <v>1750</v>
      </c>
      <c r="C6" s="165">
        <v>4.6249999999999999E-2</v>
      </c>
      <c r="D6" s="166">
        <v>43841</v>
      </c>
      <c r="E6" s="166" t="s">
        <v>0</v>
      </c>
      <c r="F6" s="256">
        <f>+G6+H6</f>
        <v>2.9934027777777779</v>
      </c>
      <c r="G6" s="256">
        <f>100*DAYS360(D6,$P$1)*(C6/2)/180</f>
        <v>1.2975694444444446</v>
      </c>
      <c r="H6" s="256">
        <f>100*DAYS360($P$1,$P$2)*(C6/2)/180</f>
        <v>1.6958333333333333</v>
      </c>
      <c r="I6" s="167">
        <f>+B6*F6/100</f>
        <v>52.384548611111114</v>
      </c>
      <c r="J6" s="167">
        <f>+I6</f>
        <v>52.384548611111114</v>
      </c>
    </row>
    <row r="7" spans="1:16" x14ac:dyDescent="0.2">
      <c r="A7" s="131" t="s">
        <v>56</v>
      </c>
      <c r="B7" s="131">
        <v>3250</v>
      </c>
      <c r="C7" s="165">
        <v>5.6250000000000001E-2</v>
      </c>
      <c r="D7" s="166">
        <v>43856</v>
      </c>
      <c r="E7" s="166" t="s">
        <v>0</v>
      </c>
      <c r="F7" s="256">
        <f t="shared" ref="F7:F26" si="0">+G7+H7</f>
        <v>3.40625</v>
      </c>
      <c r="G7" s="256">
        <f t="shared" ref="G7:G26" si="1">100*DAYS360(D7,$P$1)*(C7/2)/180</f>
        <v>1.34375</v>
      </c>
      <c r="H7" s="256">
        <f t="shared" ref="H7:H26" si="2">100*DAYS360($P$1,$P$2)*(C7/2)/180</f>
        <v>2.0625</v>
      </c>
      <c r="I7" s="167">
        <f t="shared" ref="I7:I26" si="3">+B7*F7/100</f>
        <v>110.703125</v>
      </c>
      <c r="J7" s="167">
        <f t="shared" ref="J7:J16" si="4">+I7</f>
        <v>110.703125</v>
      </c>
    </row>
    <row r="8" spans="1:16" x14ac:dyDescent="0.2">
      <c r="A8" s="131" t="s">
        <v>57</v>
      </c>
      <c r="B8" s="131">
        <v>4250</v>
      </c>
      <c r="C8" s="165">
        <v>5.8749999999999997E-2</v>
      </c>
      <c r="D8" s="166">
        <v>43841</v>
      </c>
      <c r="E8" s="166" t="s">
        <v>0</v>
      </c>
      <c r="F8" s="256">
        <f t="shared" si="0"/>
        <v>3.8024305555555555</v>
      </c>
      <c r="G8" s="256">
        <f t="shared" si="1"/>
        <v>1.648263888888889</v>
      </c>
      <c r="H8" s="256">
        <f t="shared" si="2"/>
        <v>2.1541666666666668</v>
      </c>
      <c r="I8" s="167">
        <f t="shared" si="3"/>
        <v>161.60329861111111</v>
      </c>
      <c r="J8" s="167">
        <f t="shared" si="4"/>
        <v>161.60329861111111</v>
      </c>
    </row>
    <row r="9" spans="1:16" x14ac:dyDescent="0.2">
      <c r="A9" s="131" t="s">
        <v>58</v>
      </c>
      <c r="B9" s="131">
        <v>1000</v>
      </c>
      <c r="C9" s="165">
        <v>6.6250000000000003E-2</v>
      </c>
      <c r="D9" s="166">
        <v>43836</v>
      </c>
      <c r="E9" s="166" t="s">
        <v>0</v>
      </c>
      <c r="F9" s="256">
        <f t="shared" si="0"/>
        <v>4.3798611111111114</v>
      </c>
      <c r="G9" s="256">
        <f t="shared" si="1"/>
        <v>1.9506944444444445</v>
      </c>
      <c r="H9" s="256">
        <f t="shared" si="2"/>
        <v>2.4291666666666667</v>
      </c>
      <c r="I9" s="167">
        <f t="shared" si="3"/>
        <v>43.798611111111114</v>
      </c>
      <c r="J9" s="167">
        <f t="shared" si="4"/>
        <v>43.798611111111114</v>
      </c>
    </row>
    <row r="10" spans="1:16" x14ac:dyDescent="0.2">
      <c r="A10" s="131" t="s">
        <v>59</v>
      </c>
      <c r="B10" s="131">
        <v>3000</v>
      </c>
      <c r="C10" s="165">
        <v>6.8750000000000006E-2</v>
      </c>
      <c r="D10" s="166">
        <v>43841</v>
      </c>
      <c r="E10" s="166" t="s">
        <v>0</v>
      </c>
      <c r="F10" s="256">
        <f t="shared" si="0"/>
        <v>4.4496527777777777</v>
      </c>
      <c r="G10" s="256">
        <f t="shared" si="1"/>
        <v>1.9288194444444444</v>
      </c>
      <c r="H10" s="256">
        <f t="shared" si="2"/>
        <v>2.5208333333333335</v>
      </c>
      <c r="I10" s="167">
        <f t="shared" si="3"/>
        <v>133.48958333333334</v>
      </c>
      <c r="J10" s="167">
        <f t="shared" si="4"/>
        <v>133.48958333333334</v>
      </c>
    </row>
    <row r="11" spans="1:16" x14ac:dyDescent="0.2">
      <c r="A11" s="131" t="s">
        <v>60</v>
      </c>
      <c r="B11" s="131">
        <v>4500</v>
      </c>
      <c r="C11" s="165">
        <v>6.8750000000000006E-2</v>
      </c>
      <c r="D11" s="166">
        <v>43760</v>
      </c>
      <c r="E11" s="166" t="s">
        <v>0</v>
      </c>
      <c r="F11" s="256">
        <f t="shared" si="0"/>
        <v>5.9583333333333339</v>
      </c>
      <c r="G11" s="256">
        <f t="shared" si="1"/>
        <v>3.4375</v>
      </c>
      <c r="H11" s="256">
        <f t="shared" si="2"/>
        <v>2.5208333333333335</v>
      </c>
      <c r="I11" s="167">
        <f t="shared" si="3"/>
        <v>268.12500000000006</v>
      </c>
      <c r="J11" s="167">
        <f t="shared" si="4"/>
        <v>268.12500000000006</v>
      </c>
    </row>
    <row r="12" spans="1:16" x14ac:dyDescent="0.2">
      <c r="A12" s="131" t="s">
        <v>61</v>
      </c>
      <c r="B12" s="131">
        <v>3750</v>
      </c>
      <c r="C12" s="165">
        <v>6.8750000000000006E-2</v>
      </c>
      <c r="D12" s="166">
        <v>43856</v>
      </c>
      <c r="E12" s="166" t="s">
        <v>0</v>
      </c>
      <c r="F12" s="256">
        <f t="shared" si="0"/>
        <v>4.1631944444444446</v>
      </c>
      <c r="G12" s="256">
        <f t="shared" si="1"/>
        <v>1.6423611111111112</v>
      </c>
      <c r="H12" s="256">
        <f t="shared" si="2"/>
        <v>2.5208333333333335</v>
      </c>
      <c r="I12" s="167">
        <f t="shared" si="3"/>
        <v>156.11979166666669</v>
      </c>
      <c r="J12" s="167">
        <f t="shared" si="4"/>
        <v>156.11979166666669</v>
      </c>
    </row>
    <row r="13" spans="1:16" x14ac:dyDescent="0.2">
      <c r="A13" s="131" t="s">
        <v>62</v>
      </c>
      <c r="B13" s="131">
        <v>1750</v>
      </c>
      <c r="C13" s="165">
        <v>7.1249999999999994E-2</v>
      </c>
      <c r="D13" s="166">
        <v>43836</v>
      </c>
      <c r="E13" s="166" t="s">
        <v>0</v>
      </c>
      <c r="F13" s="256">
        <f t="shared" si="0"/>
        <v>4.7104166666666663</v>
      </c>
      <c r="G13" s="256">
        <f t="shared" si="1"/>
        <v>2.0979166666666664</v>
      </c>
      <c r="H13" s="256">
        <f t="shared" si="2"/>
        <v>2.6124999999999998</v>
      </c>
      <c r="I13" s="167">
        <f t="shared" si="3"/>
        <v>82.432291666666657</v>
      </c>
      <c r="J13" s="167">
        <f t="shared" si="4"/>
        <v>82.432291666666657</v>
      </c>
    </row>
    <row r="14" spans="1:16" x14ac:dyDescent="0.2">
      <c r="A14" s="131" t="s">
        <v>63</v>
      </c>
      <c r="B14" s="131">
        <v>2750</v>
      </c>
      <c r="C14" s="165">
        <v>7.1249999999999994E-2</v>
      </c>
      <c r="D14" s="166">
        <v>43827</v>
      </c>
      <c r="E14" s="166" t="s">
        <v>0</v>
      </c>
      <c r="F14" s="256">
        <f t="shared" si="0"/>
        <v>4.8687499999999995</v>
      </c>
      <c r="G14" s="256">
        <f t="shared" si="1"/>
        <v>2.2562499999999996</v>
      </c>
      <c r="H14" s="256">
        <f t="shared" si="2"/>
        <v>2.6124999999999998</v>
      </c>
      <c r="I14" s="167">
        <f t="shared" si="3"/>
        <v>133.89062499999997</v>
      </c>
      <c r="J14" s="167">
        <f t="shared" si="4"/>
        <v>133.89062499999997</v>
      </c>
    </row>
    <row r="15" spans="1:16" x14ac:dyDescent="0.2">
      <c r="A15" s="131" t="s">
        <v>64</v>
      </c>
      <c r="B15" s="131">
        <v>6500</v>
      </c>
      <c r="C15" s="165">
        <v>7.4999999999999997E-2</v>
      </c>
      <c r="D15" s="166">
        <v>43760</v>
      </c>
      <c r="E15" s="166" t="s">
        <v>0</v>
      </c>
      <c r="F15" s="256">
        <f t="shared" si="0"/>
        <v>6.5</v>
      </c>
      <c r="G15" s="256">
        <f t="shared" si="1"/>
        <v>3.75</v>
      </c>
      <c r="H15" s="256">
        <f t="shared" si="2"/>
        <v>2.75</v>
      </c>
      <c r="I15" s="167">
        <f t="shared" si="3"/>
        <v>422.5</v>
      </c>
      <c r="J15" s="167">
        <f t="shared" si="4"/>
        <v>422.5</v>
      </c>
    </row>
    <row r="16" spans="1:16" x14ac:dyDescent="0.2">
      <c r="A16" s="131" t="s">
        <v>65</v>
      </c>
      <c r="B16" s="131">
        <v>2750</v>
      </c>
      <c r="C16" s="165">
        <v>7.6249999999999998E-2</v>
      </c>
      <c r="D16" s="166">
        <v>43760</v>
      </c>
      <c r="E16" s="166" t="s">
        <v>0</v>
      </c>
      <c r="F16" s="256">
        <f t="shared" si="0"/>
        <v>6.6083333333333334</v>
      </c>
      <c r="G16" s="256">
        <f t="shared" si="1"/>
        <v>3.8125</v>
      </c>
      <c r="H16" s="256">
        <f t="shared" si="2"/>
        <v>2.7958333333333334</v>
      </c>
      <c r="I16" s="167">
        <f t="shared" si="3"/>
        <v>181.72916666666669</v>
      </c>
      <c r="J16" s="167">
        <f t="shared" si="4"/>
        <v>181.72916666666669</v>
      </c>
    </row>
    <row r="17" spans="1:13" x14ac:dyDescent="0.2">
      <c r="A17" s="131" t="s">
        <v>66</v>
      </c>
      <c r="B17" s="131">
        <v>999.99999999999932</v>
      </c>
      <c r="C17" s="165">
        <v>3.3750000000000002E-2</v>
      </c>
      <c r="D17" s="166">
        <v>43845</v>
      </c>
      <c r="E17" s="166" t="s">
        <v>17</v>
      </c>
      <c r="F17" s="256">
        <f t="shared" si="0"/>
        <v>2.1468750000000005</v>
      </c>
      <c r="G17" s="256">
        <f t="shared" si="1"/>
        <v>0.90937500000000004</v>
      </c>
      <c r="H17" s="256">
        <f t="shared" si="2"/>
        <v>1.2375000000000003</v>
      </c>
      <c r="I17" s="167">
        <f t="shared" si="3"/>
        <v>21.468749999999989</v>
      </c>
      <c r="J17" s="167">
        <f>+I17/$M$2</f>
        <v>24.149325084364442</v>
      </c>
    </row>
    <row r="18" spans="1:13" x14ac:dyDescent="0.2">
      <c r="A18" s="131" t="s">
        <v>67</v>
      </c>
      <c r="B18" s="131">
        <v>1249.9999999999991</v>
      </c>
      <c r="C18" s="165">
        <v>3.875E-2</v>
      </c>
      <c r="D18" s="166">
        <v>43845</v>
      </c>
      <c r="E18" s="166" t="s">
        <v>17</v>
      </c>
      <c r="F18" s="256">
        <f t="shared" si="0"/>
        <v>2.4649305555555556</v>
      </c>
      <c r="G18" s="256">
        <f t="shared" si="1"/>
        <v>1.0440972222222222</v>
      </c>
      <c r="H18" s="256">
        <f t="shared" si="2"/>
        <v>1.4208333333333334</v>
      </c>
      <c r="I18" s="167">
        <f t="shared" si="3"/>
        <v>30.811631944444422</v>
      </c>
      <c r="J18" s="167">
        <f t="shared" ref="J18:J23" si="5">+I18/$M$2</f>
        <v>34.658753593300808</v>
      </c>
    </row>
    <row r="19" spans="1:13" x14ac:dyDescent="0.2">
      <c r="A19" s="131" t="s">
        <v>68</v>
      </c>
      <c r="B19" s="131">
        <v>1249.9999999999991</v>
      </c>
      <c r="C19" s="165">
        <v>0.05</v>
      </c>
      <c r="D19" s="166">
        <v>43845</v>
      </c>
      <c r="E19" s="166" t="s">
        <v>17</v>
      </c>
      <c r="F19" s="256">
        <f t="shared" si="0"/>
        <v>3.1805555555555554</v>
      </c>
      <c r="G19" s="256">
        <f t="shared" si="1"/>
        <v>1.3472222222222223</v>
      </c>
      <c r="H19" s="256">
        <f t="shared" si="2"/>
        <v>1.8333333333333333</v>
      </c>
      <c r="I19" s="167">
        <f t="shared" si="3"/>
        <v>39.756944444444414</v>
      </c>
      <c r="J19" s="167">
        <f t="shared" si="5"/>
        <v>44.720972378452657</v>
      </c>
    </row>
    <row r="20" spans="1:13" x14ac:dyDescent="0.2">
      <c r="A20" s="131" t="s">
        <v>69</v>
      </c>
      <c r="B20" s="131">
        <v>999.99999999999932</v>
      </c>
      <c r="C20" s="165">
        <v>5.2499999999999998E-2</v>
      </c>
      <c r="D20" s="166">
        <v>43845</v>
      </c>
      <c r="E20" s="166" t="s">
        <v>17</v>
      </c>
      <c r="F20" s="256">
        <f t="shared" si="0"/>
        <v>3.3395833333333336</v>
      </c>
      <c r="G20" s="256">
        <f t="shared" si="1"/>
        <v>1.4145833333333333</v>
      </c>
      <c r="H20" s="256">
        <f t="shared" si="2"/>
        <v>1.925</v>
      </c>
      <c r="I20" s="167">
        <f t="shared" si="3"/>
        <v>33.395833333333314</v>
      </c>
      <c r="J20" s="167">
        <f t="shared" si="5"/>
        <v>37.56561679790024</v>
      </c>
    </row>
    <row r="21" spans="1:13" x14ac:dyDescent="0.2">
      <c r="A21" s="131" t="s">
        <v>70</v>
      </c>
      <c r="B21" s="131">
        <v>749.99999999999943</v>
      </c>
      <c r="C21" s="165">
        <v>6.25E-2</v>
      </c>
      <c r="D21" s="166">
        <v>43778</v>
      </c>
      <c r="E21" s="166" t="s">
        <v>17</v>
      </c>
      <c r="F21" s="256">
        <f t="shared" si="0"/>
        <v>5.1215277777777777</v>
      </c>
      <c r="G21" s="256">
        <f t="shared" si="1"/>
        <v>2.8298611111111112</v>
      </c>
      <c r="H21" s="256">
        <f t="shared" si="2"/>
        <v>2.2916666666666665</v>
      </c>
      <c r="I21" s="167">
        <f t="shared" si="3"/>
        <v>38.4114583333333</v>
      </c>
      <c r="J21" s="167">
        <f t="shared" si="5"/>
        <v>43.207489688788861</v>
      </c>
    </row>
    <row r="22" spans="1:13" x14ac:dyDescent="0.2">
      <c r="A22" s="131" t="s">
        <v>71</v>
      </c>
      <c r="B22" s="131">
        <v>400</v>
      </c>
      <c r="C22" s="165">
        <v>3.3750000000000002E-2</v>
      </c>
      <c r="D22" s="166">
        <v>43750</v>
      </c>
      <c r="E22" s="166" t="s">
        <v>17</v>
      </c>
      <c r="F22" s="256">
        <f t="shared" si="0"/>
        <v>3.0187500000000003</v>
      </c>
      <c r="G22" s="256">
        <f t="shared" si="1"/>
        <v>1.78125</v>
      </c>
      <c r="H22" s="256">
        <f t="shared" si="2"/>
        <v>1.2375000000000003</v>
      </c>
      <c r="I22" s="167">
        <f t="shared" si="3"/>
        <v>12.074999999999999</v>
      </c>
      <c r="J22" s="167">
        <f>+I22/$M$3</f>
        <v>12.768319763138415</v>
      </c>
    </row>
    <row r="23" spans="1:13" x14ac:dyDescent="0.2">
      <c r="A23" s="131" t="s">
        <v>72</v>
      </c>
      <c r="B23" s="131">
        <v>5776.2840187699994</v>
      </c>
      <c r="C23" s="165">
        <v>7.8200000000000006E-2</v>
      </c>
      <c r="D23" s="166">
        <v>43830</v>
      </c>
      <c r="E23" s="166" t="s">
        <v>0</v>
      </c>
      <c r="F23" s="256">
        <f t="shared" si="0"/>
        <v>5.3002222222222226</v>
      </c>
      <c r="G23" s="256">
        <f t="shared" si="1"/>
        <v>2.4328888888888889</v>
      </c>
      <c r="H23" s="256">
        <f t="shared" si="2"/>
        <v>2.8673333333333333</v>
      </c>
      <c r="I23" s="167">
        <f t="shared" si="3"/>
        <v>306.15588918151838</v>
      </c>
      <c r="J23" s="167">
        <f t="shared" si="5"/>
        <v>344.38232753826588</v>
      </c>
    </row>
    <row r="24" spans="1:13" x14ac:dyDescent="0.2">
      <c r="A24" s="131" t="s">
        <v>73</v>
      </c>
      <c r="B24" s="131">
        <v>5565.2917364500008</v>
      </c>
      <c r="C24" s="165">
        <v>8.2799999999999999E-2</v>
      </c>
      <c r="D24" s="166">
        <v>43830</v>
      </c>
      <c r="E24" s="166" t="s">
        <v>0</v>
      </c>
      <c r="F24" s="256">
        <f t="shared" si="0"/>
        <v>5.6120000000000001</v>
      </c>
      <c r="G24" s="256">
        <f t="shared" si="1"/>
        <v>2.5760000000000001</v>
      </c>
      <c r="H24" s="256">
        <f t="shared" si="2"/>
        <v>3.036</v>
      </c>
      <c r="I24" s="167">
        <f t="shared" si="3"/>
        <v>312.32417224957402</v>
      </c>
      <c r="J24" s="167">
        <f>+I24</f>
        <v>312.32417224957402</v>
      </c>
    </row>
    <row r="25" spans="1:13" x14ac:dyDescent="0.2">
      <c r="A25" s="131" t="s">
        <v>74</v>
      </c>
      <c r="B25" s="131">
        <v>6473.2230980000004</v>
      </c>
      <c r="C25" s="165">
        <v>3.3799999999999997E-2</v>
      </c>
      <c r="D25" s="166">
        <v>43921</v>
      </c>
      <c r="E25" s="166" t="s">
        <v>0</v>
      </c>
      <c r="F25" s="256">
        <f t="shared" si="0"/>
        <v>1.4458888888888888</v>
      </c>
      <c r="G25" s="256">
        <f t="shared" si="1"/>
        <v>0.20655555555555555</v>
      </c>
      <c r="H25" s="256">
        <f t="shared" si="2"/>
        <v>1.2393333333333332</v>
      </c>
      <c r="I25" s="167">
        <f t="shared" si="3"/>
        <v>93.595613526971107</v>
      </c>
      <c r="J25" s="167">
        <f>+I25/$M$2</f>
        <v>105.28190497972003</v>
      </c>
    </row>
    <row r="26" spans="1:13" x14ac:dyDescent="0.2">
      <c r="A26" s="168" t="s">
        <v>75</v>
      </c>
      <c r="B26" s="168">
        <v>5393.6283739999999</v>
      </c>
      <c r="C26" s="169">
        <v>3.7499999999999999E-2</v>
      </c>
      <c r="D26" s="170">
        <v>43921</v>
      </c>
      <c r="E26" s="170" t="s">
        <v>0</v>
      </c>
      <c r="F26" s="257">
        <f t="shared" si="0"/>
        <v>1.6041666666666667</v>
      </c>
      <c r="G26" s="257">
        <f t="shared" si="1"/>
        <v>0.22916666666666666</v>
      </c>
      <c r="H26" s="257">
        <f t="shared" si="2"/>
        <v>1.375</v>
      </c>
      <c r="I26" s="171">
        <f t="shared" si="3"/>
        <v>86.522788499583328</v>
      </c>
      <c r="J26" s="171">
        <f>+I26</f>
        <v>86.522788499583328</v>
      </c>
      <c r="M26" s="163"/>
    </row>
    <row r="27" spans="1:13" s="163" customFormat="1" x14ac:dyDescent="0.25">
      <c r="B27" s="172"/>
      <c r="C27" s="162"/>
      <c r="D27" s="162"/>
      <c r="I27" s="27" t="s">
        <v>44</v>
      </c>
      <c r="J27" s="48">
        <f>+SUM(J6:J26)</f>
        <v>2792.3577122397555</v>
      </c>
      <c r="K27" s="164"/>
      <c r="L27" s="164"/>
      <c r="M27" s="164"/>
    </row>
  </sheetData>
  <mergeCells count="8">
    <mergeCell ref="I4:I5"/>
    <mergeCell ref="J4:J5"/>
    <mergeCell ref="F4:H4"/>
    <mergeCell ref="A4:A5"/>
    <mergeCell ref="B4:B5"/>
    <mergeCell ref="C4:C5"/>
    <mergeCell ref="D4:D5"/>
    <mergeCell ref="E4:E5"/>
  </mergeCells>
  <pageMargins left="0.7" right="0.7" top="0.75" bottom="0.75" header="0.3" footer="0.3"/>
  <pageSetup orientation="portrait" r:id="rId1"/>
  <ignoredErrors>
    <ignoredError sqref="J22 J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F16E-0CF3-4C09-87A5-03E02593CBF7}">
  <sheetPr codeName="Hoja12"/>
  <dimension ref="A1:Q33"/>
  <sheetViews>
    <sheetView showGridLines="0" zoomScaleNormal="100" workbookViewId="0"/>
  </sheetViews>
  <sheetFormatPr baseColWidth="10" defaultColWidth="11.42578125" defaultRowHeight="12.75" x14ac:dyDescent="0.2"/>
  <cols>
    <col min="1" max="1" width="17" style="2" bestFit="1" customWidth="1"/>
    <col min="2" max="2" width="11.5703125" style="86" customWidth="1"/>
    <col min="3" max="4" width="11.5703125" style="2" customWidth="1"/>
    <col min="5" max="14" width="8.42578125" style="2" customWidth="1"/>
    <col min="15" max="15" width="11.42578125" style="2"/>
    <col min="16" max="16" width="13.85546875" style="2" bestFit="1" customWidth="1"/>
    <col min="17" max="17" width="11.42578125" style="263"/>
    <col min="18" max="16384" width="11.42578125" style="2"/>
  </cols>
  <sheetData>
    <row r="1" spans="1:17" s="33" customFormat="1" ht="15.75" x14ac:dyDescent="0.25">
      <c r="A1" s="178" t="s">
        <v>139</v>
      </c>
      <c r="B1" s="34"/>
      <c r="Q1" s="262"/>
    </row>
    <row r="2" spans="1:17" x14ac:dyDescent="0.2">
      <c r="A2" s="17" t="s">
        <v>12</v>
      </c>
    </row>
    <row r="3" spans="1:17" x14ac:dyDescent="0.2">
      <c r="A3" s="17"/>
    </row>
    <row r="4" spans="1:17" ht="13.5" customHeight="1" x14ac:dyDescent="0.2">
      <c r="A4" s="363" t="s">
        <v>148</v>
      </c>
      <c r="B4" s="360" t="s">
        <v>84</v>
      </c>
      <c r="C4" s="360"/>
      <c r="D4" s="360"/>
      <c r="E4" s="366" t="s">
        <v>143</v>
      </c>
      <c r="F4" s="367"/>
      <c r="G4" s="367"/>
      <c r="H4" s="367"/>
      <c r="I4" s="367"/>
      <c r="J4" s="367"/>
      <c r="K4" s="367"/>
      <c r="L4" s="367"/>
      <c r="M4" s="367"/>
      <c r="N4" s="368"/>
    </row>
    <row r="5" spans="1:17" s="26" customFormat="1" ht="13.5" customHeight="1" x14ac:dyDescent="0.2">
      <c r="A5" s="364"/>
      <c r="B5" s="361" t="s">
        <v>47</v>
      </c>
      <c r="C5" s="361" t="s">
        <v>150</v>
      </c>
      <c r="D5" s="361" t="s">
        <v>134</v>
      </c>
      <c r="E5" s="359" t="s">
        <v>1</v>
      </c>
      <c r="F5" s="359"/>
      <c r="G5" s="359" t="s">
        <v>2</v>
      </c>
      <c r="H5" s="359"/>
      <c r="I5" s="359" t="s">
        <v>3</v>
      </c>
      <c r="J5" s="359"/>
      <c r="K5" s="359" t="s">
        <v>4</v>
      </c>
      <c r="L5" s="359"/>
      <c r="M5" s="359" t="s">
        <v>5</v>
      </c>
      <c r="N5" s="359"/>
      <c r="Q5" s="264"/>
    </row>
    <row r="6" spans="1:17" s="26" customFormat="1" ht="27" customHeight="1" x14ac:dyDescent="0.2">
      <c r="A6" s="365"/>
      <c r="B6" s="362"/>
      <c r="C6" s="362"/>
      <c r="D6" s="362"/>
      <c r="E6" s="249" t="s">
        <v>144</v>
      </c>
      <c r="F6" s="39" t="s">
        <v>85</v>
      </c>
      <c r="G6" s="39" t="s">
        <v>144</v>
      </c>
      <c r="H6" s="39" t="s">
        <v>85</v>
      </c>
      <c r="I6" s="39" t="s">
        <v>144</v>
      </c>
      <c r="J6" s="39" t="s">
        <v>85</v>
      </c>
      <c r="K6" s="39" t="s">
        <v>144</v>
      </c>
      <c r="L6" s="39" t="s">
        <v>85</v>
      </c>
      <c r="M6" s="39" t="s">
        <v>144</v>
      </c>
      <c r="N6" s="39" t="s">
        <v>85</v>
      </c>
      <c r="P6" s="160" t="s">
        <v>85</v>
      </c>
      <c r="Q6" s="265" t="s">
        <v>86</v>
      </c>
    </row>
    <row r="7" spans="1:17" x14ac:dyDescent="0.2">
      <c r="A7" s="88" t="s">
        <v>60</v>
      </c>
      <c r="B7" s="296">
        <f>+C7+D7</f>
        <v>55.417187000060856</v>
      </c>
      <c r="C7" s="261">
        <f>+E7*F7+G7*H7+I7*J7+K7*L7+M7*N7+VLOOKUP($A7,'Intereses corridos'!$A$6:$J$26,7,FALSE)*$Q$13/100</f>
        <v>54.122690476210671</v>
      </c>
      <c r="D7" s="261">
        <f>+VLOOKUP($A7,'Intereses corridos'!$A$6:$J$26,8,FALSE)*$Q$13/100</f>
        <v>1.2944965238501871</v>
      </c>
      <c r="E7" s="89">
        <f>+VLOOKUP($A7,'Arg IV - Canje optimo'!$C$6:$T$26,6,FALSE)/VLOOKUP($A7,'Arg IV - Canje optimo'!$C$6:$T$26,18,FALSE)</f>
        <v>1</v>
      </c>
      <c r="F7" s="250">
        <f>HLOOKUP(E$5,'Arg IV - Nuevos Bonos 100VN'!$B$6:$M$20,15,FALSE)</f>
        <v>52.357467943687688</v>
      </c>
      <c r="G7" s="89">
        <f>+VLOOKUP($A7,'Arg IV - Canje optimo'!$C$6:$T$26,7,FALSE)/VLOOKUP($A7,'Arg IV - Canje optimo'!$C$6:$T$26,18,FALSE)</f>
        <v>0</v>
      </c>
      <c r="H7" s="250">
        <f>HLOOKUP(G$5,'Arg IV - Nuevos Bonos 100VN'!$B$6:$M$20,15,FALSE)</f>
        <v>51.124279696103009</v>
      </c>
      <c r="I7" s="89">
        <f>+VLOOKUP($A7,'Arg IV - Canje optimo'!$C$6:$T$26,8,FALSE)/VLOOKUP($A7,'Arg IV - Canje optimo'!$C$6:$T$26,18,FALSE)</f>
        <v>0</v>
      </c>
      <c r="J7" s="250">
        <f>HLOOKUP(I$5,'Arg IV - Nuevos Bonos 100VN'!$B$6:$M$20,15,FALSE)</f>
        <v>57.887956669026288</v>
      </c>
      <c r="K7" s="89">
        <f>+VLOOKUP($A7,'Arg IV - Canje optimo'!$C$6:$T$26,9,FALSE)/VLOOKUP($A7,'Arg IV - Canje optimo'!$C$6:$T$26,18,FALSE)</f>
        <v>0</v>
      </c>
      <c r="L7" s="250">
        <f>HLOOKUP(K$5,'Arg IV - Nuevos Bonos 100VN'!$B$6:$M$20,15,FALSE)</f>
        <v>51.747039417387249</v>
      </c>
      <c r="M7" s="89">
        <f>+VLOOKUP($A7,'Arg IV - Canje optimo'!$C$6:$T$26,10,FALSE)/VLOOKUP($A7,'Arg IV - Canje optimo'!$C$6:$T$26,18,FALSE)</f>
        <v>0</v>
      </c>
      <c r="N7" s="250">
        <f>HLOOKUP(M$5,'Arg IV - Nuevos Bonos 100VN'!$B$6:$M$20,15,FALSE)</f>
        <v>50.103934995470681</v>
      </c>
      <c r="O7" s="90"/>
      <c r="P7" s="91" t="s">
        <v>1</v>
      </c>
      <c r="Q7" s="266">
        <f>+HLOOKUP(P7,'Arg IV - Nuevos Bonos 100VN'!$B$6:$M$21,15,FALSE)</f>
        <v>52.357467943687688</v>
      </c>
    </row>
    <row r="8" spans="1:17" x14ac:dyDescent="0.2">
      <c r="A8" s="88" t="s">
        <v>56</v>
      </c>
      <c r="B8" s="297">
        <f t="shared" ref="B8:B19" si="0">+C8+D8</f>
        <v>54.106642998642279</v>
      </c>
      <c r="C8" s="298">
        <f>+E8*F8+G8*H8+I8*J8+K8*L8+M8*N8+VLOOKUP($A8,'Intereses corridos'!$A$6:$J$26,7,FALSE)*$Q$13/100</f>
        <v>53.047509479128493</v>
      </c>
      <c r="D8" s="298">
        <f>+VLOOKUP($A8,'Intereses corridos'!$A$6:$J$26,8,FALSE)*$Q$13/100</f>
        <v>1.0591335195137892</v>
      </c>
      <c r="E8" s="92">
        <f>+VLOOKUP($A8,'Arg IV - Canje optimo'!$C$6:$T$26,6,FALSE)/VLOOKUP($A8,'Arg IV - Canje optimo'!$C$6:$T$26,18,FALSE)</f>
        <v>1</v>
      </c>
      <c r="F8" s="251">
        <f>HLOOKUP(E$5,'Arg IV - Nuevos Bonos 100VN'!$B$6:$M$20,15,FALSE)</f>
        <v>52.357467943687688</v>
      </c>
      <c r="G8" s="92">
        <f>+VLOOKUP($A8,'Arg IV - Canje optimo'!$C$6:$T$26,7,FALSE)/VLOOKUP($A8,'Arg IV - Canje optimo'!$C$6:$T$26,18,FALSE)</f>
        <v>0</v>
      </c>
      <c r="H8" s="251">
        <f>HLOOKUP(G$5,'Arg IV - Nuevos Bonos 100VN'!$B$6:$M$20,15,FALSE)</f>
        <v>51.124279696103009</v>
      </c>
      <c r="I8" s="92">
        <f>+VLOOKUP($A8,'Arg IV - Canje optimo'!$C$6:$T$26,8,FALSE)/VLOOKUP($A8,'Arg IV - Canje optimo'!$C$6:$T$26,18,FALSE)</f>
        <v>0</v>
      </c>
      <c r="J8" s="251">
        <f>HLOOKUP(I$5,'Arg IV - Nuevos Bonos 100VN'!$B$6:$M$20,15,FALSE)</f>
        <v>57.887956669026288</v>
      </c>
      <c r="K8" s="92">
        <f>+VLOOKUP($A8,'Arg IV - Canje optimo'!$C$6:$T$26,9,FALSE)/VLOOKUP($A8,'Arg IV - Canje optimo'!$C$6:$T$26,18,FALSE)</f>
        <v>0</v>
      </c>
      <c r="L8" s="251">
        <f>HLOOKUP(K$5,'Arg IV - Nuevos Bonos 100VN'!$B$6:$M$20,15,FALSE)</f>
        <v>51.747039417387249</v>
      </c>
      <c r="M8" s="92">
        <f>+VLOOKUP($A8,'Arg IV - Canje optimo'!$C$6:$T$26,10,FALSE)/VLOOKUP($A8,'Arg IV - Canje optimo'!$C$6:$T$26,18,FALSE)</f>
        <v>0</v>
      </c>
      <c r="N8" s="251">
        <f>HLOOKUP(M$5,'Arg IV - Nuevos Bonos 100VN'!$B$6:$M$20,15,FALSE)</f>
        <v>50.103934995470681</v>
      </c>
      <c r="O8" s="90"/>
      <c r="P8" s="91" t="s">
        <v>2</v>
      </c>
      <c r="Q8" s="266">
        <f>+HLOOKUP(P8,'Arg IV - Nuevos Bonos 100VN'!$B$6:$M$21,15,FALSE)</f>
        <v>51.124279696103009</v>
      </c>
    </row>
    <row r="9" spans="1:17" x14ac:dyDescent="0.2">
      <c r="A9" s="88" t="s">
        <v>55</v>
      </c>
      <c r="B9" s="297">
        <f t="shared" si="0"/>
        <v>53.8946379894332</v>
      </c>
      <c r="C9" s="298">
        <f>+E9*F9+G9*H9+I9*J9+K9*L9+M9*N9+VLOOKUP($A9,'Intereses corridos'!$A$6:$J$26,7,FALSE)*$Q$13/100</f>
        <v>53.023794873388532</v>
      </c>
      <c r="D9" s="298">
        <f>+VLOOKUP($A9,'Intereses corridos'!$A$6:$J$26,8,FALSE)*$Q$13/100</f>
        <v>0.87084311604467113</v>
      </c>
      <c r="E9" s="92">
        <f>+VLOOKUP($A9,'Arg IV - Canje optimo'!$C$6:$T$26,6,FALSE)/VLOOKUP($A9,'Arg IV - Canje optimo'!$C$6:$T$26,18,FALSE)</f>
        <v>1</v>
      </c>
      <c r="F9" s="251">
        <f>HLOOKUP(E$5,'Arg IV - Nuevos Bonos 100VN'!$B$6:$M$20,15,FALSE)</f>
        <v>52.357467943687688</v>
      </c>
      <c r="G9" s="92">
        <f>+VLOOKUP($A9,'Arg IV - Canje optimo'!$C$6:$T$26,7,FALSE)/VLOOKUP($A9,'Arg IV - Canje optimo'!$C$6:$T$26,18,FALSE)</f>
        <v>0</v>
      </c>
      <c r="H9" s="251">
        <f>HLOOKUP(G$5,'Arg IV - Nuevos Bonos 100VN'!$B$6:$M$20,15,FALSE)</f>
        <v>51.124279696103009</v>
      </c>
      <c r="I9" s="92">
        <f>+VLOOKUP($A9,'Arg IV - Canje optimo'!$C$6:$T$26,8,FALSE)/VLOOKUP($A9,'Arg IV - Canje optimo'!$C$6:$T$26,18,FALSE)</f>
        <v>0</v>
      </c>
      <c r="J9" s="251">
        <f>HLOOKUP(I$5,'Arg IV - Nuevos Bonos 100VN'!$B$6:$M$20,15,FALSE)</f>
        <v>57.887956669026288</v>
      </c>
      <c r="K9" s="92">
        <f>+VLOOKUP($A9,'Arg IV - Canje optimo'!$C$6:$T$26,9,FALSE)/VLOOKUP($A9,'Arg IV - Canje optimo'!$C$6:$T$26,18,FALSE)</f>
        <v>0</v>
      </c>
      <c r="L9" s="251">
        <f>HLOOKUP(K$5,'Arg IV - Nuevos Bonos 100VN'!$B$6:$M$20,15,FALSE)</f>
        <v>51.747039417387249</v>
      </c>
      <c r="M9" s="92">
        <f>+VLOOKUP($A9,'Arg IV - Canje optimo'!$C$6:$T$26,10,FALSE)/VLOOKUP($A9,'Arg IV - Canje optimo'!$C$6:$T$26,18,FALSE)</f>
        <v>0</v>
      </c>
      <c r="N9" s="251">
        <f>HLOOKUP(M$5,'Arg IV - Nuevos Bonos 100VN'!$B$6:$M$20,15,FALSE)</f>
        <v>50.103934995470681</v>
      </c>
      <c r="O9" s="90"/>
      <c r="P9" s="91" t="s">
        <v>3</v>
      </c>
      <c r="Q9" s="266">
        <f>+HLOOKUP(P9,'Arg IV - Nuevos Bonos 100VN'!$B$6:$M$21,15,FALSE)</f>
        <v>57.887956669026288</v>
      </c>
    </row>
    <row r="10" spans="1:17" x14ac:dyDescent="0.2">
      <c r="A10" s="88" t="s">
        <v>64</v>
      </c>
      <c r="B10" s="297">
        <f t="shared" si="0"/>
        <v>54.800070351719334</v>
      </c>
      <c r="C10" s="298">
        <f>+E10*F10+G10*H10+I10*J10+K10*L10+M10*N10+VLOOKUP($A10,'Intereses corridos'!$A$6:$J$26,7,FALSE)*$Q$13/100</f>
        <v>53.387892325700946</v>
      </c>
      <c r="D10" s="298">
        <f>+VLOOKUP($A10,'Intereses corridos'!$A$6:$J$26,8,FALSE)*$Q$13/100</f>
        <v>1.4121780260183856</v>
      </c>
      <c r="E10" s="92">
        <f>+VLOOKUP($A10,'Arg IV - Canje optimo'!$C$6:$T$26,6,FALSE)/VLOOKUP($A10,'Arg IV - Canje optimo'!$C$6:$T$26,18,FALSE)</f>
        <v>0.2740176303600777</v>
      </c>
      <c r="F10" s="251">
        <f>HLOOKUP(E$5,'Arg IV - Nuevos Bonos 100VN'!$B$6:$M$20,15,FALSE)</f>
        <v>52.357467943687688</v>
      </c>
      <c r="G10" s="92">
        <f>+VLOOKUP($A10,'Arg IV - Canje optimo'!$C$6:$T$26,7,FALSE)/VLOOKUP($A10,'Arg IV - Canje optimo'!$C$6:$T$26,18,FALSE)</f>
        <v>0.72598236963992224</v>
      </c>
      <c r="H10" s="251">
        <f>HLOOKUP(G$5,'Arg IV - Nuevos Bonos 100VN'!$B$6:$M$20,15,FALSE)</f>
        <v>51.124279696103009</v>
      </c>
      <c r="I10" s="92">
        <f>+VLOOKUP($A10,'Arg IV - Canje optimo'!$C$6:$T$26,8,FALSE)/VLOOKUP($A10,'Arg IV - Canje optimo'!$C$6:$T$26,18,FALSE)</f>
        <v>0</v>
      </c>
      <c r="J10" s="251">
        <f>HLOOKUP(I$5,'Arg IV - Nuevos Bonos 100VN'!$B$6:$M$20,15,FALSE)</f>
        <v>57.887956669026288</v>
      </c>
      <c r="K10" s="92">
        <f>+VLOOKUP($A10,'Arg IV - Canje optimo'!$C$6:$T$26,9,FALSE)/VLOOKUP($A10,'Arg IV - Canje optimo'!$C$6:$T$26,18,FALSE)</f>
        <v>0</v>
      </c>
      <c r="L10" s="251">
        <f>HLOOKUP(K$5,'Arg IV - Nuevos Bonos 100VN'!$B$6:$M$20,15,FALSE)</f>
        <v>51.747039417387249</v>
      </c>
      <c r="M10" s="92">
        <f>+VLOOKUP($A10,'Arg IV - Canje optimo'!$C$6:$T$26,10,FALSE)/VLOOKUP($A10,'Arg IV - Canje optimo'!$C$6:$T$26,18,FALSE)</f>
        <v>0</v>
      </c>
      <c r="N10" s="251">
        <f>HLOOKUP(M$5,'Arg IV - Nuevos Bonos 100VN'!$B$6:$M$20,15,FALSE)</f>
        <v>50.103934995470681</v>
      </c>
      <c r="O10" s="90"/>
      <c r="P10" s="91" t="s">
        <v>4</v>
      </c>
      <c r="Q10" s="266">
        <f>+HLOOKUP(P10,'Arg IV - Nuevos Bonos 100VN'!$B$6:$M$21,15,FALSE)</f>
        <v>51.747039417387249</v>
      </c>
    </row>
    <row r="11" spans="1:17" x14ac:dyDescent="0.2">
      <c r="A11" s="88" t="s">
        <v>61</v>
      </c>
      <c r="B11" s="297">
        <f t="shared" si="0"/>
        <v>53.600075640216346</v>
      </c>
      <c r="C11" s="298">
        <f>+E11*F11+G11*H11+I11*J11+K11*L11+M11*N11+VLOOKUP($A11,'Intereses corridos'!$A$6:$J$26,7,FALSE)*$Q$13/100</f>
        <v>52.305579116366161</v>
      </c>
      <c r="D11" s="298">
        <f>+VLOOKUP($A11,'Intereses corridos'!$A$6:$J$26,8,FALSE)*$Q$13/100</f>
        <v>1.2944965238501871</v>
      </c>
      <c r="E11" s="92">
        <f>+VLOOKUP($A11,'Arg IV - Canje optimo'!$C$6:$T$26,6,FALSE)/VLOOKUP($A11,'Arg IV - Canje optimo'!$C$6:$T$26,18,FALSE)</f>
        <v>0.27401763036007776</v>
      </c>
      <c r="F11" s="251">
        <f>HLOOKUP(E$5,'Arg IV - Nuevos Bonos 100VN'!$B$6:$M$20,15,FALSE)</f>
        <v>52.357467943687688</v>
      </c>
      <c r="G11" s="92">
        <f>+VLOOKUP($A11,'Arg IV - Canje optimo'!$C$6:$T$26,7,FALSE)/VLOOKUP($A11,'Arg IV - Canje optimo'!$C$6:$T$26,18,FALSE)</f>
        <v>0.72598236963992235</v>
      </c>
      <c r="H11" s="251">
        <f>HLOOKUP(G$5,'Arg IV - Nuevos Bonos 100VN'!$B$6:$M$20,15,FALSE)</f>
        <v>51.124279696103009</v>
      </c>
      <c r="I11" s="92">
        <f>+VLOOKUP($A11,'Arg IV - Canje optimo'!$C$6:$T$26,8,FALSE)/VLOOKUP($A11,'Arg IV - Canje optimo'!$C$6:$T$26,18,FALSE)</f>
        <v>0</v>
      </c>
      <c r="J11" s="251">
        <f>HLOOKUP(I$5,'Arg IV - Nuevos Bonos 100VN'!$B$6:$M$20,15,FALSE)</f>
        <v>57.887956669026288</v>
      </c>
      <c r="K11" s="92">
        <f>+VLOOKUP($A11,'Arg IV - Canje optimo'!$C$6:$T$26,9,FALSE)/VLOOKUP($A11,'Arg IV - Canje optimo'!$C$6:$T$26,18,FALSE)</f>
        <v>0</v>
      </c>
      <c r="L11" s="251">
        <f>HLOOKUP(K$5,'Arg IV - Nuevos Bonos 100VN'!$B$6:$M$20,15,FALSE)</f>
        <v>51.747039417387249</v>
      </c>
      <c r="M11" s="92">
        <f>+VLOOKUP($A11,'Arg IV - Canje optimo'!$C$6:$T$26,10,FALSE)/VLOOKUP($A11,'Arg IV - Canje optimo'!$C$6:$T$26,18,FALSE)</f>
        <v>0</v>
      </c>
      <c r="N11" s="251">
        <f>HLOOKUP(M$5,'Arg IV - Nuevos Bonos 100VN'!$B$6:$M$20,15,FALSE)</f>
        <v>50.103934995470681</v>
      </c>
      <c r="O11" s="90"/>
      <c r="P11" s="93" t="s">
        <v>5</v>
      </c>
      <c r="Q11" s="267">
        <f>+HLOOKUP(P11,'Arg IV - Nuevos Bonos 100VN'!$B$6:$M$21,15,FALSE)</f>
        <v>50.103934995470681</v>
      </c>
    </row>
    <row r="12" spans="1:17" x14ac:dyDescent="0.2">
      <c r="A12" s="88" t="s">
        <v>57</v>
      </c>
      <c r="B12" s="297">
        <f t="shared" si="0"/>
        <v>53.414816426954573</v>
      </c>
      <c r="C12" s="298">
        <f>+E12*F12+G12*H12+I12*J12+K12*L12+M12*N12+VLOOKUP($A12,'Intereses corridos'!$A$6:$J$26,7,FALSE)*$Q$13/100</f>
        <v>52.308610306573506</v>
      </c>
      <c r="D12" s="298">
        <f>+VLOOKUP($A12,'Intereses corridos'!$A$6:$J$26,8,FALSE)*$Q$13/100</f>
        <v>1.1062061203810689</v>
      </c>
      <c r="E12" s="92">
        <f>+VLOOKUP($A12,'Arg IV - Canje optimo'!$C$6:$T$26,6,FALSE)/VLOOKUP($A12,'Arg IV - Canje optimo'!$C$6:$T$26,18,FALSE)</f>
        <v>0.2740176303600777</v>
      </c>
      <c r="F12" s="251">
        <f>HLOOKUP(E$5,'Arg IV - Nuevos Bonos 100VN'!$B$6:$M$20,15,FALSE)</f>
        <v>52.357467943687688</v>
      </c>
      <c r="G12" s="92">
        <f>+VLOOKUP($A12,'Arg IV - Canje optimo'!$C$6:$T$26,7,FALSE)/VLOOKUP($A12,'Arg IV - Canje optimo'!$C$6:$T$26,18,FALSE)</f>
        <v>0.72598236963992224</v>
      </c>
      <c r="H12" s="251">
        <f>HLOOKUP(G$5,'Arg IV - Nuevos Bonos 100VN'!$B$6:$M$20,15,FALSE)</f>
        <v>51.124279696103009</v>
      </c>
      <c r="I12" s="92">
        <f>+VLOOKUP($A12,'Arg IV - Canje optimo'!$C$6:$T$26,8,FALSE)/VLOOKUP($A12,'Arg IV - Canje optimo'!$C$6:$T$26,18,FALSE)</f>
        <v>0</v>
      </c>
      <c r="J12" s="251">
        <f>HLOOKUP(I$5,'Arg IV - Nuevos Bonos 100VN'!$B$6:$M$20,15,FALSE)</f>
        <v>57.887956669026288</v>
      </c>
      <c r="K12" s="92">
        <f>+VLOOKUP($A12,'Arg IV - Canje optimo'!$C$6:$T$26,9,FALSE)/VLOOKUP($A12,'Arg IV - Canje optimo'!$C$6:$T$26,18,FALSE)</f>
        <v>0</v>
      </c>
      <c r="L12" s="251">
        <f>HLOOKUP(K$5,'Arg IV - Nuevos Bonos 100VN'!$B$6:$M$20,15,FALSE)</f>
        <v>51.747039417387249</v>
      </c>
      <c r="M12" s="92">
        <f>+VLOOKUP($A12,'Arg IV - Canje optimo'!$C$6:$T$26,10,FALSE)/VLOOKUP($A12,'Arg IV - Canje optimo'!$C$6:$T$26,18,FALSE)</f>
        <v>0</v>
      </c>
      <c r="N12" s="251">
        <f>HLOOKUP(M$5,'Arg IV - Nuevos Bonos 100VN'!$B$6:$M$20,15,FALSE)</f>
        <v>50.103934995470681</v>
      </c>
      <c r="O12" s="90"/>
    </row>
    <row r="13" spans="1:17" x14ac:dyDescent="0.2">
      <c r="A13" s="88" t="s">
        <v>58</v>
      </c>
      <c r="B13" s="297">
        <f t="shared" si="0"/>
        <v>53.711338151357168</v>
      </c>
      <c r="C13" s="298">
        <f>+E13*F13+G13*H13+I13*J13+K13*L13+M13*N13+VLOOKUP($A13,'Intereses corridos'!$A$6:$J$26,7,FALSE)*$Q$13/100</f>
        <v>52.463914228374264</v>
      </c>
      <c r="D13" s="298">
        <f>+VLOOKUP($A13,'Intereses corridos'!$A$6:$J$26,8,FALSE)*$Q$13/100</f>
        <v>1.2474239229829074</v>
      </c>
      <c r="E13" s="92">
        <f>+VLOOKUP($A13,'Arg IV - Canje optimo'!$C$6:$T$26,6,FALSE)/VLOOKUP($A13,'Arg IV - Canje optimo'!$C$6:$T$26,18,FALSE)</f>
        <v>0.2740176303600777</v>
      </c>
      <c r="F13" s="251">
        <f>HLOOKUP(E$5,'Arg IV - Nuevos Bonos 100VN'!$B$6:$M$20,15,FALSE)</f>
        <v>52.357467943687688</v>
      </c>
      <c r="G13" s="92">
        <f>+VLOOKUP($A13,'Arg IV - Canje optimo'!$C$6:$T$26,7,FALSE)/VLOOKUP($A13,'Arg IV - Canje optimo'!$C$6:$T$26,18,FALSE)</f>
        <v>0.72598236963992224</v>
      </c>
      <c r="H13" s="251">
        <f>HLOOKUP(G$5,'Arg IV - Nuevos Bonos 100VN'!$B$6:$M$20,15,FALSE)</f>
        <v>51.124279696103009</v>
      </c>
      <c r="I13" s="92">
        <f>+VLOOKUP($A13,'Arg IV - Canje optimo'!$C$6:$T$26,8,FALSE)/VLOOKUP($A13,'Arg IV - Canje optimo'!$C$6:$T$26,18,FALSE)</f>
        <v>0</v>
      </c>
      <c r="J13" s="251">
        <f>HLOOKUP(I$5,'Arg IV - Nuevos Bonos 100VN'!$B$6:$M$20,15,FALSE)</f>
        <v>57.887956669026288</v>
      </c>
      <c r="K13" s="92">
        <f>+VLOOKUP($A13,'Arg IV - Canje optimo'!$C$6:$T$26,9,FALSE)/VLOOKUP($A13,'Arg IV - Canje optimo'!$C$6:$T$26,18,FALSE)</f>
        <v>0</v>
      </c>
      <c r="L13" s="251">
        <f>HLOOKUP(K$5,'Arg IV - Nuevos Bonos 100VN'!$B$6:$M$20,15,FALSE)</f>
        <v>51.747039417387249</v>
      </c>
      <c r="M13" s="92">
        <f>+VLOOKUP($A13,'Arg IV - Canje optimo'!$C$6:$T$26,10,FALSE)/VLOOKUP($A13,'Arg IV - Canje optimo'!$C$6:$T$26,18,FALSE)</f>
        <v>0</v>
      </c>
      <c r="N13" s="251">
        <f>HLOOKUP(M$5,'Arg IV - Nuevos Bonos 100VN'!$B$6:$M$20,15,FALSE)</f>
        <v>50.103934995470681</v>
      </c>
      <c r="O13" s="90"/>
      <c r="P13" s="87" t="s">
        <v>111</v>
      </c>
      <c r="Q13" s="268">
        <f>+HLOOKUP(P13,'Arg IV - Nuevos Bonos 100VN'!$B$6:$M$21,15,FALSE)</f>
        <v>51.351928218850389</v>
      </c>
    </row>
    <row r="14" spans="1:17" x14ac:dyDescent="0.2">
      <c r="A14" s="88" t="s">
        <v>62</v>
      </c>
      <c r="B14" s="297">
        <f t="shared" si="0"/>
        <v>53.881084802969482</v>
      </c>
      <c r="C14" s="298">
        <f>+E14*F14+G14*H14+I14*J14+K14*L14+M14*N14+VLOOKUP($A14,'Intereses corridos'!$A$6:$J$26,7,FALSE)*$Q$13/100</f>
        <v>52.539515678252016</v>
      </c>
      <c r="D14" s="298">
        <f>+VLOOKUP($A14,'Intereses corridos'!$A$6:$J$26,8,FALSE)*$Q$13/100</f>
        <v>1.3415691247174664</v>
      </c>
      <c r="E14" s="92">
        <f>+VLOOKUP($A14,'Arg IV - Canje optimo'!$C$6:$T$26,6,FALSE)/VLOOKUP($A14,'Arg IV - Canje optimo'!$C$6:$T$26,18,FALSE)</f>
        <v>0.2740176303600777</v>
      </c>
      <c r="F14" s="251">
        <f>HLOOKUP(E$5,'Arg IV - Nuevos Bonos 100VN'!$B$6:$M$20,15,FALSE)</f>
        <v>52.357467943687688</v>
      </c>
      <c r="G14" s="92">
        <f>+VLOOKUP($A14,'Arg IV - Canje optimo'!$C$6:$T$26,7,FALSE)/VLOOKUP($A14,'Arg IV - Canje optimo'!$C$6:$T$26,18,FALSE)</f>
        <v>0.72598236963992224</v>
      </c>
      <c r="H14" s="251">
        <f>HLOOKUP(G$5,'Arg IV - Nuevos Bonos 100VN'!$B$6:$M$20,15,FALSE)</f>
        <v>51.124279696103009</v>
      </c>
      <c r="I14" s="92">
        <f>+VLOOKUP($A14,'Arg IV - Canje optimo'!$C$6:$T$26,8,FALSE)/VLOOKUP($A14,'Arg IV - Canje optimo'!$C$6:$T$26,18,FALSE)</f>
        <v>0</v>
      </c>
      <c r="J14" s="251">
        <f>HLOOKUP(I$5,'Arg IV - Nuevos Bonos 100VN'!$B$6:$M$20,15,FALSE)</f>
        <v>57.887956669026288</v>
      </c>
      <c r="K14" s="92">
        <f>+VLOOKUP($A14,'Arg IV - Canje optimo'!$C$6:$T$26,9,FALSE)/VLOOKUP($A14,'Arg IV - Canje optimo'!$C$6:$T$26,18,FALSE)</f>
        <v>0</v>
      </c>
      <c r="L14" s="251">
        <f>HLOOKUP(K$5,'Arg IV - Nuevos Bonos 100VN'!$B$6:$M$20,15,FALSE)</f>
        <v>51.747039417387249</v>
      </c>
      <c r="M14" s="92">
        <f>+VLOOKUP($A14,'Arg IV - Canje optimo'!$C$6:$T$26,10,FALSE)/VLOOKUP($A14,'Arg IV - Canje optimo'!$C$6:$T$26,18,FALSE)</f>
        <v>0</v>
      </c>
      <c r="N14" s="251">
        <f>HLOOKUP(M$5,'Arg IV - Nuevos Bonos 100VN'!$B$6:$M$20,15,FALSE)</f>
        <v>50.103934995470681</v>
      </c>
      <c r="O14" s="90"/>
      <c r="P14" s="95"/>
      <c r="Q14" s="262"/>
    </row>
    <row r="15" spans="1:17" x14ac:dyDescent="0.2">
      <c r="A15" s="88" t="s">
        <v>65</v>
      </c>
      <c r="B15" s="297">
        <f t="shared" si="0"/>
        <v>54.517786285898708</v>
      </c>
      <c r="C15" s="298">
        <f>+E15*F15+G15*H15+I15*J15+K15*L15+M15*N15+VLOOKUP($A15,'Intereses corridos'!$A$6:$J$26,7,FALSE)*$Q$13/100</f>
        <v>53.082071959446679</v>
      </c>
      <c r="D15" s="298">
        <f>+VLOOKUP($A15,'Intereses corridos'!$A$6:$J$26,8,FALSE)*$Q$13/100</f>
        <v>1.4357143264520256</v>
      </c>
      <c r="E15" s="92">
        <f>+VLOOKUP($A15,'Arg IV - Canje optimo'!$C$6:$T$26,6,FALSE)/VLOOKUP($A15,'Arg IV - Canje optimo'!$C$6:$T$26,18,FALSE)</f>
        <v>0</v>
      </c>
      <c r="F15" s="251">
        <f>HLOOKUP(E$5,'Arg IV - Nuevos Bonos 100VN'!$B$6:$M$20,15,FALSE)</f>
        <v>52.357467943687688</v>
      </c>
      <c r="G15" s="92">
        <f>+VLOOKUP($A15,'Arg IV - Canje optimo'!$C$6:$T$26,7,FALSE)/VLOOKUP($A15,'Arg IV - Canje optimo'!$C$6:$T$26,18,FALSE)</f>
        <v>1</v>
      </c>
      <c r="H15" s="251">
        <f>HLOOKUP(G$5,'Arg IV - Nuevos Bonos 100VN'!$B$6:$M$20,15,FALSE)</f>
        <v>51.124279696103009</v>
      </c>
      <c r="I15" s="92">
        <f>+VLOOKUP($A15,'Arg IV - Canje optimo'!$C$6:$T$26,8,FALSE)/VLOOKUP($A15,'Arg IV - Canje optimo'!$C$6:$T$26,18,FALSE)</f>
        <v>0</v>
      </c>
      <c r="J15" s="251">
        <f>HLOOKUP(I$5,'Arg IV - Nuevos Bonos 100VN'!$B$6:$M$20,15,FALSE)</f>
        <v>57.887956669026288</v>
      </c>
      <c r="K15" s="92">
        <f>+VLOOKUP($A15,'Arg IV - Canje optimo'!$C$6:$T$26,9,FALSE)/VLOOKUP($A15,'Arg IV - Canje optimo'!$C$6:$T$26,18,FALSE)</f>
        <v>0</v>
      </c>
      <c r="L15" s="251">
        <f>HLOOKUP(K$5,'Arg IV - Nuevos Bonos 100VN'!$B$6:$M$20,15,FALSE)</f>
        <v>51.747039417387249</v>
      </c>
      <c r="M15" s="92">
        <f>+VLOOKUP($A15,'Arg IV - Canje optimo'!$C$6:$T$26,10,FALSE)/VLOOKUP($A15,'Arg IV - Canje optimo'!$C$6:$T$26,18,FALSE)</f>
        <v>0</v>
      </c>
      <c r="N15" s="251">
        <f>HLOOKUP(M$5,'Arg IV - Nuevos Bonos 100VN'!$B$6:$M$20,15,FALSE)</f>
        <v>50.103934995470681</v>
      </c>
      <c r="O15" s="90"/>
      <c r="P15" s="94"/>
      <c r="Q15" s="262"/>
    </row>
    <row r="16" spans="1:17" x14ac:dyDescent="0.2">
      <c r="A16" s="88" t="s">
        <v>59</v>
      </c>
      <c r="B16" s="297">
        <f t="shared" si="0"/>
        <v>53.409262196535536</v>
      </c>
      <c r="C16" s="298">
        <f>+E16*F16+G16*H16+I16*J16+K16*L16+M16*N16+VLOOKUP($A16,'Intereses corridos'!$A$6:$J$26,7,FALSE)*$Q$13/100</f>
        <v>52.114765672685351</v>
      </c>
      <c r="D16" s="298">
        <f>+VLOOKUP($A16,'Intereses corridos'!$A$6:$J$26,8,FALSE)*$Q$13/100</f>
        <v>1.2944965238501871</v>
      </c>
      <c r="E16" s="92">
        <f>+VLOOKUP($A16,'Arg IV - Canje optimo'!$C$6:$T$26,6,FALSE)/VLOOKUP($A16,'Arg IV - Canje optimo'!$C$6:$T$26,18,FALSE)</f>
        <v>0</v>
      </c>
      <c r="F16" s="251">
        <f>HLOOKUP(E$5,'Arg IV - Nuevos Bonos 100VN'!$B$6:$M$20,15,FALSE)</f>
        <v>52.357467943687688</v>
      </c>
      <c r="G16" s="92">
        <f>+VLOOKUP($A16,'Arg IV - Canje optimo'!$C$6:$T$26,7,FALSE)/VLOOKUP($A16,'Arg IV - Canje optimo'!$C$6:$T$26,18,FALSE)</f>
        <v>1</v>
      </c>
      <c r="H16" s="251">
        <f>HLOOKUP(G$5,'Arg IV - Nuevos Bonos 100VN'!$B$6:$M$20,15,FALSE)</f>
        <v>51.124279696103009</v>
      </c>
      <c r="I16" s="92">
        <f>+VLOOKUP($A16,'Arg IV - Canje optimo'!$C$6:$T$26,8,FALSE)/VLOOKUP($A16,'Arg IV - Canje optimo'!$C$6:$T$26,18,FALSE)</f>
        <v>0</v>
      </c>
      <c r="J16" s="251">
        <f>HLOOKUP(I$5,'Arg IV - Nuevos Bonos 100VN'!$B$6:$M$20,15,FALSE)</f>
        <v>57.887956669026288</v>
      </c>
      <c r="K16" s="92">
        <f>+VLOOKUP($A16,'Arg IV - Canje optimo'!$C$6:$T$26,9,FALSE)/VLOOKUP($A16,'Arg IV - Canje optimo'!$C$6:$T$26,18,FALSE)</f>
        <v>0</v>
      </c>
      <c r="L16" s="251">
        <f>HLOOKUP(K$5,'Arg IV - Nuevos Bonos 100VN'!$B$6:$M$20,15,FALSE)</f>
        <v>51.747039417387249</v>
      </c>
      <c r="M16" s="92">
        <f>+VLOOKUP($A16,'Arg IV - Canje optimo'!$C$6:$T$26,10,FALSE)/VLOOKUP($A16,'Arg IV - Canje optimo'!$C$6:$T$26,18,FALSE)</f>
        <v>0</v>
      </c>
      <c r="N16" s="251">
        <f>HLOOKUP(M$5,'Arg IV - Nuevos Bonos 100VN'!$B$6:$M$20,15,FALSE)</f>
        <v>50.103934995470681</v>
      </c>
      <c r="O16" s="90"/>
      <c r="P16" s="94"/>
      <c r="Q16" s="262"/>
    </row>
    <row r="17" spans="1:17" x14ac:dyDescent="0.2">
      <c r="A17" s="88" t="s">
        <v>63</v>
      </c>
      <c r="B17" s="297">
        <f t="shared" si="0"/>
        <v>53.624476701258288</v>
      </c>
      <c r="C17" s="298">
        <f>+E17*F17+G17*H17+I17*J17+K17*L17+M17*N17+VLOOKUP($A17,'Intereses corridos'!$A$6:$J$26,7,FALSE)*$Q$13/100</f>
        <v>52.282907576540822</v>
      </c>
      <c r="D17" s="298">
        <f>+VLOOKUP($A17,'Intereses corridos'!$A$6:$J$26,8,FALSE)*$Q$13/100</f>
        <v>1.3415691247174664</v>
      </c>
      <c r="E17" s="92">
        <f>+VLOOKUP($A17,'Arg IV - Canje optimo'!$C$6:$T$26,6,FALSE)/VLOOKUP($A17,'Arg IV - Canje optimo'!$C$6:$T$26,18,FALSE)</f>
        <v>0</v>
      </c>
      <c r="F17" s="251">
        <f>HLOOKUP(E$5,'Arg IV - Nuevos Bonos 100VN'!$B$6:$M$20,15,FALSE)</f>
        <v>52.357467943687688</v>
      </c>
      <c r="G17" s="92">
        <f>+VLOOKUP($A17,'Arg IV - Canje optimo'!$C$6:$T$26,7,FALSE)/VLOOKUP($A17,'Arg IV - Canje optimo'!$C$6:$T$26,18,FALSE)</f>
        <v>1</v>
      </c>
      <c r="H17" s="251">
        <f>HLOOKUP(G$5,'Arg IV - Nuevos Bonos 100VN'!$B$6:$M$20,15,FALSE)</f>
        <v>51.124279696103009</v>
      </c>
      <c r="I17" s="92">
        <f>+VLOOKUP($A17,'Arg IV - Canje optimo'!$C$6:$T$26,8,FALSE)/VLOOKUP($A17,'Arg IV - Canje optimo'!$C$6:$T$26,18,FALSE)</f>
        <v>0</v>
      </c>
      <c r="J17" s="251">
        <f>HLOOKUP(I$5,'Arg IV - Nuevos Bonos 100VN'!$B$6:$M$20,15,FALSE)</f>
        <v>57.887956669026288</v>
      </c>
      <c r="K17" s="92">
        <f>+VLOOKUP($A17,'Arg IV - Canje optimo'!$C$6:$T$26,9,FALSE)/VLOOKUP($A17,'Arg IV - Canje optimo'!$C$6:$T$26,18,FALSE)</f>
        <v>0</v>
      </c>
      <c r="L17" s="251">
        <f>HLOOKUP(K$5,'Arg IV - Nuevos Bonos 100VN'!$B$6:$M$20,15,FALSE)</f>
        <v>51.747039417387249</v>
      </c>
      <c r="M17" s="92">
        <f>+VLOOKUP($A17,'Arg IV - Canje optimo'!$C$6:$T$26,10,FALSE)/VLOOKUP($A17,'Arg IV - Canje optimo'!$C$6:$T$26,18,FALSE)</f>
        <v>0</v>
      </c>
      <c r="N17" s="251">
        <f>HLOOKUP(M$5,'Arg IV - Nuevos Bonos 100VN'!$B$6:$M$20,15,FALSE)</f>
        <v>50.103934995470681</v>
      </c>
      <c r="O17" s="90"/>
      <c r="P17" s="94"/>
      <c r="Q17" s="262"/>
    </row>
    <row r="18" spans="1:17" x14ac:dyDescent="0.2">
      <c r="A18" s="88" t="s">
        <v>73</v>
      </c>
      <c r="B18" s="297">
        <f t="shared" si="0"/>
        <v>60.769826880668177</v>
      </c>
      <c r="C18" s="298">
        <f>+E18*F18+G18*H18+I18*J18+K18*L18+M18*N18+VLOOKUP($A18,'Intereses corridos'!$A$6:$J$26,7,FALSE)*$Q$13/100</f>
        <v>59.210782339943876</v>
      </c>
      <c r="D18" s="298">
        <f>+VLOOKUP($A18,'Intereses corridos'!$A$6:$J$26,8,FALSE)*$Q$13/100</f>
        <v>1.5590445407242979</v>
      </c>
      <c r="E18" s="92">
        <f>+VLOOKUP($A18,'Arg IV - Canje optimo'!$C$6:$T$26,6,FALSE)/VLOOKUP($A18,'Arg IV - Canje optimo'!$C$6:$T$26,18,FALSE)</f>
        <v>0</v>
      </c>
      <c r="F18" s="251">
        <f>HLOOKUP(E$5,'Arg IV - Nuevos Bonos 100VN'!$B$6:$M$20,15,FALSE)</f>
        <v>52.357467943687688</v>
      </c>
      <c r="G18" s="92">
        <f>+VLOOKUP($A18,'Arg IV - Canje optimo'!$C$6:$T$26,7,FALSE)/VLOOKUP($A18,'Arg IV - Canje optimo'!$C$6:$T$26,18,FALSE)</f>
        <v>0</v>
      </c>
      <c r="H18" s="251">
        <f>HLOOKUP(G$5,'Arg IV - Nuevos Bonos 100VN'!$B$6:$M$20,15,FALSE)</f>
        <v>51.124279696103009</v>
      </c>
      <c r="I18" s="92">
        <f>+VLOOKUP($A18,'Arg IV - Canje optimo'!$C$6:$T$26,8,FALSE)/VLOOKUP($A18,'Arg IV - Canje optimo'!$C$6:$T$26,18,FALSE)</f>
        <v>1</v>
      </c>
      <c r="J18" s="251">
        <f>HLOOKUP(I$5,'Arg IV - Nuevos Bonos 100VN'!$B$6:$M$20,15,FALSE)</f>
        <v>57.887956669026288</v>
      </c>
      <c r="K18" s="92">
        <f>+VLOOKUP($A18,'Arg IV - Canje optimo'!$C$6:$T$26,9,FALSE)/VLOOKUP($A18,'Arg IV - Canje optimo'!$C$6:$T$26,18,FALSE)</f>
        <v>0</v>
      </c>
      <c r="L18" s="251">
        <f>HLOOKUP(K$5,'Arg IV - Nuevos Bonos 100VN'!$B$6:$M$20,15,FALSE)</f>
        <v>51.747039417387249</v>
      </c>
      <c r="M18" s="92">
        <f>+VLOOKUP($A18,'Arg IV - Canje optimo'!$C$6:$T$26,10,FALSE)/VLOOKUP($A18,'Arg IV - Canje optimo'!$C$6:$T$26,18,FALSE)</f>
        <v>0</v>
      </c>
      <c r="N18" s="251">
        <f>HLOOKUP(M$5,'Arg IV - Nuevos Bonos 100VN'!$B$6:$M$20,15,FALSE)</f>
        <v>50.103934995470681</v>
      </c>
      <c r="O18" s="90"/>
      <c r="P18" s="94"/>
      <c r="Q18" s="262"/>
    </row>
    <row r="19" spans="1:17" x14ac:dyDescent="0.2">
      <c r="A19" s="96" t="s">
        <v>75</v>
      </c>
      <c r="B19" s="299">
        <f t="shared" si="0"/>
        <v>52.570809932564636</v>
      </c>
      <c r="C19" s="300">
        <f>+E19*F19+G19*H19+I19*J19+K19*L19+M19*N19+VLOOKUP($A19,'Intereses corridos'!$A$6:$J$26,7,FALSE)*$Q$13/100</f>
        <v>51.864720919555445</v>
      </c>
      <c r="D19" s="300">
        <f>+VLOOKUP($A19,'Intereses corridos'!$A$6:$J$26,8,FALSE)*$Q$13/100</f>
        <v>0.7060890130091928</v>
      </c>
      <c r="E19" s="97">
        <f>+VLOOKUP($A19,'Arg IV - Canje optimo'!$C$6:$T$26,6,FALSE)/VLOOKUP($A19,'Arg IV - Canje optimo'!$C$6:$T$26,18,FALSE)</f>
        <v>0</v>
      </c>
      <c r="F19" s="252">
        <f>HLOOKUP(E$5,'Arg IV - Nuevos Bonos 100VN'!$B$6:$M$20,15,FALSE)</f>
        <v>52.357467943687688</v>
      </c>
      <c r="G19" s="97">
        <f>+VLOOKUP($A19,'Arg IV - Canje optimo'!$C$6:$T$26,7,FALSE)/VLOOKUP($A19,'Arg IV - Canje optimo'!$C$6:$T$26,18,FALSE)</f>
        <v>0</v>
      </c>
      <c r="H19" s="252">
        <f>HLOOKUP(G$5,'Arg IV - Nuevos Bonos 100VN'!$B$6:$M$20,15,FALSE)</f>
        <v>51.124279696103009</v>
      </c>
      <c r="I19" s="97">
        <f>+VLOOKUP($A19,'Arg IV - Canje optimo'!$C$6:$T$26,8,FALSE)/VLOOKUP($A19,'Arg IV - Canje optimo'!$C$6:$T$26,18,FALSE)</f>
        <v>0</v>
      </c>
      <c r="J19" s="252">
        <f>HLOOKUP(I$5,'Arg IV - Nuevos Bonos 100VN'!$B$6:$M$20,15,FALSE)</f>
        <v>57.887956669026288</v>
      </c>
      <c r="K19" s="97">
        <f>+VLOOKUP($A19,'Arg IV - Canje optimo'!$C$6:$T$26,9,FALSE)/VLOOKUP($A19,'Arg IV - Canje optimo'!$C$6:$T$26,18,FALSE)</f>
        <v>1</v>
      </c>
      <c r="L19" s="252">
        <f>HLOOKUP(K$5,'Arg IV - Nuevos Bonos 100VN'!$B$6:$M$20,15,FALSE)</f>
        <v>51.747039417387249</v>
      </c>
      <c r="M19" s="97">
        <f>+VLOOKUP($A19,'Arg IV - Canje optimo'!$C$6:$T$26,10,FALSE)/VLOOKUP($A19,'Arg IV - Canje optimo'!$C$6:$T$26,18,FALSE)</f>
        <v>0</v>
      </c>
      <c r="N19" s="252">
        <f>HLOOKUP(M$5,'Arg IV - Nuevos Bonos 100VN'!$B$6:$M$20,15,FALSE)</f>
        <v>50.103934995470681</v>
      </c>
      <c r="O19" s="90"/>
      <c r="P19" s="94"/>
      <c r="Q19" s="262"/>
    </row>
    <row r="20" spans="1:17" x14ac:dyDescent="0.2">
      <c r="A20" s="27" t="s">
        <v>87</v>
      </c>
      <c r="B20" s="301">
        <f>+AVERAGE(B7:B19)</f>
        <v>54.439847335252203</v>
      </c>
      <c r="C20" s="301">
        <f t="shared" ref="C20" si="1">+AVERAGE(C7:C19)</f>
        <v>53.211904227089761</v>
      </c>
      <c r="D20" s="301">
        <f>+AVERAGE(D7:D19)</f>
        <v>1.2279431081624486</v>
      </c>
      <c r="E20" s="32"/>
      <c r="P20" s="94"/>
      <c r="Q20" s="262"/>
    </row>
    <row r="21" spans="1:17" x14ac:dyDescent="0.2">
      <c r="A21" s="33"/>
      <c r="B21" s="302"/>
      <c r="C21" s="262"/>
      <c r="D21" s="262"/>
      <c r="E21" s="32"/>
      <c r="P21" s="94"/>
      <c r="Q21" s="262"/>
    </row>
    <row r="22" spans="1:17" ht="13.5" customHeight="1" x14ac:dyDescent="0.2">
      <c r="A22" s="363" t="s">
        <v>149</v>
      </c>
      <c r="B22" s="369" t="s">
        <v>84</v>
      </c>
      <c r="C22" s="369"/>
      <c r="D22" s="369"/>
      <c r="E22" s="366" t="s">
        <v>143</v>
      </c>
      <c r="F22" s="367"/>
      <c r="G22" s="367"/>
      <c r="H22" s="367"/>
      <c r="I22" s="367"/>
      <c r="J22" s="367"/>
      <c r="K22" s="367"/>
      <c r="L22" s="367"/>
      <c r="M22" s="367"/>
      <c r="N22" s="368"/>
    </row>
    <row r="23" spans="1:17" s="26" customFormat="1" ht="13.5" customHeight="1" x14ac:dyDescent="0.2">
      <c r="A23" s="364"/>
      <c r="B23" s="370" t="s">
        <v>47</v>
      </c>
      <c r="C23" s="370" t="s">
        <v>150</v>
      </c>
      <c r="D23" s="370" t="s">
        <v>134</v>
      </c>
      <c r="E23" s="359" t="s">
        <v>6</v>
      </c>
      <c r="F23" s="359"/>
      <c r="G23" s="359" t="s">
        <v>7</v>
      </c>
      <c r="H23" s="359"/>
      <c r="I23" s="359" t="s">
        <v>8</v>
      </c>
      <c r="J23" s="359"/>
      <c r="K23" s="359" t="s">
        <v>9</v>
      </c>
      <c r="L23" s="359"/>
      <c r="M23" s="359" t="s">
        <v>10</v>
      </c>
      <c r="N23" s="359"/>
      <c r="Q23" s="264"/>
    </row>
    <row r="24" spans="1:17" s="26" customFormat="1" ht="27" customHeight="1" x14ac:dyDescent="0.2">
      <c r="A24" s="365"/>
      <c r="B24" s="371"/>
      <c r="C24" s="371"/>
      <c r="D24" s="371"/>
      <c r="E24" s="249" t="s">
        <v>144</v>
      </c>
      <c r="F24" s="39" t="s">
        <v>85</v>
      </c>
      <c r="G24" s="39" t="s">
        <v>144</v>
      </c>
      <c r="H24" s="39" t="s">
        <v>85</v>
      </c>
      <c r="I24" s="39" t="s">
        <v>144</v>
      </c>
      <c r="J24" s="39" t="s">
        <v>85</v>
      </c>
      <c r="K24" s="39" t="s">
        <v>144</v>
      </c>
      <c r="L24" s="39" t="s">
        <v>85</v>
      </c>
      <c r="M24" s="39" t="s">
        <v>144</v>
      </c>
      <c r="N24" s="39" t="s">
        <v>85</v>
      </c>
      <c r="P24" s="160" t="s">
        <v>85</v>
      </c>
      <c r="Q24" s="265" t="s">
        <v>86</v>
      </c>
    </row>
    <row r="25" spans="1:17" x14ac:dyDescent="0.2">
      <c r="A25" s="98" t="s">
        <v>67</v>
      </c>
      <c r="B25" s="296">
        <f>+C25+D25</f>
        <v>51.070871114016782</v>
      </c>
      <c r="C25" s="261">
        <f>+E25*F25+G25*H25+I25*J25+K25*L25+M25*N25+VLOOKUP($A25,'Intereses corridos'!$A$6:$J$26,7,FALSE)*$Q$31/100</f>
        <v>50.380514744315107</v>
      </c>
      <c r="D25" s="261">
        <f>+VLOOKUP($A25,'Intereses corridos'!$A$6:$J$26,8,FALSE)*$Q$31/100</f>
        <v>0.69035636970167791</v>
      </c>
      <c r="E25" s="89">
        <f>+VLOOKUP($A25,'Arg IV - Canje optimo'!$C$6:$T$26,11,FALSE)/VLOOKUP($A25,'Arg IV - Canje optimo'!$C$6:$T$26,18,FALSE)</f>
        <v>1</v>
      </c>
      <c r="F25" s="261">
        <f>HLOOKUP(E$23,'Arg IV - Nuevos Bonos 100VN'!$B$6:$M$20,15,FALSE)</f>
        <v>49.873207412034326</v>
      </c>
      <c r="G25" s="258">
        <f>+VLOOKUP($A25,'Arg IV - Canje optimo'!$C$6:$T$26,12,FALSE)/VLOOKUP($A25,'Arg IV - Canje optimo'!$C$6:$T$26,18,FALSE)</f>
        <v>0</v>
      </c>
      <c r="H25" s="261">
        <f>HLOOKUP(G$23,'Arg IV - Nuevos Bonos 100VN'!$B$6:$M$20,15,FALSE)</f>
        <v>47.156434562589126</v>
      </c>
      <c r="I25" s="258">
        <f>+VLOOKUP($A25,'Arg IV - Canje optimo'!$C$6:$T$26,13,FALSE)/VLOOKUP($A25,'Arg IV - Canje optimo'!$C$6:$T$26,18,FALSE)</f>
        <v>0</v>
      </c>
      <c r="J25" s="261">
        <f>HLOOKUP(I$23,'Arg IV - Nuevos Bonos 100VN'!$B$6:$M$20,15,FALSE)</f>
        <v>53.578515830352792</v>
      </c>
      <c r="K25" s="258">
        <f>+VLOOKUP($A25,'Arg IV - Canje optimo'!$C$6:$T$26,14,FALSE)/VLOOKUP($A25,'Arg IV - Canje optimo'!$C$6:$T$26,18,FALSE)</f>
        <v>0</v>
      </c>
      <c r="L25" s="261">
        <f>HLOOKUP(K$23,'Arg IV - Nuevos Bonos 100VN'!$B$6:$M$20,15,FALSE)</f>
        <v>48.086461217570061</v>
      </c>
      <c r="M25" s="258">
        <f>+VLOOKUP($A25,'Arg IV - Canje optimo'!$C$6:$T$26,15,FALSE)/VLOOKUP($A25,'Arg IV - Canje optimo'!$C$6:$T$26,18,FALSE)</f>
        <v>0</v>
      </c>
      <c r="N25" s="261">
        <f>HLOOKUP(M$23,'Arg IV - Nuevos Bonos 100VN'!$B$6:$M$20,15,FALSE)</f>
        <v>46.402445519831403</v>
      </c>
      <c r="O25" s="90"/>
      <c r="P25" s="91" t="s">
        <v>6</v>
      </c>
      <c r="Q25" s="266">
        <f>+HLOOKUP(P25,'Arg IV - Nuevos Bonos 100VN'!$B$6:$M$21,15,FALSE)</f>
        <v>49.873207412034326</v>
      </c>
    </row>
    <row r="26" spans="1:17" x14ac:dyDescent="0.2">
      <c r="A26" s="98" t="s">
        <v>66</v>
      </c>
      <c r="B26" s="297">
        <f t="shared" ref="B26:B32" si="2">+C26+D26</f>
        <v>50.916333862148079</v>
      </c>
      <c r="C26" s="298">
        <f>+E26*F26+G26*H26+I26*J26+K26*L26+M26*N26+VLOOKUP($A26,'Intereses corridos'!$A$6:$J$26,7,FALSE)*$Q$31/100</f>
        <v>50.31505573369823</v>
      </c>
      <c r="D26" s="298">
        <f>+VLOOKUP($A26,'Intereses corridos'!$A$6:$J$26,8,FALSE)*$Q$31/100</f>
        <v>0.60127812844984851</v>
      </c>
      <c r="E26" s="92">
        <f>+VLOOKUP($A26,'Arg IV - Canje optimo'!$C$6:$T$26,11,FALSE)/VLOOKUP($A26,'Arg IV - Canje optimo'!$C$6:$T$26,18,FALSE)</f>
        <v>1</v>
      </c>
      <c r="F26" s="269">
        <f>HLOOKUP(E$23,'Arg IV - Nuevos Bonos 100VN'!$B$6:$M$20,15,FALSE)</f>
        <v>49.873207412034326</v>
      </c>
      <c r="G26" s="259">
        <f>+VLOOKUP($A26,'Arg IV - Canje optimo'!$C$6:$T$26,12,FALSE)/VLOOKUP($A26,'Arg IV - Canje optimo'!$C$6:$T$26,18,FALSE)</f>
        <v>0</v>
      </c>
      <c r="H26" s="269">
        <f>HLOOKUP(G$23,'Arg IV - Nuevos Bonos 100VN'!$B$6:$M$20,15,FALSE)</f>
        <v>47.156434562589126</v>
      </c>
      <c r="I26" s="259">
        <f>+VLOOKUP($A26,'Arg IV - Canje optimo'!$C$6:$T$26,13,FALSE)/VLOOKUP($A26,'Arg IV - Canje optimo'!$C$6:$T$26,18,FALSE)</f>
        <v>0</v>
      </c>
      <c r="J26" s="269">
        <f>HLOOKUP(I$23,'Arg IV - Nuevos Bonos 100VN'!$B$6:$M$20,15,FALSE)</f>
        <v>53.578515830352792</v>
      </c>
      <c r="K26" s="259">
        <f>+VLOOKUP($A26,'Arg IV - Canje optimo'!$C$6:$T$26,14,FALSE)/VLOOKUP($A26,'Arg IV - Canje optimo'!$C$6:$T$26,18,FALSE)</f>
        <v>0</v>
      </c>
      <c r="L26" s="269">
        <f>HLOOKUP(K$23,'Arg IV - Nuevos Bonos 100VN'!$B$6:$M$20,15,FALSE)</f>
        <v>48.086461217570061</v>
      </c>
      <c r="M26" s="259">
        <f>+VLOOKUP($A26,'Arg IV - Canje optimo'!$C$6:$T$26,15,FALSE)/VLOOKUP($A26,'Arg IV - Canje optimo'!$C$6:$T$26,18,FALSE)</f>
        <v>0</v>
      </c>
      <c r="N26" s="269">
        <f>HLOOKUP(M$23,'Arg IV - Nuevos Bonos 100VN'!$B$6:$M$20,15,FALSE)</f>
        <v>46.402445519831403</v>
      </c>
      <c r="O26" s="90"/>
      <c r="P26" s="91" t="s">
        <v>7</v>
      </c>
      <c r="Q26" s="266">
        <f>+HLOOKUP(P26,'Arg IV - Nuevos Bonos 100VN'!$B$6:$M$21,15,FALSE)</f>
        <v>47.156434562589126</v>
      </c>
    </row>
    <row r="27" spans="1:17" x14ac:dyDescent="0.2">
      <c r="A27" s="98" t="s">
        <v>68</v>
      </c>
      <c r="B27" s="297">
        <f t="shared" si="2"/>
        <v>49.384714241249874</v>
      </c>
      <c r="C27" s="298">
        <f>+E27*F27+G27*H27+I27*J27+K27*L27+M27*N27+VLOOKUP($A27,'Intereses corridos'!$A$6:$J$26,7,FALSE)*$Q$31/100</f>
        <v>48.493931828731583</v>
      </c>
      <c r="D27" s="298">
        <f>+VLOOKUP($A27,'Intereses corridos'!$A$6:$J$26,8,FALSE)*$Q$31/100</f>
        <v>0.89078241251829393</v>
      </c>
      <c r="E27" s="92">
        <f>+VLOOKUP($A27,'Arg IV - Canje optimo'!$C$6:$T$26,11,FALSE)/VLOOKUP($A27,'Arg IV - Canje optimo'!$C$6:$T$26,18,FALSE)</f>
        <v>0.25136704384879732</v>
      </c>
      <c r="F27" s="269">
        <f>HLOOKUP(E$23,'Arg IV - Nuevos Bonos 100VN'!$B$6:$M$20,15,FALSE)</f>
        <v>49.873207412034326</v>
      </c>
      <c r="G27" s="259">
        <f>+VLOOKUP($A27,'Arg IV - Canje optimo'!$C$6:$T$26,12,FALSE)/VLOOKUP($A27,'Arg IV - Canje optimo'!$C$6:$T$26,18,FALSE)</f>
        <v>0.74863295615120262</v>
      </c>
      <c r="H27" s="269">
        <f>HLOOKUP(G$23,'Arg IV - Nuevos Bonos 100VN'!$B$6:$M$20,15,FALSE)</f>
        <v>47.156434562589126</v>
      </c>
      <c r="I27" s="259">
        <f>+VLOOKUP($A27,'Arg IV - Canje optimo'!$C$6:$T$26,13,FALSE)/VLOOKUP($A27,'Arg IV - Canje optimo'!$C$6:$T$26,18,FALSE)</f>
        <v>0</v>
      </c>
      <c r="J27" s="269">
        <f>HLOOKUP(I$23,'Arg IV - Nuevos Bonos 100VN'!$B$6:$M$20,15,FALSE)</f>
        <v>53.578515830352792</v>
      </c>
      <c r="K27" s="259">
        <f>+VLOOKUP($A27,'Arg IV - Canje optimo'!$C$6:$T$26,14,FALSE)/VLOOKUP($A27,'Arg IV - Canje optimo'!$C$6:$T$26,18,FALSE)</f>
        <v>0</v>
      </c>
      <c r="L27" s="269">
        <f>HLOOKUP(K$23,'Arg IV - Nuevos Bonos 100VN'!$B$6:$M$20,15,FALSE)</f>
        <v>48.086461217570061</v>
      </c>
      <c r="M27" s="259">
        <f>+VLOOKUP($A27,'Arg IV - Canje optimo'!$C$6:$T$26,15,FALSE)/VLOOKUP($A27,'Arg IV - Canje optimo'!$C$6:$T$26,18,FALSE)</f>
        <v>0</v>
      </c>
      <c r="N27" s="269">
        <f>HLOOKUP(M$23,'Arg IV - Nuevos Bonos 100VN'!$B$6:$M$20,15,FALSE)</f>
        <v>46.402445519831403</v>
      </c>
      <c r="O27" s="90"/>
      <c r="P27" s="91" t="s">
        <v>8</v>
      </c>
      <c r="Q27" s="266">
        <f>+HLOOKUP(P27,'Arg IV - Nuevos Bonos 100VN'!$B$6:$M$21,15,FALSE)</f>
        <v>53.578515830352792</v>
      </c>
    </row>
    <row r="28" spans="1:17" x14ac:dyDescent="0.2">
      <c r="A28" s="98" t="s">
        <v>69</v>
      </c>
      <c r="B28" s="297">
        <f t="shared" si="2"/>
        <v>49.461982867184233</v>
      </c>
      <c r="C28" s="298">
        <f>+E28*F28+G28*H28+I28*J28+K28*L28+M28*N28+VLOOKUP($A28,'Intereses corridos'!$A$6:$J$26,7,FALSE)*$Q$31/100</f>
        <v>48.526661334040021</v>
      </c>
      <c r="D28" s="298">
        <f>+VLOOKUP($A28,'Intereses corridos'!$A$6:$J$26,8,FALSE)*$Q$31/100</f>
        <v>0.93532153314420863</v>
      </c>
      <c r="E28" s="92">
        <f>+VLOOKUP($A28,'Arg IV - Canje optimo'!$C$6:$T$26,11,FALSE)/VLOOKUP($A28,'Arg IV - Canje optimo'!$C$6:$T$26,18,FALSE)</f>
        <v>0.25136704384879727</v>
      </c>
      <c r="F28" s="269">
        <f>HLOOKUP(E$23,'Arg IV - Nuevos Bonos 100VN'!$B$6:$M$20,15,FALSE)</f>
        <v>49.873207412034326</v>
      </c>
      <c r="G28" s="259">
        <f>+VLOOKUP($A28,'Arg IV - Canje optimo'!$C$6:$T$26,12,FALSE)/VLOOKUP($A28,'Arg IV - Canje optimo'!$C$6:$T$26,18,FALSE)</f>
        <v>0.74863295615120273</v>
      </c>
      <c r="H28" s="269">
        <f>HLOOKUP(G$23,'Arg IV - Nuevos Bonos 100VN'!$B$6:$M$20,15,FALSE)</f>
        <v>47.156434562589126</v>
      </c>
      <c r="I28" s="259">
        <f>+VLOOKUP($A28,'Arg IV - Canje optimo'!$C$6:$T$26,13,FALSE)/VLOOKUP($A28,'Arg IV - Canje optimo'!$C$6:$T$26,18,FALSE)</f>
        <v>0</v>
      </c>
      <c r="J28" s="269">
        <f>HLOOKUP(I$23,'Arg IV - Nuevos Bonos 100VN'!$B$6:$M$20,15,FALSE)</f>
        <v>53.578515830352792</v>
      </c>
      <c r="K28" s="259">
        <f>+VLOOKUP($A28,'Arg IV - Canje optimo'!$C$6:$T$26,14,FALSE)/VLOOKUP($A28,'Arg IV - Canje optimo'!$C$6:$T$26,18,FALSE)</f>
        <v>0</v>
      </c>
      <c r="L28" s="269">
        <f>HLOOKUP(K$23,'Arg IV - Nuevos Bonos 100VN'!$B$6:$M$20,15,FALSE)</f>
        <v>48.086461217570061</v>
      </c>
      <c r="M28" s="259">
        <f>+VLOOKUP($A28,'Arg IV - Canje optimo'!$C$6:$T$26,15,FALSE)/VLOOKUP($A28,'Arg IV - Canje optimo'!$C$6:$T$26,18,FALSE)</f>
        <v>0</v>
      </c>
      <c r="N28" s="269">
        <f>HLOOKUP(M$23,'Arg IV - Nuevos Bonos 100VN'!$B$6:$M$20,15,FALSE)</f>
        <v>46.402445519831403</v>
      </c>
      <c r="O28" s="90"/>
      <c r="P28" s="91" t="s">
        <v>9</v>
      </c>
      <c r="Q28" s="266">
        <f>+HLOOKUP(P28,'Arg IV - Nuevos Bonos 100VN'!$B$6:$M$21,15,FALSE)</f>
        <v>48.086461217570061</v>
      </c>
    </row>
    <row r="29" spans="1:17" x14ac:dyDescent="0.2">
      <c r="A29" s="98" t="s">
        <v>70</v>
      </c>
      <c r="B29" s="297">
        <f t="shared" si="2"/>
        <v>49.644889218771858</v>
      </c>
      <c r="C29" s="298">
        <f>+E29*F29+G29*H29+I29*J29+K29*L29+M29*N29+VLOOKUP($A29,'Intereses corridos'!$A$6:$J$26,7,FALSE)*$Q$31/100</f>
        <v>48.531411203123994</v>
      </c>
      <c r="D29" s="298">
        <f>+VLOOKUP($A29,'Intereses corridos'!$A$6:$J$26,8,FALSE)*$Q$31/100</f>
        <v>1.1134780156478674</v>
      </c>
      <c r="E29" s="92">
        <f>+VLOOKUP($A29,'Arg IV - Canje optimo'!$C$6:$T$26,11,FALSE)/VLOOKUP($A29,'Arg IV - Canje optimo'!$C$6:$T$26,18,FALSE)</f>
        <v>0</v>
      </c>
      <c r="F29" s="269">
        <f>HLOOKUP(E$23,'Arg IV - Nuevos Bonos 100VN'!$B$6:$M$20,15,FALSE)</f>
        <v>49.873207412034326</v>
      </c>
      <c r="G29" s="259">
        <f>+VLOOKUP($A29,'Arg IV - Canje optimo'!$C$6:$T$26,12,FALSE)/VLOOKUP($A29,'Arg IV - Canje optimo'!$C$6:$T$26,18,FALSE)</f>
        <v>1</v>
      </c>
      <c r="H29" s="269">
        <f>HLOOKUP(G$23,'Arg IV - Nuevos Bonos 100VN'!$B$6:$M$20,15,FALSE)</f>
        <v>47.156434562589126</v>
      </c>
      <c r="I29" s="259">
        <f>+VLOOKUP($A29,'Arg IV - Canje optimo'!$C$6:$T$26,13,FALSE)/VLOOKUP($A29,'Arg IV - Canje optimo'!$C$6:$T$26,18,FALSE)</f>
        <v>0</v>
      </c>
      <c r="J29" s="269">
        <f>HLOOKUP(I$23,'Arg IV - Nuevos Bonos 100VN'!$B$6:$M$20,15,FALSE)</f>
        <v>53.578515830352792</v>
      </c>
      <c r="K29" s="259">
        <f>+VLOOKUP($A29,'Arg IV - Canje optimo'!$C$6:$T$26,14,FALSE)/VLOOKUP($A29,'Arg IV - Canje optimo'!$C$6:$T$26,18,FALSE)</f>
        <v>0</v>
      </c>
      <c r="L29" s="269">
        <f>HLOOKUP(K$23,'Arg IV - Nuevos Bonos 100VN'!$B$6:$M$20,15,FALSE)</f>
        <v>48.086461217570061</v>
      </c>
      <c r="M29" s="259">
        <f>+VLOOKUP($A29,'Arg IV - Canje optimo'!$C$6:$T$26,15,FALSE)/VLOOKUP($A29,'Arg IV - Canje optimo'!$C$6:$T$26,18,FALSE)</f>
        <v>0</v>
      </c>
      <c r="N29" s="269">
        <f>HLOOKUP(M$23,'Arg IV - Nuevos Bonos 100VN'!$B$6:$M$20,15,FALSE)</f>
        <v>46.402445519831403</v>
      </c>
      <c r="O29" s="90"/>
      <c r="P29" s="93" t="s">
        <v>10</v>
      </c>
      <c r="Q29" s="267">
        <f>+HLOOKUP(P29,'Arg IV - Nuevos Bonos 100VN'!$B$6:$M$21,15,FALSE)</f>
        <v>46.402445519831403</v>
      </c>
    </row>
    <row r="30" spans="1:17" x14ac:dyDescent="0.2">
      <c r="A30" s="98" t="s">
        <v>71</v>
      </c>
      <c r="B30" s="297">
        <f t="shared" si="2"/>
        <v>51.252021521943263</v>
      </c>
      <c r="C30" s="298">
        <f>(+E30*F30+G30*H30+I30*J30+K30*L30+M30*N30)+VLOOKUP($A30,'Intereses corridos'!$A$6:$J$26,7,FALSE)*$Q$31/100*'Intereses corridos'!M2/'Intereses corridos'!M3</f>
        <v>50.686793377508543</v>
      </c>
      <c r="D30" s="298">
        <f>+VLOOKUP($A30,'Intereses corridos'!$A$6:$J$26,8,FALSE)*$Q$31/100*'Intereses corridos'!M2/'Intereses corridos'!M3</f>
        <v>0.56522814443472069</v>
      </c>
      <c r="E30" s="92">
        <f>+VLOOKUP($A30,'Arg IV - Canje optimo'!$C$6:$T$26,11,FALSE)/VLOOKUP($A30,'Arg IV - Canje optimo'!$C$6:$T$26,18,FALSE)</f>
        <v>1</v>
      </c>
      <c r="F30" s="269">
        <f>HLOOKUP(E$23,'Arg IV - Nuevos Bonos 100VN'!$B$6:$M$20,15,FALSE)</f>
        <v>49.873207412034326</v>
      </c>
      <c r="G30" s="259">
        <f>+VLOOKUP($A30,'Arg IV - Canje optimo'!$C$6:$T$26,12,FALSE)/VLOOKUP($A30,'Arg IV - Canje optimo'!$C$6:$T$26,18,FALSE)</f>
        <v>0</v>
      </c>
      <c r="H30" s="269">
        <f>HLOOKUP(G$23,'Arg IV - Nuevos Bonos 100VN'!$B$6:$M$20,15,FALSE)</f>
        <v>47.156434562589126</v>
      </c>
      <c r="I30" s="259">
        <f>+VLOOKUP($A30,'Arg IV - Canje optimo'!$C$6:$T$26,13,FALSE)/VLOOKUP($A30,'Arg IV - Canje optimo'!$C$6:$T$26,18,FALSE)</f>
        <v>0</v>
      </c>
      <c r="J30" s="269">
        <f>HLOOKUP(I$23,'Arg IV - Nuevos Bonos 100VN'!$B$6:$M$20,15,FALSE)</f>
        <v>53.578515830352792</v>
      </c>
      <c r="K30" s="259">
        <f>+VLOOKUP($A30,'Arg IV - Canje optimo'!$C$6:$T$26,14,FALSE)/VLOOKUP($A30,'Arg IV - Canje optimo'!$C$6:$T$26,18,FALSE)</f>
        <v>0</v>
      </c>
      <c r="L30" s="269">
        <f>HLOOKUP(K$23,'Arg IV - Nuevos Bonos 100VN'!$B$6:$M$20,15,FALSE)</f>
        <v>48.086461217570061</v>
      </c>
      <c r="M30" s="259">
        <f>+VLOOKUP($A30,'Arg IV - Canje optimo'!$C$6:$T$26,15,FALSE)/VLOOKUP($A30,'Arg IV - Canje optimo'!$C$6:$T$26,18,FALSE)</f>
        <v>0</v>
      </c>
      <c r="N30" s="269">
        <f>HLOOKUP(M$23,'Arg IV - Nuevos Bonos 100VN'!$B$6:$M$20,15,FALSE)</f>
        <v>46.402445519831403</v>
      </c>
      <c r="O30" s="90"/>
    </row>
    <row r="31" spans="1:17" x14ac:dyDescent="0.2">
      <c r="A31" s="98" t="s">
        <v>72</v>
      </c>
      <c r="B31" s="297">
        <f t="shared" si="2"/>
        <v>56.153794778349621</v>
      </c>
      <c r="C31" s="298">
        <f>+E31*F31+G31*H31+I31*J31+K31*L31+M31*N31+VLOOKUP($A31,'Intereses corridos'!$A$6:$J$26,7,FALSE)*$Q$31/100</f>
        <v>54.760611085171007</v>
      </c>
      <c r="D31" s="298">
        <f>+VLOOKUP($A31,'Intereses corridos'!$A$6:$J$26,8,FALSE)*$Q$31/100</f>
        <v>1.3931836931786117</v>
      </c>
      <c r="E31" s="92">
        <f>+VLOOKUP($A31,'Arg IV - Canje optimo'!$C$6:$T$26,11,FALSE)/VLOOKUP($A31,'Arg IV - Canje optimo'!$C$6:$T$26,18,FALSE)</f>
        <v>0</v>
      </c>
      <c r="F31" s="269">
        <f>HLOOKUP(E$23,'Arg IV - Nuevos Bonos 100VN'!$B$6:$M$20,15,FALSE)</f>
        <v>49.873207412034326</v>
      </c>
      <c r="G31" s="259">
        <f>+VLOOKUP($A31,'Arg IV - Canje optimo'!$C$6:$T$26,12,FALSE)/VLOOKUP($A31,'Arg IV - Canje optimo'!$C$6:$T$26,18,FALSE)</f>
        <v>0</v>
      </c>
      <c r="H31" s="269">
        <f>HLOOKUP(G$23,'Arg IV - Nuevos Bonos 100VN'!$B$6:$M$20,15,FALSE)</f>
        <v>47.156434562589126</v>
      </c>
      <c r="I31" s="259">
        <f>+VLOOKUP($A31,'Arg IV - Canje optimo'!$C$6:$T$26,13,FALSE)/VLOOKUP($A31,'Arg IV - Canje optimo'!$C$6:$T$26,18,FALSE)</f>
        <v>1</v>
      </c>
      <c r="J31" s="269">
        <f>HLOOKUP(I$23,'Arg IV - Nuevos Bonos 100VN'!$B$6:$M$20,15,FALSE)</f>
        <v>53.578515830352792</v>
      </c>
      <c r="K31" s="259">
        <f>+VLOOKUP($A31,'Arg IV - Canje optimo'!$C$6:$T$26,14,FALSE)/VLOOKUP($A31,'Arg IV - Canje optimo'!$C$6:$T$26,18,FALSE)</f>
        <v>0</v>
      </c>
      <c r="L31" s="269">
        <f>HLOOKUP(K$23,'Arg IV - Nuevos Bonos 100VN'!$B$6:$M$20,15,FALSE)</f>
        <v>48.086461217570061</v>
      </c>
      <c r="M31" s="259">
        <f>+VLOOKUP($A31,'Arg IV - Canje optimo'!$C$6:$T$26,15,FALSE)/VLOOKUP($A31,'Arg IV - Canje optimo'!$C$6:$T$26,18,FALSE)</f>
        <v>0</v>
      </c>
      <c r="N31" s="269">
        <f>HLOOKUP(M$23,'Arg IV - Nuevos Bonos 100VN'!$B$6:$M$20,15,FALSE)</f>
        <v>46.402445519831403</v>
      </c>
      <c r="O31" s="90"/>
      <c r="P31" s="87" t="s">
        <v>113</v>
      </c>
      <c r="Q31" s="268">
        <f>+HLOOKUP(P31,'Arg IV - Nuevos Bonos 100VN'!$B$6:$M$21,15,FALSE)</f>
        <v>48.588131591906944</v>
      </c>
    </row>
    <row r="32" spans="1:17" x14ac:dyDescent="0.2">
      <c r="A32" s="99" t="s">
        <v>74</v>
      </c>
      <c r="B32" s="299">
        <f t="shared" si="2"/>
        <v>48.788991613576158</v>
      </c>
      <c r="C32" s="300">
        <f>+E32*F32+G32*H32+I32*J32+K32*L32+M32*N32+VLOOKUP($A32,'Intereses corridos'!$A$6:$J$26,7,FALSE)*$Q$31/100</f>
        <v>48.186822702713791</v>
      </c>
      <c r="D32" s="300">
        <f>+VLOOKUP($A32,'Intereses corridos'!$A$6:$J$26,8,FALSE)*$Q$31/100</f>
        <v>0.60216891086236668</v>
      </c>
      <c r="E32" s="97">
        <f>+VLOOKUP($A32,'Arg IV - Canje optimo'!$C$6:$T$26,11,FALSE)/VLOOKUP($A32,'Arg IV - Canje optimo'!$C$6:$T$26,18,FALSE)</f>
        <v>0</v>
      </c>
      <c r="F32" s="270">
        <f>HLOOKUP(E$23,'Arg IV - Nuevos Bonos 100VN'!$B$6:$M$20,15,FALSE)</f>
        <v>49.873207412034326</v>
      </c>
      <c r="G32" s="260">
        <f>+VLOOKUP($A32,'Arg IV - Canje optimo'!$C$6:$T$26,12,FALSE)/VLOOKUP($A32,'Arg IV - Canje optimo'!$C$6:$T$26,18,FALSE)</f>
        <v>0</v>
      </c>
      <c r="H32" s="270">
        <f>HLOOKUP(G$23,'Arg IV - Nuevos Bonos 100VN'!$B$6:$M$20,15,FALSE)</f>
        <v>47.156434562589126</v>
      </c>
      <c r="I32" s="260">
        <f>+VLOOKUP($A32,'Arg IV - Canje optimo'!$C$6:$T$26,13,FALSE)/VLOOKUP($A32,'Arg IV - Canje optimo'!$C$6:$T$26,18,FALSE)</f>
        <v>0</v>
      </c>
      <c r="J32" s="270">
        <f>HLOOKUP(I$23,'Arg IV - Nuevos Bonos 100VN'!$B$6:$M$20,15,FALSE)</f>
        <v>53.578515830352792</v>
      </c>
      <c r="K32" s="260">
        <f>+VLOOKUP($A32,'Arg IV - Canje optimo'!$C$6:$T$26,14,FALSE)/VLOOKUP($A32,'Arg IV - Canje optimo'!$C$6:$T$26,18,FALSE)</f>
        <v>1</v>
      </c>
      <c r="L32" s="270">
        <f>HLOOKUP(K$23,'Arg IV - Nuevos Bonos 100VN'!$B$6:$M$20,15,FALSE)</f>
        <v>48.086461217570061</v>
      </c>
      <c r="M32" s="260">
        <f>+VLOOKUP($A32,'Arg IV - Canje optimo'!$C$6:$T$26,15,FALSE)/VLOOKUP($A32,'Arg IV - Canje optimo'!$C$6:$T$26,18,FALSE)</f>
        <v>0</v>
      </c>
      <c r="N32" s="270">
        <f>HLOOKUP(M$23,'Arg IV - Nuevos Bonos 100VN'!$B$6:$M$20,15,FALSE)</f>
        <v>46.402445519831403</v>
      </c>
      <c r="O32" s="90"/>
    </row>
    <row r="33" spans="1:5" x14ac:dyDescent="0.2">
      <c r="A33" s="27" t="s">
        <v>87</v>
      </c>
      <c r="B33" s="301">
        <f>+AVERAGE(B25:B32)</f>
        <v>50.834199902154978</v>
      </c>
      <c r="C33" s="301">
        <f t="shared" ref="C33:D33" si="3">+AVERAGE(C25:C32)</f>
        <v>49.985225251162788</v>
      </c>
      <c r="D33" s="301">
        <f t="shared" si="3"/>
        <v>0.84897465099219949</v>
      </c>
      <c r="E33" s="32"/>
    </row>
  </sheetData>
  <mergeCells count="22">
    <mergeCell ref="I23:J23"/>
    <mergeCell ref="B23:B24"/>
    <mergeCell ref="C23:C24"/>
    <mergeCell ref="D23:D24"/>
    <mergeCell ref="E23:F23"/>
    <mergeCell ref="G23:H23"/>
    <mergeCell ref="B5:B6"/>
    <mergeCell ref="A4:A6"/>
    <mergeCell ref="E22:N22"/>
    <mergeCell ref="E5:F5"/>
    <mergeCell ref="G5:H5"/>
    <mergeCell ref="I5:J5"/>
    <mergeCell ref="K5:L5"/>
    <mergeCell ref="E4:N4"/>
    <mergeCell ref="M5:N5"/>
    <mergeCell ref="B4:D4"/>
    <mergeCell ref="B22:D22"/>
    <mergeCell ref="A22:A24"/>
    <mergeCell ref="D5:D6"/>
    <mergeCell ref="C5:C6"/>
    <mergeCell ref="K23:L23"/>
    <mergeCell ref="M23:N23"/>
  </mergeCells>
  <conditionalFormatting sqref="A7:A19">
    <cfRule type="colorScale" priority="3">
      <colorScale>
        <cfvo type="min"/>
        <cfvo type="percentile" val="50"/>
        <cfvo type="max"/>
        <color rgb="FFF8696B"/>
        <color rgb="FFFFEB84"/>
        <color rgb="FF63BE7B"/>
      </colorScale>
    </cfRule>
  </conditionalFormatting>
  <conditionalFormatting sqref="A25:A31">
    <cfRule type="colorScale" priority="2">
      <colorScale>
        <cfvo type="min"/>
        <cfvo type="percentile" val="50"/>
        <cfvo type="max"/>
        <color rgb="FFF8696B"/>
        <color rgb="FFFFEB84"/>
        <color rgb="FF63BE7B"/>
      </colorScale>
    </cfRule>
  </conditionalFormatting>
  <conditionalFormatting sqref="A32">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ignoredErrors>
    <ignoredError sqref="G7:G19 I7:I20 K7:N19 G25:N3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3EC5B-BC8C-4008-8957-D6D043A527E3}">
  <sheetPr codeName="Hoja11"/>
  <dimension ref="A1:U36"/>
  <sheetViews>
    <sheetView showGridLines="0" zoomScaleNormal="100" workbookViewId="0"/>
  </sheetViews>
  <sheetFormatPr baseColWidth="10" defaultColWidth="11.42578125" defaultRowHeight="12.75" x14ac:dyDescent="0.2"/>
  <cols>
    <col min="1" max="2" width="11.42578125" style="2"/>
    <col min="3" max="3" width="19" style="2" bestFit="1" customWidth="1"/>
    <col min="4" max="4" width="13" style="2" customWidth="1"/>
    <col min="5" max="5" width="16" style="2" customWidth="1"/>
    <col min="6" max="7" width="10.5703125" style="2" customWidth="1"/>
    <col min="8" max="8" width="10.5703125" style="2" bestFit="1" customWidth="1"/>
    <col min="9" max="17" width="11.140625" style="2" customWidth="1"/>
    <col min="18" max="19" width="16.42578125" style="2" customWidth="1"/>
    <col min="20" max="20" width="15.5703125" style="2" bestFit="1" customWidth="1"/>
    <col min="21" max="21" width="13.5703125" style="2" bestFit="1" customWidth="1"/>
    <col min="22" max="16384" width="11.42578125" style="2"/>
  </cols>
  <sheetData>
    <row r="1" spans="1:20" s="100" customFormat="1" ht="15.75" x14ac:dyDescent="0.25">
      <c r="A1" s="35" t="s">
        <v>140</v>
      </c>
      <c r="S1" s="292" t="s">
        <v>131</v>
      </c>
      <c r="T1" s="294">
        <v>44015</v>
      </c>
    </row>
    <row r="2" spans="1:20" x14ac:dyDescent="0.2">
      <c r="A2" s="17" t="s">
        <v>117</v>
      </c>
      <c r="I2" s="3"/>
      <c r="J2" s="4"/>
      <c r="K2" s="4"/>
      <c r="S2" s="292" t="s">
        <v>14</v>
      </c>
      <c r="T2" s="293">
        <v>0.88900000000000001</v>
      </c>
    </row>
    <row r="3" spans="1:20" s="5" customFormat="1" ht="20.25" customHeight="1" x14ac:dyDescent="0.25">
      <c r="E3" s="6"/>
      <c r="G3" s="295"/>
      <c r="H3" s="372" t="s">
        <v>76</v>
      </c>
      <c r="I3" s="373"/>
      <c r="J3" s="373"/>
      <c r="K3" s="373"/>
      <c r="L3" s="373"/>
      <c r="M3" s="373"/>
      <c r="N3" s="373"/>
      <c r="O3" s="373"/>
      <c r="P3" s="373"/>
      <c r="Q3" s="374"/>
      <c r="R3" s="36"/>
      <c r="S3" s="292" t="s">
        <v>16</v>
      </c>
      <c r="T3" s="293">
        <v>0.94569999999999999</v>
      </c>
    </row>
    <row r="4" spans="1:20" s="36" customFormat="1" ht="20.25" customHeight="1" x14ac:dyDescent="0.25">
      <c r="E4" s="37"/>
      <c r="F4" s="38"/>
      <c r="G4" s="38"/>
      <c r="H4" s="38">
        <v>0.97</v>
      </c>
      <c r="I4" s="38">
        <v>0.97</v>
      </c>
      <c r="J4" s="38">
        <v>1</v>
      </c>
      <c r="K4" s="38">
        <v>1</v>
      </c>
      <c r="L4" s="38">
        <v>0.97</v>
      </c>
      <c r="M4" s="38">
        <v>0.97</v>
      </c>
      <c r="N4" s="38">
        <v>0.97</v>
      </c>
      <c r="O4" s="38">
        <v>1</v>
      </c>
      <c r="P4" s="38">
        <v>1</v>
      </c>
      <c r="Q4" s="38">
        <v>0.97</v>
      </c>
    </row>
    <row r="5" spans="1:20" s="36" customFormat="1" ht="27" customHeight="1" x14ac:dyDescent="0.25">
      <c r="A5" s="27" t="s">
        <v>133</v>
      </c>
      <c r="B5" s="27" t="s">
        <v>22</v>
      </c>
      <c r="C5" s="27" t="s">
        <v>77</v>
      </c>
      <c r="D5" s="27" t="s">
        <v>78</v>
      </c>
      <c r="E5" s="27" t="s">
        <v>135</v>
      </c>
      <c r="F5" s="27" t="s">
        <v>111</v>
      </c>
      <c r="G5" s="39" t="s">
        <v>113</v>
      </c>
      <c r="H5" s="39" t="s">
        <v>1</v>
      </c>
      <c r="I5" s="39" t="s">
        <v>2</v>
      </c>
      <c r="J5" s="39" t="s">
        <v>3</v>
      </c>
      <c r="K5" s="39" t="s">
        <v>4</v>
      </c>
      <c r="L5" s="39" t="s">
        <v>5</v>
      </c>
      <c r="M5" s="39" t="s">
        <v>6</v>
      </c>
      <c r="N5" s="39" t="s">
        <v>7</v>
      </c>
      <c r="O5" s="40" t="s">
        <v>8</v>
      </c>
      <c r="P5" s="39" t="s">
        <v>9</v>
      </c>
      <c r="Q5" s="39" t="s">
        <v>10</v>
      </c>
      <c r="R5" s="27" t="s">
        <v>79</v>
      </c>
      <c r="S5" s="27" t="s">
        <v>80</v>
      </c>
      <c r="T5" s="27" t="s">
        <v>81</v>
      </c>
    </row>
    <row r="6" spans="1:20" s="33" customFormat="1" x14ac:dyDescent="0.2">
      <c r="A6" s="102">
        <v>1</v>
      </c>
      <c r="B6" s="102" t="s">
        <v>23</v>
      </c>
      <c r="C6" s="103" t="s">
        <v>60</v>
      </c>
      <c r="D6" s="104">
        <v>4500</v>
      </c>
      <c r="E6" s="104">
        <f>+VLOOKUP(C6,'Intereses corridos'!$A$6:$I$26,9,FALSE)</f>
        <v>268.12500000000006</v>
      </c>
      <c r="F6" s="247">
        <f>+E6</f>
        <v>268.12500000000006</v>
      </c>
      <c r="G6" s="247"/>
      <c r="H6" s="105">
        <f>+D6*H$4</f>
        <v>4365</v>
      </c>
      <c r="I6" s="129"/>
      <c r="J6" s="106"/>
      <c r="K6" s="106"/>
      <c r="L6" s="107"/>
      <c r="M6" s="108"/>
      <c r="N6" s="106"/>
      <c r="O6" s="106"/>
      <c r="P6" s="106"/>
      <c r="Q6" s="109"/>
      <c r="R6" s="110">
        <f>+SUM(H6:L6)+F6</f>
        <v>4633.125</v>
      </c>
      <c r="S6" s="104">
        <f>+R6</f>
        <v>4633.125</v>
      </c>
      <c r="T6" s="104">
        <f>+SUM(H6:Q6)</f>
        <v>4365</v>
      </c>
    </row>
    <row r="7" spans="1:20" s="33" customFormat="1" x14ac:dyDescent="0.2">
      <c r="A7" s="111">
        <v>1</v>
      </c>
      <c r="B7" s="111" t="s">
        <v>23</v>
      </c>
      <c r="C7" s="112" t="s">
        <v>56</v>
      </c>
      <c r="D7" s="113">
        <v>3250</v>
      </c>
      <c r="E7" s="113">
        <f>+VLOOKUP(C7,'Intereses corridos'!$A$6:$I$26,9,FALSE)</f>
        <v>110.703125</v>
      </c>
      <c r="F7" s="56">
        <f t="shared" ref="F7:F8" si="0">+E7</f>
        <v>110.703125</v>
      </c>
      <c r="G7" s="56"/>
      <c r="H7" s="114">
        <f t="shared" ref="H7:H8" si="1">+D7*H$4</f>
        <v>3152.5</v>
      </c>
      <c r="I7" s="130"/>
      <c r="J7" s="115"/>
      <c r="K7" s="115"/>
      <c r="L7" s="116"/>
      <c r="M7" s="117"/>
      <c r="N7" s="115"/>
      <c r="O7" s="115"/>
      <c r="P7" s="115"/>
      <c r="Q7" s="118"/>
      <c r="R7" s="119">
        <f t="shared" ref="R7:R8" si="2">+SUM(H7:L7)+F7</f>
        <v>3263.203125</v>
      </c>
      <c r="S7" s="113">
        <f t="shared" ref="S7:S8" si="3">+R7</f>
        <v>3263.203125</v>
      </c>
      <c r="T7" s="113">
        <f t="shared" ref="T7:T26" si="4">+SUM(H7:Q7)</f>
        <v>3152.5</v>
      </c>
    </row>
    <row r="8" spans="1:20" s="33" customFormat="1" x14ac:dyDescent="0.2">
      <c r="A8" s="111">
        <v>1</v>
      </c>
      <c r="B8" s="111" t="s">
        <v>23</v>
      </c>
      <c r="C8" s="112" t="s">
        <v>55</v>
      </c>
      <c r="D8" s="113">
        <v>1750</v>
      </c>
      <c r="E8" s="113">
        <f>+VLOOKUP(C8,'Intereses corridos'!$A$6:$I$26,9,FALSE)</f>
        <v>52.384548611111114</v>
      </c>
      <c r="F8" s="56">
        <f t="shared" si="0"/>
        <v>52.384548611111114</v>
      </c>
      <c r="G8" s="56"/>
      <c r="H8" s="114">
        <f t="shared" si="1"/>
        <v>1697.5</v>
      </c>
      <c r="I8" s="130"/>
      <c r="J8" s="115"/>
      <c r="K8" s="115"/>
      <c r="L8" s="116"/>
      <c r="M8" s="117"/>
      <c r="N8" s="115"/>
      <c r="O8" s="115"/>
      <c r="P8" s="115"/>
      <c r="Q8" s="118"/>
      <c r="R8" s="119">
        <f t="shared" si="2"/>
        <v>1749.8845486111111</v>
      </c>
      <c r="S8" s="113">
        <f t="shared" si="3"/>
        <v>1749.8845486111111</v>
      </c>
      <c r="T8" s="113">
        <f t="shared" si="4"/>
        <v>1697.5</v>
      </c>
    </row>
    <row r="9" spans="1:20" s="33" customFormat="1" x14ac:dyDescent="0.2">
      <c r="A9" s="111">
        <v>1</v>
      </c>
      <c r="B9" s="111" t="s">
        <v>16</v>
      </c>
      <c r="C9" s="112" t="s">
        <v>71</v>
      </c>
      <c r="D9" s="113">
        <v>400</v>
      </c>
      <c r="E9" s="113">
        <f>+VLOOKUP(C9,'Intereses corridos'!$A$6:$I$26,9,FALSE)</f>
        <v>12.074999999999999</v>
      </c>
      <c r="F9" s="56"/>
      <c r="G9" s="56">
        <f>+E9*0.9507511</f>
        <v>11.480319532499999</v>
      </c>
      <c r="H9" s="117"/>
      <c r="I9" s="115"/>
      <c r="J9" s="115"/>
      <c r="K9" s="115"/>
      <c r="L9" s="118"/>
      <c r="M9" s="114">
        <f>+D9*M4*0.9507511</f>
        <v>368.89142679999998</v>
      </c>
      <c r="N9" s="130"/>
      <c r="O9" s="115"/>
      <c r="P9" s="115"/>
      <c r="Q9" s="116"/>
      <c r="R9" s="119">
        <f>+G9+SUM(M9:Q9)</f>
        <v>380.37174633249998</v>
      </c>
      <c r="S9" s="113">
        <f>+R9/$T$2</f>
        <v>427.86473153262091</v>
      </c>
      <c r="T9" s="113">
        <f t="shared" si="4"/>
        <v>368.89142679999998</v>
      </c>
    </row>
    <row r="10" spans="1:20" s="33" customFormat="1" x14ac:dyDescent="0.2">
      <c r="A10" s="111">
        <v>1</v>
      </c>
      <c r="B10" s="111" t="s">
        <v>14</v>
      </c>
      <c r="C10" s="112" t="s">
        <v>67</v>
      </c>
      <c r="D10" s="113">
        <v>1250</v>
      </c>
      <c r="E10" s="113">
        <f>+VLOOKUP(C10,'Intereses corridos'!$A$6:$I$26,9,FALSE)</f>
        <v>30.811631944444422</v>
      </c>
      <c r="F10" s="56"/>
      <c r="G10" s="56">
        <f>+E10</f>
        <v>30.811631944444422</v>
      </c>
      <c r="H10" s="117"/>
      <c r="I10" s="115"/>
      <c r="J10" s="115"/>
      <c r="K10" s="115"/>
      <c r="L10" s="118"/>
      <c r="M10" s="114">
        <f>+D10*M$4</f>
        <v>1212.5</v>
      </c>
      <c r="N10" s="130"/>
      <c r="O10" s="115"/>
      <c r="P10" s="115"/>
      <c r="Q10" s="116"/>
      <c r="R10" s="119">
        <f t="shared" ref="R10:R11" si="5">+G10+SUM(M10:Q10)</f>
        <v>1243.3116319444443</v>
      </c>
      <c r="S10" s="113">
        <f t="shared" ref="S10:S11" si="6">+R10/$T$2</f>
        <v>1398.5507670916134</v>
      </c>
      <c r="T10" s="113">
        <f t="shared" si="4"/>
        <v>1212.5</v>
      </c>
    </row>
    <row r="11" spans="1:20" s="33" customFormat="1" x14ac:dyDescent="0.2">
      <c r="A11" s="120">
        <v>1</v>
      </c>
      <c r="B11" s="120" t="s">
        <v>14</v>
      </c>
      <c r="C11" s="121" t="s">
        <v>66</v>
      </c>
      <c r="D11" s="122">
        <v>1000</v>
      </c>
      <c r="E11" s="122">
        <f>+VLOOKUP(C11,'Intereses corridos'!$A$6:$I$26,9,FALSE)</f>
        <v>21.468749999999989</v>
      </c>
      <c r="F11" s="248"/>
      <c r="G11" s="248">
        <f>+E11</f>
        <v>21.468749999999989</v>
      </c>
      <c r="H11" s="123"/>
      <c r="I11" s="124"/>
      <c r="J11" s="124"/>
      <c r="K11" s="124"/>
      <c r="L11" s="125"/>
      <c r="M11" s="126">
        <f>+D11*M$4</f>
        <v>970</v>
      </c>
      <c r="N11" s="133"/>
      <c r="O11" s="124"/>
      <c r="P11" s="124"/>
      <c r="Q11" s="127"/>
      <c r="R11" s="128">
        <f t="shared" si="5"/>
        <v>991.46875</v>
      </c>
      <c r="S11" s="122">
        <f t="shared" si="6"/>
        <v>1115.2629358830145</v>
      </c>
      <c r="T11" s="122">
        <f t="shared" si="4"/>
        <v>970</v>
      </c>
    </row>
    <row r="12" spans="1:20" s="33" customFormat="1" x14ac:dyDescent="0.2">
      <c r="A12" s="102">
        <v>2</v>
      </c>
      <c r="B12" s="102" t="s">
        <v>23</v>
      </c>
      <c r="C12" s="103" t="s">
        <v>64</v>
      </c>
      <c r="D12" s="104">
        <v>6500</v>
      </c>
      <c r="E12" s="104">
        <f>+VLOOKUP(C12,'Intereses corridos'!$A$6:$I$26,9,FALSE)</f>
        <v>422.5</v>
      </c>
      <c r="F12" s="247">
        <f>+E12</f>
        <v>422.5</v>
      </c>
      <c r="G12" s="247"/>
      <c r="H12" s="105">
        <f>+($H$28-SUM($H$6:$H$8))*D12/(SUM($D$12:$D$16))</f>
        <v>1727.6811594202898</v>
      </c>
      <c r="I12" s="129">
        <f>+(D12-H12/$H$4)*$I$4</f>
        <v>4577.3188405797091</v>
      </c>
      <c r="J12" s="106"/>
      <c r="K12" s="106"/>
      <c r="L12" s="107"/>
      <c r="M12" s="108"/>
      <c r="N12" s="106"/>
      <c r="O12" s="106"/>
      <c r="P12" s="106"/>
      <c r="Q12" s="109"/>
      <c r="R12" s="110">
        <f t="shared" ref="R12:R16" si="7">+SUM(H12:L12)+F12</f>
        <v>6727.4999999999991</v>
      </c>
      <c r="S12" s="104">
        <f t="shared" ref="S12:S16" si="8">+R12</f>
        <v>6727.4999999999991</v>
      </c>
      <c r="T12" s="104">
        <f t="shared" si="4"/>
        <v>6304.9999999999991</v>
      </c>
    </row>
    <row r="13" spans="1:20" s="33" customFormat="1" x14ac:dyDescent="0.2">
      <c r="A13" s="111">
        <v>2</v>
      </c>
      <c r="B13" s="111" t="s">
        <v>23</v>
      </c>
      <c r="C13" s="112" t="s">
        <v>61</v>
      </c>
      <c r="D13" s="113">
        <v>3750</v>
      </c>
      <c r="E13" s="113">
        <f>+VLOOKUP(C13,'Intereses corridos'!$A$6:$I$26,9,FALSE)</f>
        <v>156.11979166666669</v>
      </c>
      <c r="F13" s="56">
        <f t="shared" ref="F13:F16" si="9">+E13</f>
        <v>156.11979166666669</v>
      </c>
      <c r="G13" s="56"/>
      <c r="H13" s="114">
        <f t="shared" ref="H13:H16" si="10">+($H$28-SUM($H$6:$H$8))*D13/(SUM($D$12:$D$16))</f>
        <v>996.73913043478262</v>
      </c>
      <c r="I13" s="130">
        <f t="shared" ref="I13:I16" si="11">+(D13-H13/$H$4)*$I$4</f>
        <v>2640.760869565217</v>
      </c>
      <c r="J13" s="115"/>
      <c r="K13" s="115"/>
      <c r="L13" s="116"/>
      <c r="M13" s="117"/>
      <c r="N13" s="115"/>
      <c r="O13" s="115"/>
      <c r="P13" s="115"/>
      <c r="Q13" s="118"/>
      <c r="R13" s="119">
        <f t="shared" si="7"/>
        <v>3793.6197916666661</v>
      </c>
      <c r="S13" s="113">
        <f t="shared" si="8"/>
        <v>3793.6197916666661</v>
      </c>
      <c r="T13" s="113">
        <f t="shared" si="4"/>
        <v>3637.4999999999995</v>
      </c>
    </row>
    <row r="14" spans="1:20" s="33" customFormat="1" x14ac:dyDescent="0.2">
      <c r="A14" s="111">
        <v>2</v>
      </c>
      <c r="B14" s="111" t="s">
        <v>23</v>
      </c>
      <c r="C14" s="112" t="s">
        <v>57</v>
      </c>
      <c r="D14" s="113">
        <v>4250</v>
      </c>
      <c r="E14" s="113">
        <f>+VLOOKUP(C14,'Intereses corridos'!$A$6:$I$26,9,FALSE)</f>
        <v>161.60329861111111</v>
      </c>
      <c r="F14" s="56">
        <f t="shared" si="9"/>
        <v>161.60329861111111</v>
      </c>
      <c r="G14" s="56"/>
      <c r="H14" s="114">
        <f t="shared" si="10"/>
        <v>1129.6376811594203</v>
      </c>
      <c r="I14" s="130">
        <f t="shared" si="11"/>
        <v>2992.8623188405795</v>
      </c>
      <c r="J14" s="115"/>
      <c r="K14" s="115"/>
      <c r="L14" s="116"/>
      <c r="M14" s="117"/>
      <c r="N14" s="115"/>
      <c r="O14" s="115"/>
      <c r="P14" s="115"/>
      <c r="Q14" s="118"/>
      <c r="R14" s="119">
        <f t="shared" si="7"/>
        <v>4284.1032986111113</v>
      </c>
      <c r="S14" s="113">
        <f t="shared" si="8"/>
        <v>4284.1032986111113</v>
      </c>
      <c r="T14" s="113">
        <f t="shared" si="4"/>
        <v>4122.5</v>
      </c>
    </row>
    <row r="15" spans="1:20" s="33" customFormat="1" x14ac:dyDescent="0.2">
      <c r="A15" s="111">
        <v>2</v>
      </c>
      <c r="B15" s="111" t="s">
        <v>23</v>
      </c>
      <c r="C15" s="112" t="s">
        <v>58</v>
      </c>
      <c r="D15" s="113">
        <v>1000</v>
      </c>
      <c r="E15" s="113">
        <f>+VLOOKUP(C15,'Intereses corridos'!$A$6:$I$26,9,FALSE)</f>
        <v>43.798611111111114</v>
      </c>
      <c r="F15" s="56">
        <f t="shared" si="9"/>
        <v>43.798611111111114</v>
      </c>
      <c r="G15" s="56"/>
      <c r="H15" s="114">
        <f t="shared" si="10"/>
        <v>265.79710144927537</v>
      </c>
      <c r="I15" s="130">
        <f t="shared" si="11"/>
        <v>704.20289855072463</v>
      </c>
      <c r="J15" s="115"/>
      <c r="K15" s="115"/>
      <c r="L15" s="116"/>
      <c r="M15" s="117"/>
      <c r="N15" s="115"/>
      <c r="O15" s="115"/>
      <c r="P15" s="115"/>
      <c r="Q15" s="118"/>
      <c r="R15" s="119">
        <f t="shared" si="7"/>
        <v>1013.7986111111111</v>
      </c>
      <c r="S15" s="113">
        <f t="shared" si="8"/>
        <v>1013.7986111111111</v>
      </c>
      <c r="T15" s="113">
        <f t="shared" si="4"/>
        <v>970</v>
      </c>
    </row>
    <row r="16" spans="1:20" s="33" customFormat="1" x14ac:dyDescent="0.2">
      <c r="A16" s="111">
        <v>2</v>
      </c>
      <c r="B16" s="111" t="s">
        <v>23</v>
      </c>
      <c r="C16" s="112" t="s">
        <v>62</v>
      </c>
      <c r="D16" s="131">
        <v>1750</v>
      </c>
      <c r="E16" s="131">
        <f>+VLOOKUP(C16,'Intereses corridos'!$A$6:$I$26,9,FALSE)</f>
        <v>82.432291666666657</v>
      </c>
      <c r="F16" s="56">
        <f t="shared" si="9"/>
        <v>82.432291666666657</v>
      </c>
      <c r="G16" s="56"/>
      <c r="H16" s="114">
        <f t="shared" si="10"/>
        <v>465.14492753623188</v>
      </c>
      <c r="I16" s="130">
        <f t="shared" si="11"/>
        <v>1232.355072463768</v>
      </c>
      <c r="J16" s="115"/>
      <c r="K16" s="115"/>
      <c r="L16" s="116"/>
      <c r="M16" s="117"/>
      <c r="N16" s="115"/>
      <c r="O16" s="115"/>
      <c r="P16" s="115"/>
      <c r="Q16" s="118"/>
      <c r="R16" s="119">
        <f t="shared" si="7"/>
        <v>1779.9322916666667</v>
      </c>
      <c r="S16" s="131">
        <f t="shared" si="8"/>
        <v>1779.9322916666667</v>
      </c>
      <c r="T16" s="131">
        <f t="shared" si="4"/>
        <v>1697.5</v>
      </c>
    </row>
    <row r="17" spans="1:21" s="33" customFormat="1" x14ac:dyDescent="0.2">
      <c r="A17" s="111">
        <v>2</v>
      </c>
      <c r="B17" s="111" t="s">
        <v>14</v>
      </c>
      <c r="C17" s="112" t="s">
        <v>68</v>
      </c>
      <c r="D17" s="113">
        <v>1250</v>
      </c>
      <c r="E17" s="113">
        <f>+VLOOKUP(C17,'Intereses corridos'!$A$6:$I$26,9,FALSE)</f>
        <v>39.756944444444414</v>
      </c>
      <c r="F17" s="56"/>
      <c r="G17" s="56">
        <f t="shared" ref="G17:G18" si="12">+E17</f>
        <v>39.756944444444414</v>
      </c>
      <c r="H17" s="117"/>
      <c r="I17" s="115"/>
      <c r="J17" s="115"/>
      <c r="K17" s="115"/>
      <c r="L17" s="118"/>
      <c r="M17" s="114">
        <f>+($M$28-SUM($M$9:$M$11))*D17/(SUM($D$17:$D$18))</f>
        <v>304.78254066666676</v>
      </c>
      <c r="N17" s="130">
        <f>+(D17-M17/$M$4)*$N$4</f>
        <v>907.71745933333318</v>
      </c>
      <c r="O17" s="115"/>
      <c r="P17" s="115"/>
      <c r="Q17" s="116"/>
      <c r="R17" s="119">
        <f t="shared" ref="R17:R18" si="13">+G17+SUM(M17:Q17)</f>
        <v>1252.2569444444443</v>
      </c>
      <c r="S17" s="113">
        <f t="shared" ref="S17:S18" si="14">+R17/$T$2</f>
        <v>1408.6129858767654</v>
      </c>
      <c r="T17" s="113">
        <f t="shared" si="4"/>
        <v>1212.5</v>
      </c>
      <c r="U17" s="132"/>
    </row>
    <row r="18" spans="1:21" s="33" customFormat="1" x14ac:dyDescent="0.2">
      <c r="A18" s="120">
        <v>2</v>
      </c>
      <c r="B18" s="120" t="s">
        <v>14</v>
      </c>
      <c r="C18" s="121" t="s">
        <v>69</v>
      </c>
      <c r="D18" s="122">
        <v>1000</v>
      </c>
      <c r="E18" s="122">
        <f>+VLOOKUP(C18,'Intereses corridos'!$A$6:$I$26,9,FALSE)</f>
        <v>33.395833333333314</v>
      </c>
      <c r="F18" s="248"/>
      <c r="G18" s="248">
        <f t="shared" si="12"/>
        <v>33.395833333333314</v>
      </c>
      <c r="H18" s="123"/>
      <c r="I18" s="124"/>
      <c r="J18" s="124"/>
      <c r="K18" s="124"/>
      <c r="L18" s="125"/>
      <c r="M18" s="126">
        <f>+($M$28-SUM($M$9:$M$11))*D18/(SUM($D$17:$D$18))</f>
        <v>243.82603253333338</v>
      </c>
      <c r="N18" s="130">
        <f>+(D18-M18/$M$4)*$N$4</f>
        <v>726.17396746666668</v>
      </c>
      <c r="O18" s="124"/>
      <c r="P18" s="124"/>
      <c r="Q18" s="116"/>
      <c r="R18" s="128">
        <f t="shared" si="13"/>
        <v>1003.3958333333333</v>
      </c>
      <c r="S18" s="122">
        <f t="shared" si="14"/>
        <v>1128.6792275965504</v>
      </c>
      <c r="T18" s="122">
        <f t="shared" si="4"/>
        <v>970</v>
      </c>
      <c r="U18" s="132"/>
    </row>
    <row r="19" spans="1:21" s="33" customFormat="1" x14ac:dyDescent="0.2">
      <c r="A19" s="102">
        <v>3</v>
      </c>
      <c r="B19" s="102" t="s">
        <v>23</v>
      </c>
      <c r="C19" s="103" t="s">
        <v>65</v>
      </c>
      <c r="D19" s="104">
        <v>2750</v>
      </c>
      <c r="E19" s="104">
        <f>+VLOOKUP(C19,'Intereses corridos'!$A$6:$I$26,9,FALSE)</f>
        <v>181.72916666666669</v>
      </c>
      <c r="F19" s="247">
        <f t="shared" ref="F19:F21" si="15">+E19</f>
        <v>181.72916666666669</v>
      </c>
      <c r="G19" s="247"/>
      <c r="H19" s="240"/>
      <c r="I19" s="129">
        <f>+D19*I$4</f>
        <v>2667.5</v>
      </c>
      <c r="J19" s="106"/>
      <c r="K19" s="106"/>
      <c r="L19" s="107"/>
      <c r="M19" s="108"/>
      <c r="N19" s="106"/>
      <c r="O19" s="106"/>
      <c r="P19" s="106"/>
      <c r="Q19" s="109"/>
      <c r="R19" s="110">
        <f t="shared" ref="R19:R21" si="16">+SUM(H19:L19)+F19</f>
        <v>2849.2291666666665</v>
      </c>
      <c r="S19" s="104">
        <f t="shared" ref="S19:S21" si="17">+R19</f>
        <v>2849.2291666666665</v>
      </c>
      <c r="T19" s="104">
        <f t="shared" si="4"/>
        <v>2667.5</v>
      </c>
    </row>
    <row r="20" spans="1:21" s="33" customFormat="1" x14ac:dyDescent="0.2">
      <c r="A20" s="111">
        <v>3</v>
      </c>
      <c r="B20" s="111" t="s">
        <v>23</v>
      </c>
      <c r="C20" s="112" t="s">
        <v>59</v>
      </c>
      <c r="D20" s="113">
        <v>3000</v>
      </c>
      <c r="E20" s="113">
        <f>+VLOOKUP(C20,'Intereses corridos'!$A$6:$I$26,9,FALSE)</f>
        <v>133.48958333333334</v>
      </c>
      <c r="F20" s="56">
        <f t="shared" si="15"/>
        <v>133.48958333333334</v>
      </c>
      <c r="G20" s="56"/>
      <c r="H20" s="241"/>
      <c r="I20" s="130">
        <f t="shared" ref="I20:I21" si="18">+D20*I$4</f>
        <v>2910</v>
      </c>
      <c r="J20" s="115"/>
      <c r="K20" s="115"/>
      <c r="L20" s="116"/>
      <c r="M20" s="117"/>
      <c r="N20" s="115"/>
      <c r="O20" s="115"/>
      <c r="P20" s="115"/>
      <c r="Q20" s="118"/>
      <c r="R20" s="119">
        <f t="shared" si="16"/>
        <v>3043.4895833333335</v>
      </c>
      <c r="S20" s="113">
        <f t="shared" si="17"/>
        <v>3043.4895833333335</v>
      </c>
      <c r="T20" s="113">
        <f t="shared" si="4"/>
        <v>2910</v>
      </c>
    </row>
    <row r="21" spans="1:21" s="33" customFormat="1" x14ac:dyDescent="0.2">
      <c r="A21" s="111">
        <v>3</v>
      </c>
      <c r="B21" s="111" t="s">
        <v>23</v>
      </c>
      <c r="C21" s="112" t="s">
        <v>63</v>
      </c>
      <c r="D21" s="113">
        <v>2750</v>
      </c>
      <c r="E21" s="113">
        <f>+VLOOKUP(C21,'Intereses corridos'!$A$6:$I$26,9,FALSE)</f>
        <v>133.89062499999997</v>
      </c>
      <c r="F21" s="56">
        <f t="shared" si="15"/>
        <v>133.89062499999997</v>
      </c>
      <c r="G21" s="56"/>
      <c r="H21" s="241"/>
      <c r="I21" s="130">
        <f t="shared" si="18"/>
        <v>2667.5</v>
      </c>
      <c r="J21" s="115"/>
      <c r="K21" s="115"/>
      <c r="L21" s="116"/>
      <c r="M21" s="117"/>
      <c r="N21" s="115"/>
      <c r="O21" s="115"/>
      <c r="P21" s="115"/>
      <c r="Q21" s="118"/>
      <c r="R21" s="119">
        <f t="shared" si="16"/>
        <v>2801.390625</v>
      </c>
      <c r="S21" s="113">
        <f t="shared" si="17"/>
        <v>2801.390625</v>
      </c>
      <c r="T21" s="113">
        <f t="shared" si="4"/>
        <v>2667.5</v>
      </c>
    </row>
    <row r="22" spans="1:21" s="33" customFormat="1" x14ac:dyDescent="0.2">
      <c r="A22" s="120">
        <v>3</v>
      </c>
      <c r="B22" s="120" t="s">
        <v>14</v>
      </c>
      <c r="C22" s="121" t="s">
        <v>70</v>
      </c>
      <c r="D22" s="122">
        <v>750</v>
      </c>
      <c r="E22" s="122">
        <f>+VLOOKUP(C22,'Intereses corridos'!$A$6:$I$26,9,FALSE)</f>
        <v>38.4114583333333</v>
      </c>
      <c r="F22" s="248"/>
      <c r="G22" s="248">
        <f>+E22</f>
        <v>38.4114583333333</v>
      </c>
      <c r="H22" s="242"/>
      <c r="I22" s="243"/>
      <c r="J22" s="243"/>
      <c r="K22" s="243"/>
      <c r="L22" s="244"/>
      <c r="M22" s="242"/>
      <c r="N22" s="133">
        <f>+D22*N$4</f>
        <v>727.5</v>
      </c>
      <c r="O22" s="124"/>
      <c r="P22" s="124"/>
      <c r="Q22" s="127"/>
      <c r="R22" s="128">
        <f>+G22+SUM(M22:Q22)</f>
        <v>765.91145833333326</v>
      </c>
      <c r="S22" s="122">
        <f>+R22/$T$2</f>
        <v>861.54269778777643</v>
      </c>
      <c r="T22" s="122">
        <f t="shared" si="4"/>
        <v>727.5</v>
      </c>
    </row>
    <row r="23" spans="1:21" s="33" customFormat="1" x14ac:dyDescent="0.2">
      <c r="A23" s="102"/>
      <c r="B23" s="102" t="s">
        <v>23</v>
      </c>
      <c r="C23" s="103" t="s">
        <v>73</v>
      </c>
      <c r="D23" s="104">
        <v>5565.2917364499999</v>
      </c>
      <c r="E23" s="104">
        <f>+VLOOKUP(C23,'Intereses corridos'!$A$6:$I$26,9,FALSE)</f>
        <v>312.32417224957402</v>
      </c>
      <c r="F23" s="247">
        <f t="shared" ref="F23" si="19">+E23</f>
        <v>312.32417224957402</v>
      </c>
      <c r="G23" s="247"/>
      <c r="H23" s="108"/>
      <c r="I23" s="106"/>
      <c r="J23" s="129">
        <f>+D23*J$4</f>
        <v>5565.2917364499999</v>
      </c>
      <c r="K23" s="129"/>
      <c r="L23" s="107"/>
      <c r="M23" s="108"/>
      <c r="N23" s="106"/>
      <c r="O23" s="106"/>
      <c r="P23" s="106"/>
      <c r="Q23" s="109"/>
      <c r="R23" s="110">
        <f t="shared" ref="R23" si="20">+SUM(H23:L23)+F23</f>
        <v>5877.615908699574</v>
      </c>
      <c r="S23" s="104">
        <f>+R23</f>
        <v>5877.615908699574</v>
      </c>
      <c r="T23" s="104">
        <f t="shared" si="4"/>
        <v>5565.2917364499999</v>
      </c>
    </row>
    <row r="24" spans="1:21" s="33" customFormat="1" x14ac:dyDescent="0.2">
      <c r="A24" s="120"/>
      <c r="B24" s="120" t="s">
        <v>14</v>
      </c>
      <c r="C24" s="121" t="s">
        <v>72</v>
      </c>
      <c r="D24" s="122">
        <v>5776.2840187699994</v>
      </c>
      <c r="E24" s="122">
        <f>+VLOOKUP(C24,'Intereses corridos'!$A$6:$I$26,9,FALSE)</f>
        <v>306.15588918151838</v>
      </c>
      <c r="F24" s="248"/>
      <c r="G24" s="248">
        <f>+E24</f>
        <v>306.15588918151838</v>
      </c>
      <c r="H24" s="123"/>
      <c r="I24" s="124"/>
      <c r="J24" s="124"/>
      <c r="K24" s="124"/>
      <c r="L24" s="125"/>
      <c r="M24" s="123"/>
      <c r="N24" s="124"/>
      <c r="O24" s="133">
        <f>+D24*O$4</f>
        <v>5776.2840187699994</v>
      </c>
      <c r="P24" s="133"/>
      <c r="Q24" s="127"/>
      <c r="R24" s="128">
        <f>+G24+SUM(M24:Q24)</f>
        <v>6082.4399079515179</v>
      </c>
      <c r="S24" s="122">
        <f>+R24/$T$2</f>
        <v>6841.8896602379282</v>
      </c>
      <c r="T24" s="122">
        <f t="shared" si="4"/>
        <v>5776.2840187699994</v>
      </c>
    </row>
    <row r="25" spans="1:21" s="33" customFormat="1" x14ac:dyDescent="0.2">
      <c r="A25" s="102"/>
      <c r="B25" s="102" t="s">
        <v>23</v>
      </c>
      <c r="C25" s="103" t="s">
        <v>75</v>
      </c>
      <c r="D25" s="104">
        <v>5393.6283739999999</v>
      </c>
      <c r="E25" s="104">
        <f>+VLOOKUP(C25,'Intereses corridos'!$A$6:$I$26,9,FALSE)</f>
        <v>86.522788499583328</v>
      </c>
      <c r="F25" s="247">
        <f t="shared" ref="F25" si="21">+E25</f>
        <v>86.522788499583328</v>
      </c>
      <c r="G25" s="247"/>
      <c r="H25" s="108"/>
      <c r="I25" s="106"/>
      <c r="J25" s="106"/>
      <c r="K25" s="129">
        <f>+D25*K$4</f>
        <v>5393.6283739999999</v>
      </c>
      <c r="L25" s="107"/>
      <c r="M25" s="108"/>
      <c r="N25" s="106"/>
      <c r="O25" s="106"/>
      <c r="P25" s="106"/>
      <c r="Q25" s="109"/>
      <c r="R25" s="110">
        <f t="shared" ref="R25" si="22">+SUM(H25:L25)+F25</f>
        <v>5480.1511624995828</v>
      </c>
      <c r="S25" s="104">
        <f>+R25</f>
        <v>5480.1511624995828</v>
      </c>
      <c r="T25" s="104">
        <f t="shared" si="4"/>
        <v>5393.6283739999999</v>
      </c>
    </row>
    <row r="26" spans="1:21" s="33" customFormat="1" x14ac:dyDescent="0.2">
      <c r="A26" s="120"/>
      <c r="B26" s="120" t="s">
        <v>14</v>
      </c>
      <c r="C26" s="121" t="s">
        <v>74</v>
      </c>
      <c r="D26" s="122">
        <v>6473.2230979999995</v>
      </c>
      <c r="E26" s="122">
        <f>+VLOOKUP(C26,'Intereses corridos'!$A$6:$I$26,9,FALSE)</f>
        <v>93.595613526971107</v>
      </c>
      <c r="F26" s="248"/>
      <c r="G26" s="248">
        <f>+E26</f>
        <v>93.595613526971107</v>
      </c>
      <c r="H26" s="123"/>
      <c r="I26" s="124"/>
      <c r="J26" s="124"/>
      <c r="K26" s="124"/>
      <c r="L26" s="125"/>
      <c r="M26" s="123"/>
      <c r="N26" s="124"/>
      <c r="O26" s="124"/>
      <c r="P26" s="133">
        <f>+D26*P$4</f>
        <v>6473.2230979999995</v>
      </c>
      <c r="Q26" s="127"/>
      <c r="R26" s="128">
        <f>+G26+SUM(M26:Q26)</f>
        <v>6566.8187115269702</v>
      </c>
      <c r="S26" s="122">
        <f>+R26/$T$2</f>
        <v>7386.7477070044661</v>
      </c>
      <c r="T26" s="122">
        <f t="shared" si="4"/>
        <v>6473.2230979999995</v>
      </c>
    </row>
    <row r="27" spans="1:21" s="36" customFormat="1" ht="18" customHeight="1" x14ac:dyDescent="0.25">
      <c r="A27" s="375" t="s">
        <v>44</v>
      </c>
      <c r="B27" s="376"/>
      <c r="C27" s="376"/>
      <c r="D27" s="377"/>
      <c r="E27" s="41"/>
      <c r="F27" s="42">
        <f t="shared" ref="F27:G27" si="23">+SUM(F6:F26)</f>
        <v>2145.623002415824</v>
      </c>
      <c r="G27" s="42">
        <f t="shared" si="23"/>
        <v>575.07644029654489</v>
      </c>
      <c r="H27" s="43">
        <f t="shared" ref="H27:Q27" si="24">+SUM(H6:H26)</f>
        <v>13800</v>
      </c>
      <c r="I27" s="43">
        <f t="shared" si="24"/>
        <v>20392.5</v>
      </c>
      <c r="J27" s="43">
        <f t="shared" si="24"/>
        <v>5565.2917364499999</v>
      </c>
      <c r="K27" s="43">
        <f t="shared" si="24"/>
        <v>5393.6283739999999</v>
      </c>
      <c r="L27" s="43">
        <f t="shared" si="24"/>
        <v>0</v>
      </c>
      <c r="M27" s="43">
        <f t="shared" si="24"/>
        <v>3100</v>
      </c>
      <c r="N27" s="43">
        <f t="shared" si="24"/>
        <v>2361.3914267999999</v>
      </c>
      <c r="O27" s="43">
        <f t="shared" si="24"/>
        <v>5776.2840187699994</v>
      </c>
      <c r="P27" s="43">
        <f t="shared" si="24"/>
        <v>6473.2230979999995</v>
      </c>
      <c r="Q27" s="44">
        <f t="shared" si="24"/>
        <v>0</v>
      </c>
      <c r="R27" s="42"/>
      <c r="S27" s="42">
        <f>+SUM(S6:S26)</f>
        <v>67866.193825876559</v>
      </c>
      <c r="T27" s="42"/>
    </row>
    <row r="28" spans="1:21" s="36" customFormat="1" ht="18" customHeight="1" x14ac:dyDescent="0.25">
      <c r="A28" s="378" t="s">
        <v>82</v>
      </c>
      <c r="B28" s="378"/>
      <c r="C28" s="378"/>
      <c r="D28" s="379"/>
      <c r="E28" s="45"/>
      <c r="F28" s="46"/>
      <c r="G28" s="46"/>
      <c r="H28" s="46">
        <v>13800</v>
      </c>
      <c r="I28" s="46">
        <v>23000</v>
      </c>
      <c r="J28" s="46"/>
      <c r="K28" s="46"/>
      <c r="L28" s="46"/>
      <c r="M28" s="46">
        <v>3100</v>
      </c>
      <c r="N28" s="46">
        <v>2800</v>
      </c>
      <c r="O28" s="46"/>
      <c r="P28" s="46"/>
      <c r="Q28" s="47"/>
      <c r="R28" s="46"/>
      <c r="S28" s="46"/>
      <c r="T28" s="46"/>
    </row>
    <row r="29" spans="1:21" x14ac:dyDescent="0.2">
      <c r="A29" s="134" t="s">
        <v>83</v>
      </c>
      <c r="D29" s="7"/>
      <c r="E29" s="7"/>
      <c r="F29" s="7"/>
      <c r="G29" s="7"/>
      <c r="H29" s="8"/>
      <c r="J29" s="8"/>
      <c r="K29" s="8"/>
      <c r="L29" s="8"/>
      <c r="M29" s="8"/>
      <c r="N29" s="8"/>
      <c r="O29" s="8"/>
      <c r="P29" s="8"/>
      <c r="Q29" s="8"/>
    </row>
    <row r="30" spans="1:21" s="7" customFormat="1" x14ac:dyDescent="0.2">
      <c r="B30" s="9"/>
      <c r="C30" s="9"/>
      <c r="D30" s="9"/>
      <c r="E30" s="9"/>
      <c r="F30" s="9"/>
      <c r="G30" s="9"/>
      <c r="H30" s="10"/>
      <c r="I30" s="10"/>
      <c r="J30" s="10"/>
      <c r="K30" s="10"/>
      <c r="L30" s="10"/>
      <c r="M30" s="10"/>
      <c r="N30" s="10"/>
      <c r="O30" s="10"/>
      <c r="P30" s="10"/>
      <c r="Q30" s="10"/>
      <c r="R30" s="9"/>
      <c r="S30" s="9"/>
    </row>
    <row r="31" spans="1:21" x14ac:dyDescent="0.2">
      <c r="D31" s="11"/>
      <c r="E31" s="11"/>
      <c r="F31" s="11"/>
      <c r="G31" s="11"/>
      <c r="H31" s="11"/>
      <c r="I31" s="11"/>
      <c r="J31" s="11"/>
      <c r="K31" s="11"/>
      <c r="L31" s="11"/>
      <c r="O31" s="11"/>
      <c r="P31" s="11"/>
    </row>
    <row r="32" spans="1:21" x14ac:dyDescent="0.2">
      <c r="D32" s="11"/>
      <c r="E32" s="11"/>
      <c r="F32" s="11"/>
      <c r="G32" s="11"/>
      <c r="H32" s="245"/>
      <c r="I32" s="245"/>
      <c r="J32" s="11"/>
      <c r="K32" s="11"/>
      <c r="L32" s="11"/>
      <c r="M32" s="245"/>
      <c r="N32" s="245"/>
      <c r="O32" s="11"/>
      <c r="P32" s="11"/>
    </row>
    <row r="33" spans="4:16" x14ac:dyDescent="0.2">
      <c r="D33" s="11"/>
      <c r="E33" s="11"/>
      <c r="F33" s="11"/>
      <c r="G33" s="11"/>
      <c r="H33" s="12"/>
      <c r="I33" s="13"/>
      <c r="J33" s="11"/>
      <c r="K33" s="11"/>
      <c r="L33" s="11"/>
      <c r="M33" s="12"/>
      <c r="N33" s="13"/>
      <c r="O33" s="11"/>
      <c r="P33" s="11"/>
    </row>
    <row r="34" spans="4:16" x14ac:dyDescent="0.2">
      <c r="D34" s="11"/>
      <c r="E34" s="11"/>
      <c r="F34" s="11"/>
      <c r="G34" s="11"/>
      <c r="H34" s="246"/>
      <c r="I34" s="11"/>
      <c r="J34" s="11"/>
      <c r="K34" s="11"/>
      <c r="L34" s="11"/>
      <c r="M34" s="246"/>
      <c r="N34" s="11"/>
      <c r="O34" s="11"/>
      <c r="P34" s="11"/>
    </row>
    <row r="35" spans="4:16" x14ac:dyDescent="0.2">
      <c r="D35" s="11"/>
      <c r="E35" s="11"/>
      <c r="F35" s="11"/>
      <c r="G35" s="11"/>
      <c r="H35" s="11"/>
      <c r="I35" s="11"/>
      <c r="J35" s="11"/>
      <c r="K35" s="11"/>
      <c r="L35" s="11"/>
      <c r="M35" s="11"/>
      <c r="N35" s="11"/>
      <c r="O35" s="11"/>
      <c r="P35" s="11"/>
    </row>
    <row r="36" spans="4:16" x14ac:dyDescent="0.2">
      <c r="D36" s="11"/>
      <c r="E36" s="11"/>
      <c r="F36" s="11"/>
      <c r="G36" s="11"/>
      <c r="H36" s="11"/>
      <c r="I36" s="11"/>
      <c r="J36" s="11"/>
      <c r="K36" s="11"/>
      <c r="L36" s="11"/>
      <c r="M36" s="11"/>
      <c r="N36" s="11"/>
      <c r="O36" s="11"/>
      <c r="P36" s="11"/>
    </row>
  </sheetData>
  <mergeCells count="3">
    <mergeCell ref="H3:Q3"/>
    <mergeCell ref="A27:D27"/>
    <mergeCell ref="A28:D2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9AB8C-E5F7-4578-AE42-E7D971055BE0}">
  <sheetPr codeName="Hoja10"/>
  <dimension ref="A1:CC238"/>
  <sheetViews>
    <sheetView showGridLines="0" zoomScaleNormal="100" workbookViewId="0"/>
  </sheetViews>
  <sheetFormatPr baseColWidth="10" defaultColWidth="11.42578125" defaultRowHeight="12.75" x14ac:dyDescent="0.25"/>
  <cols>
    <col min="1" max="1" width="25.7109375" style="17" customWidth="1"/>
    <col min="2" max="13" width="11.28515625" style="17" customWidth="1"/>
    <col min="14" max="14" width="6.42578125" style="17" bestFit="1" customWidth="1"/>
    <col min="15" max="15" width="12" style="17" customWidth="1"/>
    <col min="16" max="20" width="10" style="5" customWidth="1"/>
    <col min="21" max="21" width="8.28515625" style="5" bestFit="1" customWidth="1"/>
    <col min="22" max="22" width="7.5703125" style="5" bestFit="1" customWidth="1"/>
    <col min="23" max="23" width="8.7109375" style="5" bestFit="1" customWidth="1"/>
    <col min="24" max="24" width="8.42578125" style="5" bestFit="1" customWidth="1"/>
    <col min="25" max="25" width="11.5703125" style="5" bestFit="1" customWidth="1"/>
    <col min="26" max="26" width="9.42578125" style="5" bestFit="1" customWidth="1"/>
    <col min="27" max="27" width="9.85546875" style="5" bestFit="1" customWidth="1"/>
    <col min="28" max="28" width="7.42578125" style="5" bestFit="1" customWidth="1"/>
    <col min="29" max="29" width="10.85546875" style="5" bestFit="1" customWidth="1"/>
    <col min="30" max="30" width="8.5703125" style="5" bestFit="1" customWidth="1"/>
    <col min="31" max="31" width="9.140625" style="5" bestFit="1" customWidth="1"/>
    <col min="32" max="32" width="9.7109375" style="5" bestFit="1" customWidth="1"/>
    <col min="33" max="33" width="11" style="5" bestFit="1" customWidth="1"/>
    <col min="34" max="34" width="9.85546875" style="5" bestFit="1" customWidth="1"/>
    <col min="35" max="35" width="10.42578125" style="5" bestFit="1" customWidth="1"/>
    <col min="36" max="36" width="8.140625" style="5" bestFit="1" customWidth="1"/>
    <col min="37" max="37" width="9.7109375" style="5" bestFit="1" customWidth="1"/>
    <col min="38" max="38" width="9" style="5" bestFit="1" customWidth="1"/>
    <col min="39" max="39" width="8.7109375" style="5" bestFit="1" customWidth="1"/>
    <col min="40" max="40" width="9.7109375" style="5" bestFit="1" customWidth="1"/>
    <col min="41" max="41" width="10.28515625" style="5" bestFit="1" customWidth="1"/>
    <col min="42" max="42" width="8.85546875" style="5" bestFit="1" customWidth="1"/>
    <col min="43" max="43" width="9.140625" style="5" bestFit="1" customWidth="1"/>
    <col min="44" max="44" width="10.140625" style="5" bestFit="1" customWidth="1"/>
    <col min="45" max="45" width="10" style="5" customWidth="1"/>
    <col min="46" max="46" width="8.85546875" style="5" bestFit="1" customWidth="1"/>
    <col min="47" max="49" width="10" style="5" customWidth="1"/>
    <col min="50" max="50" width="9" style="5" bestFit="1" customWidth="1"/>
    <col min="51" max="51" width="9.7109375" style="5" bestFit="1" customWidth="1"/>
    <col min="52" max="52" width="10.140625" style="5" bestFit="1" customWidth="1"/>
    <col min="53" max="53" width="9.85546875" style="5" bestFit="1" customWidth="1"/>
    <col min="54" max="54" width="9" style="5" bestFit="1" customWidth="1"/>
    <col min="55" max="55" width="9.42578125" style="5" bestFit="1" customWidth="1"/>
    <col min="56" max="57" width="10.28515625" style="5" bestFit="1" customWidth="1"/>
    <col min="58" max="58" width="9.140625" style="5" bestFit="1" customWidth="1"/>
    <col min="59" max="59" width="9.7109375" style="5" bestFit="1" customWidth="1"/>
    <col min="60" max="60" width="8.42578125" style="5" bestFit="1" customWidth="1"/>
    <col min="61" max="61" width="8.7109375" style="17" bestFit="1" customWidth="1"/>
    <col min="62" max="62" width="10.85546875" style="17" bestFit="1" customWidth="1"/>
    <col min="63" max="63" width="8.7109375" style="17" bestFit="1" customWidth="1"/>
    <col min="64" max="64" width="3.7109375" style="17" customWidth="1"/>
    <col min="65" max="65" width="11.28515625" style="17" bestFit="1" customWidth="1"/>
    <col min="66" max="66" width="10.85546875" style="17" bestFit="1" customWidth="1"/>
    <col min="67" max="67" width="11" style="17" bestFit="1" customWidth="1"/>
    <col min="68" max="16384" width="11.42578125" style="17"/>
  </cols>
  <sheetData>
    <row r="1" spans="1:81" s="60" customFormat="1" ht="15.75" x14ac:dyDescent="0.2">
      <c r="A1" s="35" t="s">
        <v>138</v>
      </c>
      <c r="B1" s="100"/>
      <c r="C1" s="100"/>
      <c r="J1" s="33"/>
      <c r="K1" s="101" t="s">
        <v>11</v>
      </c>
      <c r="L1" s="101">
        <v>12</v>
      </c>
      <c r="M1" s="101">
        <v>1</v>
      </c>
      <c r="N1" s="101"/>
      <c r="O1" s="101"/>
      <c r="P1" s="292" t="s">
        <v>131</v>
      </c>
      <c r="Q1" s="294">
        <v>44015</v>
      </c>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row>
    <row r="2" spans="1:81" x14ac:dyDescent="0.25">
      <c r="A2" s="17" t="s">
        <v>117</v>
      </c>
      <c r="K2" s="101" t="s">
        <v>13</v>
      </c>
      <c r="L2" s="101">
        <v>4</v>
      </c>
      <c r="M2" s="101">
        <v>3</v>
      </c>
      <c r="N2" s="136"/>
      <c r="O2" s="136"/>
      <c r="P2" s="292" t="s">
        <v>14</v>
      </c>
      <c r="Q2" s="293">
        <v>0.88900000000000001</v>
      </c>
    </row>
    <row r="3" spans="1:81" x14ac:dyDescent="0.25">
      <c r="A3" s="17" t="s">
        <v>15</v>
      </c>
      <c r="K3" s="101" t="s">
        <v>0</v>
      </c>
      <c r="L3" s="101">
        <v>2</v>
      </c>
      <c r="M3" s="101">
        <v>6</v>
      </c>
      <c r="N3" s="136"/>
      <c r="O3" s="136"/>
      <c r="P3" s="292" t="s">
        <v>16</v>
      </c>
      <c r="Q3" s="293">
        <v>0.94569999999999999</v>
      </c>
    </row>
    <row r="4" spans="1:81" x14ac:dyDescent="0.25">
      <c r="K4" s="101" t="s">
        <v>17</v>
      </c>
      <c r="L4" s="101">
        <v>1</v>
      </c>
      <c r="M4" s="101">
        <v>12</v>
      </c>
      <c r="N4" s="136"/>
      <c r="O4" s="136"/>
      <c r="P4" s="137"/>
      <c r="Q4" s="137"/>
    </row>
    <row r="5" spans="1:81" ht="15" customHeight="1" x14ac:dyDescent="0.25">
      <c r="A5" s="138" t="s">
        <v>18</v>
      </c>
      <c r="B5" s="139">
        <v>0.1</v>
      </c>
      <c r="C5" s="140"/>
      <c r="P5" s="60"/>
      <c r="Q5" s="135"/>
      <c r="R5" s="135"/>
      <c r="S5" s="135"/>
      <c r="T5" s="135"/>
      <c r="U5" s="135"/>
      <c r="V5" s="135"/>
      <c r="W5" s="135"/>
      <c r="X5" s="60"/>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M5" s="135"/>
      <c r="BN5" s="135"/>
      <c r="BO5" s="135"/>
      <c r="BP5" s="135"/>
      <c r="BQ5" s="135"/>
      <c r="BR5" s="135"/>
      <c r="BS5" s="135"/>
      <c r="BT5" s="135"/>
      <c r="BU5" s="60"/>
      <c r="BV5" s="60"/>
      <c r="BW5" s="60"/>
      <c r="BX5" s="60"/>
      <c r="BY5" s="60"/>
      <c r="BZ5" s="60"/>
      <c r="CA5" s="60"/>
      <c r="CB5" s="60"/>
      <c r="CC5" s="60"/>
    </row>
    <row r="6" spans="1:81" s="36" customFormat="1" ht="24.75" customHeight="1" x14ac:dyDescent="0.25">
      <c r="A6" s="174" t="s">
        <v>19</v>
      </c>
      <c r="B6" s="175" t="s">
        <v>111</v>
      </c>
      <c r="C6" s="175" t="s">
        <v>113</v>
      </c>
      <c r="D6" s="176" t="s">
        <v>1</v>
      </c>
      <c r="E6" s="176" t="s">
        <v>6</v>
      </c>
      <c r="F6" s="176" t="s">
        <v>2</v>
      </c>
      <c r="G6" s="176" t="s">
        <v>7</v>
      </c>
      <c r="H6" s="176" t="s">
        <v>3</v>
      </c>
      <c r="I6" s="176" t="s">
        <v>8</v>
      </c>
      <c r="J6" s="176" t="s">
        <v>4</v>
      </c>
      <c r="K6" s="176" t="s">
        <v>9</v>
      </c>
      <c r="L6" s="176" t="s">
        <v>5</v>
      </c>
      <c r="M6" s="176" t="s">
        <v>10</v>
      </c>
      <c r="N6" s="177"/>
      <c r="O6" s="161"/>
    </row>
    <row r="7" spans="1:81" x14ac:dyDescent="0.25">
      <c r="A7" s="143" t="s">
        <v>20</v>
      </c>
      <c r="B7" s="144">
        <v>44078</v>
      </c>
      <c r="C7" s="144">
        <v>44078</v>
      </c>
      <c r="D7" s="144">
        <v>44078</v>
      </c>
      <c r="E7" s="144">
        <v>44078</v>
      </c>
      <c r="F7" s="144">
        <v>44078</v>
      </c>
      <c r="G7" s="144">
        <v>44078</v>
      </c>
      <c r="H7" s="144">
        <v>44078</v>
      </c>
      <c r="I7" s="144">
        <v>44078</v>
      </c>
      <c r="J7" s="144">
        <v>44078</v>
      </c>
      <c r="K7" s="144">
        <v>44078</v>
      </c>
      <c r="L7" s="144">
        <v>44078</v>
      </c>
      <c r="M7" s="144">
        <v>44078</v>
      </c>
      <c r="N7" s="142"/>
    </row>
    <row r="8" spans="1:81" x14ac:dyDescent="0.25">
      <c r="A8" s="143" t="s">
        <v>21</v>
      </c>
      <c r="B8" s="144">
        <v>47730</v>
      </c>
      <c r="C8" s="144">
        <v>47730</v>
      </c>
      <c r="D8" s="144">
        <v>47730</v>
      </c>
      <c r="E8" s="144">
        <v>47730</v>
      </c>
      <c r="F8" s="144">
        <v>49556</v>
      </c>
      <c r="G8" s="144">
        <v>49556</v>
      </c>
      <c r="H8" s="144">
        <v>50652</v>
      </c>
      <c r="I8" s="144">
        <v>50652</v>
      </c>
      <c r="J8" s="144">
        <v>51748</v>
      </c>
      <c r="K8" s="144">
        <v>51748</v>
      </c>
      <c r="L8" s="144">
        <v>53574</v>
      </c>
      <c r="M8" s="144">
        <v>53574</v>
      </c>
      <c r="N8" s="142"/>
    </row>
    <row r="9" spans="1:81" x14ac:dyDescent="0.25">
      <c r="A9" s="143" t="s">
        <v>22</v>
      </c>
      <c r="B9" s="144" t="s">
        <v>23</v>
      </c>
      <c r="C9" s="144" t="s">
        <v>14</v>
      </c>
      <c r="D9" s="144" t="s">
        <v>23</v>
      </c>
      <c r="E9" s="144" t="s">
        <v>14</v>
      </c>
      <c r="F9" s="144" t="s">
        <v>23</v>
      </c>
      <c r="G9" s="144" t="s">
        <v>14</v>
      </c>
      <c r="H9" s="144" t="s">
        <v>23</v>
      </c>
      <c r="I9" s="144" t="s">
        <v>14</v>
      </c>
      <c r="J9" s="144" t="s">
        <v>23</v>
      </c>
      <c r="K9" s="144" t="s">
        <v>14</v>
      </c>
      <c r="L9" s="144" t="s">
        <v>23</v>
      </c>
      <c r="M9" s="144" t="s">
        <v>14</v>
      </c>
      <c r="N9" s="142"/>
    </row>
    <row r="10" spans="1:81" x14ac:dyDescent="0.25">
      <c r="A10" s="143" t="s">
        <v>24</v>
      </c>
      <c r="B10" s="145">
        <f>+YEARFRAC(B7,B8)</f>
        <v>10</v>
      </c>
      <c r="C10" s="145">
        <f>+YEARFRAC(C7,C8)</f>
        <v>10</v>
      </c>
      <c r="D10" s="145">
        <f>+YEARFRAC(D7,D8)</f>
        <v>10</v>
      </c>
      <c r="E10" s="145">
        <f t="shared" ref="E10:M10" si="0">+YEARFRAC(E7,E8)</f>
        <v>10</v>
      </c>
      <c r="F10" s="145">
        <f t="shared" si="0"/>
        <v>15</v>
      </c>
      <c r="G10" s="145">
        <f t="shared" si="0"/>
        <v>15</v>
      </c>
      <c r="H10" s="145">
        <f t="shared" si="0"/>
        <v>18</v>
      </c>
      <c r="I10" s="145">
        <f t="shared" si="0"/>
        <v>18</v>
      </c>
      <c r="J10" s="145">
        <f t="shared" si="0"/>
        <v>21</v>
      </c>
      <c r="K10" s="145">
        <f t="shared" si="0"/>
        <v>21</v>
      </c>
      <c r="L10" s="145">
        <f t="shared" si="0"/>
        <v>26</v>
      </c>
      <c r="M10" s="145">
        <f t="shared" si="0"/>
        <v>26</v>
      </c>
      <c r="N10" s="142"/>
    </row>
    <row r="11" spans="1:81" x14ac:dyDescent="0.25">
      <c r="A11" s="143" t="s">
        <v>25</v>
      </c>
      <c r="B11" s="145">
        <f>+YEARFRAC(B7,B12)</f>
        <v>0</v>
      </c>
      <c r="C11" s="145">
        <f>+YEARFRAC(C7,C12)</f>
        <v>0</v>
      </c>
      <c r="D11" s="145">
        <f>+YEARFRAC(D7,D12)</f>
        <v>0</v>
      </c>
      <c r="E11" s="145">
        <f t="shared" ref="E11:M11" si="1">+YEARFRAC(E7,E12)</f>
        <v>0</v>
      </c>
      <c r="F11" s="145">
        <f t="shared" si="1"/>
        <v>0</v>
      </c>
      <c r="G11" s="145">
        <f t="shared" si="1"/>
        <v>0</v>
      </c>
      <c r="H11" s="145">
        <f t="shared" si="1"/>
        <v>0</v>
      </c>
      <c r="I11" s="145">
        <f t="shared" si="1"/>
        <v>0</v>
      </c>
      <c r="J11" s="145">
        <f t="shared" si="1"/>
        <v>0</v>
      </c>
      <c r="K11" s="145">
        <f t="shared" si="1"/>
        <v>0</v>
      </c>
      <c r="L11" s="145">
        <f t="shared" si="1"/>
        <v>0</v>
      </c>
      <c r="M11" s="145">
        <f t="shared" si="1"/>
        <v>0</v>
      </c>
      <c r="N11" s="142"/>
      <c r="BL11" s="5"/>
    </row>
    <row r="12" spans="1:81" x14ac:dyDescent="0.25">
      <c r="A12" s="143" t="s">
        <v>26</v>
      </c>
      <c r="B12" s="144">
        <v>44078</v>
      </c>
      <c r="C12" s="144">
        <v>44078</v>
      </c>
      <c r="D12" s="144">
        <v>44078</v>
      </c>
      <c r="E12" s="144">
        <v>44078</v>
      </c>
      <c r="F12" s="144">
        <v>44078</v>
      </c>
      <c r="G12" s="144">
        <v>44078</v>
      </c>
      <c r="H12" s="144">
        <v>44078</v>
      </c>
      <c r="I12" s="144">
        <v>44078</v>
      </c>
      <c r="J12" s="144">
        <v>44078</v>
      </c>
      <c r="K12" s="144">
        <v>44078</v>
      </c>
      <c r="L12" s="144">
        <v>44078</v>
      </c>
      <c r="M12" s="144">
        <v>44078</v>
      </c>
      <c r="N12" s="142"/>
    </row>
    <row r="13" spans="1:81" x14ac:dyDescent="0.25">
      <c r="A13" s="143" t="s">
        <v>27</v>
      </c>
      <c r="B13" s="144">
        <v>44443</v>
      </c>
      <c r="C13" s="144">
        <v>44443</v>
      </c>
      <c r="D13" s="144">
        <v>44443</v>
      </c>
      <c r="E13" s="144">
        <v>44443</v>
      </c>
      <c r="F13" s="144">
        <v>44443</v>
      </c>
      <c r="G13" s="144">
        <v>44443</v>
      </c>
      <c r="H13" s="144">
        <v>44443</v>
      </c>
      <c r="I13" s="144">
        <v>44443</v>
      </c>
      <c r="J13" s="144">
        <v>44443</v>
      </c>
      <c r="K13" s="144">
        <v>44443</v>
      </c>
      <c r="L13" s="144">
        <v>44443</v>
      </c>
      <c r="M13" s="144">
        <v>44443</v>
      </c>
      <c r="N13" s="142"/>
    </row>
    <row r="14" spans="1:81" x14ac:dyDescent="0.25">
      <c r="A14" s="143" t="s">
        <v>28</v>
      </c>
      <c r="B14" s="146" t="s">
        <v>29</v>
      </c>
      <c r="C14" s="146" t="s">
        <v>29</v>
      </c>
      <c r="D14" s="146" t="s">
        <v>29</v>
      </c>
      <c r="E14" s="146" t="s">
        <v>29</v>
      </c>
      <c r="F14" s="146" t="s">
        <v>29</v>
      </c>
      <c r="G14" s="146" t="s">
        <v>29</v>
      </c>
      <c r="H14" s="146" t="s">
        <v>29</v>
      </c>
      <c r="I14" s="146" t="s">
        <v>29</v>
      </c>
      <c r="J14" s="146" t="s">
        <v>29</v>
      </c>
      <c r="K14" s="146" t="s">
        <v>29</v>
      </c>
      <c r="L14" s="146" t="s">
        <v>29</v>
      </c>
      <c r="M14" s="146" t="s">
        <v>29</v>
      </c>
      <c r="N14" s="142"/>
    </row>
    <row r="15" spans="1:81" x14ac:dyDescent="0.25">
      <c r="A15" s="143" t="s">
        <v>30</v>
      </c>
      <c r="B15" s="144" t="s">
        <v>0</v>
      </c>
      <c r="C15" s="144" t="s">
        <v>0</v>
      </c>
      <c r="D15" s="144" t="s">
        <v>0</v>
      </c>
      <c r="E15" s="144" t="s">
        <v>0</v>
      </c>
      <c r="F15" s="144" t="s">
        <v>0</v>
      </c>
      <c r="G15" s="144" t="s">
        <v>0</v>
      </c>
      <c r="H15" s="144" t="s">
        <v>0</v>
      </c>
      <c r="I15" s="144" t="s">
        <v>0</v>
      </c>
      <c r="J15" s="144" t="s">
        <v>0</v>
      </c>
      <c r="K15" s="144" t="s">
        <v>0</v>
      </c>
      <c r="L15" s="144" t="s">
        <v>0</v>
      </c>
      <c r="M15" s="144" t="s">
        <v>0</v>
      </c>
      <c r="N15" s="142"/>
      <c r="O15" s="147"/>
    </row>
    <row r="16" spans="1:81" x14ac:dyDescent="0.25">
      <c r="A16" s="143" t="s">
        <v>31</v>
      </c>
      <c r="B16" s="148">
        <v>8</v>
      </c>
      <c r="C16" s="148">
        <v>8</v>
      </c>
      <c r="D16" s="148">
        <v>12</v>
      </c>
      <c r="E16" s="148">
        <v>12</v>
      </c>
      <c r="F16" s="148">
        <v>10</v>
      </c>
      <c r="G16" s="148">
        <v>10</v>
      </c>
      <c r="H16" s="148">
        <v>22</v>
      </c>
      <c r="I16" s="148">
        <v>22</v>
      </c>
      <c r="J16" s="148">
        <v>28</v>
      </c>
      <c r="K16" s="148">
        <v>28</v>
      </c>
      <c r="L16" s="148">
        <v>44</v>
      </c>
      <c r="M16" s="148">
        <v>44</v>
      </c>
      <c r="N16" s="142"/>
      <c r="O16" s="147"/>
    </row>
    <row r="17" spans="1:81" x14ac:dyDescent="0.25">
      <c r="A17" s="143" t="s">
        <v>32</v>
      </c>
      <c r="B17" s="144">
        <v>46450</v>
      </c>
      <c r="C17" s="144">
        <v>46450</v>
      </c>
      <c r="D17" s="144">
        <v>45720</v>
      </c>
      <c r="E17" s="144">
        <v>45720</v>
      </c>
      <c r="F17" s="144">
        <v>47911</v>
      </c>
      <c r="G17" s="144">
        <v>47911</v>
      </c>
      <c r="H17" s="144">
        <v>46816</v>
      </c>
      <c r="I17" s="144">
        <v>46816</v>
      </c>
      <c r="J17" s="144">
        <v>46816</v>
      </c>
      <c r="K17" s="144">
        <v>46816</v>
      </c>
      <c r="L17" s="144">
        <v>45720</v>
      </c>
      <c r="M17" s="144">
        <v>45720</v>
      </c>
      <c r="N17" s="142"/>
      <c r="O17" s="147"/>
    </row>
    <row r="18" spans="1:81" x14ac:dyDescent="0.25">
      <c r="A18" s="149" t="s">
        <v>33</v>
      </c>
      <c r="B18" s="150">
        <f>+HLOOKUP(B6,'Arg IV - Canje optimo'!$F$5:$Q$27,23,FALSE)</f>
        <v>2145.623002415824</v>
      </c>
      <c r="C18" s="150">
        <f>+HLOOKUP(C6,'Arg IV - Canje optimo'!$F$5:$Q$27,23,FALSE)</f>
        <v>575.07644029654489</v>
      </c>
      <c r="D18" s="150">
        <f>+HLOOKUP(D6,'Arg IV - Canje optimo'!$F$5:$Q$27,23,FALSE)</f>
        <v>13800</v>
      </c>
      <c r="E18" s="150">
        <f>+HLOOKUP(E6,'Arg IV - Canje optimo'!$F$5:$Q$27,23,FALSE)</f>
        <v>3100</v>
      </c>
      <c r="F18" s="150">
        <f>+HLOOKUP(F6,'Arg IV - Canje optimo'!$F$5:$Q$27,23,FALSE)</f>
        <v>20392.5</v>
      </c>
      <c r="G18" s="150">
        <f>+HLOOKUP(G6,'Arg IV - Canje optimo'!$F$5:$Q$27,23,FALSE)</f>
        <v>2361.3914267999999</v>
      </c>
      <c r="H18" s="150">
        <f>+HLOOKUP(H6,'Arg IV - Canje optimo'!$F$5:$Q$27,23,FALSE)</f>
        <v>5565.2917364499999</v>
      </c>
      <c r="I18" s="150">
        <f>+HLOOKUP(I6,'Arg IV - Canje optimo'!$F$5:$Q$27,23,FALSE)</f>
        <v>5776.2840187699994</v>
      </c>
      <c r="J18" s="150">
        <f>+HLOOKUP(J6,'Arg IV - Canje optimo'!$F$5:$Q$27,23,FALSE)</f>
        <v>5393.6283739999999</v>
      </c>
      <c r="K18" s="150">
        <f>+HLOOKUP(K6,'Arg IV - Canje optimo'!$F$5:$Q$27,23,FALSE)</f>
        <v>6473.2230979999995</v>
      </c>
      <c r="L18" s="150">
        <f>+HLOOKUP(L6,'Arg IV - Canje optimo'!$F$5:$Q$27,23,FALSE)</f>
        <v>0</v>
      </c>
      <c r="M18" s="150">
        <f>+HLOOKUP(M6,'Arg IV - Canje optimo'!$F$5:$Q$27,23,FALSE)</f>
        <v>0</v>
      </c>
      <c r="N18" s="142"/>
      <c r="O18" s="147"/>
    </row>
    <row r="19" spans="1:81" x14ac:dyDescent="0.25">
      <c r="A19" s="151" t="s">
        <v>34</v>
      </c>
      <c r="B19" s="152">
        <f t="shared" ref="B19:M19" si="2">+B$18*(IF(B$14="no",1,(1+B$14/VLOOKUP(B$15,$K$1:$L$4,2,0))^(VLOOKUP(B$15,$K$1:$L$4,2,0)*B$11)))</f>
        <v>2145.623002415824</v>
      </c>
      <c r="C19" s="152">
        <f t="shared" si="2"/>
        <v>575.07644029654489</v>
      </c>
      <c r="D19" s="152">
        <f t="shared" si="2"/>
        <v>13800</v>
      </c>
      <c r="E19" s="152">
        <f t="shared" si="2"/>
        <v>3100</v>
      </c>
      <c r="F19" s="152">
        <f t="shared" si="2"/>
        <v>20392.5</v>
      </c>
      <c r="G19" s="152">
        <f t="shared" si="2"/>
        <v>2361.3914267999999</v>
      </c>
      <c r="H19" s="152">
        <f t="shared" si="2"/>
        <v>5565.2917364499999</v>
      </c>
      <c r="I19" s="152">
        <f t="shared" si="2"/>
        <v>5776.2840187699994</v>
      </c>
      <c r="J19" s="152">
        <f t="shared" si="2"/>
        <v>5393.6283739999999</v>
      </c>
      <c r="K19" s="152">
        <f t="shared" si="2"/>
        <v>6473.2230979999995</v>
      </c>
      <c r="L19" s="152">
        <f t="shared" si="2"/>
        <v>0</v>
      </c>
      <c r="M19" s="152">
        <f t="shared" si="2"/>
        <v>0</v>
      </c>
      <c r="N19" s="142"/>
    </row>
    <row r="20" spans="1:81" s="5" customFormat="1" ht="21" customHeight="1" x14ac:dyDescent="0.25">
      <c r="A20" s="141" t="s">
        <v>35</v>
      </c>
      <c r="B20" s="153">
        <f>$S$78</f>
        <v>1101.8187840477167</v>
      </c>
      <c r="C20" s="153">
        <f>$W$78</f>
        <v>279.41889756533936</v>
      </c>
      <c r="D20" s="153">
        <f>$AA$78</f>
        <v>7448.7944084834025</v>
      </c>
      <c r="E20" s="153">
        <f>$AE$78</f>
        <v>1593.8860100753234</v>
      </c>
      <c r="F20" s="153">
        <f>$AI$78</f>
        <v>10747.957460853409</v>
      </c>
      <c r="G20" s="153">
        <f>$AM$78</f>
        <v>1147.98763190261</v>
      </c>
      <c r="H20" s="153">
        <f>$AQ$78</f>
        <v>3221.633668901075</v>
      </c>
      <c r="I20" s="153">
        <f>$AU$78</f>
        <v>3094.8472474028235</v>
      </c>
      <c r="J20" s="153">
        <f>$AY$78</f>
        <v>2791.0430007211626</v>
      </c>
      <c r="K20" s="153">
        <f>$BC$78</f>
        <v>3112.7439145465569</v>
      </c>
      <c r="L20" s="153">
        <f>$BG$78</f>
        <v>0</v>
      </c>
      <c r="M20" s="153">
        <f>$BK$78</f>
        <v>0</v>
      </c>
      <c r="N20" s="142"/>
      <c r="O20" s="17"/>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M20" s="135"/>
      <c r="BN20" s="135"/>
      <c r="BO20" s="135"/>
      <c r="BP20" s="135"/>
      <c r="BQ20" s="135"/>
      <c r="BR20" s="135"/>
      <c r="BS20" s="135"/>
      <c r="BT20" s="135"/>
      <c r="BU20" s="135"/>
      <c r="BV20" s="135"/>
      <c r="BW20" s="135"/>
      <c r="BX20" s="135"/>
      <c r="BY20" s="135"/>
      <c r="BZ20" s="135"/>
      <c r="CA20" s="135"/>
      <c r="CB20" s="135"/>
      <c r="CC20" s="135"/>
    </row>
    <row r="21" spans="1:81" s="5" customFormat="1" ht="21" customHeight="1" x14ac:dyDescent="0.25">
      <c r="A21" s="141" t="s">
        <v>36</v>
      </c>
      <c r="B21" s="154">
        <f t="shared" ref="B21:M21" si="3">+B20/IF(B$9="USD",1,$Q$2)</f>
        <v>1101.8187840477167</v>
      </c>
      <c r="C21" s="154">
        <f t="shared" si="3"/>
        <v>314.30697138958305</v>
      </c>
      <c r="D21" s="154">
        <f t="shared" si="3"/>
        <v>7448.7944084834025</v>
      </c>
      <c r="E21" s="154">
        <f t="shared" si="3"/>
        <v>1792.8976491285978</v>
      </c>
      <c r="F21" s="154">
        <f t="shared" si="3"/>
        <v>10747.957460853409</v>
      </c>
      <c r="G21" s="154">
        <f t="shared" si="3"/>
        <v>1291.3246703066479</v>
      </c>
      <c r="H21" s="154">
        <f t="shared" si="3"/>
        <v>3221.633668901075</v>
      </c>
      <c r="I21" s="154">
        <f t="shared" si="3"/>
        <v>3481.2679948288228</v>
      </c>
      <c r="J21" s="154">
        <f t="shared" si="3"/>
        <v>2791.0430007211626</v>
      </c>
      <c r="K21" s="154">
        <f t="shared" si="3"/>
        <v>3501.3992289612561</v>
      </c>
      <c r="L21" s="154">
        <f t="shared" si="3"/>
        <v>0</v>
      </c>
      <c r="M21" s="154">
        <f t="shared" si="3"/>
        <v>0</v>
      </c>
      <c r="N21" s="142"/>
      <c r="O21" s="17"/>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M21" s="135"/>
      <c r="BN21" s="135"/>
      <c r="BO21" s="135"/>
      <c r="BP21" s="135"/>
      <c r="BQ21" s="135"/>
      <c r="BR21" s="135"/>
      <c r="BS21" s="135"/>
      <c r="BT21" s="135"/>
      <c r="BU21" s="135"/>
      <c r="BV21" s="135"/>
      <c r="BW21" s="135"/>
      <c r="BX21" s="135"/>
      <c r="BY21" s="135"/>
      <c r="BZ21" s="135"/>
      <c r="CA21" s="135"/>
      <c r="CB21" s="135"/>
      <c r="CC21" s="135"/>
    </row>
    <row r="22" spans="1:81" x14ac:dyDescent="0.25">
      <c r="A22" s="5"/>
      <c r="B22" s="155"/>
      <c r="C22" s="5"/>
      <c r="D22" s="155"/>
      <c r="E22" s="5"/>
      <c r="F22" s="155"/>
      <c r="G22" s="5"/>
      <c r="H22" s="155"/>
      <c r="I22" s="5"/>
      <c r="J22" s="155"/>
      <c r="K22" s="5"/>
      <c r="L22" s="155"/>
      <c r="M22" s="5"/>
    </row>
    <row r="23" spans="1:81" s="211" customFormat="1" x14ac:dyDescent="0.25">
      <c r="A23" s="209"/>
      <c r="B23" s="209"/>
      <c r="C23" s="209"/>
      <c r="D23" s="209"/>
      <c r="E23" s="210"/>
      <c r="F23" s="210"/>
      <c r="G23" s="210"/>
      <c r="H23" s="210"/>
      <c r="I23" s="210"/>
      <c r="J23" s="210"/>
      <c r="K23" s="210"/>
      <c r="L23" s="210"/>
      <c r="M23" s="210"/>
      <c r="P23" s="355" t="s">
        <v>111</v>
      </c>
      <c r="Q23" s="353"/>
      <c r="R23" s="353"/>
      <c r="S23" s="354"/>
      <c r="T23" s="355" t="s">
        <v>113</v>
      </c>
      <c r="U23" s="353"/>
      <c r="V23" s="353"/>
      <c r="W23" s="354"/>
      <c r="X23" s="355" t="str">
        <f>D6</f>
        <v>USD 2030</v>
      </c>
      <c r="Y23" s="353"/>
      <c r="Z23" s="353"/>
      <c r="AA23" s="354"/>
      <c r="AB23" s="353" t="str">
        <f>E6</f>
        <v>EUR 2030</v>
      </c>
      <c r="AC23" s="353"/>
      <c r="AD23" s="353"/>
      <c r="AE23" s="354"/>
      <c r="AF23" s="353" t="str">
        <f>F6</f>
        <v>USD 2035</v>
      </c>
      <c r="AG23" s="353"/>
      <c r="AH23" s="353"/>
      <c r="AI23" s="354"/>
      <c r="AJ23" s="353" t="str">
        <f>G6</f>
        <v>EUR 2035</v>
      </c>
      <c r="AK23" s="353"/>
      <c r="AL23" s="353"/>
      <c r="AM23" s="354"/>
      <c r="AN23" s="353" t="str">
        <f>H6</f>
        <v>USD 2038</v>
      </c>
      <c r="AO23" s="353"/>
      <c r="AP23" s="353"/>
      <c r="AQ23" s="354"/>
      <c r="AR23" s="353" t="str">
        <f>I6</f>
        <v>EUR 2038</v>
      </c>
      <c r="AS23" s="353"/>
      <c r="AT23" s="353"/>
      <c r="AU23" s="354"/>
      <c r="AV23" s="353" t="str">
        <f>J6</f>
        <v>USD 2041</v>
      </c>
      <c r="AW23" s="353"/>
      <c r="AX23" s="353"/>
      <c r="AY23" s="354"/>
      <c r="AZ23" s="353" t="str">
        <f>K6</f>
        <v>EUR 2041</v>
      </c>
      <c r="BA23" s="353"/>
      <c r="BB23" s="353"/>
      <c r="BC23" s="354"/>
      <c r="BD23" s="353" t="str">
        <f>L6</f>
        <v>USD 2046</v>
      </c>
      <c r="BE23" s="353"/>
      <c r="BF23" s="353"/>
      <c r="BG23" s="354"/>
      <c r="BH23" s="353" t="str">
        <f>M6</f>
        <v>EUR 2046</v>
      </c>
      <c r="BI23" s="353"/>
      <c r="BJ23" s="353"/>
      <c r="BK23" s="354"/>
      <c r="BL23" s="212"/>
      <c r="BM23" s="353" t="s">
        <v>112</v>
      </c>
      <c r="BN23" s="353"/>
      <c r="BO23" s="353"/>
      <c r="BP23" s="353" t="s">
        <v>132</v>
      </c>
      <c r="BQ23" s="353"/>
    </row>
    <row r="24" spans="1:81" s="19" customFormat="1" ht="25.5" x14ac:dyDescent="0.25">
      <c r="A24" s="188" t="s">
        <v>37</v>
      </c>
      <c r="B24" s="356" t="s">
        <v>38</v>
      </c>
      <c r="C24" s="357"/>
      <c r="D24" s="357"/>
      <c r="E24" s="357"/>
      <c r="F24" s="357"/>
      <c r="G24" s="357"/>
      <c r="H24" s="357"/>
      <c r="I24" s="357"/>
      <c r="J24" s="357"/>
      <c r="K24" s="357"/>
      <c r="L24" s="357"/>
      <c r="M24" s="358"/>
      <c r="N24" s="202" t="s">
        <v>108</v>
      </c>
      <c r="O24" s="202" t="s">
        <v>39</v>
      </c>
      <c r="P24" s="202" t="s">
        <v>40</v>
      </c>
      <c r="Q24" s="203" t="s">
        <v>41</v>
      </c>
      <c r="R24" s="203" t="s">
        <v>42</v>
      </c>
      <c r="S24" s="204" t="s">
        <v>43</v>
      </c>
      <c r="T24" s="202" t="s">
        <v>40</v>
      </c>
      <c r="U24" s="203" t="s">
        <v>41</v>
      </c>
      <c r="V24" s="203" t="s">
        <v>42</v>
      </c>
      <c r="W24" s="204" t="s">
        <v>43</v>
      </c>
      <c r="X24" s="202" t="s">
        <v>40</v>
      </c>
      <c r="Y24" s="203" t="s">
        <v>41</v>
      </c>
      <c r="Z24" s="203" t="s">
        <v>42</v>
      </c>
      <c r="AA24" s="204" t="s">
        <v>43</v>
      </c>
      <c r="AB24" s="202" t="s">
        <v>40</v>
      </c>
      <c r="AC24" s="203" t="s">
        <v>41</v>
      </c>
      <c r="AD24" s="203" t="s">
        <v>42</v>
      </c>
      <c r="AE24" s="204" t="s">
        <v>43</v>
      </c>
      <c r="AF24" s="202" t="s">
        <v>40</v>
      </c>
      <c r="AG24" s="203" t="s">
        <v>41</v>
      </c>
      <c r="AH24" s="203" t="s">
        <v>42</v>
      </c>
      <c r="AI24" s="204" t="s">
        <v>43</v>
      </c>
      <c r="AJ24" s="202" t="s">
        <v>40</v>
      </c>
      <c r="AK24" s="203" t="s">
        <v>41</v>
      </c>
      <c r="AL24" s="203" t="s">
        <v>42</v>
      </c>
      <c r="AM24" s="204" t="s">
        <v>43</v>
      </c>
      <c r="AN24" s="202" t="s">
        <v>40</v>
      </c>
      <c r="AO24" s="203" t="s">
        <v>41</v>
      </c>
      <c r="AP24" s="203" t="s">
        <v>42</v>
      </c>
      <c r="AQ24" s="204" t="s">
        <v>43</v>
      </c>
      <c r="AR24" s="202" t="s">
        <v>40</v>
      </c>
      <c r="AS24" s="203" t="s">
        <v>41</v>
      </c>
      <c r="AT24" s="203" t="s">
        <v>42</v>
      </c>
      <c r="AU24" s="204" t="s">
        <v>43</v>
      </c>
      <c r="AV24" s="202" t="s">
        <v>40</v>
      </c>
      <c r="AW24" s="203" t="s">
        <v>41</v>
      </c>
      <c r="AX24" s="203" t="s">
        <v>42</v>
      </c>
      <c r="AY24" s="204" t="s">
        <v>43</v>
      </c>
      <c r="AZ24" s="202" t="s">
        <v>40</v>
      </c>
      <c r="BA24" s="203" t="s">
        <v>41</v>
      </c>
      <c r="BB24" s="203" t="s">
        <v>42</v>
      </c>
      <c r="BC24" s="204" t="s">
        <v>43</v>
      </c>
      <c r="BD24" s="202" t="s">
        <v>40</v>
      </c>
      <c r="BE24" s="203" t="s">
        <v>41</v>
      </c>
      <c r="BF24" s="203" t="s">
        <v>42</v>
      </c>
      <c r="BG24" s="204" t="s">
        <v>43</v>
      </c>
      <c r="BH24" s="202" t="s">
        <v>40</v>
      </c>
      <c r="BI24" s="203" t="s">
        <v>41</v>
      </c>
      <c r="BJ24" s="203" t="s">
        <v>42</v>
      </c>
      <c r="BK24" s="204" t="s">
        <v>43</v>
      </c>
      <c r="BL24" s="205"/>
      <c r="BM24" s="187" t="s">
        <v>45</v>
      </c>
      <c r="BN24" s="206" t="s">
        <v>46</v>
      </c>
      <c r="BO24" s="207" t="s">
        <v>47</v>
      </c>
      <c r="BP24" s="208"/>
      <c r="BQ24" s="207"/>
    </row>
    <row r="25" spans="1:81" s="20" customFormat="1" x14ac:dyDescent="0.2">
      <c r="A25" s="180">
        <f>+D7</f>
        <v>44078</v>
      </c>
      <c r="B25" s="234">
        <v>0</v>
      </c>
      <c r="C25" s="235">
        <v>0</v>
      </c>
      <c r="D25" s="238">
        <v>0</v>
      </c>
      <c r="E25" s="238">
        <v>0</v>
      </c>
      <c r="F25" s="238">
        <v>0</v>
      </c>
      <c r="G25" s="238">
        <v>0</v>
      </c>
      <c r="H25" s="238">
        <v>0</v>
      </c>
      <c r="I25" s="238">
        <v>0</v>
      </c>
      <c r="J25" s="238">
        <v>0</v>
      </c>
      <c r="K25" s="238">
        <v>0</v>
      </c>
      <c r="L25" s="238">
        <v>0</v>
      </c>
      <c r="M25" s="239">
        <v>0</v>
      </c>
      <c r="N25" s="20">
        <f>+YEAR(O25)</f>
        <v>2020</v>
      </c>
      <c r="O25" s="323">
        <f>+D7</f>
        <v>44078</v>
      </c>
      <c r="P25" s="230"/>
      <c r="Q25" s="326"/>
      <c r="R25" s="229"/>
      <c r="S25" s="228"/>
      <c r="T25" s="230"/>
      <c r="U25" s="326"/>
      <c r="V25" s="229"/>
      <c r="W25" s="228"/>
      <c r="X25" s="230"/>
      <c r="Y25" s="326"/>
      <c r="Z25" s="229"/>
      <c r="AA25" s="228"/>
      <c r="AB25" s="230"/>
      <c r="AC25" s="326"/>
      <c r="AD25" s="229"/>
      <c r="AE25" s="228"/>
      <c r="AF25" s="230"/>
      <c r="AG25" s="326"/>
      <c r="AH25" s="229"/>
      <c r="AI25" s="228"/>
      <c r="AJ25" s="230"/>
      <c r="AK25" s="326"/>
      <c r="AL25" s="229"/>
      <c r="AM25" s="228"/>
      <c r="AN25" s="230"/>
      <c r="AO25" s="326"/>
      <c r="AP25" s="229"/>
      <c r="AQ25" s="228"/>
      <c r="AR25" s="230"/>
      <c r="AS25" s="326"/>
      <c r="AT25" s="229"/>
      <c r="AU25" s="228"/>
      <c r="AV25" s="230"/>
      <c r="AW25" s="326"/>
      <c r="AX25" s="229"/>
      <c r="AY25" s="228"/>
      <c r="AZ25" s="230"/>
      <c r="BA25" s="326"/>
      <c r="BB25" s="229"/>
      <c r="BC25" s="228"/>
      <c r="BD25" s="230"/>
      <c r="BE25" s="326"/>
      <c r="BF25" s="229"/>
      <c r="BG25" s="228"/>
      <c r="BH25" s="230"/>
      <c r="BI25" s="326"/>
      <c r="BJ25" s="229"/>
      <c r="BK25" s="228"/>
      <c r="BL25" s="218"/>
      <c r="BM25" s="226">
        <f>+P25+X25+AF25+AN25+AV25+BD25+(T25+AB25+AJ25+AR25+AZ25+BH25)/$Q$2</f>
        <v>0</v>
      </c>
      <c r="BN25" s="223">
        <f>+Q25+Y25+AG25+AO25+AW25+BE25+(U25+AC25+AK25+AS25+BA25+BI25)/$Q$2</f>
        <v>0</v>
      </c>
      <c r="BO25" s="227">
        <f t="shared" ref="BO25:BO77" si="4">+BM25+BN25</f>
        <v>0</v>
      </c>
      <c r="BP25" s="216">
        <f>+YEARFRAC($O$25,O25)</f>
        <v>0</v>
      </c>
      <c r="BQ25" s="224">
        <f t="shared" ref="BQ25:BQ77" si="5">+BN25*BP25</f>
        <v>0</v>
      </c>
    </row>
    <row r="26" spans="1:81" s="20" customFormat="1" x14ac:dyDescent="0.25">
      <c r="A26" s="180">
        <f t="shared" ref="A26:A77" si="6">DATE(YEAR(A25),MONTH(A25)+VLOOKUP($D$15,$K$1:$M$4,3,0),DAY(A25))</f>
        <v>44259</v>
      </c>
      <c r="B26" s="236">
        <v>0</v>
      </c>
      <c r="C26" s="237">
        <v>0</v>
      </c>
      <c r="D26" s="191">
        <v>0</v>
      </c>
      <c r="E26" s="191">
        <v>0</v>
      </c>
      <c r="F26" s="191">
        <v>0</v>
      </c>
      <c r="G26" s="191">
        <v>0</v>
      </c>
      <c r="H26" s="191">
        <v>0</v>
      </c>
      <c r="I26" s="191">
        <v>0</v>
      </c>
      <c r="J26" s="191">
        <v>0</v>
      </c>
      <c r="K26" s="191">
        <v>0</v>
      </c>
      <c r="L26" s="191">
        <v>0</v>
      </c>
      <c r="M26" s="192">
        <v>0</v>
      </c>
      <c r="N26" s="20">
        <f t="shared" ref="N26:N77" si="7">+YEAR(O26)</f>
        <v>2021</v>
      </c>
      <c r="O26" s="323">
        <f t="shared" ref="O26:O77" si="8">+DATE(YEAR(O25),MONTH(O25)+VLOOKUP(D$15,$K$1:$M$4,3,0),DAY(O25))</f>
        <v>44259</v>
      </c>
      <c r="P26" s="230">
        <v>0</v>
      </c>
      <c r="Q26" s="327">
        <f t="shared" ref="Q26:Q27" si="9">+IF($O26&gt;$B$8,"FIN",IF($O26&lt;$B$17,0,$B$19/$B$16))</f>
        <v>0</v>
      </c>
      <c r="R26" s="229">
        <f t="shared" ref="R26:R44" si="10">+SUM(P26:Q26)</f>
        <v>0</v>
      </c>
      <c r="S26" s="228">
        <f>R26/(1+$B$5)^(YEARFRAC($O$25,$O26))</f>
        <v>0</v>
      </c>
      <c r="T26" s="230">
        <v>0</v>
      </c>
      <c r="U26" s="327">
        <f t="shared" ref="U26:U27" si="11">+IF($O26&gt;$C$8,"FIN",IF($O26&lt;$C$17,0,$C$19/$C$16))</f>
        <v>0</v>
      </c>
      <c r="V26" s="229">
        <f t="shared" ref="V26:V44" si="12">+SUM(T26:U26)</f>
        <v>0</v>
      </c>
      <c r="W26" s="228">
        <f>V26/(1+$B$5)^(YEARFRAC($O$25,$O26))</f>
        <v>0</v>
      </c>
      <c r="X26" s="230">
        <v>0</v>
      </c>
      <c r="Y26" s="327">
        <f t="shared" ref="Y26:Y27" si="13">+IF($O26&gt;$D$8,"FIN",IF($O26&lt;$D$17,0,$D$19/$D$16))</f>
        <v>0</v>
      </c>
      <c r="Z26" s="229">
        <f t="shared" ref="Z26:Z45" si="14">+SUM(X26:Y26)</f>
        <v>0</v>
      </c>
      <c r="AA26" s="228">
        <f>Z26/(1+$B$5)^(YEARFRAC($O$25,$O26))</f>
        <v>0</v>
      </c>
      <c r="AB26" s="230">
        <v>0</v>
      </c>
      <c r="AC26" s="229">
        <f t="shared" ref="AC26:AC27" si="15">+IF($O26&gt;$E$8,"FIN",IF($O26&lt;$E$17,0,$E$19/$E$16))</f>
        <v>0</v>
      </c>
      <c r="AD26" s="229">
        <f t="shared" ref="AD26:AD45" si="16">+SUM(AB26:AC26)</f>
        <v>0</v>
      </c>
      <c r="AE26" s="228">
        <f>AD26/(1+$B$5)^(YEARFRAC($O$25,$O26))</f>
        <v>0</v>
      </c>
      <c r="AF26" s="230">
        <v>0</v>
      </c>
      <c r="AG26" s="327">
        <f t="shared" ref="AG26:AG27" si="17">+IF($O26&gt;$F$8,"FIN",IF($O26&lt;$F$17,0,$F$19/$F$16))</f>
        <v>0</v>
      </c>
      <c r="AH26" s="229">
        <f t="shared" ref="AH26:AH55" si="18">+SUM(AF26:AG26)</f>
        <v>0</v>
      </c>
      <c r="AI26" s="228">
        <f>AH26/(1+$B$5)^(YEARFRAC($O$25,$O26))</f>
        <v>0</v>
      </c>
      <c r="AJ26" s="230">
        <v>0</v>
      </c>
      <c r="AK26" s="229">
        <f t="shared" ref="AK26:AK27" si="19">+IF($O26&gt;$G$8,"FIN",IF($O26&lt;$G$17,0,$G$19/$G$16))</f>
        <v>0</v>
      </c>
      <c r="AL26" s="229">
        <f t="shared" ref="AL26:AL55" si="20">+SUM(AJ26:AK26)</f>
        <v>0</v>
      </c>
      <c r="AM26" s="228">
        <f>AL26/(1+$B$5)^(YEARFRAC($O$25,$O26))</f>
        <v>0</v>
      </c>
      <c r="AN26" s="230">
        <v>0</v>
      </c>
      <c r="AO26" s="229">
        <f t="shared" ref="AO26:AO27" si="21">+IF($O26&gt;$H$8,"FIN",IF($O26&lt;$H$17,0,$H$19/$H$16))</f>
        <v>0</v>
      </c>
      <c r="AP26" s="229">
        <f t="shared" ref="AP26:AP61" si="22">+SUM(AN26:AO26)</f>
        <v>0</v>
      </c>
      <c r="AQ26" s="228">
        <f>AP26/(1+$B$5)^(YEARFRAC($O$25,$O26))</f>
        <v>0</v>
      </c>
      <c r="AR26" s="230">
        <v>0</v>
      </c>
      <c r="AS26" s="229">
        <f t="shared" ref="AS26:AS27" si="23">+IF($O26&gt;$I$8,"FIN",IF($O26&lt;$I$17,0,$I$19/$I$16))</f>
        <v>0</v>
      </c>
      <c r="AT26" s="229">
        <f t="shared" ref="AT26:AT61" si="24">+SUM(AR26:AS26)</f>
        <v>0</v>
      </c>
      <c r="AU26" s="228">
        <f>AT26/(1+$B$5)^(YEARFRAC($O$25,$O26))</f>
        <v>0</v>
      </c>
      <c r="AV26" s="230">
        <v>0</v>
      </c>
      <c r="AW26" s="229">
        <f t="shared" ref="AW26:AW27" si="25">+IF($O26&gt;$J$8,"FIN",IF($O26&lt;$J$17,0,$J$19/$J$16))</f>
        <v>0</v>
      </c>
      <c r="AX26" s="229">
        <f t="shared" ref="AX26:AX67" si="26">+SUM(AV26:AW26)</f>
        <v>0</v>
      </c>
      <c r="AY26" s="228">
        <f>AX26/(1+$B$5)^(YEARFRAC($O$25,$O26))</f>
        <v>0</v>
      </c>
      <c r="AZ26" s="230">
        <v>0</v>
      </c>
      <c r="BA26" s="229">
        <f t="shared" ref="BA26:BA27" si="27">+IF($O26&gt;$K$8,"FIN",IF($O26&lt;$K$17,0,$K$19/$K$16))</f>
        <v>0</v>
      </c>
      <c r="BB26" s="229">
        <f t="shared" ref="BB26:BB67" si="28">+SUM(AZ26:BA26)</f>
        <v>0</v>
      </c>
      <c r="BC26" s="228">
        <f>BB26/(1+$B$5)^(YEARFRAC($O$25,$O26))</f>
        <v>0</v>
      </c>
      <c r="BD26" s="230">
        <v>0</v>
      </c>
      <c r="BE26" s="327">
        <f t="shared" ref="BE26:BE27" si="29">+IF($O26&gt;$L$8,"FIN",IF($O26&lt;$L$17,0,$L$19/$L$16))</f>
        <v>0</v>
      </c>
      <c r="BF26" s="229">
        <f t="shared" ref="BF26:BF77" si="30">+SUM(BD26:BE26)</f>
        <v>0</v>
      </c>
      <c r="BG26" s="228">
        <f>BF26/(1+$B$5)^(YEARFRAC($O$25,$O26))</f>
        <v>0</v>
      </c>
      <c r="BH26" s="230">
        <v>0</v>
      </c>
      <c r="BI26" s="229">
        <f t="shared" ref="BI26:BI27" si="31">+IF($O26&gt;$M$8,"FIN",IF($O26&lt;$M$17,0,$M$19/$M$16))</f>
        <v>0</v>
      </c>
      <c r="BJ26" s="229">
        <f t="shared" ref="BJ26:BJ77" si="32">+SUM(BH26:BI26)</f>
        <v>0</v>
      </c>
      <c r="BK26" s="228">
        <f>BJ26/(1+$B$5)^(YEARFRAC($O$25,$O26))</f>
        <v>0</v>
      </c>
      <c r="BL26" s="218"/>
      <c r="BM26" s="226">
        <f t="shared" ref="BM26:BN77" si="33">+P26+X26+AF26+AN26+AV26+BD26+(T26+AB26+AJ26+AR26+AZ26+BH26)/$Q$2</f>
        <v>0</v>
      </c>
      <c r="BN26" s="223">
        <f t="shared" si="33"/>
        <v>0</v>
      </c>
      <c r="BO26" s="227">
        <f t="shared" si="4"/>
        <v>0</v>
      </c>
      <c r="BP26" s="217">
        <f t="shared" ref="BP26:BP77" si="34">+YEARFRAC($O$25,O26)</f>
        <v>0.5</v>
      </c>
      <c r="BQ26" s="222">
        <f t="shared" si="5"/>
        <v>0</v>
      </c>
    </row>
    <row r="27" spans="1:81" s="20" customFormat="1" x14ac:dyDescent="0.25">
      <c r="A27" s="180">
        <f t="shared" si="6"/>
        <v>44443</v>
      </c>
      <c r="B27" s="236">
        <v>0.01</v>
      </c>
      <c r="C27" s="237">
        <v>5.0000000000000001E-3</v>
      </c>
      <c r="D27" s="191">
        <v>1.25E-3</v>
      </c>
      <c r="E27" s="191">
        <v>1.25E-3</v>
      </c>
      <c r="F27" s="191">
        <v>1.25E-3</v>
      </c>
      <c r="G27" s="191">
        <v>1.25E-3</v>
      </c>
      <c r="H27" s="191">
        <v>1.25E-3</v>
      </c>
      <c r="I27" s="191">
        <v>1.25E-3</v>
      </c>
      <c r="J27" s="191">
        <v>1.25E-3</v>
      </c>
      <c r="K27" s="191">
        <v>1.25E-3</v>
      </c>
      <c r="L27" s="191">
        <v>1.25E-3</v>
      </c>
      <c r="M27" s="192">
        <v>1.25E-3</v>
      </c>
      <c r="N27" s="20">
        <f t="shared" si="7"/>
        <v>2021</v>
      </c>
      <c r="O27" s="323">
        <f t="shared" si="8"/>
        <v>44443</v>
      </c>
      <c r="P27" s="230">
        <f>+IF($O27&gt;B$8,"FIN",(B$19-SUM(Q$25:Q26))*VLOOKUP($O27,$A:$N,2,0)/VLOOKUP(B$15,$K$1:$M$4,2,0))*2</f>
        <v>21.456230024158241</v>
      </c>
      <c r="Q27" s="327">
        <f t="shared" si="9"/>
        <v>0</v>
      </c>
      <c r="R27" s="229">
        <f t="shared" si="10"/>
        <v>21.456230024158241</v>
      </c>
      <c r="S27" s="228">
        <f t="shared" ref="S27" si="35">R27/(1+$B$5)^(YEARFRAC($O$25,$O27))</f>
        <v>19.505663658325673</v>
      </c>
      <c r="T27" s="230">
        <f>+IF($O27&gt;C$8,"FIN",(C$19-SUM(U$25:U26))*VLOOKUP($O27,$A:$N,3,0)/VLOOKUP(C$15,$K$1:$M$4,2,0))*2</f>
        <v>2.8753822014827244</v>
      </c>
      <c r="U27" s="327">
        <f t="shared" si="11"/>
        <v>0</v>
      </c>
      <c r="V27" s="229">
        <f t="shared" si="12"/>
        <v>2.8753822014827244</v>
      </c>
      <c r="W27" s="228">
        <f t="shared" ref="W27" si="36">V27/(1+$B$5)^(YEARFRAC($O$25,$O27))</f>
        <v>2.6139838195297491</v>
      </c>
      <c r="X27" s="230">
        <f>+IF($O27&gt;D$8,"FIN",(D$19-SUM(Y$25:Y26))*VLOOKUP($O27,$A:$N,4,0)/VLOOKUP(D$15,$K$1:$M$4,2,0))*2</f>
        <v>17.25</v>
      </c>
      <c r="Y27" s="327">
        <f t="shared" si="13"/>
        <v>0</v>
      </c>
      <c r="Z27" s="229">
        <f t="shared" si="14"/>
        <v>17.25</v>
      </c>
      <c r="AA27" s="228">
        <f t="shared" ref="AA27" si="37">Z27/(1+$B$5)^(YEARFRAC($O$25,$O27))</f>
        <v>15.68181818181818</v>
      </c>
      <c r="AB27" s="230">
        <f>+IF($O27&gt;E$8,"FIN",(E$19-SUM(AC$25:AC26))*VLOOKUP($O27,$A:$N,5,0)/VLOOKUP(E$15,$K$1:$M$4,2,0))*2</f>
        <v>3.875</v>
      </c>
      <c r="AC27" s="229">
        <f t="shared" si="15"/>
        <v>0</v>
      </c>
      <c r="AD27" s="229">
        <f t="shared" si="16"/>
        <v>3.875</v>
      </c>
      <c r="AE27" s="228">
        <f t="shared" ref="AE27" si="38">AD27/(1+$B$5)^(YEARFRAC($O$25,$O27))</f>
        <v>3.5227272727272725</v>
      </c>
      <c r="AF27" s="230">
        <f>+IF($O27&gt;F$8,"FIN",(F$19-SUM(AG$25:AG26))*VLOOKUP($O27,$A:$N,6,0)/VLOOKUP(F$15,$K$1:$M$4,2,0))*2</f>
        <v>25.490625000000001</v>
      </c>
      <c r="AG27" s="327">
        <f t="shared" si="17"/>
        <v>0</v>
      </c>
      <c r="AH27" s="229">
        <f t="shared" si="18"/>
        <v>25.490625000000001</v>
      </c>
      <c r="AI27" s="228">
        <f t="shared" ref="AI27" si="39">AH27/(1+$B$5)^(YEARFRAC($O$25,$O27))</f>
        <v>23.173295454545453</v>
      </c>
      <c r="AJ27" s="230">
        <f>+IF($O27&gt;G$8,"FIN",(G$19-SUM(AK$25:AK26))*VLOOKUP($O27,$A:$N,7,0)/VLOOKUP(G$15,$K$1:$M$4,2,0))*2</f>
        <v>2.9517392834999998</v>
      </c>
      <c r="AK27" s="229">
        <f t="shared" si="19"/>
        <v>0</v>
      </c>
      <c r="AL27" s="229">
        <f t="shared" si="20"/>
        <v>2.9517392834999998</v>
      </c>
      <c r="AM27" s="228">
        <f t="shared" ref="AM27" si="40">AL27/(1+$B$5)^(YEARFRAC($O$25,$O27))</f>
        <v>2.6833993486363634</v>
      </c>
      <c r="AN27" s="230">
        <f>+IF($O27&gt;H$8,"FIN",(H$19-SUM(AO$25:AO26))*VLOOKUP($O27,$A:$N,8,0)/VLOOKUP(H$15,$K$1:$M$4,2,0))*2</f>
        <v>6.9566146705624998</v>
      </c>
      <c r="AO27" s="229">
        <f t="shared" si="21"/>
        <v>0</v>
      </c>
      <c r="AP27" s="229">
        <f t="shared" si="22"/>
        <v>6.9566146705624998</v>
      </c>
      <c r="AQ27" s="228">
        <f t="shared" ref="AQ27" si="41">AP27/(1+$B$5)^(YEARFRAC($O$25,$O27))</f>
        <v>6.3241951550568176</v>
      </c>
      <c r="AR27" s="230">
        <f>+IF($O27&gt;I$8,"FIN",(I$19-SUM(AS$25:AS26))*VLOOKUP($O27,$A:$N,9,0)/VLOOKUP(I$15,$K$1:$M$4,2,0))*2</f>
        <v>7.2203550234624991</v>
      </c>
      <c r="AS27" s="229">
        <f t="shared" si="23"/>
        <v>0</v>
      </c>
      <c r="AT27" s="229">
        <f t="shared" si="24"/>
        <v>7.2203550234624991</v>
      </c>
      <c r="AU27" s="228">
        <f t="shared" ref="AU27" si="42">AT27/(1+$B$5)^(YEARFRAC($O$25,$O27))</f>
        <v>6.5639591122386349</v>
      </c>
      <c r="AV27" s="230">
        <f>+IF($O27&gt;J$8,"FIN",(J$19-SUM(AW$25:AW26))*VLOOKUP($O27,$A:$N,10,0)/VLOOKUP(J$15,$K$1:$M$4,2,0))*2</f>
        <v>6.7420354675</v>
      </c>
      <c r="AW27" s="229">
        <f t="shared" si="25"/>
        <v>0</v>
      </c>
      <c r="AX27" s="229">
        <f t="shared" si="26"/>
        <v>6.7420354675</v>
      </c>
      <c r="AY27" s="228">
        <f t="shared" ref="AY27" si="43">AX27/(1+$B$5)^(YEARFRAC($O$25,$O27))</f>
        <v>6.1291231522727267</v>
      </c>
      <c r="AZ27" s="230">
        <f>+IF($O27&gt;K$8,"FIN",(K$19-SUM(BA$25:BA26))*VLOOKUP($O27,$A:$N,11,0)/VLOOKUP(K$15,$K$1:$M$4,2,0))*2</f>
        <v>8.0915288724999996</v>
      </c>
      <c r="BA27" s="229">
        <f t="shared" si="27"/>
        <v>0</v>
      </c>
      <c r="BB27" s="229">
        <f t="shared" si="28"/>
        <v>8.0915288724999996</v>
      </c>
      <c r="BC27" s="228">
        <f t="shared" ref="BC27" si="44">BB27/(1+$B$5)^(YEARFRAC($O$25,$O27))</f>
        <v>7.3559353386363631</v>
      </c>
      <c r="BD27" s="230">
        <f>+IF($O27&gt;L$8,"FIN",(L$19-SUM(BE$25:BE26))*VLOOKUP($O27,$A:$N,12,0)/VLOOKUP(L$15,$K$1:$M$4,2,0))*2</f>
        <v>0</v>
      </c>
      <c r="BE27" s="327">
        <f t="shared" si="29"/>
        <v>0</v>
      </c>
      <c r="BF27" s="229">
        <f t="shared" si="30"/>
        <v>0</v>
      </c>
      <c r="BG27" s="228">
        <f t="shared" ref="BG27" si="45">BF27/(1+$B$5)^(YEARFRAC($O$25,$O27))</f>
        <v>0</v>
      </c>
      <c r="BH27" s="230">
        <f>+IF($O27&gt;M$8,"FIN",(M$19-SUM(BI$25:BI26))*VLOOKUP($O27,$A:$N,13,0)/VLOOKUP(M$15,$K$1:$M$4,2,0))*2</f>
        <v>0</v>
      </c>
      <c r="BI27" s="229">
        <f t="shared" si="31"/>
        <v>0</v>
      </c>
      <c r="BJ27" s="229">
        <f t="shared" si="32"/>
        <v>0</v>
      </c>
      <c r="BK27" s="228">
        <f t="shared" ref="BK27" si="46">BJ27/(1+$B$5)^(YEARFRAC($O$25,$O27))</f>
        <v>0</v>
      </c>
      <c r="BL27" s="218"/>
      <c r="BM27" s="226">
        <f t="shared" si="33"/>
        <v>106.0327440609218</v>
      </c>
      <c r="BN27" s="223">
        <f t="shared" si="33"/>
        <v>0</v>
      </c>
      <c r="BO27" s="227">
        <f t="shared" si="4"/>
        <v>106.0327440609218</v>
      </c>
      <c r="BP27" s="217">
        <f t="shared" si="34"/>
        <v>1</v>
      </c>
      <c r="BQ27" s="222">
        <f t="shared" si="5"/>
        <v>0</v>
      </c>
    </row>
    <row r="28" spans="1:81" s="20" customFormat="1" x14ac:dyDescent="0.25">
      <c r="A28" s="180">
        <f t="shared" si="6"/>
        <v>44624</v>
      </c>
      <c r="B28" s="236">
        <v>0.01</v>
      </c>
      <c r="C28" s="237">
        <v>5.0000000000000001E-3</v>
      </c>
      <c r="D28" s="191">
        <v>5.0000000000000001E-3</v>
      </c>
      <c r="E28" s="191">
        <v>1.25E-3</v>
      </c>
      <c r="F28" s="191">
        <v>1.125E-2</v>
      </c>
      <c r="G28" s="191">
        <v>7.4999999999999997E-3</v>
      </c>
      <c r="H28" s="191">
        <v>0.02</v>
      </c>
      <c r="I28" s="191">
        <v>1.4999999999999999E-2</v>
      </c>
      <c r="J28" s="191">
        <v>2.5000000000000001E-2</v>
      </c>
      <c r="K28" s="191">
        <v>1.4999999999999999E-2</v>
      </c>
      <c r="L28" s="191">
        <v>1.125E-2</v>
      </c>
      <c r="M28" s="192">
        <v>7.4999999999999997E-3</v>
      </c>
      <c r="N28" s="20">
        <f t="shared" si="7"/>
        <v>2022</v>
      </c>
      <c r="O28" s="323">
        <f t="shared" si="8"/>
        <v>44624</v>
      </c>
      <c r="P28" s="230">
        <f>+IF($O28&gt;B$8,"FIN",(B$19-SUM(Q$25:Q27))*VLOOKUP($O28,$A:$N,2,0)/VLOOKUP(B$15,$K$1:$M$4,2,0))</f>
        <v>10.728115012079121</v>
      </c>
      <c r="Q28" s="229">
        <f t="shared" ref="Q28:Q45" si="47">+IF($O28&gt;$B$8,"FIN",IF($O28&lt;$B$17,0,$B$19/$B$16))</f>
        <v>0</v>
      </c>
      <c r="R28" s="229">
        <f t="shared" si="10"/>
        <v>10.728115012079121</v>
      </c>
      <c r="S28" s="228">
        <f t="shared" ref="S28:S44" si="48">R28/(1+$B$5)^(YEARFRAC($O$25,$O28))</f>
        <v>9.2989602883104236</v>
      </c>
      <c r="T28" s="230">
        <f>+IF($O28&gt;C$8,"FIN",(C$19-SUM(U$25:U27))*VLOOKUP($O28,$A:$N,3,0)/VLOOKUP(C$15,$K$1:$M$4,2,0))</f>
        <v>1.4376911007413622</v>
      </c>
      <c r="U28" s="229">
        <f t="shared" ref="U28:U45" si="49">+IF($O28&gt;$C$8,"FIN",IF($O28&lt;$C$17,0,$C$19/$C$16))</f>
        <v>0</v>
      </c>
      <c r="V28" s="229">
        <f t="shared" si="12"/>
        <v>1.4376911007413622</v>
      </c>
      <c r="W28" s="228">
        <f t="shared" ref="W28:W44" si="50">V28/(1+$B$5)^(YEARFRAC($O$25,$O28))</f>
        <v>1.2461678904074587</v>
      </c>
      <c r="X28" s="230">
        <f>+IF($O28&gt;D$8,"FIN",(D$19-SUM(Y$25:Y27))*VLOOKUP($O28,$A:$N,4,0)/VLOOKUP(D$15,$K$1:$M$4,2,0))</f>
        <v>34.5</v>
      </c>
      <c r="Y28" s="229">
        <f t="shared" ref="Y28:Y45" si="51">+IF($O28&gt;$D$8,"FIN",IF($O28&lt;$D$17,0,$D$19/$D$16))</f>
        <v>0</v>
      </c>
      <c r="Z28" s="229">
        <f t="shared" si="14"/>
        <v>34.5</v>
      </c>
      <c r="AA28" s="228">
        <f t="shared" ref="AA28:AA45" si="52">Z28/(1+$B$5)^(YEARFRAC($O$25,$O28))</f>
        <v>29.904053935429936</v>
      </c>
      <c r="AB28" s="230">
        <f>+IF($O28&gt;E$8,"FIN",(E$19-SUM(AC$25:AC27))*VLOOKUP($O28,$A:$N,5,0)/VLOOKUP(E$15,$K$1:$M$4,2,0))</f>
        <v>1.9375</v>
      </c>
      <c r="AC28" s="229">
        <f t="shared" ref="AC28:AC45" si="53">+IF($O28&gt;$E$8,"FIN",IF($O28&lt;$E$17,0,$E$19/$E$16))</f>
        <v>0</v>
      </c>
      <c r="AD28" s="229">
        <f t="shared" si="16"/>
        <v>1.9375</v>
      </c>
      <c r="AE28" s="228">
        <f t="shared" ref="AE28:AE45" si="54">AD28/(1+$B$5)^(YEARFRAC($O$25,$O28))</f>
        <v>1.6793943333303043</v>
      </c>
      <c r="AF28" s="230">
        <f>+IF($O28&gt;F$8,"FIN",(F$19-SUM(AG$25:AG27))*VLOOKUP($O28,$A:$N,6,0)/VLOOKUP(F$15,$K$1:$M$4,2,0))</f>
        <v>114.7078125</v>
      </c>
      <c r="AG28" s="229">
        <f t="shared" ref="AG28:AG55" si="55">+IF($O28&gt;$F$8,"FIN",IF($O28&lt;$F$17,0,$F$19/$F$16))</f>
        <v>0</v>
      </c>
      <c r="AH28" s="229">
        <f t="shared" si="18"/>
        <v>114.7078125</v>
      </c>
      <c r="AI28" s="228">
        <f t="shared" ref="AI28:AI55" si="56">AH28/(1+$B$5)^(YEARFRAC($O$25,$O28))</f>
        <v>99.426916284498091</v>
      </c>
      <c r="AJ28" s="230">
        <f>+IF($O28&gt;G$8,"FIN",(G$19-SUM(AK$25:AK27))*VLOOKUP($O28,$A:$N,7,0)/VLOOKUP(G$15,$K$1:$M$4,2,0))</f>
        <v>8.855217850499999</v>
      </c>
      <c r="AK28" s="229">
        <f t="shared" ref="AK28:AK55" si="57">+IF($O28&gt;$G$8,"FIN",IF($O28&lt;$G$17,0,$G$19/$G$16))</f>
        <v>0</v>
      </c>
      <c r="AL28" s="229">
        <f t="shared" si="20"/>
        <v>8.855217850499999</v>
      </c>
      <c r="AM28" s="228">
        <f t="shared" ref="AM28:AM55" si="58">AL28/(1+$B$5)^(YEARFRAC($O$25,$O28))</f>
        <v>7.675562672792287</v>
      </c>
      <c r="AN28" s="230">
        <f>+IF($O28&gt;H$8,"FIN",(H$19-SUM(AO$25:AO27))*VLOOKUP($O28,$A:$N,8,0)/VLOOKUP(H$15,$K$1:$M$4,2,0))</f>
        <v>55.652917364499999</v>
      </c>
      <c r="AO28" s="229">
        <f t="shared" ref="AO28:AO61" si="59">+IF($O28&gt;$H$8,"FIN",IF($O28&lt;$H$17,0,$H$19/$H$16))</f>
        <v>0</v>
      </c>
      <c r="AP28" s="229">
        <f t="shared" si="22"/>
        <v>55.652917364499999</v>
      </c>
      <c r="AQ28" s="228">
        <f t="shared" ref="AQ28:AQ61" si="60">AP28/(1+$B$5)^(YEARFRAC($O$25,$O28))</f>
        <v>48.239067899479224</v>
      </c>
      <c r="AR28" s="230">
        <f>+IF($O28&gt;I$8,"FIN",(I$19-SUM(AS$25:AS27))*VLOOKUP($O28,$A:$N,9,0)/VLOOKUP(I$15,$K$1:$M$4,2,0))</f>
        <v>43.322130140774995</v>
      </c>
      <c r="AS28" s="229">
        <f t="shared" ref="AS28:AS61" si="61">+IF($O28&gt;$I$8,"FIN",IF($O28&lt;$I$17,0,$I$19/$I$16))</f>
        <v>0</v>
      </c>
      <c r="AT28" s="229">
        <f t="shared" si="24"/>
        <v>43.322130140774995</v>
      </c>
      <c r="AU28" s="228">
        <f t="shared" ref="AU28:AU61" si="62">AT28/(1+$B$5)^(YEARFRAC($O$25,$O28))</f>
        <v>37.550936705143485</v>
      </c>
      <c r="AV28" s="230">
        <f>+IF($O28&gt;J$8,"FIN",(J$19-SUM(AW$25:AW27))*VLOOKUP($O28,$A:$N,10,0)/VLOOKUP(J$15,$K$1:$M$4,2,0))</f>
        <v>67.420354674999999</v>
      </c>
      <c r="AW28" s="229">
        <f t="shared" ref="AW28:AW67" si="63">+IF($O28&gt;$J$8,"FIN",IF($O28&lt;$J$17,0,$J$19/$J$16))</f>
        <v>0</v>
      </c>
      <c r="AX28" s="229">
        <f t="shared" si="26"/>
        <v>67.420354674999999</v>
      </c>
      <c r="AY28" s="228">
        <f t="shared" ref="AY28:AY67" si="64">AX28/(1+$B$5)^(YEARFRAC($O$25,$O28))</f>
        <v>58.4388963057106</v>
      </c>
      <c r="AZ28" s="230">
        <f>+IF($O28&gt;K$8,"FIN",(K$19-SUM(BA$25:BA27))*VLOOKUP($O28,$A:$N,11,0)/VLOOKUP(K$15,$K$1:$M$4,2,0))</f>
        <v>48.549173234999998</v>
      </c>
      <c r="BA28" s="229">
        <f t="shared" ref="BA28:BA67" si="65">+IF($O28&gt;$K$8,"FIN",IF($O28&lt;$K$17,0,$K$19/$K$16))</f>
        <v>0</v>
      </c>
      <c r="BB28" s="229">
        <f t="shared" si="28"/>
        <v>48.549173234999998</v>
      </c>
      <c r="BC28" s="228">
        <f t="shared" ref="BC28:BC67" si="66">BB28/(1+$B$5)^(YEARFRAC($O$25,$O28))</f>
        <v>42.081654925796272</v>
      </c>
      <c r="BD28" s="230">
        <f>+IF($O28&gt;L$8,"FIN",(L$19-SUM(BE$25:BE27))*VLOOKUP($O28,$A:$N,12,0)/VLOOKUP(L$15,$K$1:$M$4,2,0))</f>
        <v>0</v>
      </c>
      <c r="BE28" s="229">
        <f t="shared" ref="BE28:BE77" si="67">+IF($O28&gt;$L$8,"FIN",IF($O28&lt;$L$17,0,$L$19/$L$16))</f>
        <v>0</v>
      </c>
      <c r="BF28" s="229">
        <f t="shared" si="30"/>
        <v>0</v>
      </c>
      <c r="BG28" s="228">
        <f t="shared" ref="BG28:BG77" si="68">BF28/(1+$B$5)^(YEARFRAC($O$25,$O28))</f>
        <v>0</v>
      </c>
      <c r="BH28" s="230">
        <f>+IF($O28&gt;M$8,"FIN",(M$19-SUM(BI$25:BI27))*VLOOKUP($O28,$A:$N,13,0)/VLOOKUP(M$15,$K$1:$M$4,2,0))</f>
        <v>0</v>
      </c>
      <c r="BI28" s="229">
        <f t="shared" ref="BI28:BI77" si="69">+IF($O28&gt;$M$8,"FIN",IF($O28&lt;$M$17,0,$M$19/$M$16))</f>
        <v>0</v>
      </c>
      <c r="BJ28" s="229">
        <f t="shared" si="32"/>
        <v>0</v>
      </c>
      <c r="BK28" s="228">
        <f t="shared" ref="BK28:BK77" si="70">BJ28/(1+$B$5)^(YEARFRAC($O$25,$O28))</f>
        <v>0</v>
      </c>
      <c r="BL28" s="218"/>
      <c r="BM28" s="226">
        <f t="shared" si="33"/>
        <v>400.10898844586075</v>
      </c>
      <c r="BN28" s="223">
        <f t="shared" si="33"/>
        <v>0</v>
      </c>
      <c r="BO28" s="227">
        <f t="shared" si="4"/>
        <v>400.10898844586075</v>
      </c>
      <c r="BP28" s="217">
        <f t="shared" si="34"/>
        <v>1.5</v>
      </c>
      <c r="BQ28" s="222">
        <f t="shared" si="5"/>
        <v>0</v>
      </c>
    </row>
    <row r="29" spans="1:81" s="20" customFormat="1" x14ac:dyDescent="0.25">
      <c r="A29" s="180">
        <f t="shared" si="6"/>
        <v>44808</v>
      </c>
      <c r="B29" s="236">
        <v>0.01</v>
      </c>
      <c r="C29" s="237">
        <v>5.0000000000000001E-3</v>
      </c>
      <c r="D29" s="191">
        <v>5.0000000000000001E-3</v>
      </c>
      <c r="E29" s="191">
        <v>1.25E-3</v>
      </c>
      <c r="F29" s="191">
        <v>1.125E-2</v>
      </c>
      <c r="G29" s="191">
        <v>7.4999999999999997E-3</v>
      </c>
      <c r="H29" s="191">
        <v>0.02</v>
      </c>
      <c r="I29" s="191">
        <v>1.4999999999999999E-2</v>
      </c>
      <c r="J29" s="191">
        <v>2.5000000000000001E-2</v>
      </c>
      <c r="K29" s="191">
        <v>1.4999999999999999E-2</v>
      </c>
      <c r="L29" s="191">
        <v>1.125E-2</v>
      </c>
      <c r="M29" s="192">
        <v>7.4999999999999997E-3</v>
      </c>
      <c r="N29" s="20">
        <f t="shared" si="7"/>
        <v>2022</v>
      </c>
      <c r="O29" s="181">
        <f t="shared" si="8"/>
        <v>44808</v>
      </c>
      <c r="P29" s="226">
        <f>+IF($O29&gt;B$8,"FIN",(B$19-SUM(Q$25:Q28))*VLOOKUP($O29,$A:$N,2,0)/VLOOKUP(B$15,$K$1:$M$4,2,0))</f>
        <v>10.728115012079121</v>
      </c>
      <c r="Q29" s="229">
        <f t="shared" si="47"/>
        <v>0</v>
      </c>
      <c r="R29" s="229">
        <f t="shared" si="10"/>
        <v>10.728115012079121</v>
      </c>
      <c r="S29" s="228">
        <f t="shared" si="48"/>
        <v>8.8662107537843955</v>
      </c>
      <c r="T29" s="226">
        <f>+IF($O29&gt;C$8,"FIN",(C$19-SUM(U$25:U28))*VLOOKUP($O29,$A:$N,3,0)/VLOOKUP(C$15,$K$1:$M$4,2,0))</f>
        <v>1.4376911007413622</v>
      </c>
      <c r="U29" s="229">
        <f t="shared" si="49"/>
        <v>0</v>
      </c>
      <c r="V29" s="229">
        <f t="shared" si="12"/>
        <v>1.4376911007413622</v>
      </c>
      <c r="W29" s="228">
        <f t="shared" si="50"/>
        <v>1.1881744634226132</v>
      </c>
      <c r="X29" s="226">
        <f>+IF($O29&gt;D$8,"FIN",(D$19-SUM(Y$25:Y28))*VLOOKUP($O29,$A:$N,4,0)/VLOOKUP(D$15,$K$1:$M$4,2,0))</f>
        <v>34.5</v>
      </c>
      <c r="Y29" s="229">
        <f t="shared" si="51"/>
        <v>0</v>
      </c>
      <c r="Z29" s="229">
        <f t="shared" si="14"/>
        <v>34.5</v>
      </c>
      <c r="AA29" s="228">
        <f t="shared" si="52"/>
        <v>28.512396694214871</v>
      </c>
      <c r="AB29" s="226">
        <f>+IF($O29&gt;E$8,"FIN",(E$19-SUM(AC$25:AC28))*VLOOKUP($O29,$A:$N,5,0)/VLOOKUP(E$15,$K$1:$M$4,2,0))</f>
        <v>1.9375</v>
      </c>
      <c r="AC29" s="229">
        <f t="shared" si="53"/>
        <v>0</v>
      </c>
      <c r="AD29" s="229">
        <f t="shared" si="16"/>
        <v>1.9375</v>
      </c>
      <c r="AE29" s="228">
        <f t="shared" si="54"/>
        <v>1.6012396694214874</v>
      </c>
      <c r="AF29" s="226">
        <f>+IF($O29&gt;F$8,"FIN",(F$19-SUM(AG$25:AG28))*VLOOKUP($O29,$A:$N,6,0)/VLOOKUP(F$15,$K$1:$M$4,2,0))</f>
        <v>114.7078125</v>
      </c>
      <c r="AG29" s="229">
        <f t="shared" si="55"/>
        <v>0</v>
      </c>
      <c r="AH29" s="229">
        <f t="shared" si="18"/>
        <v>114.7078125</v>
      </c>
      <c r="AI29" s="228">
        <f t="shared" si="56"/>
        <v>94.7998450413223</v>
      </c>
      <c r="AJ29" s="226">
        <f>+IF($O29&gt;G$8,"FIN",(G$19-SUM(AK$25:AK28))*VLOOKUP($O29,$A:$N,7,0)/VLOOKUP(G$15,$K$1:$M$4,2,0))</f>
        <v>8.855217850499999</v>
      </c>
      <c r="AK29" s="229">
        <f t="shared" si="57"/>
        <v>0</v>
      </c>
      <c r="AL29" s="229">
        <f t="shared" si="20"/>
        <v>8.855217850499999</v>
      </c>
      <c r="AM29" s="228">
        <f t="shared" si="58"/>
        <v>7.3183618599173537</v>
      </c>
      <c r="AN29" s="226">
        <f>+IF($O29&gt;H$8,"FIN",(H$19-SUM(AO$25:AO28))*VLOOKUP($O29,$A:$N,8,0)/VLOOKUP(H$15,$K$1:$M$4,2,0))</f>
        <v>55.652917364499999</v>
      </c>
      <c r="AO29" s="229">
        <f t="shared" si="59"/>
        <v>0</v>
      </c>
      <c r="AP29" s="229">
        <f t="shared" si="22"/>
        <v>55.652917364499999</v>
      </c>
      <c r="AQ29" s="228">
        <f t="shared" si="60"/>
        <v>45.994146582231394</v>
      </c>
      <c r="AR29" s="226">
        <f>+IF($O29&gt;I$8,"FIN",(I$19-SUM(AS$25:AS28))*VLOOKUP($O29,$A:$N,9,0)/VLOOKUP(I$15,$K$1:$M$4,2,0))</f>
        <v>43.322130140774995</v>
      </c>
      <c r="AS29" s="229">
        <f t="shared" si="61"/>
        <v>0</v>
      </c>
      <c r="AT29" s="229">
        <f t="shared" si="24"/>
        <v>43.322130140774995</v>
      </c>
      <c r="AU29" s="228">
        <f t="shared" si="62"/>
        <v>35.803413339483463</v>
      </c>
      <c r="AV29" s="226">
        <f>+IF($O29&gt;J$8,"FIN",(J$19-SUM(AW$25:AW28))*VLOOKUP($O29,$A:$N,10,0)/VLOOKUP(J$15,$K$1:$M$4,2,0))</f>
        <v>67.420354674999999</v>
      </c>
      <c r="AW29" s="229">
        <f t="shared" si="63"/>
        <v>0</v>
      </c>
      <c r="AX29" s="229">
        <f t="shared" si="26"/>
        <v>67.420354674999999</v>
      </c>
      <c r="AY29" s="228">
        <f t="shared" si="64"/>
        <v>55.719301384297509</v>
      </c>
      <c r="AZ29" s="226">
        <f>+IF($O29&gt;K$8,"FIN",(K$19-SUM(BA$25:BA28))*VLOOKUP($O29,$A:$N,11,0)/VLOOKUP(K$15,$K$1:$M$4,2,0))</f>
        <v>48.549173234999998</v>
      </c>
      <c r="BA29" s="229">
        <f t="shared" si="65"/>
        <v>0</v>
      </c>
      <c r="BB29" s="229">
        <f t="shared" si="28"/>
        <v>48.549173234999998</v>
      </c>
      <c r="BC29" s="228">
        <f t="shared" si="66"/>
        <v>40.12328366528925</v>
      </c>
      <c r="BD29" s="226">
        <f>+IF($O29&gt;L$8,"FIN",(L$19-SUM(BE$25:BE28))*VLOOKUP($O29,$A:$N,12,0)/VLOOKUP(L$15,$K$1:$M$4,2,0))</f>
        <v>0</v>
      </c>
      <c r="BE29" s="229">
        <f t="shared" si="67"/>
        <v>0</v>
      </c>
      <c r="BF29" s="229">
        <f t="shared" si="30"/>
        <v>0</v>
      </c>
      <c r="BG29" s="228">
        <f t="shared" si="68"/>
        <v>0</v>
      </c>
      <c r="BH29" s="226">
        <f>+IF($O29&gt;M$8,"FIN",(M$19-SUM(BI$25:BI28))*VLOOKUP($O29,$A:$N,13,0)/VLOOKUP(M$15,$K$1:$M$4,2,0))</f>
        <v>0</v>
      </c>
      <c r="BI29" s="229">
        <f t="shared" si="69"/>
        <v>0</v>
      </c>
      <c r="BJ29" s="229">
        <f t="shared" si="32"/>
        <v>0</v>
      </c>
      <c r="BK29" s="228">
        <f t="shared" si="70"/>
        <v>0</v>
      </c>
      <c r="BL29" s="218"/>
      <c r="BM29" s="226">
        <f t="shared" si="33"/>
        <v>400.10898844586075</v>
      </c>
      <c r="BN29" s="223">
        <f t="shared" si="33"/>
        <v>0</v>
      </c>
      <c r="BO29" s="227">
        <f t="shared" si="4"/>
        <v>400.10898844586075</v>
      </c>
      <c r="BP29" s="217">
        <f t="shared" si="34"/>
        <v>2</v>
      </c>
      <c r="BQ29" s="222">
        <f t="shared" si="5"/>
        <v>0</v>
      </c>
    </row>
    <row r="30" spans="1:81" s="20" customFormat="1" x14ac:dyDescent="0.25">
      <c r="A30" s="180">
        <f t="shared" si="6"/>
        <v>44989</v>
      </c>
      <c r="B30" s="236">
        <v>0.01</v>
      </c>
      <c r="C30" s="237">
        <v>5.0000000000000001E-3</v>
      </c>
      <c r="D30" s="191">
        <v>5.0000000000000001E-3</v>
      </c>
      <c r="E30" s="191">
        <v>1.25E-3</v>
      </c>
      <c r="F30" s="191">
        <v>1.4999999999999999E-2</v>
      </c>
      <c r="G30" s="191">
        <v>8.7500000000000008E-3</v>
      </c>
      <c r="H30" s="191">
        <v>3.875E-2</v>
      </c>
      <c r="I30" s="191">
        <v>0.03</v>
      </c>
      <c r="J30" s="191">
        <v>3.5000000000000003E-2</v>
      </c>
      <c r="K30" s="191">
        <v>2.75E-2</v>
      </c>
      <c r="L30" s="191">
        <v>1.4999999999999999E-2</v>
      </c>
      <c r="M30" s="192">
        <v>8.7500000000000008E-3</v>
      </c>
      <c r="N30" s="20">
        <f t="shared" si="7"/>
        <v>2023</v>
      </c>
      <c r="O30" s="181">
        <f t="shared" si="8"/>
        <v>44989</v>
      </c>
      <c r="P30" s="226">
        <f>+IF($O30&gt;B$8,"FIN",(B$19-SUM(Q$25:Q29))*VLOOKUP($O30,$A:$N,2,0)/VLOOKUP(B$15,$K$1:$M$4,2,0))</f>
        <v>10.728115012079121</v>
      </c>
      <c r="Q30" s="229">
        <f t="shared" si="47"/>
        <v>0</v>
      </c>
      <c r="R30" s="229">
        <f t="shared" si="10"/>
        <v>10.728115012079121</v>
      </c>
      <c r="S30" s="228">
        <f t="shared" si="48"/>
        <v>8.4536002621003856</v>
      </c>
      <c r="T30" s="226">
        <f>+IF($O30&gt;C$8,"FIN",(C$19-SUM(U$25:U29))*VLOOKUP($O30,$A:$N,3,0)/VLOOKUP(C$15,$K$1:$M$4,2,0))</f>
        <v>1.4376911007413622</v>
      </c>
      <c r="U30" s="229">
        <f t="shared" si="49"/>
        <v>0</v>
      </c>
      <c r="V30" s="229">
        <f t="shared" si="12"/>
        <v>1.4376911007413622</v>
      </c>
      <c r="W30" s="228">
        <f t="shared" si="50"/>
        <v>1.1328799003704171</v>
      </c>
      <c r="X30" s="226">
        <f>+IF($O30&gt;D$8,"FIN",(D$19-SUM(Y$25:Y29))*VLOOKUP($O30,$A:$N,4,0)/VLOOKUP(D$15,$K$1:$M$4,2,0))</f>
        <v>34.5</v>
      </c>
      <c r="Y30" s="229">
        <f t="shared" si="51"/>
        <v>0</v>
      </c>
      <c r="Z30" s="229">
        <f t="shared" si="14"/>
        <v>34.5</v>
      </c>
      <c r="AA30" s="228">
        <f t="shared" si="52"/>
        <v>27.185503577663578</v>
      </c>
      <c r="AB30" s="226">
        <f>+IF($O30&gt;E$8,"FIN",(E$19-SUM(AC$25:AC29))*VLOOKUP($O30,$A:$N,5,0)/VLOOKUP(E$15,$K$1:$M$4,2,0))</f>
        <v>1.9375</v>
      </c>
      <c r="AC30" s="229">
        <f t="shared" si="53"/>
        <v>0</v>
      </c>
      <c r="AD30" s="229">
        <f t="shared" si="16"/>
        <v>1.9375</v>
      </c>
      <c r="AE30" s="228">
        <f t="shared" si="54"/>
        <v>1.5267221212093676</v>
      </c>
      <c r="AF30" s="226">
        <f>+IF($O30&gt;F$8,"FIN",(F$19-SUM(AG$25:AG29))*VLOOKUP($O30,$A:$N,6,0)/VLOOKUP(F$15,$K$1:$M$4,2,0))</f>
        <v>152.94374999999999</v>
      </c>
      <c r="AG30" s="229">
        <f t="shared" si="55"/>
        <v>0</v>
      </c>
      <c r="AH30" s="229">
        <f t="shared" si="18"/>
        <v>152.94374999999999</v>
      </c>
      <c r="AI30" s="228">
        <f t="shared" si="56"/>
        <v>120.51747428424011</v>
      </c>
      <c r="AJ30" s="226">
        <f>+IF($O30&gt;G$8,"FIN",(G$19-SUM(AK$25:AK29))*VLOOKUP($O30,$A:$N,7,0)/VLOOKUP(G$15,$K$1:$M$4,2,0))</f>
        <v>10.331087492250001</v>
      </c>
      <c r="AK30" s="229">
        <f t="shared" si="57"/>
        <v>0</v>
      </c>
      <c r="AL30" s="229">
        <f t="shared" si="20"/>
        <v>10.331087492250001</v>
      </c>
      <c r="AM30" s="228">
        <f t="shared" si="58"/>
        <v>8.1407482893251544</v>
      </c>
      <c r="AN30" s="226">
        <f>+IF($O30&gt;H$8,"FIN",(H$19-SUM(AO$25:AO29))*VLOOKUP($O30,$A:$N,8,0)/VLOOKUP(H$15,$K$1:$M$4,2,0))</f>
        <v>107.82752739371875</v>
      </c>
      <c r="AO30" s="229">
        <f t="shared" si="59"/>
        <v>0</v>
      </c>
      <c r="AP30" s="229">
        <f t="shared" si="22"/>
        <v>107.82752739371875</v>
      </c>
      <c r="AQ30" s="228">
        <f t="shared" si="60"/>
        <v>84.966540050219095</v>
      </c>
      <c r="AR30" s="226">
        <f>+IF($O30&gt;I$8,"FIN",(I$19-SUM(AS$25:AS29))*VLOOKUP($O30,$A:$N,9,0)/VLOOKUP(I$15,$K$1:$M$4,2,0))</f>
        <v>86.64426028154999</v>
      </c>
      <c r="AS30" s="229">
        <f t="shared" si="61"/>
        <v>0</v>
      </c>
      <c r="AT30" s="229">
        <f t="shared" si="24"/>
        <v>86.64426028154999</v>
      </c>
      <c r="AU30" s="228">
        <f t="shared" si="62"/>
        <v>68.274430372988164</v>
      </c>
      <c r="AV30" s="226">
        <f>+IF($O30&gt;J$8,"FIN",(J$19-SUM(AW$25:AW29))*VLOOKUP($O30,$A:$N,10,0)/VLOOKUP(J$15,$K$1:$M$4,2,0))</f>
        <v>94.38849654500001</v>
      </c>
      <c r="AW30" s="229">
        <f t="shared" si="63"/>
        <v>0</v>
      </c>
      <c r="AX30" s="229">
        <f t="shared" si="26"/>
        <v>94.38849654500001</v>
      </c>
      <c r="AY30" s="228">
        <f t="shared" si="64"/>
        <v>74.376777116358952</v>
      </c>
      <c r="AZ30" s="226">
        <f>+IF($O30&gt;K$8,"FIN",(K$19-SUM(BA$25:BA29))*VLOOKUP($O30,$A:$N,11,0)/VLOOKUP(K$15,$K$1:$M$4,2,0))</f>
        <v>89.006817597499989</v>
      </c>
      <c r="BA30" s="229">
        <f t="shared" si="65"/>
        <v>0</v>
      </c>
      <c r="BB30" s="229">
        <f t="shared" si="28"/>
        <v>89.006817597499989</v>
      </c>
      <c r="BC30" s="228">
        <f t="shared" si="66"/>
        <v>70.136091542993782</v>
      </c>
      <c r="BD30" s="226">
        <f>+IF($O30&gt;L$8,"FIN",(L$19-SUM(BE$25:BE29))*VLOOKUP($O30,$A:$N,12,0)/VLOOKUP(L$15,$K$1:$M$4,2,0))</f>
        <v>0</v>
      </c>
      <c r="BE30" s="229">
        <f t="shared" si="67"/>
        <v>0</v>
      </c>
      <c r="BF30" s="229">
        <f t="shared" si="30"/>
        <v>0</v>
      </c>
      <c r="BG30" s="228">
        <f t="shared" si="68"/>
        <v>0</v>
      </c>
      <c r="BH30" s="226">
        <f>+IF($O30&gt;M$8,"FIN",(M$19-SUM(BI$25:BI29))*VLOOKUP($O30,$A:$N,13,0)/VLOOKUP(M$15,$K$1:$M$4,2,0))</f>
        <v>0</v>
      </c>
      <c r="BI30" s="229">
        <f t="shared" si="69"/>
        <v>0</v>
      </c>
      <c r="BJ30" s="229">
        <f t="shared" si="32"/>
        <v>0</v>
      </c>
      <c r="BK30" s="228">
        <f t="shared" si="70"/>
        <v>0</v>
      </c>
      <c r="BL30" s="218"/>
      <c r="BM30" s="226">
        <f t="shared" si="33"/>
        <v>613.38828993172172</v>
      </c>
      <c r="BN30" s="223">
        <f t="shared" si="33"/>
        <v>0</v>
      </c>
      <c r="BO30" s="227">
        <f t="shared" si="4"/>
        <v>613.38828993172172</v>
      </c>
      <c r="BP30" s="217">
        <f t="shared" si="34"/>
        <v>2.5</v>
      </c>
      <c r="BQ30" s="222">
        <f t="shared" si="5"/>
        <v>0</v>
      </c>
    </row>
    <row r="31" spans="1:81" s="20" customFormat="1" x14ac:dyDescent="0.25">
      <c r="A31" s="180">
        <f t="shared" si="6"/>
        <v>45173</v>
      </c>
      <c r="B31" s="236">
        <v>0.01</v>
      </c>
      <c r="C31" s="237">
        <v>5.0000000000000001E-3</v>
      </c>
      <c r="D31" s="191">
        <v>5.0000000000000001E-3</v>
      </c>
      <c r="E31" s="191">
        <v>1.25E-3</v>
      </c>
      <c r="F31" s="191">
        <v>1.4999999999999999E-2</v>
      </c>
      <c r="G31" s="191">
        <v>8.7500000000000008E-3</v>
      </c>
      <c r="H31" s="191">
        <v>3.875E-2</v>
      </c>
      <c r="I31" s="191">
        <v>0.03</v>
      </c>
      <c r="J31" s="191">
        <v>3.5000000000000003E-2</v>
      </c>
      <c r="K31" s="191">
        <v>2.75E-2</v>
      </c>
      <c r="L31" s="191">
        <v>1.4999999999999999E-2</v>
      </c>
      <c r="M31" s="192">
        <v>8.7500000000000008E-3</v>
      </c>
      <c r="N31" s="20">
        <f t="shared" si="7"/>
        <v>2023</v>
      </c>
      <c r="O31" s="181">
        <f t="shared" si="8"/>
        <v>45173</v>
      </c>
      <c r="P31" s="226">
        <f>+IF($O31&gt;B$8,"FIN",(B$19-SUM(Q$25:Q30))*VLOOKUP($O31,$A:$N,2,0)/VLOOKUP(B$15,$K$1:$M$4,2,0))</f>
        <v>10.728115012079121</v>
      </c>
      <c r="Q31" s="229">
        <f t="shared" si="47"/>
        <v>0</v>
      </c>
      <c r="R31" s="229">
        <f t="shared" si="10"/>
        <v>10.728115012079121</v>
      </c>
      <c r="S31" s="228">
        <f t="shared" si="48"/>
        <v>8.0601915943494493</v>
      </c>
      <c r="T31" s="226">
        <f>+IF($O31&gt;C$8,"FIN",(C$19-SUM(U$25:U30))*VLOOKUP($O31,$A:$N,3,0)/VLOOKUP(C$15,$K$1:$M$4,2,0))</f>
        <v>1.4376911007413622</v>
      </c>
      <c r="U31" s="229">
        <f t="shared" si="49"/>
        <v>0</v>
      </c>
      <c r="V31" s="229">
        <f t="shared" si="12"/>
        <v>1.4376911007413622</v>
      </c>
      <c r="W31" s="228">
        <f t="shared" si="50"/>
        <v>1.0801586031114663</v>
      </c>
      <c r="X31" s="226">
        <f>+IF($O31&gt;D$8,"FIN",(D$19-SUM(Y$25:Y30))*VLOOKUP($O31,$A:$N,4,0)/VLOOKUP(D$15,$K$1:$M$4,2,0))</f>
        <v>34.5</v>
      </c>
      <c r="Y31" s="229">
        <f t="shared" si="51"/>
        <v>0</v>
      </c>
      <c r="Z31" s="229">
        <f t="shared" si="14"/>
        <v>34.5</v>
      </c>
      <c r="AA31" s="228">
        <f t="shared" si="52"/>
        <v>25.920360631104426</v>
      </c>
      <c r="AB31" s="226">
        <f>+IF($O31&gt;E$8,"FIN",(E$19-SUM(AC$25:AC30))*VLOOKUP($O31,$A:$N,5,0)/VLOOKUP(E$15,$K$1:$M$4,2,0))</f>
        <v>1.9375</v>
      </c>
      <c r="AC31" s="229">
        <f t="shared" si="53"/>
        <v>0</v>
      </c>
      <c r="AD31" s="229">
        <f t="shared" si="16"/>
        <v>1.9375</v>
      </c>
      <c r="AE31" s="228">
        <f t="shared" si="54"/>
        <v>1.4556724267468064</v>
      </c>
      <c r="AF31" s="226">
        <f>+IF($O31&gt;F$8,"FIN",(F$19-SUM(AG$25:AG30))*VLOOKUP($O31,$A:$N,6,0)/VLOOKUP(F$15,$K$1:$M$4,2,0))</f>
        <v>152.94374999999999</v>
      </c>
      <c r="AG31" s="229">
        <f t="shared" si="55"/>
        <v>0</v>
      </c>
      <c r="AH31" s="229">
        <f t="shared" si="18"/>
        <v>152.94374999999999</v>
      </c>
      <c r="AI31" s="228">
        <f t="shared" si="56"/>
        <v>114.90890308039064</v>
      </c>
      <c r="AJ31" s="226">
        <f>+IF($O31&gt;G$8,"FIN",(G$19-SUM(AK$25:AK30))*VLOOKUP($O31,$A:$N,7,0)/VLOOKUP(G$15,$K$1:$M$4,2,0))</f>
        <v>10.331087492250001</v>
      </c>
      <c r="AK31" s="229">
        <f t="shared" si="57"/>
        <v>0</v>
      </c>
      <c r="AL31" s="229">
        <f t="shared" si="20"/>
        <v>10.331087492250001</v>
      </c>
      <c r="AM31" s="228">
        <f t="shared" si="58"/>
        <v>7.7618989423365869</v>
      </c>
      <c r="AN31" s="226">
        <f>+IF($O31&gt;H$8,"FIN",(H$19-SUM(AO$25:AO30))*VLOOKUP($O31,$A:$N,8,0)/VLOOKUP(H$15,$K$1:$M$4,2,0))</f>
        <v>107.82752739371875</v>
      </c>
      <c r="AO31" s="229">
        <f t="shared" si="59"/>
        <v>0</v>
      </c>
      <c r="AP31" s="229">
        <f t="shared" si="22"/>
        <v>107.82752739371875</v>
      </c>
      <c r="AQ31" s="228">
        <f t="shared" si="60"/>
        <v>81.012417275521202</v>
      </c>
      <c r="AR31" s="226">
        <f>+IF($O31&gt;I$8,"FIN",(I$19-SUM(AS$25:AS30))*VLOOKUP($O31,$A:$N,9,0)/VLOOKUP(I$15,$K$1:$M$4,2,0))</f>
        <v>86.64426028154999</v>
      </c>
      <c r="AS31" s="229">
        <f t="shared" si="61"/>
        <v>0</v>
      </c>
      <c r="AT31" s="229">
        <f t="shared" si="24"/>
        <v>86.64426028154999</v>
      </c>
      <c r="AU31" s="228">
        <f t="shared" si="62"/>
        <v>65.097115162697193</v>
      </c>
      <c r="AV31" s="226">
        <f>+IF($O31&gt;J$8,"FIN",(J$19-SUM(AW$25:AW30))*VLOOKUP($O31,$A:$N,10,0)/VLOOKUP(J$15,$K$1:$M$4,2,0))</f>
        <v>94.38849654500001</v>
      </c>
      <c r="AW31" s="229">
        <f t="shared" si="63"/>
        <v>0</v>
      </c>
      <c r="AX31" s="229">
        <f t="shared" si="26"/>
        <v>94.38849654500001</v>
      </c>
      <c r="AY31" s="228">
        <f t="shared" si="64"/>
        <v>70.915474489105918</v>
      </c>
      <c r="AZ31" s="226">
        <f>+IF($O31&gt;K$8,"FIN",(K$19-SUM(BA$25:BA30))*VLOOKUP($O31,$A:$N,11,0)/VLOOKUP(K$15,$K$1:$M$4,2,0))</f>
        <v>89.006817597499989</v>
      </c>
      <c r="BA31" s="229">
        <f t="shared" si="65"/>
        <v>0</v>
      </c>
      <c r="BB31" s="229">
        <f t="shared" si="28"/>
        <v>89.006817597499989</v>
      </c>
      <c r="BC31" s="228">
        <f t="shared" si="66"/>
        <v>66.872139442148736</v>
      </c>
      <c r="BD31" s="226">
        <f>+IF($O31&gt;L$8,"FIN",(L$19-SUM(BE$25:BE30))*VLOOKUP($O31,$A:$N,12,0)/VLOOKUP(L$15,$K$1:$M$4,2,0))</f>
        <v>0</v>
      </c>
      <c r="BE31" s="229">
        <f t="shared" si="67"/>
        <v>0</v>
      </c>
      <c r="BF31" s="229">
        <f t="shared" si="30"/>
        <v>0</v>
      </c>
      <c r="BG31" s="228">
        <f t="shared" si="68"/>
        <v>0</v>
      </c>
      <c r="BH31" s="226">
        <f>+IF($O31&gt;M$8,"FIN",(M$19-SUM(BI$25:BI30))*VLOOKUP($O31,$A:$N,13,0)/VLOOKUP(M$15,$K$1:$M$4,2,0))</f>
        <v>0</v>
      </c>
      <c r="BI31" s="229">
        <f t="shared" si="69"/>
        <v>0</v>
      </c>
      <c r="BJ31" s="229">
        <f t="shared" si="32"/>
        <v>0</v>
      </c>
      <c r="BK31" s="228">
        <f t="shared" si="70"/>
        <v>0</v>
      </c>
      <c r="BL31" s="218"/>
      <c r="BM31" s="226">
        <f t="shared" si="33"/>
        <v>613.38828993172172</v>
      </c>
      <c r="BN31" s="223">
        <f t="shared" si="33"/>
        <v>0</v>
      </c>
      <c r="BO31" s="227">
        <f t="shared" si="4"/>
        <v>613.38828993172172</v>
      </c>
      <c r="BP31" s="217">
        <f t="shared" si="34"/>
        <v>3</v>
      </c>
      <c r="BQ31" s="222">
        <f t="shared" si="5"/>
        <v>0</v>
      </c>
    </row>
    <row r="32" spans="1:81" s="20" customFormat="1" x14ac:dyDescent="0.25">
      <c r="A32" s="180">
        <f t="shared" si="6"/>
        <v>45355</v>
      </c>
      <c r="B32" s="236">
        <v>0.01</v>
      </c>
      <c r="C32" s="237">
        <v>5.0000000000000001E-3</v>
      </c>
      <c r="D32" s="191">
        <v>7.4999999999999997E-3</v>
      </c>
      <c r="E32" s="191">
        <v>1.25E-3</v>
      </c>
      <c r="F32" s="191">
        <v>3.6249999999999998E-2</v>
      </c>
      <c r="G32" s="191">
        <v>2.5000000000000001E-2</v>
      </c>
      <c r="H32" s="191">
        <v>4.2500000000000003E-2</v>
      </c>
      <c r="I32" s="191">
        <v>3.7499999999999999E-2</v>
      </c>
      <c r="J32" s="191">
        <v>3.5000000000000003E-2</v>
      </c>
      <c r="K32" s="191">
        <v>0.03</v>
      </c>
      <c r="L32" s="191">
        <v>3.6249999999999998E-2</v>
      </c>
      <c r="M32" s="192">
        <v>2.5000000000000001E-2</v>
      </c>
      <c r="N32" s="20">
        <f t="shared" si="7"/>
        <v>2024</v>
      </c>
      <c r="O32" s="181">
        <f t="shared" si="8"/>
        <v>45355</v>
      </c>
      <c r="P32" s="226">
        <f>+IF($O32&gt;B$8,"FIN",(B$19-SUM(Q$25:Q31))*VLOOKUP($O32,$A:$N,2,0)/VLOOKUP(B$15,$K$1:$M$4,2,0))</f>
        <v>10.728115012079121</v>
      </c>
      <c r="Q32" s="229">
        <f t="shared" si="47"/>
        <v>0</v>
      </c>
      <c r="R32" s="229">
        <f t="shared" si="10"/>
        <v>10.728115012079121</v>
      </c>
      <c r="S32" s="228">
        <f t="shared" si="48"/>
        <v>7.6850911473639858</v>
      </c>
      <c r="T32" s="226">
        <f>+IF($O32&gt;C$8,"FIN",(C$19-SUM(U$25:U31))*VLOOKUP($O32,$A:$N,3,0)/VLOOKUP(C$15,$K$1:$M$4,2,0))</f>
        <v>1.4376911007413622</v>
      </c>
      <c r="U32" s="229">
        <f t="shared" si="49"/>
        <v>0</v>
      </c>
      <c r="V32" s="229">
        <f t="shared" si="12"/>
        <v>1.4376911007413622</v>
      </c>
      <c r="W32" s="228">
        <f t="shared" si="50"/>
        <v>1.0298908185185609</v>
      </c>
      <c r="X32" s="226">
        <f>+IF($O32&gt;D$8,"FIN",(D$19-SUM(Y$25:Y31))*VLOOKUP($O32,$A:$N,4,0)/VLOOKUP(D$15,$K$1:$M$4,2,0))</f>
        <v>51.75</v>
      </c>
      <c r="Y32" s="229">
        <f t="shared" si="51"/>
        <v>0</v>
      </c>
      <c r="Z32" s="229">
        <f t="shared" si="14"/>
        <v>51.75</v>
      </c>
      <c r="AA32" s="228">
        <f t="shared" si="52"/>
        <v>37.071141242268517</v>
      </c>
      <c r="AB32" s="226">
        <f>+IF($O32&gt;E$8,"FIN",(E$19-SUM(AC$25:AC31))*VLOOKUP($O32,$A:$N,5,0)/VLOOKUP(E$15,$K$1:$M$4,2,0))</f>
        <v>1.9375</v>
      </c>
      <c r="AC32" s="229">
        <f t="shared" si="53"/>
        <v>0</v>
      </c>
      <c r="AD32" s="229">
        <f t="shared" si="16"/>
        <v>1.9375</v>
      </c>
      <c r="AE32" s="228">
        <f t="shared" si="54"/>
        <v>1.3879292010994251</v>
      </c>
      <c r="AF32" s="226">
        <f>+IF($O32&gt;F$8,"FIN",(F$19-SUM(AG$25:AG31))*VLOOKUP($O32,$A:$N,6,0)/VLOOKUP(F$15,$K$1:$M$4,2,0))</f>
        <v>369.61406249999999</v>
      </c>
      <c r="AG32" s="229">
        <f t="shared" si="55"/>
        <v>0</v>
      </c>
      <c r="AH32" s="229">
        <f t="shared" si="18"/>
        <v>369.61406249999999</v>
      </c>
      <c r="AI32" s="228">
        <f t="shared" si="56"/>
        <v>264.77323895780023</v>
      </c>
      <c r="AJ32" s="226">
        <f>+IF($O32&gt;G$8,"FIN",(G$19-SUM(AK$25:AK31))*VLOOKUP($O32,$A:$N,7,0)/VLOOKUP(G$15,$K$1:$M$4,2,0))</f>
        <v>29.517392834999999</v>
      </c>
      <c r="AK32" s="229">
        <f t="shared" si="57"/>
        <v>0</v>
      </c>
      <c r="AL32" s="229">
        <f t="shared" si="20"/>
        <v>29.517392834999999</v>
      </c>
      <c r="AM32" s="228">
        <f t="shared" si="58"/>
        <v>21.144800751493907</v>
      </c>
      <c r="AN32" s="226">
        <f>+IF($O32&gt;H$8,"FIN",(H$19-SUM(AO$25:AO31))*VLOOKUP($O32,$A:$N,8,0)/VLOOKUP(H$15,$K$1:$M$4,2,0))</f>
        <v>118.26244939956251</v>
      </c>
      <c r="AO32" s="229">
        <f t="shared" si="59"/>
        <v>0</v>
      </c>
      <c r="AP32" s="229">
        <f t="shared" si="22"/>
        <v>118.26244939956251</v>
      </c>
      <c r="AQ32" s="228">
        <f t="shared" si="60"/>
        <v>84.717371311068888</v>
      </c>
      <c r="AR32" s="226">
        <f>+IF($O32&gt;I$8,"FIN",(I$19-SUM(AS$25:AS31))*VLOOKUP($O32,$A:$N,9,0)/VLOOKUP(I$15,$K$1:$M$4,2,0))</f>
        <v>108.30532535193748</v>
      </c>
      <c r="AS32" s="229">
        <f t="shared" si="61"/>
        <v>0</v>
      </c>
      <c r="AT32" s="229">
        <f t="shared" si="24"/>
        <v>108.30532535193748</v>
      </c>
      <c r="AU32" s="228">
        <f t="shared" si="62"/>
        <v>77.584579969304727</v>
      </c>
      <c r="AV32" s="226">
        <f>+IF($O32&gt;J$8,"FIN",(J$19-SUM(AW$25:AW31))*VLOOKUP($O32,$A:$N,10,0)/VLOOKUP(J$15,$K$1:$M$4,2,0))</f>
        <v>94.38849654500001</v>
      </c>
      <c r="AW32" s="229">
        <f t="shared" si="63"/>
        <v>0</v>
      </c>
      <c r="AX32" s="229">
        <f t="shared" si="26"/>
        <v>94.38849654500001</v>
      </c>
      <c r="AY32" s="228">
        <f t="shared" si="64"/>
        <v>67.615251923962688</v>
      </c>
      <c r="AZ32" s="226">
        <f>+IF($O32&gt;K$8,"FIN",(K$19-SUM(BA$25:BA31))*VLOOKUP($O32,$A:$N,11,0)/VLOOKUP(K$15,$K$1:$M$4,2,0))</f>
        <v>97.098346469999996</v>
      </c>
      <c r="BA32" s="229">
        <f t="shared" si="65"/>
        <v>0</v>
      </c>
      <c r="BB32" s="229">
        <f t="shared" si="28"/>
        <v>97.098346469999996</v>
      </c>
      <c r="BC32" s="228">
        <f t="shared" si="66"/>
        <v>69.556454422803753</v>
      </c>
      <c r="BD32" s="226">
        <f>+IF($O32&gt;L$8,"FIN",(L$19-SUM(BE$25:BE31))*VLOOKUP($O32,$A:$N,12,0)/VLOOKUP(L$15,$K$1:$M$4,2,0))</f>
        <v>0</v>
      </c>
      <c r="BE32" s="229">
        <f t="shared" si="67"/>
        <v>0</v>
      </c>
      <c r="BF32" s="229">
        <f t="shared" si="30"/>
        <v>0</v>
      </c>
      <c r="BG32" s="228">
        <f t="shared" si="68"/>
        <v>0</v>
      </c>
      <c r="BH32" s="226">
        <f>+IF($O32&gt;M$8,"FIN",(M$19-SUM(BI$25:BI31))*VLOOKUP($O32,$A:$N,13,0)/VLOOKUP(M$15,$K$1:$M$4,2,0))</f>
        <v>0</v>
      </c>
      <c r="BI32" s="229">
        <f t="shared" si="69"/>
        <v>0</v>
      </c>
      <c r="BJ32" s="229">
        <f t="shared" si="32"/>
        <v>0</v>
      </c>
      <c r="BK32" s="228">
        <f t="shared" si="70"/>
        <v>0</v>
      </c>
      <c r="BL32" s="218"/>
      <c r="BM32" s="226">
        <f t="shared" si="33"/>
        <v>912.79290496134217</v>
      </c>
      <c r="BN32" s="223">
        <f t="shared" si="33"/>
        <v>0</v>
      </c>
      <c r="BO32" s="227">
        <f t="shared" si="4"/>
        <v>912.79290496134217</v>
      </c>
      <c r="BP32" s="217">
        <f t="shared" si="34"/>
        <v>3.5</v>
      </c>
      <c r="BQ32" s="222">
        <f t="shared" si="5"/>
        <v>0</v>
      </c>
    </row>
    <row r="33" spans="1:69" s="20" customFormat="1" x14ac:dyDescent="0.25">
      <c r="A33" s="180">
        <f t="shared" si="6"/>
        <v>45539</v>
      </c>
      <c r="B33" s="236">
        <v>0.01</v>
      </c>
      <c r="C33" s="237">
        <v>5.0000000000000001E-3</v>
      </c>
      <c r="D33" s="191">
        <v>7.4999999999999997E-3</v>
      </c>
      <c r="E33" s="191">
        <v>1.25E-3</v>
      </c>
      <c r="F33" s="191">
        <v>3.6249999999999998E-2</v>
      </c>
      <c r="G33" s="191">
        <v>2.5000000000000001E-2</v>
      </c>
      <c r="H33" s="191">
        <v>4.2500000000000003E-2</v>
      </c>
      <c r="I33" s="191">
        <v>3.7499999999999999E-2</v>
      </c>
      <c r="J33" s="191">
        <v>3.5000000000000003E-2</v>
      </c>
      <c r="K33" s="191">
        <v>0.03</v>
      </c>
      <c r="L33" s="191">
        <v>3.6249999999999998E-2</v>
      </c>
      <c r="M33" s="192">
        <v>2.5000000000000001E-2</v>
      </c>
      <c r="N33" s="20">
        <f t="shared" si="7"/>
        <v>2024</v>
      </c>
      <c r="O33" s="181">
        <f t="shared" si="8"/>
        <v>45539</v>
      </c>
      <c r="P33" s="226">
        <f>+IF($O33&gt;B$8,"FIN",(B$19-SUM(Q$25:Q32))*VLOOKUP($O33,$A:$N,2,0)/VLOOKUP(B$15,$K$1:$M$4,2,0))</f>
        <v>10.728115012079121</v>
      </c>
      <c r="Q33" s="229">
        <f t="shared" si="47"/>
        <v>0</v>
      </c>
      <c r="R33" s="229">
        <f t="shared" si="10"/>
        <v>10.728115012079121</v>
      </c>
      <c r="S33" s="228">
        <f t="shared" si="48"/>
        <v>7.3274469039540451</v>
      </c>
      <c r="T33" s="226">
        <f>+IF($O33&gt;C$8,"FIN",(C$19-SUM(U$25:U32))*VLOOKUP($O33,$A:$N,3,0)/VLOOKUP(C$15,$K$1:$M$4,2,0))</f>
        <v>1.4376911007413622</v>
      </c>
      <c r="U33" s="229">
        <f t="shared" si="49"/>
        <v>0</v>
      </c>
      <c r="V33" s="229">
        <f t="shared" si="12"/>
        <v>1.4376911007413622</v>
      </c>
      <c r="W33" s="228">
        <f t="shared" si="50"/>
        <v>0.98196236646496948</v>
      </c>
      <c r="X33" s="226">
        <f>+IF($O33&gt;D$8,"FIN",(D$19-SUM(Y$25:Y32))*VLOOKUP($O33,$A:$N,4,0)/VLOOKUP(D$15,$K$1:$M$4,2,0))</f>
        <v>51.75</v>
      </c>
      <c r="Y33" s="229">
        <f t="shared" si="51"/>
        <v>0</v>
      </c>
      <c r="Z33" s="229">
        <f t="shared" si="14"/>
        <v>51.75</v>
      </c>
      <c r="AA33" s="228">
        <f t="shared" si="52"/>
        <v>35.345946315142399</v>
      </c>
      <c r="AB33" s="226">
        <f>+IF($O33&gt;E$8,"FIN",(E$19-SUM(AC$25:AC32))*VLOOKUP($O33,$A:$N,5,0)/VLOOKUP(E$15,$K$1:$M$4,2,0))</f>
        <v>1.9375</v>
      </c>
      <c r="AC33" s="229">
        <f t="shared" si="53"/>
        <v>0</v>
      </c>
      <c r="AD33" s="229">
        <f t="shared" si="16"/>
        <v>1.9375</v>
      </c>
      <c r="AE33" s="228">
        <f t="shared" si="54"/>
        <v>1.3233385697698241</v>
      </c>
      <c r="AF33" s="226">
        <f>+IF($O33&gt;F$8,"FIN",(F$19-SUM(AG$25:AG32))*VLOOKUP($O33,$A:$N,6,0)/VLOOKUP(F$15,$K$1:$M$4,2,0))</f>
        <v>369.61406249999999</v>
      </c>
      <c r="AG33" s="229">
        <f t="shared" si="55"/>
        <v>0</v>
      </c>
      <c r="AH33" s="229">
        <f t="shared" si="18"/>
        <v>369.61406249999999</v>
      </c>
      <c r="AI33" s="228">
        <f t="shared" si="56"/>
        <v>252.45137797964611</v>
      </c>
      <c r="AJ33" s="226">
        <f>+IF($O33&gt;G$8,"FIN",(G$19-SUM(AK$25:AK32))*VLOOKUP($O33,$A:$N,7,0)/VLOOKUP(G$15,$K$1:$M$4,2,0))</f>
        <v>29.517392834999999</v>
      </c>
      <c r="AK33" s="229">
        <f t="shared" si="57"/>
        <v>0</v>
      </c>
      <c r="AL33" s="229">
        <f t="shared" si="20"/>
        <v>29.517392834999999</v>
      </c>
      <c r="AM33" s="228">
        <f t="shared" si="58"/>
        <v>20.160776473601523</v>
      </c>
      <c r="AN33" s="226">
        <f>+IF($O33&gt;H$8,"FIN",(H$19-SUM(AO$25:AO32))*VLOOKUP($O33,$A:$N,8,0)/VLOOKUP(H$15,$K$1:$M$4,2,0))</f>
        <v>118.26244939956251</v>
      </c>
      <c r="AO33" s="229">
        <f t="shared" si="59"/>
        <v>0</v>
      </c>
      <c r="AP33" s="229">
        <f t="shared" si="22"/>
        <v>118.26244939956251</v>
      </c>
      <c r="AQ33" s="228">
        <f t="shared" si="60"/>
        <v>80.774844204331998</v>
      </c>
      <c r="AR33" s="226">
        <f>+IF($O33&gt;I$8,"FIN",(I$19-SUM(AS$25:AS32))*VLOOKUP($O33,$A:$N,9,0)/VLOOKUP(I$15,$K$1:$M$4,2,0))</f>
        <v>108.30532535193748</v>
      </c>
      <c r="AS33" s="229">
        <f t="shared" si="61"/>
        <v>0</v>
      </c>
      <c r="AT33" s="229">
        <f t="shared" si="24"/>
        <v>108.30532535193748</v>
      </c>
      <c r="AU33" s="228">
        <f t="shared" si="62"/>
        <v>73.973994503064986</v>
      </c>
      <c r="AV33" s="226">
        <f>+IF($O33&gt;J$8,"FIN",(J$19-SUM(AW$25:AW32))*VLOOKUP($O33,$A:$N,10,0)/VLOOKUP(J$15,$K$1:$M$4,2,0))</f>
        <v>94.38849654500001</v>
      </c>
      <c r="AW33" s="229">
        <f t="shared" si="63"/>
        <v>0</v>
      </c>
      <c r="AX33" s="229">
        <f t="shared" si="26"/>
        <v>94.38849654500001</v>
      </c>
      <c r="AY33" s="228">
        <f t="shared" si="64"/>
        <v>64.46861317191447</v>
      </c>
      <c r="AZ33" s="226">
        <f>+IF($O33&gt;K$8,"FIN",(K$19-SUM(BA$25:BA32))*VLOOKUP($O33,$A:$N,11,0)/VLOOKUP(K$15,$K$1:$M$4,2,0))</f>
        <v>97.098346469999996</v>
      </c>
      <c r="BA33" s="229">
        <f t="shared" si="65"/>
        <v>0</v>
      </c>
      <c r="BB33" s="229">
        <f t="shared" si="28"/>
        <v>97.098346469999996</v>
      </c>
      <c r="BC33" s="228">
        <f t="shared" si="66"/>
        <v>66.319477132709494</v>
      </c>
      <c r="BD33" s="226">
        <f>+IF($O33&gt;L$8,"FIN",(L$19-SUM(BE$25:BE32))*VLOOKUP($O33,$A:$N,12,0)/VLOOKUP(L$15,$K$1:$M$4,2,0))</f>
        <v>0</v>
      </c>
      <c r="BE33" s="229">
        <f t="shared" si="67"/>
        <v>0</v>
      </c>
      <c r="BF33" s="229">
        <f t="shared" si="30"/>
        <v>0</v>
      </c>
      <c r="BG33" s="228">
        <f t="shared" si="68"/>
        <v>0</v>
      </c>
      <c r="BH33" s="226">
        <f>+IF($O33&gt;M$8,"FIN",(M$19-SUM(BI$25:BI32))*VLOOKUP($O33,$A:$N,13,0)/VLOOKUP(M$15,$K$1:$M$4,2,0))</f>
        <v>0</v>
      </c>
      <c r="BI33" s="229">
        <f t="shared" si="69"/>
        <v>0</v>
      </c>
      <c r="BJ33" s="229">
        <f t="shared" si="32"/>
        <v>0</v>
      </c>
      <c r="BK33" s="228">
        <f t="shared" si="70"/>
        <v>0</v>
      </c>
      <c r="BL33" s="218"/>
      <c r="BM33" s="226">
        <f t="shared" si="33"/>
        <v>912.79290496134217</v>
      </c>
      <c r="BN33" s="223">
        <f t="shared" si="33"/>
        <v>0</v>
      </c>
      <c r="BO33" s="227">
        <f t="shared" si="4"/>
        <v>912.79290496134217</v>
      </c>
      <c r="BP33" s="217">
        <f t="shared" si="34"/>
        <v>4</v>
      </c>
      <c r="BQ33" s="222">
        <f t="shared" si="5"/>
        <v>0</v>
      </c>
    </row>
    <row r="34" spans="1:69" s="20" customFormat="1" x14ac:dyDescent="0.25">
      <c r="A34" s="180">
        <f t="shared" si="6"/>
        <v>45720</v>
      </c>
      <c r="B34" s="236">
        <v>0.01</v>
      </c>
      <c r="C34" s="237">
        <v>5.0000000000000001E-3</v>
      </c>
      <c r="D34" s="191">
        <v>7.4999999999999997E-3</v>
      </c>
      <c r="E34" s="191">
        <v>1.25E-3</v>
      </c>
      <c r="F34" s="191">
        <v>4.1250000000000002E-2</v>
      </c>
      <c r="G34" s="191">
        <v>3.875E-2</v>
      </c>
      <c r="H34" s="191">
        <v>0.05</v>
      </c>
      <c r="I34" s="191">
        <v>4.2500000000000003E-2</v>
      </c>
      <c r="J34" s="191">
        <v>3.5000000000000003E-2</v>
      </c>
      <c r="K34" s="191">
        <v>0.03</v>
      </c>
      <c r="L34" s="191">
        <v>4.1250000000000002E-2</v>
      </c>
      <c r="M34" s="192">
        <v>3.7499999999999999E-2</v>
      </c>
      <c r="N34" s="20">
        <f t="shared" si="7"/>
        <v>2025</v>
      </c>
      <c r="O34" s="181">
        <f t="shared" si="8"/>
        <v>45720</v>
      </c>
      <c r="P34" s="226">
        <f>+IF($O34&gt;B$8,"FIN",(B$19-SUM(Q$25:Q33))*VLOOKUP($O34,$A:$N,2,0)/VLOOKUP(B$15,$K$1:$M$4,2,0))</f>
        <v>10.728115012079121</v>
      </c>
      <c r="Q34" s="229">
        <f t="shared" si="47"/>
        <v>0</v>
      </c>
      <c r="R34" s="229">
        <f t="shared" si="10"/>
        <v>10.728115012079121</v>
      </c>
      <c r="S34" s="228">
        <f t="shared" si="48"/>
        <v>6.9864464976036222</v>
      </c>
      <c r="T34" s="226">
        <f>+IF($O34&gt;C$8,"FIN",(C$19-SUM(U$25:U33))*VLOOKUP($O34,$A:$N,3,0)/VLOOKUP(C$15,$K$1:$M$4,2,0))</f>
        <v>1.4376911007413622</v>
      </c>
      <c r="U34" s="229">
        <f t="shared" si="49"/>
        <v>0</v>
      </c>
      <c r="V34" s="229">
        <f t="shared" si="12"/>
        <v>1.4376911007413622</v>
      </c>
      <c r="W34" s="228">
        <f t="shared" si="50"/>
        <v>0.93626438047141891</v>
      </c>
      <c r="X34" s="226">
        <f>+IF($O34&gt;D$8,"FIN",(D$19-SUM(Y$25:Y33))*VLOOKUP($O34,$A:$N,4,0)/VLOOKUP(D$15,$K$1:$M$4,2,0))</f>
        <v>51.75</v>
      </c>
      <c r="Y34" s="229">
        <f t="shared" si="51"/>
        <v>1150</v>
      </c>
      <c r="Z34" s="229">
        <f t="shared" si="14"/>
        <v>1201.75</v>
      </c>
      <c r="AA34" s="228">
        <f t="shared" si="52"/>
        <v>782.61298178122411</v>
      </c>
      <c r="AB34" s="226">
        <f>+IF($O34&gt;E$8,"FIN",(E$19-SUM(AC$25:AC33))*VLOOKUP($O34,$A:$N,5,0)/VLOOKUP(E$15,$K$1:$M$4,2,0))</f>
        <v>1.9375</v>
      </c>
      <c r="AC34" s="229">
        <f t="shared" si="53"/>
        <v>258.33333333333331</v>
      </c>
      <c r="AD34" s="229">
        <f t="shared" si="16"/>
        <v>260.27083333333331</v>
      </c>
      <c r="AE34" s="228">
        <f t="shared" si="54"/>
        <v>169.49559637668733</v>
      </c>
      <c r="AF34" s="226">
        <f>+IF($O34&gt;F$8,"FIN",(F$19-SUM(AG$25:AG33))*VLOOKUP($O34,$A:$N,6,0)/VLOOKUP(F$15,$K$1:$M$4,2,0))</f>
        <v>420.59531250000003</v>
      </c>
      <c r="AG34" s="229">
        <f t="shared" si="55"/>
        <v>0</v>
      </c>
      <c r="AH34" s="229">
        <f t="shared" si="18"/>
        <v>420.59531250000003</v>
      </c>
      <c r="AI34" s="228">
        <f t="shared" si="56"/>
        <v>273.90335064600021</v>
      </c>
      <c r="AJ34" s="226">
        <f>+IF($O34&gt;G$8,"FIN",(G$19-SUM(AK$25:AK33))*VLOOKUP($O34,$A:$N,7,0)/VLOOKUP(G$15,$K$1:$M$4,2,0))</f>
        <v>45.751958894249995</v>
      </c>
      <c r="AK34" s="229">
        <f t="shared" si="57"/>
        <v>0</v>
      </c>
      <c r="AL34" s="229">
        <f t="shared" si="20"/>
        <v>45.751958894249995</v>
      </c>
      <c r="AM34" s="228">
        <f t="shared" si="58"/>
        <v>29.794946513468677</v>
      </c>
      <c r="AN34" s="226">
        <f>+IF($O34&gt;H$8,"FIN",(H$19-SUM(AO$25:AO33))*VLOOKUP($O34,$A:$N,8,0)/VLOOKUP(H$15,$K$1:$M$4,2,0))</f>
        <v>139.13229341125</v>
      </c>
      <c r="AO34" s="229">
        <f t="shared" si="59"/>
        <v>0</v>
      </c>
      <c r="AP34" s="229">
        <f t="shared" si="22"/>
        <v>139.13229341125</v>
      </c>
      <c r="AQ34" s="228">
        <f t="shared" si="60"/>
        <v>90.606814236437302</v>
      </c>
      <c r="AR34" s="226">
        <f>+IF($O34&gt;I$8,"FIN",(I$19-SUM(AS$25:AS33))*VLOOKUP($O34,$A:$N,9,0)/VLOOKUP(I$15,$K$1:$M$4,2,0))</f>
        <v>122.7460353988625</v>
      </c>
      <c r="AS34" s="229">
        <f t="shared" si="61"/>
        <v>0</v>
      </c>
      <c r="AT34" s="229">
        <f t="shared" si="24"/>
        <v>122.7460353988625</v>
      </c>
      <c r="AU34" s="228">
        <f t="shared" si="62"/>
        <v>79.935627847162436</v>
      </c>
      <c r="AV34" s="226">
        <f>+IF($O34&gt;J$8,"FIN",(J$19-SUM(AW$25:AW33))*VLOOKUP($O34,$A:$N,10,0)/VLOOKUP(J$15,$K$1:$M$4,2,0))</f>
        <v>94.38849654500001</v>
      </c>
      <c r="AW34" s="229">
        <f t="shared" si="63"/>
        <v>0</v>
      </c>
      <c r="AX34" s="229">
        <f t="shared" si="26"/>
        <v>94.38849654500001</v>
      </c>
      <c r="AY34" s="228">
        <f t="shared" si="64"/>
        <v>61.468410839966069</v>
      </c>
      <c r="AZ34" s="226">
        <f>+IF($O34&gt;K$8,"FIN",(K$19-SUM(BA$25:BA33))*VLOOKUP($O34,$A:$N,11,0)/VLOOKUP(K$15,$K$1:$M$4,2,0))</f>
        <v>97.098346469999996</v>
      </c>
      <c r="BA34" s="229">
        <f t="shared" si="65"/>
        <v>0</v>
      </c>
      <c r="BB34" s="229">
        <f t="shared" si="28"/>
        <v>97.098346469999996</v>
      </c>
      <c r="BC34" s="228">
        <f t="shared" si="66"/>
        <v>63.23314038436704</v>
      </c>
      <c r="BD34" s="226">
        <f>+IF($O34&gt;L$8,"FIN",(L$19-SUM(BE$25:BE33))*VLOOKUP($O34,$A:$N,12,0)/VLOOKUP(L$15,$K$1:$M$4,2,0))</f>
        <v>0</v>
      </c>
      <c r="BE34" s="229">
        <f t="shared" si="67"/>
        <v>0</v>
      </c>
      <c r="BF34" s="229">
        <f t="shared" si="30"/>
        <v>0</v>
      </c>
      <c r="BG34" s="228">
        <f t="shared" si="68"/>
        <v>0</v>
      </c>
      <c r="BH34" s="226">
        <f>+IF($O34&gt;M$8,"FIN",(M$19-SUM(BI$25:BI33))*VLOOKUP($O34,$A:$N,13,0)/VLOOKUP(M$15,$K$1:$M$4,2,0))</f>
        <v>0</v>
      </c>
      <c r="BI34" s="229">
        <f t="shared" si="69"/>
        <v>0</v>
      </c>
      <c r="BJ34" s="229">
        <f t="shared" si="32"/>
        <v>0</v>
      </c>
      <c r="BK34" s="228">
        <f t="shared" si="70"/>
        <v>0</v>
      </c>
      <c r="BL34" s="218"/>
      <c r="BM34" s="226">
        <f t="shared" si="33"/>
        <v>1019.1493714209207</v>
      </c>
      <c r="BN34" s="223">
        <f t="shared" si="33"/>
        <v>1440.5886764154479</v>
      </c>
      <c r="BO34" s="227">
        <f t="shared" si="4"/>
        <v>2459.7380478363684</v>
      </c>
      <c r="BP34" s="217">
        <f t="shared" si="34"/>
        <v>4.5</v>
      </c>
      <c r="BQ34" s="222">
        <f t="shared" si="5"/>
        <v>6482.6490438695155</v>
      </c>
    </row>
    <row r="35" spans="1:69" s="20" customFormat="1" x14ac:dyDescent="0.25">
      <c r="A35" s="180">
        <f t="shared" si="6"/>
        <v>45904</v>
      </c>
      <c r="B35" s="236">
        <v>0.01</v>
      </c>
      <c r="C35" s="237">
        <v>5.0000000000000001E-3</v>
      </c>
      <c r="D35" s="191">
        <v>7.4999999999999997E-3</v>
      </c>
      <c r="E35" s="191">
        <v>1.25E-3</v>
      </c>
      <c r="F35" s="191">
        <v>4.1250000000000002E-2</v>
      </c>
      <c r="G35" s="191">
        <v>3.875E-2</v>
      </c>
      <c r="H35" s="191">
        <v>0.05</v>
      </c>
      <c r="I35" s="191">
        <v>4.2500000000000003E-2</v>
      </c>
      <c r="J35" s="191">
        <v>3.5000000000000003E-2</v>
      </c>
      <c r="K35" s="191">
        <v>0.03</v>
      </c>
      <c r="L35" s="191">
        <v>4.1250000000000002E-2</v>
      </c>
      <c r="M35" s="192">
        <v>3.7499999999999999E-2</v>
      </c>
      <c r="N35" s="20">
        <f t="shared" si="7"/>
        <v>2025</v>
      </c>
      <c r="O35" s="181">
        <f t="shared" si="8"/>
        <v>45904</v>
      </c>
      <c r="P35" s="226">
        <f>+IF($O35&gt;B$8,"FIN",(B$19-SUM(Q$25:Q34))*VLOOKUP($O35,$A:$N,2,0)/VLOOKUP(B$15,$K$1:$M$4,2,0))</f>
        <v>10.728115012079121</v>
      </c>
      <c r="Q35" s="229">
        <f t="shared" si="47"/>
        <v>0</v>
      </c>
      <c r="R35" s="229">
        <f t="shared" si="10"/>
        <v>10.728115012079121</v>
      </c>
      <c r="S35" s="228">
        <f t="shared" si="48"/>
        <v>6.6613153672309497</v>
      </c>
      <c r="T35" s="226">
        <f>+IF($O35&gt;C$8,"FIN",(C$19-SUM(U$25:U34))*VLOOKUP($O35,$A:$N,3,0)/VLOOKUP(C$15,$K$1:$M$4,2,0))</f>
        <v>1.4376911007413622</v>
      </c>
      <c r="U35" s="229">
        <f t="shared" si="49"/>
        <v>0</v>
      </c>
      <c r="V35" s="229">
        <f t="shared" si="12"/>
        <v>1.4376911007413622</v>
      </c>
      <c r="W35" s="228">
        <f t="shared" si="50"/>
        <v>0.89269306042269947</v>
      </c>
      <c r="X35" s="226">
        <f>+IF($O35&gt;D$8,"FIN",(D$19-SUM(Y$25:Y34))*VLOOKUP($O35,$A:$N,4,0)/VLOOKUP(D$15,$K$1:$M$4,2,0))</f>
        <v>47.4375</v>
      </c>
      <c r="Y35" s="229">
        <f t="shared" si="51"/>
        <v>1150</v>
      </c>
      <c r="Z35" s="229">
        <f t="shared" si="14"/>
        <v>1197.4375</v>
      </c>
      <c r="AA35" s="228">
        <f t="shared" si="52"/>
        <v>743.51447678064687</v>
      </c>
      <c r="AB35" s="226">
        <f>+IF($O35&gt;E$8,"FIN",(E$19-SUM(AC$25:AC34))*VLOOKUP($O35,$A:$N,5,0)/VLOOKUP(E$15,$K$1:$M$4,2,0))</f>
        <v>1.7760416666666665</v>
      </c>
      <c r="AC35" s="229">
        <f t="shared" si="53"/>
        <v>258.33333333333331</v>
      </c>
      <c r="AD35" s="229">
        <f t="shared" si="16"/>
        <v>260.109375</v>
      </c>
      <c r="AE35" s="228">
        <f t="shared" si="54"/>
        <v>161.5074572650899</v>
      </c>
      <c r="AF35" s="226">
        <f>+IF($O35&gt;F$8,"FIN",(F$19-SUM(AG$25:AG34))*VLOOKUP($O35,$A:$N,6,0)/VLOOKUP(F$15,$K$1:$M$4,2,0))</f>
        <v>420.59531250000003</v>
      </c>
      <c r="AG35" s="229">
        <f t="shared" si="55"/>
        <v>0</v>
      </c>
      <c r="AH35" s="229">
        <f t="shared" si="18"/>
        <v>420.59531250000003</v>
      </c>
      <c r="AI35" s="228">
        <f t="shared" si="56"/>
        <v>261.15659790997876</v>
      </c>
      <c r="AJ35" s="226">
        <f>+IF($O35&gt;G$8,"FIN",(G$19-SUM(AK$25:AK34))*VLOOKUP($O35,$A:$N,7,0)/VLOOKUP(G$15,$K$1:$M$4,2,0))</f>
        <v>45.751958894249995</v>
      </c>
      <c r="AK35" s="229">
        <f t="shared" si="57"/>
        <v>0</v>
      </c>
      <c r="AL35" s="229">
        <f t="shared" si="20"/>
        <v>45.751958894249995</v>
      </c>
      <c r="AM35" s="228">
        <f t="shared" si="58"/>
        <v>28.40836684916578</v>
      </c>
      <c r="AN35" s="226">
        <f>+IF($O35&gt;H$8,"FIN",(H$19-SUM(AO$25:AO34))*VLOOKUP($O35,$A:$N,8,0)/VLOOKUP(H$15,$K$1:$M$4,2,0))</f>
        <v>139.13229341125</v>
      </c>
      <c r="AO35" s="229">
        <f t="shared" si="59"/>
        <v>0</v>
      </c>
      <c r="AP35" s="229">
        <f t="shared" si="22"/>
        <v>139.13229341125</v>
      </c>
      <c r="AQ35" s="228">
        <f t="shared" si="60"/>
        <v>86.390207705167896</v>
      </c>
      <c r="AR35" s="226">
        <f>+IF($O35&gt;I$8,"FIN",(I$19-SUM(AS$25:AS34))*VLOOKUP($O35,$A:$N,9,0)/VLOOKUP(I$15,$K$1:$M$4,2,0))</f>
        <v>122.7460353988625</v>
      </c>
      <c r="AS35" s="229">
        <f t="shared" si="61"/>
        <v>0</v>
      </c>
      <c r="AT35" s="229">
        <f t="shared" si="24"/>
        <v>122.7460353988625</v>
      </c>
      <c r="AU35" s="228">
        <f t="shared" si="62"/>
        <v>76.215630700127576</v>
      </c>
      <c r="AV35" s="226">
        <f>+IF($O35&gt;J$8,"FIN",(J$19-SUM(AW$25:AW34))*VLOOKUP($O35,$A:$N,10,0)/VLOOKUP(J$15,$K$1:$M$4,2,0))</f>
        <v>94.38849654500001</v>
      </c>
      <c r="AW35" s="229">
        <f t="shared" si="63"/>
        <v>0</v>
      </c>
      <c r="AX35" s="229">
        <f t="shared" si="26"/>
        <v>94.38849654500001</v>
      </c>
      <c r="AY35" s="228">
        <f t="shared" si="64"/>
        <v>58.607830156285885</v>
      </c>
      <c r="AZ35" s="226">
        <f>+IF($O35&gt;K$8,"FIN",(K$19-SUM(BA$25:BA34))*VLOOKUP($O35,$A:$N,11,0)/VLOOKUP(K$15,$K$1:$M$4,2,0))</f>
        <v>97.098346469999996</v>
      </c>
      <c r="BA35" s="229">
        <f t="shared" si="65"/>
        <v>0</v>
      </c>
      <c r="BB35" s="229">
        <f t="shared" si="28"/>
        <v>97.098346469999996</v>
      </c>
      <c r="BC35" s="228">
        <f t="shared" si="66"/>
        <v>60.290433757008628</v>
      </c>
      <c r="BD35" s="226">
        <f>+IF($O35&gt;L$8,"FIN",(L$19-SUM(BE$25:BE34))*VLOOKUP($O35,$A:$N,12,0)/VLOOKUP(L$15,$K$1:$M$4,2,0))</f>
        <v>0</v>
      </c>
      <c r="BE35" s="229">
        <f t="shared" si="67"/>
        <v>0</v>
      </c>
      <c r="BF35" s="229">
        <f t="shared" si="30"/>
        <v>0</v>
      </c>
      <c r="BG35" s="228">
        <f t="shared" si="68"/>
        <v>0</v>
      </c>
      <c r="BH35" s="226">
        <f>+IF($O35&gt;M$8,"FIN",(M$19-SUM(BI$25:BI34))*VLOOKUP($O35,$A:$N,13,0)/VLOOKUP(M$15,$K$1:$M$4,2,0))</f>
        <v>0</v>
      </c>
      <c r="BI35" s="229">
        <f t="shared" si="69"/>
        <v>0</v>
      </c>
      <c r="BJ35" s="229">
        <f t="shared" si="32"/>
        <v>0</v>
      </c>
      <c r="BK35" s="228">
        <f t="shared" si="70"/>
        <v>0</v>
      </c>
      <c r="BL35" s="218"/>
      <c r="BM35" s="226">
        <f t="shared" si="33"/>
        <v>1014.6552534981611</v>
      </c>
      <c r="BN35" s="223">
        <f t="shared" si="33"/>
        <v>1440.5886764154479</v>
      </c>
      <c r="BO35" s="227">
        <f t="shared" si="4"/>
        <v>2455.243929913609</v>
      </c>
      <c r="BP35" s="217">
        <f t="shared" si="34"/>
        <v>5</v>
      </c>
      <c r="BQ35" s="222">
        <f t="shared" si="5"/>
        <v>7202.9433820772392</v>
      </c>
    </row>
    <row r="36" spans="1:69" s="20" customFormat="1" x14ac:dyDescent="0.25">
      <c r="A36" s="180">
        <f t="shared" si="6"/>
        <v>46085</v>
      </c>
      <c r="B36" s="236">
        <v>0.01</v>
      </c>
      <c r="C36" s="237">
        <v>5.0000000000000001E-3</v>
      </c>
      <c r="D36" s="191">
        <v>7.4999999999999997E-3</v>
      </c>
      <c r="E36" s="191">
        <v>1.25E-3</v>
      </c>
      <c r="F36" s="191">
        <v>4.1250000000000002E-2</v>
      </c>
      <c r="G36" s="191">
        <v>3.875E-2</v>
      </c>
      <c r="H36" s="191">
        <v>0.05</v>
      </c>
      <c r="I36" s="191">
        <v>4.2500000000000003E-2</v>
      </c>
      <c r="J36" s="191">
        <v>3.5000000000000003E-2</v>
      </c>
      <c r="K36" s="191">
        <v>0.03</v>
      </c>
      <c r="L36" s="191">
        <v>4.1250000000000002E-2</v>
      </c>
      <c r="M36" s="192">
        <v>0.04</v>
      </c>
      <c r="N36" s="20">
        <f t="shared" si="7"/>
        <v>2026</v>
      </c>
      <c r="O36" s="181">
        <f t="shared" si="8"/>
        <v>46085</v>
      </c>
      <c r="P36" s="226">
        <f>+IF($O36&gt;B$8,"FIN",(B$19-SUM(Q$25:Q35))*VLOOKUP($O36,$A:$N,2,0)/VLOOKUP(B$15,$K$1:$M$4,2,0))</f>
        <v>10.728115012079121</v>
      </c>
      <c r="Q36" s="229">
        <f t="shared" si="47"/>
        <v>0</v>
      </c>
      <c r="R36" s="229">
        <f t="shared" si="10"/>
        <v>10.728115012079121</v>
      </c>
      <c r="S36" s="228">
        <f t="shared" si="48"/>
        <v>6.3513149978214756</v>
      </c>
      <c r="T36" s="226">
        <f>+IF($O36&gt;C$8,"FIN",(C$19-SUM(U$25:U35))*VLOOKUP($O36,$A:$N,3,0)/VLOOKUP(C$15,$K$1:$M$4,2,0))</f>
        <v>1.4376911007413622</v>
      </c>
      <c r="U36" s="229">
        <f t="shared" si="49"/>
        <v>0</v>
      </c>
      <c r="V36" s="229">
        <f t="shared" si="12"/>
        <v>1.4376911007413622</v>
      </c>
      <c r="W36" s="228">
        <f t="shared" si="50"/>
        <v>0.85114943679219901</v>
      </c>
      <c r="X36" s="226">
        <f>+IF($O36&gt;D$8,"FIN",(D$19-SUM(Y$25:Y35))*VLOOKUP($O36,$A:$N,4,0)/VLOOKUP(D$15,$K$1:$M$4,2,0))</f>
        <v>43.125</v>
      </c>
      <c r="Y36" s="229">
        <f t="shared" si="51"/>
        <v>1150</v>
      </c>
      <c r="Z36" s="229">
        <f t="shared" si="14"/>
        <v>1193.125</v>
      </c>
      <c r="AA36" s="228">
        <f t="shared" si="52"/>
        <v>706.36012927187471</v>
      </c>
      <c r="AB36" s="226">
        <f>+IF($O36&gt;E$8,"FIN",(E$19-SUM(AC$25:AC35))*VLOOKUP($O36,$A:$N,5,0)/VLOOKUP(E$15,$K$1:$M$4,2,0))</f>
        <v>1.6145833333333335</v>
      </c>
      <c r="AC36" s="229">
        <f t="shared" si="53"/>
        <v>258.33333333333331</v>
      </c>
      <c r="AD36" s="229">
        <f t="shared" si="16"/>
        <v>259.94791666666663</v>
      </c>
      <c r="AE36" s="228">
        <f t="shared" si="54"/>
        <v>153.89573097590039</v>
      </c>
      <c r="AF36" s="226">
        <f>+IF($O36&gt;F$8,"FIN",(F$19-SUM(AG$25:AG35))*VLOOKUP($O36,$A:$N,6,0)/VLOOKUP(F$15,$K$1:$M$4,2,0))</f>
        <v>420.59531250000003</v>
      </c>
      <c r="AG36" s="229">
        <f t="shared" si="55"/>
        <v>0</v>
      </c>
      <c r="AH36" s="229">
        <f t="shared" si="18"/>
        <v>420.59531250000003</v>
      </c>
      <c r="AI36" s="228">
        <f t="shared" si="56"/>
        <v>249.00304604181841</v>
      </c>
      <c r="AJ36" s="226">
        <f>+IF($O36&gt;G$8,"FIN",(G$19-SUM(AK$25:AK35))*VLOOKUP($O36,$A:$N,7,0)/VLOOKUP(G$15,$K$1:$M$4,2,0))</f>
        <v>45.751958894249995</v>
      </c>
      <c r="AK36" s="229">
        <f t="shared" si="57"/>
        <v>0</v>
      </c>
      <c r="AL36" s="229">
        <f t="shared" si="20"/>
        <v>45.751958894249995</v>
      </c>
      <c r="AM36" s="228">
        <f t="shared" si="58"/>
        <v>27.086315012244253</v>
      </c>
      <c r="AN36" s="226">
        <f>+IF($O36&gt;H$8,"FIN",(H$19-SUM(AO$25:AO35))*VLOOKUP($O36,$A:$N,8,0)/VLOOKUP(H$15,$K$1:$M$4,2,0))</f>
        <v>139.13229341125</v>
      </c>
      <c r="AO36" s="229">
        <f t="shared" si="59"/>
        <v>0</v>
      </c>
      <c r="AP36" s="229">
        <f t="shared" si="22"/>
        <v>139.13229341125</v>
      </c>
      <c r="AQ36" s="228">
        <f t="shared" si="60"/>
        <v>82.369831124033908</v>
      </c>
      <c r="AR36" s="226">
        <f>+IF($O36&gt;I$8,"FIN",(I$19-SUM(AS$25:AS35))*VLOOKUP($O36,$A:$N,9,0)/VLOOKUP(I$15,$K$1:$M$4,2,0))</f>
        <v>122.7460353988625</v>
      </c>
      <c r="AS36" s="229">
        <f t="shared" si="61"/>
        <v>0</v>
      </c>
      <c r="AT36" s="229">
        <f t="shared" si="24"/>
        <v>122.7460353988625</v>
      </c>
      <c r="AU36" s="228">
        <f t="shared" si="62"/>
        <v>72.668752588329497</v>
      </c>
      <c r="AV36" s="226">
        <f>+IF($O36&gt;J$8,"FIN",(J$19-SUM(AW$25:AW35))*VLOOKUP($O36,$A:$N,10,0)/VLOOKUP(J$15,$K$1:$M$4,2,0))</f>
        <v>94.38849654500001</v>
      </c>
      <c r="AW36" s="229">
        <f t="shared" si="63"/>
        <v>0</v>
      </c>
      <c r="AX36" s="229">
        <f t="shared" si="26"/>
        <v>94.38849654500001</v>
      </c>
      <c r="AY36" s="228">
        <f t="shared" si="64"/>
        <v>55.880373490878249</v>
      </c>
      <c r="AZ36" s="226">
        <f>+IF($O36&gt;K$8,"FIN",(K$19-SUM(BA$25:BA35))*VLOOKUP($O36,$A:$N,11,0)/VLOOKUP(K$15,$K$1:$M$4,2,0))</f>
        <v>97.098346469999996</v>
      </c>
      <c r="BA36" s="229">
        <f t="shared" si="65"/>
        <v>0</v>
      </c>
      <c r="BB36" s="229">
        <f t="shared" si="28"/>
        <v>97.098346469999996</v>
      </c>
      <c r="BC36" s="228">
        <f t="shared" si="66"/>
        <v>57.484673076697312</v>
      </c>
      <c r="BD36" s="226">
        <f>+IF($O36&gt;L$8,"FIN",(L$19-SUM(BE$25:BE35))*VLOOKUP($O36,$A:$N,12,0)/VLOOKUP(L$15,$K$1:$M$4,2,0))</f>
        <v>0</v>
      </c>
      <c r="BE36" s="229">
        <f t="shared" si="67"/>
        <v>0</v>
      </c>
      <c r="BF36" s="229">
        <f t="shared" si="30"/>
        <v>0</v>
      </c>
      <c r="BG36" s="228">
        <f t="shared" si="68"/>
        <v>0</v>
      </c>
      <c r="BH36" s="226">
        <f>+IF($O36&gt;M$8,"FIN",(M$19-SUM(BI$25:BI35))*VLOOKUP($O36,$A:$N,13,0)/VLOOKUP(M$15,$K$1:$M$4,2,0))</f>
        <v>0</v>
      </c>
      <c r="BI36" s="229">
        <f t="shared" si="69"/>
        <v>0</v>
      </c>
      <c r="BJ36" s="229">
        <f t="shared" si="32"/>
        <v>0</v>
      </c>
      <c r="BK36" s="228">
        <f t="shared" si="70"/>
        <v>0</v>
      </c>
      <c r="BL36" s="218"/>
      <c r="BM36" s="226">
        <f t="shared" si="33"/>
        <v>1010.1611355754013</v>
      </c>
      <c r="BN36" s="223">
        <f t="shared" si="33"/>
        <v>1440.5886764154479</v>
      </c>
      <c r="BO36" s="227">
        <f t="shared" si="4"/>
        <v>2450.7498119908491</v>
      </c>
      <c r="BP36" s="217">
        <f t="shared" si="34"/>
        <v>5.5</v>
      </c>
      <c r="BQ36" s="222">
        <f t="shared" si="5"/>
        <v>7923.2377202849639</v>
      </c>
    </row>
    <row r="37" spans="1:69" s="20" customFormat="1" x14ac:dyDescent="0.25">
      <c r="A37" s="180">
        <f t="shared" si="6"/>
        <v>46269</v>
      </c>
      <c r="B37" s="236">
        <v>0.01</v>
      </c>
      <c r="C37" s="237">
        <v>5.0000000000000001E-3</v>
      </c>
      <c r="D37" s="191">
        <v>7.4999999999999997E-3</v>
      </c>
      <c r="E37" s="191">
        <v>1.25E-3</v>
      </c>
      <c r="F37" s="191">
        <v>4.1250000000000002E-2</v>
      </c>
      <c r="G37" s="191">
        <v>3.875E-2</v>
      </c>
      <c r="H37" s="191">
        <v>0.05</v>
      </c>
      <c r="I37" s="191">
        <v>4.2500000000000003E-2</v>
      </c>
      <c r="J37" s="191">
        <v>3.5000000000000003E-2</v>
      </c>
      <c r="K37" s="191">
        <v>0.03</v>
      </c>
      <c r="L37" s="191">
        <v>4.1250000000000002E-2</v>
      </c>
      <c r="M37" s="192">
        <v>0.04</v>
      </c>
      <c r="N37" s="20">
        <f t="shared" si="7"/>
        <v>2026</v>
      </c>
      <c r="O37" s="181">
        <f t="shared" si="8"/>
        <v>46269</v>
      </c>
      <c r="P37" s="226">
        <f>+IF($O37&gt;B$8,"FIN",(B$19-SUM(Q$25:Q36))*VLOOKUP($O37,$A:$N,2,0)/VLOOKUP(B$15,$K$1:$M$4,2,0))</f>
        <v>10.728115012079121</v>
      </c>
      <c r="Q37" s="229">
        <f t="shared" si="47"/>
        <v>0</v>
      </c>
      <c r="R37" s="229">
        <f t="shared" si="10"/>
        <v>10.728115012079121</v>
      </c>
      <c r="S37" s="228">
        <f t="shared" si="48"/>
        <v>6.0557412429372262</v>
      </c>
      <c r="T37" s="226">
        <f>+IF($O37&gt;C$8,"FIN",(C$19-SUM(U$25:U36))*VLOOKUP($O37,$A:$N,3,0)/VLOOKUP(C$15,$K$1:$M$4,2,0))</f>
        <v>1.4376911007413622</v>
      </c>
      <c r="U37" s="229">
        <f t="shared" si="49"/>
        <v>0</v>
      </c>
      <c r="V37" s="229">
        <f t="shared" si="12"/>
        <v>1.4376911007413622</v>
      </c>
      <c r="W37" s="228">
        <f t="shared" si="50"/>
        <v>0.81153914583881759</v>
      </c>
      <c r="X37" s="226">
        <f>+IF($O37&gt;D$8,"FIN",(D$19-SUM(Y$25:Y36))*VLOOKUP($O37,$A:$N,4,0)/VLOOKUP(D$15,$K$1:$M$4,2,0))</f>
        <v>38.8125</v>
      </c>
      <c r="Y37" s="229">
        <f t="shared" si="51"/>
        <v>1150</v>
      </c>
      <c r="Z37" s="229">
        <f t="shared" si="14"/>
        <v>1188.8125</v>
      </c>
      <c r="AA37" s="228">
        <f t="shared" si="52"/>
        <v>671.05366397205592</v>
      </c>
      <c r="AB37" s="226">
        <f>+IF($O37&gt;E$8,"FIN",(E$19-SUM(AC$25:AC36))*VLOOKUP($O37,$A:$N,5,0)/VLOOKUP(E$15,$K$1:$M$4,2,0))</f>
        <v>1.453125</v>
      </c>
      <c r="AC37" s="229">
        <f t="shared" si="53"/>
        <v>258.33333333333331</v>
      </c>
      <c r="AD37" s="229">
        <f t="shared" si="16"/>
        <v>259.78645833333331</v>
      </c>
      <c r="AE37" s="228">
        <f t="shared" si="54"/>
        <v>146.64268311016849</v>
      </c>
      <c r="AF37" s="226">
        <f>+IF($O37&gt;F$8,"FIN",(F$19-SUM(AG$25:AG36))*VLOOKUP($O37,$A:$N,6,0)/VLOOKUP(F$15,$K$1:$M$4,2,0))</f>
        <v>420.59531250000003</v>
      </c>
      <c r="AG37" s="229">
        <f t="shared" si="55"/>
        <v>0</v>
      </c>
      <c r="AH37" s="229">
        <f t="shared" si="18"/>
        <v>420.59531250000003</v>
      </c>
      <c r="AI37" s="228">
        <f t="shared" si="56"/>
        <v>237.41508900907158</v>
      </c>
      <c r="AJ37" s="226">
        <f>+IF($O37&gt;G$8,"FIN",(G$19-SUM(AK$25:AK36))*VLOOKUP($O37,$A:$N,7,0)/VLOOKUP(G$15,$K$1:$M$4,2,0))</f>
        <v>45.751958894249995</v>
      </c>
      <c r="AK37" s="229">
        <f t="shared" si="57"/>
        <v>0</v>
      </c>
      <c r="AL37" s="229">
        <f t="shared" si="20"/>
        <v>45.751958894249995</v>
      </c>
      <c r="AM37" s="228">
        <f t="shared" si="58"/>
        <v>25.825788044696161</v>
      </c>
      <c r="AN37" s="226">
        <f>+IF($O37&gt;H$8,"FIN",(H$19-SUM(AO$25:AO36))*VLOOKUP($O37,$A:$N,8,0)/VLOOKUP(H$15,$K$1:$M$4,2,0))</f>
        <v>139.13229341125</v>
      </c>
      <c r="AO37" s="229">
        <f t="shared" si="59"/>
        <v>0</v>
      </c>
      <c r="AP37" s="229">
        <f t="shared" si="22"/>
        <v>139.13229341125</v>
      </c>
      <c r="AQ37" s="228">
        <f t="shared" si="60"/>
        <v>78.536552459243538</v>
      </c>
      <c r="AR37" s="226">
        <f>+IF($O37&gt;I$8,"FIN",(I$19-SUM(AS$25:AS36))*VLOOKUP($O37,$A:$N,9,0)/VLOOKUP(I$15,$K$1:$M$4,2,0))</f>
        <v>122.7460353988625</v>
      </c>
      <c r="AS37" s="229">
        <f t="shared" si="61"/>
        <v>0</v>
      </c>
      <c r="AT37" s="229">
        <f t="shared" si="24"/>
        <v>122.7460353988625</v>
      </c>
      <c r="AU37" s="228">
        <f t="shared" si="62"/>
        <v>69.286937000115969</v>
      </c>
      <c r="AV37" s="226">
        <f>+IF($O37&gt;J$8,"FIN",(J$19-SUM(AW$25:AW36))*VLOOKUP($O37,$A:$N,10,0)/VLOOKUP(J$15,$K$1:$M$4,2,0))</f>
        <v>94.38849654500001</v>
      </c>
      <c r="AW37" s="229">
        <f t="shared" si="63"/>
        <v>0</v>
      </c>
      <c r="AX37" s="229">
        <f t="shared" si="26"/>
        <v>94.38849654500001</v>
      </c>
      <c r="AY37" s="228">
        <f t="shared" si="64"/>
        <v>53.279845596623524</v>
      </c>
      <c r="AZ37" s="226">
        <f>+IF($O37&gt;K$8,"FIN",(K$19-SUM(BA$25:BA36))*VLOOKUP($O37,$A:$N,11,0)/VLOOKUP(K$15,$K$1:$M$4,2,0))</f>
        <v>97.098346469999996</v>
      </c>
      <c r="BA37" s="229">
        <f t="shared" si="65"/>
        <v>0</v>
      </c>
      <c r="BB37" s="229">
        <f t="shared" si="28"/>
        <v>97.098346469999996</v>
      </c>
      <c r="BC37" s="228">
        <f t="shared" si="66"/>
        <v>54.809485233644196</v>
      </c>
      <c r="BD37" s="226">
        <f>+IF($O37&gt;L$8,"FIN",(L$19-SUM(BE$25:BE36))*VLOOKUP($O37,$A:$N,12,0)/VLOOKUP(L$15,$K$1:$M$4,2,0))</f>
        <v>0</v>
      </c>
      <c r="BE37" s="229">
        <f t="shared" si="67"/>
        <v>0</v>
      </c>
      <c r="BF37" s="229">
        <f t="shared" si="30"/>
        <v>0</v>
      </c>
      <c r="BG37" s="228">
        <f t="shared" si="68"/>
        <v>0</v>
      </c>
      <c r="BH37" s="226">
        <f>+IF($O37&gt;M$8,"FIN",(M$19-SUM(BI$25:BI36))*VLOOKUP($O37,$A:$N,13,0)/VLOOKUP(M$15,$K$1:$M$4,2,0))</f>
        <v>0</v>
      </c>
      <c r="BI37" s="229">
        <f t="shared" si="69"/>
        <v>0</v>
      </c>
      <c r="BJ37" s="229">
        <f t="shared" si="32"/>
        <v>0</v>
      </c>
      <c r="BK37" s="228">
        <f t="shared" si="70"/>
        <v>0</v>
      </c>
      <c r="BL37" s="218"/>
      <c r="BM37" s="226">
        <f t="shared" si="33"/>
        <v>1005.6670176526418</v>
      </c>
      <c r="BN37" s="223">
        <f t="shared" si="33"/>
        <v>1440.5886764154479</v>
      </c>
      <c r="BO37" s="227">
        <f t="shared" si="4"/>
        <v>2446.2556940680897</v>
      </c>
      <c r="BP37" s="217">
        <f t="shared" si="34"/>
        <v>6</v>
      </c>
      <c r="BQ37" s="222">
        <f t="shared" si="5"/>
        <v>8643.5320584926885</v>
      </c>
    </row>
    <row r="38" spans="1:69" s="20" customFormat="1" x14ac:dyDescent="0.25">
      <c r="A38" s="180">
        <f t="shared" si="6"/>
        <v>46450</v>
      </c>
      <c r="B38" s="236">
        <v>0.01</v>
      </c>
      <c r="C38" s="237">
        <v>5.0000000000000001E-3</v>
      </c>
      <c r="D38" s="191">
        <v>7.4999999999999997E-3</v>
      </c>
      <c r="E38" s="191">
        <v>1.25E-3</v>
      </c>
      <c r="F38" s="191">
        <v>4.1250000000000002E-2</v>
      </c>
      <c r="G38" s="191">
        <v>3.875E-2</v>
      </c>
      <c r="H38" s="191">
        <v>0.05</v>
      </c>
      <c r="I38" s="191">
        <v>4.2500000000000003E-2</v>
      </c>
      <c r="J38" s="191">
        <v>3.5000000000000003E-2</v>
      </c>
      <c r="K38" s="191">
        <v>0.03</v>
      </c>
      <c r="L38" s="191">
        <v>4.1250000000000002E-2</v>
      </c>
      <c r="M38" s="192">
        <v>4.1250000000000002E-2</v>
      </c>
      <c r="N38" s="20">
        <f t="shared" si="7"/>
        <v>2027</v>
      </c>
      <c r="O38" s="181">
        <f t="shared" si="8"/>
        <v>46450</v>
      </c>
      <c r="P38" s="226">
        <f>+IF($O38&gt;B$8,"FIN",(B$19-SUM(Q$25:Q37))*VLOOKUP($O38,$A:$N,2,0)/VLOOKUP(B$15,$K$1:$M$4,2,0))</f>
        <v>10.728115012079121</v>
      </c>
      <c r="Q38" s="229">
        <f t="shared" si="47"/>
        <v>268.202875301978</v>
      </c>
      <c r="R38" s="229">
        <f t="shared" si="10"/>
        <v>278.93099031405711</v>
      </c>
      <c r="S38" s="228">
        <f t="shared" si="48"/>
        <v>150.12199085759846</v>
      </c>
      <c r="T38" s="226">
        <f>+IF($O38&gt;C$8,"FIN",(C$19-SUM(U$25:U37))*VLOOKUP($O38,$A:$N,3,0)/VLOOKUP(C$15,$K$1:$M$4,2,0))</f>
        <v>1.4376911007413622</v>
      </c>
      <c r="U38" s="229">
        <f t="shared" si="49"/>
        <v>71.884555037068111</v>
      </c>
      <c r="V38" s="229">
        <f t="shared" si="12"/>
        <v>73.322246137809472</v>
      </c>
      <c r="W38" s="228">
        <f t="shared" si="50"/>
        <v>39.462382978547403</v>
      </c>
      <c r="X38" s="226">
        <f>+IF($O38&gt;D$8,"FIN",(D$19-SUM(Y$25:Y37))*VLOOKUP($O38,$A:$N,4,0)/VLOOKUP(D$15,$K$1:$M$4,2,0))</f>
        <v>34.5</v>
      </c>
      <c r="Y38" s="229">
        <f t="shared" si="51"/>
        <v>1150</v>
      </c>
      <c r="Z38" s="229">
        <f t="shared" si="14"/>
        <v>1184.5</v>
      </c>
      <c r="AA38" s="228">
        <f t="shared" si="52"/>
        <v>637.50355588173568</v>
      </c>
      <c r="AB38" s="226">
        <f>+IF($O38&gt;E$8,"FIN",(E$19-SUM(AC$25:AC37))*VLOOKUP($O38,$A:$N,5,0)/VLOOKUP(E$15,$K$1:$M$4,2,0))</f>
        <v>1.291666666666667</v>
      </c>
      <c r="AC38" s="229">
        <f t="shared" si="53"/>
        <v>258.33333333333331</v>
      </c>
      <c r="AD38" s="229">
        <f t="shared" si="16"/>
        <v>259.625</v>
      </c>
      <c r="AE38" s="228">
        <f t="shared" si="54"/>
        <v>139.73141468619303</v>
      </c>
      <c r="AF38" s="226">
        <f>+IF($O38&gt;F$8,"FIN",(F$19-SUM(AG$25:AG37))*VLOOKUP($O38,$A:$N,6,0)/VLOOKUP(F$15,$K$1:$M$4,2,0))</f>
        <v>420.59531250000003</v>
      </c>
      <c r="AG38" s="229">
        <f t="shared" si="55"/>
        <v>0</v>
      </c>
      <c r="AH38" s="229">
        <f t="shared" si="18"/>
        <v>420.59531250000003</v>
      </c>
      <c r="AI38" s="228">
        <f t="shared" si="56"/>
        <v>226.36640549256214</v>
      </c>
      <c r="AJ38" s="226">
        <f>+IF($O38&gt;G$8,"FIN",(G$19-SUM(AK$25:AK37))*VLOOKUP($O38,$A:$N,7,0)/VLOOKUP(G$15,$K$1:$M$4,2,0))</f>
        <v>45.751958894249995</v>
      </c>
      <c r="AK38" s="229">
        <f t="shared" si="57"/>
        <v>0</v>
      </c>
      <c r="AL38" s="229">
        <f t="shared" si="20"/>
        <v>45.751958894249995</v>
      </c>
      <c r="AM38" s="228">
        <f t="shared" si="58"/>
        <v>24.623922738403863</v>
      </c>
      <c r="AN38" s="226">
        <f>+IF($O38&gt;H$8,"FIN",(H$19-SUM(AO$25:AO37))*VLOOKUP($O38,$A:$N,8,0)/VLOOKUP(H$15,$K$1:$M$4,2,0))</f>
        <v>139.13229341125</v>
      </c>
      <c r="AO38" s="229">
        <f t="shared" si="59"/>
        <v>0</v>
      </c>
      <c r="AP38" s="229">
        <f t="shared" si="22"/>
        <v>139.13229341125</v>
      </c>
      <c r="AQ38" s="228">
        <f t="shared" si="60"/>
        <v>74.881664658212628</v>
      </c>
      <c r="AR38" s="226">
        <f>+IF($O38&gt;I$8,"FIN",(I$19-SUM(AS$25:AS37))*VLOOKUP($O38,$A:$N,9,0)/VLOOKUP(I$15,$K$1:$M$4,2,0))</f>
        <v>122.7460353988625</v>
      </c>
      <c r="AS38" s="229">
        <f t="shared" si="61"/>
        <v>0</v>
      </c>
      <c r="AT38" s="229">
        <f t="shared" si="24"/>
        <v>122.7460353988625</v>
      </c>
      <c r="AU38" s="228">
        <f t="shared" si="62"/>
        <v>66.062502353026801</v>
      </c>
      <c r="AV38" s="226">
        <f>+IF($O38&gt;J$8,"FIN",(J$19-SUM(AW$25:AW37))*VLOOKUP($O38,$A:$N,10,0)/VLOOKUP(J$15,$K$1:$M$4,2,0))</f>
        <v>94.38849654500001</v>
      </c>
      <c r="AW38" s="229">
        <f t="shared" si="63"/>
        <v>0</v>
      </c>
      <c r="AX38" s="229">
        <f t="shared" si="26"/>
        <v>94.38849654500001</v>
      </c>
      <c r="AY38" s="228">
        <f t="shared" si="64"/>
        <v>50.800339537162039</v>
      </c>
      <c r="AZ38" s="226">
        <f>+IF($O38&gt;K$8,"FIN",(K$19-SUM(BA$25:BA37))*VLOOKUP($O38,$A:$N,11,0)/VLOOKUP(K$15,$K$1:$M$4,2,0))</f>
        <v>97.098346469999996</v>
      </c>
      <c r="BA38" s="229">
        <f t="shared" si="65"/>
        <v>0</v>
      </c>
      <c r="BB38" s="229">
        <f t="shared" si="28"/>
        <v>97.098346469999996</v>
      </c>
      <c r="BC38" s="228">
        <f t="shared" si="66"/>
        <v>52.258793706088454</v>
      </c>
      <c r="BD38" s="226">
        <f>+IF($O38&gt;L$8,"FIN",(L$19-SUM(BE$25:BE37))*VLOOKUP($O38,$A:$N,12,0)/VLOOKUP(L$15,$K$1:$M$4,2,0))</f>
        <v>0</v>
      </c>
      <c r="BE38" s="229">
        <f t="shared" si="67"/>
        <v>0</v>
      </c>
      <c r="BF38" s="229">
        <f t="shared" si="30"/>
        <v>0</v>
      </c>
      <c r="BG38" s="228">
        <f t="shared" si="68"/>
        <v>0</v>
      </c>
      <c r="BH38" s="226">
        <f>+IF($O38&gt;M$8,"FIN",(M$19-SUM(BI$25:BI37))*VLOOKUP($O38,$A:$N,13,0)/VLOOKUP(M$15,$K$1:$M$4,2,0))</f>
        <v>0</v>
      </c>
      <c r="BI38" s="229">
        <f t="shared" si="69"/>
        <v>0</v>
      </c>
      <c r="BJ38" s="229">
        <f t="shared" si="32"/>
        <v>0</v>
      </c>
      <c r="BK38" s="228">
        <f t="shared" si="70"/>
        <v>0</v>
      </c>
      <c r="BL38" s="218"/>
      <c r="BM38" s="226">
        <f t="shared" si="33"/>
        <v>1001.172899729882</v>
      </c>
      <c r="BN38" s="223">
        <f t="shared" si="33"/>
        <v>1789.6515686320136</v>
      </c>
      <c r="BO38" s="227">
        <f t="shared" si="4"/>
        <v>2790.8244683618955</v>
      </c>
      <c r="BP38" s="217">
        <f t="shared" si="34"/>
        <v>6.5</v>
      </c>
      <c r="BQ38" s="222">
        <f t="shared" si="5"/>
        <v>11632.735196108088</v>
      </c>
    </row>
    <row r="39" spans="1:69" s="20" customFormat="1" x14ac:dyDescent="0.25">
      <c r="A39" s="180">
        <f t="shared" si="6"/>
        <v>46634</v>
      </c>
      <c r="B39" s="236">
        <v>0.01</v>
      </c>
      <c r="C39" s="237">
        <v>5.0000000000000001E-3</v>
      </c>
      <c r="D39" s="191">
        <v>7.4999999999999997E-3</v>
      </c>
      <c r="E39" s="191">
        <v>1.25E-3</v>
      </c>
      <c r="F39" s="191">
        <v>4.1250000000000002E-2</v>
      </c>
      <c r="G39" s="191">
        <v>3.875E-2</v>
      </c>
      <c r="H39" s="191">
        <v>0.05</v>
      </c>
      <c r="I39" s="191">
        <v>4.2500000000000003E-2</v>
      </c>
      <c r="J39" s="191">
        <v>3.5000000000000003E-2</v>
      </c>
      <c r="K39" s="191">
        <v>0.03</v>
      </c>
      <c r="L39" s="191">
        <v>4.1250000000000002E-2</v>
      </c>
      <c r="M39" s="192">
        <v>4.1250000000000002E-2</v>
      </c>
      <c r="N39" s="20">
        <f t="shared" si="7"/>
        <v>2027</v>
      </c>
      <c r="O39" s="181">
        <f t="shared" si="8"/>
        <v>46634</v>
      </c>
      <c r="P39" s="226">
        <f>+IF($O39&gt;B$8,"FIN",(B$19-SUM(Q$25:Q38))*VLOOKUP($O39,$A:$N,2,0)/VLOOKUP(B$15,$K$1:$M$4,2,0))</f>
        <v>9.3871006355692295</v>
      </c>
      <c r="Q39" s="229">
        <f t="shared" si="47"/>
        <v>268.202875301978</v>
      </c>
      <c r="R39" s="229">
        <f t="shared" si="10"/>
        <v>277.58997593754725</v>
      </c>
      <c r="S39" s="228">
        <f>R39/(1+$B$5)^(YEARFRAC($O$25,$O39))</f>
        <v>142.44754969181884</v>
      </c>
      <c r="T39" s="226">
        <f>+IF($O39&gt;C$8,"FIN",(C$19-SUM(U$25:U38))*VLOOKUP($O39,$A:$N,3,0)/VLOOKUP(C$15,$K$1:$M$4,2,0))</f>
        <v>1.2579797131486918</v>
      </c>
      <c r="U39" s="229">
        <f t="shared" si="49"/>
        <v>71.884555037068111</v>
      </c>
      <c r="V39" s="229">
        <f t="shared" si="12"/>
        <v>73.142534750216797</v>
      </c>
      <c r="W39" s="228">
        <f t="shared" si="50"/>
        <v>37.533685495045304</v>
      </c>
      <c r="X39" s="226">
        <f>+IF($O39&gt;D$8,"FIN",(D$19-SUM(Y$25:Y38))*VLOOKUP($O39,$A:$N,4,0)/VLOOKUP(D$15,$K$1:$M$4,2,0))</f>
        <v>30.1875</v>
      </c>
      <c r="Y39" s="229">
        <f t="shared" si="51"/>
        <v>1150</v>
      </c>
      <c r="Z39" s="229">
        <f t="shared" si="14"/>
        <v>1180.1875</v>
      </c>
      <c r="AA39" s="228">
        <f t="shared" si="52"/>
        <v>605.62279665940184</v>
      </c>
      <c r="AB39" s="226">
        <f>+IF($O39&gt;E$8,"FIN",(E$19-SUM(AC$25:AC38))*VLOOKUP($O39,$A:$N,5,0)/VLOOKUP(E$15,$K$1:$M$4,2,0))</f>
        <v>1.1302083333333335</v>
      </c>
      <c r="AC39" s="229">
        <f t="shared" si="53"/>
        <v>258.33333333333331</v>
      </c>
      <c r="AD39" s="229">
        <f t="shared" si="16"/>
        <v>259.46354166666663</v>
      </c>
      <c r="AE39" s="228">
        <f t="shared" si="54"/>
        <v>133.14582279114114</v>
      </c>
      <c r="AF39" s="226">
        <f>+IF($O39&gt;F$8,"FIN",(F$19-SUM(AG$25:AG38))*VLOOKUP($O39,$A:$N,6,0)/VLOOKUP(F$15,$K$1:$M$4,2,0))</f>
        <v>420.59531250000003</v>
      </c>
      <c r="AG39" s="229">
        <f t="shared" si="55"/>
        <v>0</v>
      </c>
      <c r="AH39" s="229">
        <f t="shared" si="18"/>
        <v>420.59531250000003</v>
      </c>
      <c r="AI39" s="228">
        <f t="shared" si="56"/>
        <v>215.83189909915595</v>
      </c>
      <c r="AJ39" s="226">
        <f>+IF($O39&gt;G$8,"FIN",(G$19-SUM(AK$25:AK38))*VLOOKUP($O39,$A:$N,7,0)/VLOOKUP(G$15,$K$1:$M$4,2,0))</f>
        <v>45.751958894249995</v>
      </c>
      <c r="AK39" s="229">
        <f t="shared" si="57"/>
        <v>0</v>
      </c>
      <c r="AL39" s="229">
        <f t="shared" si="20"/>
        <v>45.751958894249995</v>
      </c>
      <c r="AM39" s="228">
        <f t="shared" si="58"/>
        <v>23.47798913154196</v>
      </c>
      <c r="AN39" s="226">
        <f>+IF($O39&gt;H$8,"FIN",(H$19-SUM(AO$25:AO38))*VLOOKUP($O39,$A:$N,8,0)/VLOOKUP(H$15,$K$1:$M$4,2,0))</f>
        <v>139.13229341125</v>
      </c>
      <c r="AO39" s="229">
        <f t="shared" si="59"/>
        <v>0</v>
      </c>
      <c r="AP39" s="229">
        <f t="shared" si="22"/>
        <v>139.13229341125</v>
      </c>
      <c r="AQ39" s="228">
        <f t="shared" si="60"/>
        <v>71.396865872039569</v>
      </c>
      <c r="AR39" s="226">
        <f>+IF($O39&gt;I$8,"FIN",(I$19-SUM(AS$25:AS38))*VLOOKUP($O39,$A:$N,9,0)/VLOOKUP(I$15,$K$1:$M$4,2,0))</f>
        <v>122.7460353988625</v>
      </c>
      <c r="AS39" s="229">
        <f t="shared" si="61"/>
        <v>0</v>
      </c>
      <c r="AT39" s="229">
        <f t="shared" si="24"/>
        <v>122.7460353988625</v>
      </c>
      <c r="AU39" s="228">
        <f t="shared" si="62"/>
        <v>62.988124545559963</v>
      </c>
      <c r="AV39" s="226">
        <f>+IF($O39&gt;J$8,"FIN",(J$19-SUM(AW$25:AW38))*VLOOKUP($O39,$A:$N,10,0)/VLOOKUP(J$15,$K$1:$M$4,2,0))</f>
        <v>94.38849654500001</v>
      </c>
      <c r="AW39" s="229">
        <f t="shared" si="63"/>
        <v>0</v>
      </c>
      <c r="AX39" s="229">
        <f t="shared" si="26"/>
        <v>94.38849654500001</v>
      </c>
      <c r="AY39" s="228">
        <f t="shared" si="64"/>
        <v>48.436223269657738</v>
      </c>
      <c r="AZ39" s="226">
        <f>+IF($O39&gt;K$8,"FIN",(K$19-SUM(BA$25:BA38))*VLOOKUP($O39,$A:$N,11,0)/VLOOKUP(K$15,$K$1:$M$4,2,0))</f>
        <v>97.098346469999996</v>
      </c>
      <c r="BA39" s="229">
        <f t="shared" si="65"/>
        <v>0</v>
      </c>
      <c r="BB39" s="229">
        <f t="shared" si="28"/>
        <v>97.098346469999996</v>
      </c>
      <c r="BC39" s="228">
        <f t="shared" si="66"/>
        <v>49.826804757858355</v>
      </c>
      <c r="BD39" s="226">
        <f>+IF($O39&gt;L$8,"FIN",(L$19-SUM(BE$25:BE38))*VLOOKUP($O39,$A:$N,12,0)/VLOOKUP(L$15,$K$1:$M$4,2,0))</f>
        <v>0</v>
      </c>
      <c r="BE39" s="229">
        <f t="shared" si="67"/>
        <v>0</v>
      </c>
      <c r="BF39" s="229">
        <f t="shared" si="30"/>
        <v>0</v>
      </c>
      <c r="BG39" s="228">
        <f t="shared" si="68"/>
        <v>0</v>
      </c>
      <c r="BH39" s="226">
        <f>+IF($O39&gt;M$8,"FIN",(M$19-SUM(BI$25:BI38))*VLOOKUP($O39,$A:$N,13,0)/VLOOKUP(M$15,$K$1:$M$4,2,0))</f>
        <v>0</v>
      </c>
      <c r="BI39" s="229">
        <f t="shared" si="69"/>
        <v>0</v>
      </c>
      <c r="BJ39" s="229">
        <f t="shared" si="32"/>
        <v>0</v>
      </c>
      <c r="BK39" s="228">
        <f t="shared" si="70"/>
        <v>0</v>
      </c>
      <c r="BL39" s="218"/>
      <c r="BM39" s="226">
        <f t="shared" si="33"/>
        <v>995.13561738832595</v>
      </c>
      <c r="BN39" s="223">
        <f t="shared" si="33"/>
        <v>1789.6515686320136</v>
      </c>
      <c r="BO39" s="227">
        <f t="shared" si="4"/>
        <v>2784.7871860203395</v>
      </c>
      <c r="BP39" s="217">
        <f t="shared" si="34"/>
        <v>7</v>
      </c>
      <c r="BQ39" s="222">
        <f t="shared" si="5"/>
        <v>12527.560980424096</v>
      </c>
    </row>
    <row r="40" spans="1:69" s="20" customFormat="1" x14ac:dyDescent="0.25">
      <c r="A40" s="180">
        <f t="shared" si="6"/>
        <v>46816</v>
      </c>
      <c r="B40" s="236">
        <v>0.01</v>
      </c>
      <c r="C40" s="237">
        <v>5.0000000000000001E-3</v>
      </c>
      <c r="D40" s="191">
        <v>1.7500000000000002E-2</v>
      </c>
      <c r="E40" s="191">
        <v>1.25E-3</v>
      </c>
      <c r="F40" s="191">
        <v>4.7500000000000001E-2</v>
      </c>
      <c r="G40" s="191">
        <v>0.04</v>
      </c>
      <c r="H40" s="191">
        <v>0.05</v>
      </c>
      <c r="I40" s="191">
        <v>4.2500000000000003E-2</v>
      </c>
      <c r="J40" s="191">
        <v>3.5000000000000003E-2</v>
      </c>
      <c r="K40" s="191">
        <v>0.03</v>
      </c>
      <c r="L40" s="191">
        <v>4.3749999999999997E-2</v>
      </c>
      <c r="M40" s="192">
        <v>4.1250000000000002E-2</v>
      </c>
      <c r="N40" s="20">
        <f t="shared" si="7"/>
        <v>2028</v>
      </c>
      <c r="O40" s="181">
        <f t="shared" si="8"/>
        <v>46816</v>
      </c>
      <c r="P40" s="226">
        <f>+IF($O40&gt;B$8,"FIN",(B$19-SUM(Q$25:Q39))*VLOOKUP($O40,$A:$N,2,0)/VLOOKUP(B$15,$K$1:$M$4,2,0))</f>
        <v>8.0460862590593401</v>
      </c>
      <c r="Q40" s="229">
        <f t="shared" si="47"/>
        <v>268.202875301978</v>
      </c>
      <c r="R40" s="229">
        <f t="shared" si="10"/>
        <v>276.24896156103733</v>
      </c>
      <c r="S40" s="228">
        <f t="shared" si="48"/>
        <v>135.16228197843216</v>
      </c>
      <c r="T40" s="226">
        <f>+IF($O40&gt;C$8,"FIN",(C$19-SUM(U$25:U39))*VLOOKUP($O40,$A:$N,3,0)/VLOOKUP(C$15,$K$1:$M$4,2,0))</f>
        <v>1.0782683255560217</v>
      </c>
      <c r="U40" s="229">
        <f t="shared" si="49"/>
        <v>71.884555037068111</v>
      </c>
      <c r="V40" s="229">
        <f t="shared" si="12"/>
        <v>72.962823362624135</v>
      </c>
      <c r="W40" s="228">
        <f t="shared" si="50"/>
        <v>35.699036295209993</v>
      </c>
      <c r="X40" s="226">
        <f>+IF($O40&gt;D$8,"FIN",(D$19-SUM(Y$25:Y39))*VLOOKUP($O40,$A:$N,4,0)/VLOOKUP(D$15,$K$1:$M$4,2,0))</f>
        <v>60.375000000000007</v>
      </c>
      <c r="Y40" s="229">
        <f t="shared" si="51"/>
        <v>1150</v>
      </c>
      <c r="Z40" s="229">
        <f t="shared" si="14"/>
        <v>1210.375</v>
      </c>
      <c r="AA40" s="228">
        <f t="shared" si="52"/>
        <v>592.20873130231837</v>
      </c>
      <c r="AB40" s="226">
        <f>+IF($O40&gt;E$8,"FIN",(E$19-SUM(AC$25:AC39))*VLOOKUP($O40,$A:$N,5,0)/VLOOKUP(E$15,$K$1:$M$4,2,0))</f>
        <v>0.96875000000000011</v>
      </c>
      <c r="AC40" s="229">
        <f t="shared" si="53"/>
        <v>258.33333333333331</v>
      </c>
      <c r="AD40" s="229">
        <f t="shared" si="16"/>
        <v>259.30208333333331</v>
      </c>
      <c r="AE40" s="228">
        <f t="shared" si="54"/>
        <v>126.87056308572249</v>
      </c>
      <c r="AF40" s="226">
        <f>+IF($O40&gt;F$8,"FIN",(F$19-SUM(AG$25:AG39))*VLOOKUP($O40,$A:$N,6,0)/VLOOKUP(F$15,$K$1:$M$4,2,0))</f>
        <v>484.32187499999998</v>
      </c>
      <c r="AG40" s="229">
        <f t="shared" si="55"/>
        <v>0</v>
      </c>
      <c r="AH40" s="229">
        <f t="shared" si="18"/>
        <v>484.32187499999998</v>
      </c>
      <c r="AI40" s="228">
        <f t="shared" si="56"/>
        <v>236.96758701700713</v>
      </c>
      <c r="AJ40" s="226">
        <f>+IF($O40&gt;G$8,"FIN",(G$19-SUM(AK$25:AK39))*VLOOKUP($O40,$A:$N,7,0)/VLOOKUP(G$15,$K$1:$M$4,2,0))</f>
        <v>47.227828535999997</v>
      </c>
      <c r="AK40" s="229">
        <f t="shared" si="57"/>
        <v>0</v>
      </c>
      <c r="AL40" s="229">
        <f t="shared" si="20"/>
        <v>47.227828535999997</v>
      </c>
      <c r="AM40" s="228">
        <f t="shared" si="58"/>
        <v>23.107493478854064</v>
      </c>
      <c r="AN40" s="226">
        <f>+IF($O40&gt;H$8,"FIN",(H$19-SUM(AO$25:AO39))*VLOOKUP($O40,$A:$N,8,0)/VLOOKUP(H$15,$K$1:$M$4,2,0))</f>
        <v>139.13229341125</v>
      </c>
      <c r="AO40" s="229">
        <f t="shared" si="59"/>
        <v>252.96780620227273</v>
      </c>
      <c r="AP40" s="229">
        <f t="shared" si="22"/>
        <v>392.10009961352273</v>
      </c>
      <c r="AQ40" s="228">
        <f t="shared" si="60"/>
        <v>191.84558714087532</v>
      </c>
      <c r="AR40" s="226">
        <f>+IF($O40&gt;I$8,"FIN",(I$19-SUM(AS$25:AS39))*VLOOKUP($O40,$A:$N,9,0)/VLOOKUP(I$15,$K$1:$M$4,2,0))</f>
        <v>122.7460353988625</v>
      </c>
      <c r="AS40" s="229">
        <f t="shared" si="61"/>
        <v>262.55836448954545</v>
      </c>
      <c r="AT40" s="229">
        <f t="shared" si="24"/>
        <v>385.30439988840794</v>
      </c>
      <c r="AU40" s="228">
        <f t="shared" si="62"/>
        <v>188.5206071036788</v>
      </c>
      <c r="AV40" s="226">
        <f>+IF($O40&gt;J$8,"FIN",(J$19-SUM(AW$25:AW39))*VLOOKUP($O40,$A:$N,10,0)/VLOOKUP(J$15,$K$1:$M$4,2,0))</f>
        <v>94.38849654500001</v>
      </c>
      <c r="AW40" s="229">
        <f t="shared" si="63"/>
        <v>192.62958478571429</v>
      </c>
      <c r="AX40" s="229">
        <f t="shared" si="26"/>
        <v>287.01808133071427</v>
      </c>
      <c r="AY40" s="228">
        <f t="shared" si="64"/>
        <v>140.4313653253644</v>
      </c>
      <c r="AZ40" s="226">
        <f>+IF($O40&gt;K$8,"FIN",(K$19-SUM(BA$25:BA39))*VLOOKUP($O40,$A:$N,11,0)/VLOOKUP(K$15,$K$1:$M$4,2,0))</f>
        <v>97.098346469999996</v>
      </c>
      <c r="BA40" s="229">
        <f t="shared" si="65"/>
        <v>231.18653921428569</v>
      </c>
      <c r="BB40" s="229">
        <f t="shared" si="28"/>
        <v>328.28488568428565</v>
      </c>
      <c r="BC40" s="228">
        <f t="shared" si="66"/>
        <v>160.62226636936273</v>
      </c>
      <c r="BD40" s="226">
        <f>+IF($O40&gt;L$8,"FIN",(L$19-SUM(BE$25:BE39))*VLOOKUP($O40,$A:$N,12,0)/VLOOKUP(L$15,$K$1:$M$4,2,0))</f>
        <v>0</v>
      </c>
      <c r="BE40" s="229">
        <f t="shared" si="67"/>
        <v>0</v>
      </c>
      <c r="BF40" s="229">
        <f t="shared" si="30"/>
        <v>0</v>
      </c>
      <c r="BG40" s="228">
        <f t="shared" si="68"/>
        <v>0</v>
      </c>
      <c r="BH40" s="226">
        <f>+IF($O40&gt;M$8,"FIN",(M$19-SUM(BI$25:BI39))*VLOOKUP($O40,$A:$N,13,0)/VLOOKUP(M$15,$K$1:$M$4,2,0))</f>
        <v>0</v>
      </c>
      <c r="BI40" s="229">
        <f t="shared" si="69"/>
        <v>0</v>
      </c>
      <c r="BJ40" s="229">
        <f t="shared" si="32"/>
        <v>0</v>
      </c>
      <c r="BK40" s="228">
        <f t="shared" si="70"/>
        <v>0</v>
      </c>
      <c r="BL40" s="218"/>
      <c r="BM40" s="226">
        <f t="shared" si="33"/>
        <v>1088.9850433755103</v>
      </c>
      <c r="BN40" s="223">
        <f t="shared" si="33"/>
        <v>2790.6425520877519</v>
      </c>
      <c r="BO40" s="227">
        <f t="shared" si="4"/>
        <v>3879.627595463262</v>
      </c>
      <c r="BP40" s="217">
        <f t="shared" si="34"/>
        <v>7.5</v>
      </c>
      <c r="BQ40" s="222">
        <f t="shared" si="5"/>
        <v>20929.819140658139</v>
      </c>
    </row>
    <row r="41" spans="1:69" s="20" customFormat="1" x14ac:dyDescent="0.25">
      <c r="A41" s="180">
        <f t="shared" si="6"/>
        <v>47000</v>
      </c>
      <c r="B41" s="236">
        <v>0.01</v>
      </c>
      <c r="C41" s="237">
        <v>5.0000000000000001E-3</v>
      </c>
      <c r="D41" s="191">
        <v>1.7500000000000002E-2</v>
      </c>
      <c r="E41" s="191">
        <v>1.25E-3</v>
      </c>
      <c r="F41" s="191">
        <v>4.7500000000000001E-2</v>
      </c>
      <c r="G41" s="191">
        <v>0.04</v>
      </c>
      <c r="H41" s="191">
        <v>0.05</v>
      </c>
      <c r="I41" s="191">
        <v>4.2500000000000003E-2</v>
      </c>
      <c r="J41" s="191">
        <v>3.5000000000000003E-2</v>
      </c>
      <c r="K41" s="191">
        <v>0.03</v>
      </c>
      <c r="L41" s="191">
        <v>4.3749999999999997E-2</v>
      </c>
      <c r="M41" s="192">
        <v>4.1250000000000002E-2</v>
      </c>
      <c r="N41" s="20">
        <f t="shared" si="7"/>
        <v>2028</v>
      </c>
      <c r="O41" s="181">
        <f t="shared" si="8"/>
        <v>47000</v>
      </c>
      <c r="P41" s="226">
        <f>+IF($O41&gt;B$8,"FIN",(B$19-SUM(Q$25:Q40))*VLOOKUP($O41,$A:$N,2,0)/VLOOKUP(B$15,$K$1:$M$4,2,0))</f>
        <v>6.7050718825494506</v>
      </c>
      <c r="Q41" s="229">
        <f t="shared" si="47"/>
        <v>268.202875301978</v>
      </c>
      <c r="R41" s="229">
        <f t="shared" si="10"/>
        <v>274.90794718452747</v>
      </c>
      <c r="S41" s="228">
        <f t="shared" si="48"/>
        <v>128.24658623988961</v>
      </c>
      <c r="T41" s="226">
        <f>+IF($O41&gt;C$8,"FIN",(C$19-SUM(U$25:U40))*VLOOKUP($O41,$A:$N,3,0)/VLOOKUP(C$15,$K$1:$M$4,2,0))</f>
        <v>0.89855693796335145</v>
      </c>
      <c r="U41" s="229">
        <f t="shared" si="49"/>
        <v>71.884555037068111</v>
      </c>
      <c r="V41" s="229">
        <f t="shared" si="12"/>
        <v>72.78311197503146</v>
      </c>
      <c r="W41" s="228">
        <f t="shared" si="50"/>
        <v>33.953858890983582</v>
      </c>
      <c r="X41" s="226">
        <f>+IF($O41&gt;D$8,"FIN",(D$19-SUM(Y$25:Y40))*VLOOKUP($O41,$A:$N,4,0)/VLOOKUP(D$15,$K$1:$M$4,2,0))</f>
        <v>50.312500000000007</v>
      </c>
      <c r="Y41" s="229">
        <f t="shared" si="51"/>
        <v>1150</v>
      </c>
      <c r="Z41" s="229">
        <f t="shared" si="14"/>
        <v>1200.3125</v>
      </c>
      <c r="AA41" s="228">
        <f t="shared" si="52"/>
        <v>559.95463980799536</v>
      </c>
      <c r="AB41" s="226">
        <f>+IF($O41&gt;E$8,"FIN",(E$19-SUM(AC$25:AC40))*VLOOKUP($O41,$A:$N,5,0)/VLOOKUP(E$15,$K$1:$M$4,2,0))</f>
        <v>0.80729166666666685</v>
      </c>
      <c r="AC41" s="229">
        <f t="shared" si="53"/>
        <v>258.33333333333331</v>
      </c>
      <c r="AD41" s="229">
        <f t="shared" si="16"/>
        <v>259.140625</v>
      </c>
      <c r="AE41" s="228">
        <f t="shared" si="54"/>
        <v>120.89101407466289</v>
      </c>
      <c r="AF41" s="226">
        <f>+IF($O41&gt;F$8,"FIN",(F$19-SUM(AG$25:AG40))*VLOOKUP($O41,$A:$N,6,0)/VLOOKUP(F$15,$K$1:$M$4,2,0))</f>
        <v>484.32187499999998</v>
      </c>
      <c r="AG41" s="229">
        <f t="shared" si="55"/>
        <v>0</v>
      </c>
      <c r="AH41" s="229">
        <f t="shared" si="18"/>
        <v>484.32187499999998</v>
      </c>
      <c r="AI41" s="228">
        <f t="shared" si="56"/>
        <v>225.93972908451585</v>
      </c>
      <c r="AJ41" s="226">
        <f>+IF($O41&gt;G$8,"FIN",(G$19-SUM(AK$25:AK40))*VLOOKUP($O41,$A:$N,7,0)/VLOOKUP(G$15,$K$1:$M$4,2,0))</f>
        <v>47.227828535999997</v>
      </c>
      <c r="AK41" s="229">
        <f t="shared" si="57"/>
        <v>0</v>
      </c>
      <c r="AL41" s="229">
        <f t="shared" si="20"/>
        <v>47.227828535999997</v>
      </c>
      <c r="AM41" s="228">
        <f t="shared" si="58"/>
        <v>22.032130563323836</v>
      </c>
      <c r="AN41" s="226">
        <f>+IF($O41&gt;H$8,"FIN",(H$19-SUM(AO$25:AO40))*VLOOKUP($O41,$A:$N,8,0)/VLOOKUP(H$15,$K$1:$M$4,2,0))</f>
        <v>132.80809825619318</v>
      </c>
      <c r="AO41" s="229">
        <f t="shared" si="59"/>
        <v>252.96780620227273</v>
      </c>
      <c r="AP41" s="229">
        <f t="shared" si="22"/>
        <v>385.7759044584659</v>
      </c>
      <c r="AQ41" s="228">
        <f t="shared" si="60"/>
        <v>179.96730653695926</v>
      </c>
      <c r="AR41" s="226">
        <f>+IF($O41&gt;I$8,"FIN",(I$19-SUM(AS$25:AS40))*VLOOKUP($O41,$A:$N,9,0)/VLOOKUP(I$15,$K$1:$M$4,2,0))</f>
        <v>117.16667015345966</v>
      </c>
      <c r="AS41" s="229">
        <f t="shared" si="61"/>
        <v>262.55836448954545</v>
      </c>
      <c r="AT41" s="229">
        <f t="shared" si="24"/>
        <v>379.72503464300513</v>
      </c>
      <c r="AU41" s="228">
        <f t="shared" si="62"/>
        <v>177.1445311113585</v>
      </c>
      <c r="AV41" s="226">
        <f>+IF($O41&gt;J$8,"FIN",(J$19-SUM(AW$25:AW40))*VLOOKUP($O41,$A:$N,10,0)/VLOOKUP(J$15,$K$1:$M$4,2,0))</f>
        <v>91.017478811250001</v>
      </c>
      <c r="AW41" s="229">
        <f t="shared" si="63"/>
        <v>192.62958478571429</v>
      </c>
      <c r="AX41" s="229">
        <f t="shared" si="26"/>
        <v>283.6470635969643</v>
      </c>
      <c r="AY41" s="228">
        <f t="shared" si="64"/>
        <v>132.32344854280339</v>
      </c>
      <c r="AZ41" s="226">
        <f>+IF($O41&gt;K$8,"FIN",(K$19-SUM(BA$25:BA40))*VLOOKUP($O41,$A:$N,11,0)/VLOOKUP(K$15,$K$1:$M$4,2,0))</f>
        <v>93.630548381785701</v>
      </c>
      <c r="BA41" s="229">
        <f t="shared" si="65"/>
        <v>231.18653921428569</v>
      </c>
      <c r="BB41" s="229">
        <f t="shared" si="28"/>
        <v>324.81708759607136</v>
      </c>
      <c r="BC41" s="228">
        <f t="shared" si="66"/>
        <v>151.52956858179866</v>
      </c>
      <c r="BD41" s="226">
        <f>+IF($O41&gt;L$8,"FIN",(L$19-SUM(BE$25:BE40))*VLOOKUP($O41,$A:$N,12,0)/VLOOKUP(L$15,$K$1:$M$4,2,0))</f>
        <v>0</v>
      </c>
      <c r="BE41" s="229">
        <f t="shared" si="67"/>
        <v>0</v>
      </c>
      <c r="BF41" s="229">
        <f t="shared" si="30"/>
        <v>0</v>
      </c>
      <c r="BG41" s="228">
        <f t="shared" si="68"/>
        <v>0</v>
      </c>
      <c r="BH41" s="226">
        <f>+IF($O41&gt;M$8,"FIN",(M$19-SUM(BI$25:BI40))*VLOOKUP($O41,$A:$N,13,0)/VLOOKUP(M$15,$K$1:$M$4,2,0))</f>
        <v>0</v>
      </c>
      <c r="BI41" s="229">
        <f t="shared" si="69"/>
        <v>0</v>
      </c>
      <c r="BJ41" s="229">
        <f t="shared" si="32"/>
        <v>0</v>
      </c>
      <c r="BK41" s="228">
        <f t="shared" si="70"/>
        <v>0</v>
      </c>
      <c r="BL41" s="218"/>
      <c r="BM41" s="226">
        <f t="shared" si="33"/>
        <v>1057.3257614931595</v>
      </c>
      <c r="BN41" s="223">
        <f t="shared" si="33"/>
        <v>2790.6425520877519</v>
      </c>
      <c r="BO41" s="227">
        <f t="shared" si="4"/>
        <v>3847.9683135809114</v>
      </c>
      <c r="BP41" s="217">
        <f t="shared" si="34"/>
        <v>8</v>
      </c>
      <c r="BQ41" s="222">
        <f t="shared" si="5"/>
        <v>22325.140416702016</v>
      </c>
    </row>
    <row r="42" spans="1:69" s="20" customFormat="1" x14ac:dyDescent="0.25">
      <c r="A42" s="180">
        <f t="shared" si="6"/>
        <v>47181</v>
      </c>
      <c r="B42" s="236">
        <v>0.01</v>
      </c>
      <c r="C42" s="237">
        <v>5.0000000000000001E-3</v>
      </c>
      <c r="D42" s="191">
        <v>1.7500000000000002E-2</v>
      </c>
      <c r="E42" s="191">
        <v>1.25E-3</v>
      </c>
      <c r="F42" s="191">
        <v>0.05</v>
      </c>
      <c r="G42" s="191">
        <v>0.04</v>
      </c>
      <c r="H42" s="191">
        <v>0.05</v>
      </c>
      <c r="I42" s="191">
        <v>4.2500000000000003E-2</v>
      </c>
      <c r="J42" s="191">
        <v>3.5000000000000003E-2</v>
      </c>
      <c r="K42" s="191">
        <v>0.03</v>
      </c>
      <c r="L42" s="191">
        <v>0.05</v>
      </c>
      <c r="M42" s="192">
        <v>4.1250000000000002E-2</v>
      </c>
      <c r="N42" s="20">
        <f t="shared" si="7"/>
        <v>2029</v>
      </c>
      <c r="O42" s="181">
        <f t="shared" si="8"/>
        <v>47181</v>
      </c>
      <c r="P42" s="226">
        <f>+IF($O42&gt;B$8,"FIN",(B$19-SUM(Q$25:Q41))*VLOOKUP($O42,$A:$N,2,0)/VLOOKUP(B$15,$K$1:$M$4,2,0))</f>
        <v>5.3640575060395603</v>
      </c>
      <c r="Q42" s="229">
        <f t="shared" si="47"/>
        <v>268.202875301978</v>
      </c>
      <c r="R42" s="229">
        <f t="shared" si="10"/>
        <v>273.56693280801755</v>
      </c>
      <c r="S42" s="228">
        <f t="shared" si="48"/>
        <v>121.68184255781182</v>
      </c>
      <c r="T42" s="226">
        <f>+IF($O42&gt;C$8,"FIN",(C$19-SUM(U$25:U41))*VLOOKUP($O42,$A:$N,3,0)/VLOOKUP(C$15,$K$1:$M$4,2,0))</f>
        <v>0.7188455503706811</v>
      </c>
      <c r="U42" s="229">
        <f t="shared" si="49"/>
        <v>71.884555037068111</v>
      </c>
      <c r="V42" s="229">
        <f t="shared" si="12"/>
        <v>72.603400587438799</v>
      </c>
      <c r="W42" s="228">
        <f t="shared" si="50"/>
        <v>32.293799066871557</v>
      </c>
      <c r="X42" s="226">
        <f>+IF($O42&gt;D$8,"FIN",(D$19-SUM(Y$25:Y41))*VLOOKUP($O42,$A:$N,4,0)/VLOOKUP(D$15,$K$1:$M$4,2,0))</f>
        <v>40.250000000000007</v>
      </c>
      <c r="Y42" s="229">
        <f t="shared" si="51"/>
        <v>1150</v>
      </c>
      <c r="Z42" s="229">
        <f t="shared" si="14"/>
        <v>1190.25</v>
      </c>
      <c r="AA42" s="228">
        <f t="shared" si="52"/>
        <v>529.4200275516298</v>
      </c>
      <c r="AB42" s="226">
        <f>+IF($O42&gt;E$8,"FIN",(E$19-SUM(AC$25:AC41))*VLOOKUP($O42,$A:$N,5,0)/VLOOKUP(E$15,$K$1:$M$4,2,0))</f>
        <v>0.64583333333333348</v>
      </c>
      <c r="AC42" s="229">
        <f t="shared" si="53"/>
        <v>258.33333333333331</v>
      </c>
      <c r="AD42" s="229">
        <f t="shared" si="16"/>
        <v>258.97916666666663</v>
      </c>
      <c r="AE42" s="228">
        <f t="shared" si="54"/>
        <v>115.19324305983179</v>
      </c>
      <c r="AF42" s="226">
        <f>+IF($O42&gt;F$8,"FIN",(F$19-SUM(AG$25:AG41))*VLOOKUP($O42,$A:$N,6,0)/VLOOKUP(F$15,$K$1:$M$4,2,0))</f>
        <v>509.8125</v>
      </c>
      <c r="AG42" s="229">
        <f t="shared" si="55"/>
        <v>0</v>
      </c>
      <c r="AH42" s="229">
        <f t="shared" si="18"/>
        <v>509.8125</v>
      </c>
      <c r="AI42" s="228">
        <f t="shared" si="56"/>
        <v>226.76324116460012</v>
      </c>
      <c r="AJ42" s="226">
        <f>+IF($O42&gt;G$8,"FIN",(G$19-SUM(AK$25:AK41))*VLOOKUP($O42,$A:$N,7,0)/VLOOKUP(G$15,$K$1:$M$4,2,0))</f>
        <v>47.227828535999997</v>
      </c>
      <c r="AK42" s="229">
        <f t="shared" si="57"/>
        <v>0</v>
      </c>
      <c r="AL42" s="229">
        <f t="shared" si="20"/>
        <v>47.227828535999997</v>
      </c>
      <c r="AM42" s="228">
        <f t="shared" si="58"/>
        <v>21.006812253503693</v>
      </c>
      <c r="AN42" s="226">
        <f>+IF($O42&gt;H$8,"FIN",(H$19-SUM(AO$25:AO41))*VLOOKUP($O42,$A:$N,8,0)/VLOOKUP(H$15,$K$1:$M$4,2,0))</f>
        <v>126.48390310113638</v>
      </c>
      <c r="AO42" s="229">
        <f t="shared" si="59"/>
        <v>252.96780620227273</v>
      </c>
      <c r="AP42" s="229">
        <f t="shared" si="22"/>
        <v>379.45170930340907</v>
      </c>
      <c r="AQ42" s="228">
        <f t="shared" si="60"/>
        <v>168.77910892159116</v>
      </c>
      <c r="AR42" s="226">
        <f>+IF($O42&gt;I$8,"FIN",(I$19-SUM(AS$25:AS41))*VLOOKUP($O42,$A:$N,9,0)/VLOOKUP(I$15,$K$1:$M$4,2,0))</f>
        <v>111.58730490805681</v>
      </c>
      <c r="AS42" s="229">
        <f t="shared" si="61"/>
        <v>262.55836448954545</v>
      </c>
      <c r="AT42" s="229">
        <f t="shared" si="24"/>
        <v>374.14566939760226</v>
      </c>
      <c r="AU42" s="228">
        <f t="shared" si="62"/>
        <v>166.41899651401098</v>
      </c>
      <c r="AV42" s="226">
        <f>+IF($O42&gt;J$8,"FIN",(J$19-SUM(AW$25:AW41))*VLOOKUP($O42,$A:$N,10,0)/VLOOKUP(J$15,$K$1:$M$4,2,0))</f>
        <v>87.646461077500007</v>
      </c>
      <c r="AW42" s="229">
        <f t="shared" si="63"/>
        <v>192.62958478571429</v>
      </c>
      <c r="AX42" s="229">
        <f t="shared" si="26"/>
        <v>280.27604586321428</v>
      </c>
      <c r="AY42" s="228">
        <f t="shared" si="64"/>
        <v>124.6660381625413</v>
      </c>
      <c r="AZ42" s="226">
        <f>+IF($O42&gt;K$8,"FIN",(K$19-SUM(BA$25:BA41))*VLOOKUP($O42,$A:$N,11,0)/VLOOKUP(K$15,$K$1:$M$4,2,0))</f>
        <v>90.162750293571406</v>
      </c>
      <c r="BA42" s="229">
        <f t="shared" si="65"/>
        <v>231.18653921428569</v>
      </c>
      <c r="BB42" s="229">
        <f t="shared" si="28"/>
        <v>321.34928950785707</v>
      </c>
      <c r="BC42" s="228">
        <f t="shared" si="66"/>
        <v>142.93530746057246</v>
      </c>
      <c r="BD42" s="226">
        <f>+IF($O42&gt;L$8,"FIN",(L$19-SUM(BE$25:BE41))*VLOOKUP($O42,$A:$N,12,0)/VLOOKUP(L$15,$K$1:$M$4,2,0))</f>
        <v>0</v>
      </c>
      <c r="BE42" s="229">
        <f t="shared" si="67"/>
        <v>0</v>
      </c>
      <c r="BF42" s="229">
        <f t="shared" si="30"/>
        <v>0</v>
      </c>
      <c r="BG42" s="228">
        <f t="shared" si="68"/>
        <v>0</v>
      </c>
      <c r="BH42" s="226">
        <f>+IF($O42&gt;M$8,"FIN",(M$19-SUM(BI$25:BI41))*VLOOKUP($O42,$A:$N,13,0)/VLOOKUP(M$15,$K$1:$M$4,2,0))</f>
        <v>0</v>
      </c>
      <c r="BI42" s="229">
        <f t="shared" si="69"/>
        <v>0</v>
      </c>
      <c r="BJ42" s="229">
        <f t="shared" si="32"/>
        <v>0</v>
      </c>
      <c r="BK42" s="228">
        <f t="shared" si="70"/>
        <v>0</v>
      </c>
      <c r="BL42" s="218"/>
      <c r="BM42" s="226">
        <f t="shared" si="33"/>
        <v>1051.157104610809</v>
      </c>
      <c r="BN42" s="223">
        <f t="shared" si="33"/>
        <v>2790.6425520877519</v>
      </c>
      <c r="BO42" s="227">
        <f t="shared" si="4"/>
        <v>3841.7996566985612</v>
      </c>
      <c r="BP42" s="217">
        <f t="shared" si="34"/>
        <v>8.5</v>
      </c>
      <c r="BQ42" s="222">
        <f t="shared" si="5"/>
        <v>23720.461692745892</v>
      </c>
    </row>
    <row r="43" spans="1:69" s="20" customFormat="1" x14ac:dyDescent="0.25">
      <c r="A43" s="180">
        <f t="shared" si="6"/>
        <v>47365</v>
      </c>
      <c r="B43" s="236">
        <v>0.01</v>
      </c>
      <c r="C43" s="237">
        <v>5.0000000000000001E-3</v>
      </c>
      <c r="D43" s="191">
        <v>1.7500000000000002E-2</v>
      </c>
      <c r="E43" s="191">
        <v>1.25E-3</v>
      </c>
      <c r="F43" s="191">
        <v>0.05</v>
      </c>
      <c r="G43" s="191">
        <v>0.04</v>
      </c>
      <c r="H43" s="191">
        <v>0.05</v>
      </c>
      <c r="I43" s="191">
        <v>4.2500000000000003E-2</v>
      </c>
      <c r="J43" s="191">
        <v>3.5000000000000003E-2</v>
      </c>
      <c r="K43" s="191">
        <v>0.03</v>
      </c>
      <c r="L43" s="191">
        <v>0.05</v>
      </c>
      <c r="M43" s="192">
        <v>4.1250000000000002E-2</v>
      </c>
      <c r="N43" s="20">
        <f t="shared" si="7"/>
        <v>2029</v>
      </c>
      <c r="O43" s="181">
        <f t="shared" si="8"/>
        <v>47365</v>
      </c>
      <c r="P43" s="226">
        <f>+IF($O43&gt;B$8,"FIN",(B$19-SUM(Q$25:Q42))*VLOOKUP($O43,$A:$N,2,0)/VLOOKUP(B$15,$K$1:$M$4,2,0))</f>
        <v>4.0230431295296691</v>
      </c>
      <c r="Q43" s="229">
        <f t="shared" si="47"/>
        <v>268.202875301978</v>
      </c>
      <c r="R43" s="229">
        <f t="shared" si="10"/>
        <v>272.22591843150769</v>
      </c>
      <c r="S43" s="228">
        <f t="shared" si="48"/>
        <v>115.45036366606469</v>
      </c>
      <c r="T43" s="226">
        <f>+IF($O43&gt;C$8,"FIN",(C$19-SUM(U$25:U42))*VLOOKUP($O43,$A:$N,3,0)/VLOOKUP(C$15,$K$1:$M$4,2,0))</f>
        <v>0.53913416277801074</v>
      </c>
      <c r="U43" s="229">
        <f t="shared" si="49"/>
        <v>71.884555037068111</v>
      </c>
      <c r="V43" s="229">
        <f t="shared" si="12"/>
        <v>72.423689199846123</v>
      </c>
      <c r="W43" s="228">
        <f t="shared" si="50"/>
        <v>30.714714103403779</v>
      </c>
      <c r="X43" s="226">
        <f>+IF($O43&gt;D$8,"FIN",(D$19-SUM(Y$25:Y42))*VLOOKUP($O43,$A:$N,4,0)/VLOOKUP(D$15,$K$1:$M$4,2,0))</f>
        <v>30.187500000000004</v>
      </c>
      <c r="Y43" s="229">
        <f t="shared" si="51"/>
        <v>1150</v>
      </c>
      <c r="Z43" s="229">
        <f t="shared" si="14"/>
        <v>1180.1875</v>
      </c>
      <c r="AA43" s="228">
        <f t="shared" si="52"/>
        <v>500.51470798297674</v>
      </c>
      <c r="AB43" s="226">
        <f>+IF($O43&gt;E$8,"FIN",(E$19-SUM(AC$25:AC42))*VLOOKUP($O43,$A:$N,5,0)/VLOOKUP(E$15,$K$1:$M$4,2,0))</f>
        <v>0.484375</v>
      </c>
      <c r="AC43" s="229">
        <f t="shared" si="53"/>
        <v>258.33333333333331</v>
      </c>
      <c r="AD43" s="229">
        <f t="shared" si="16"/>
        <v>258.81770833333331</v>
      </c>
      <c r="AE43" s="228">
        <f t="shared" si="54"/>
        <v>109.76397369679104</v>
      </c>
      <c r="AF43" s="226">
        <f>+IF($O43&gt;F$8,"FIN",(F$19-SUM(AG$25:AG42))*VLOOKUP($O43,$A:$N,6,0)/VLOOKUP(F$15,$K$1:$M$4,2,0))</f>
        <v>509.8125</v>
      </c>
      <c r="AG43" s="229">
        <f t="shared" si="55"/>
        <v>0</v>
      </c>
      <c r="AH43" s="229">
        <f t="shared" si="18"/>
        <v>509.8125</v>
      </c>
      <c r="AI43" s="228">
        <f t="shared" si="56"/>
        <v>216.21026706652233</v>
      </c>
      <c r="AJ43" s="226">
        <f>+IF($O43&gt;G$8,"FIN",(G$19-SUM(AK$25:AK42))*VLOOKUP($O43,$A:$N,7,0)/VLOOKUP(G$15,$K$1:$M$4,2,0))</f>
        <v>47.227828535999997</v>
      </c>
      <c r="AK43" s="229">
        <f t="shared" si="57"/>
        <v>0</v>
      </c>
      <c r="AL43" s="229">
        <f t="shared" si="20"/>
        <v>47.227828535999997</v>
      </c>
      <c r="AM43" s="228">
        <f t="shared" si="58"/>
        <v>20.029209603021666</v>
      </c>
      <c r="AN43" s="226">
        <f>+IF($O43&gt;H$8,"FIN",(H$19-SUM(AO$25:AO42))*VLOOKUP($O43,$A:$N,8,0)/VLOOKUP(H$15,$K$1:$M$4,2,0))</f>
        <v>120.15970794607955</v>
      </c>
      <c r="AO43" s="229">
        <f t="shared" si="59"/>
        <v>252.96780620227273</v>
      </c>
      <c r="AP43" s="229">
        <f t="shared" si="22"/>
        <v>373.12751414835225</v>
      </c>
      <c r="AQ43" s="228">
        <f t="shared" si="60"/>
        <v>158.24249009956176</v>
      </c>
      <c r="AR43" s="226">
        <f>+IF($O43&gt;I$8,"FIN",(I$19-SUM(AS$25:AS42))*VLOOKUP($O43,$A:$N,9,0)/VLOOKUP(I$15,$K$1:$M$4,2,0))</f>
        <v>106.00793966265398</v>
      </c>
      <c r="AS43" s="229">
        <f t="shared" si="61"/>
        <v>262.55836448954545</v>
      </c>
      <c r="AT43" s="229">
        <f t="shared" si="24"/>
        <v>368.56630415219945</v>
      </c>
      <c r="AU43" s="228">
        <f t="shared" si="62"/>
        <v>156.30809180329658</v>
      </c>
      <c r="AV43" s="226">
        <f>+IF($O43&gt;J$8,"FIN",(J$19-SUM(AW$25:AW42))*VLOOKUP($O43,$A:$N,10,0)/VLOOKUP(J$15,$K$1:$M$4,2,0))</f>
        <v>84.275443343750013</v>
      </c>
      <c r="AW43" s="229">
        <f t="shared" si="63"/>
        <v>192.62958478571429</v>
      </c>
      <c r="AX43" s="229">
        <f t="shared" si="26"/>
        <v>276.90502812946431</v>
      </c>
      <c r="AY43" s="228">
        <f t="shared" si="64"/>
        <v>117.43476294507168</v>
      </c>
      <c r="AZ43" s="226">
        <f>+IF($O43&gt;K$8,"FIN",(K$19-SUM(BA$25:BA42))*VLOOKUP($O43,$A:$N,11,0)/VLOOKUP(K$15,$K$1:$M$4,2,0))</f>
        <v>86.694952205357126</v>
      </c>
      <c r="BA43" s="229">
        <f t="shared" si="65"/>
        <v>231.18653921428569</v>
      </c>
      <c r="BB43" s="229">
        <f t="shared" si="28"/>
        <v>317.88149141964283</v>
      </c>
      <c r="BC43" s="228">
        <f t="shared" si="66"/>
        <v>134.81278343576395</v>
      </c>
      <c r="BD43" s="226">
        <f>+IF($O43&gt;L$8,"FIN",(L$19-SUM(BE$25:BE42))*VLOOKUP($O43,$A:$N,12,0)/VLOOKUP(L$15,$K$1:$M$4,2,0))</f>
        <v>0</v>
      </c>
      <c r="BE43" s="229">
        <f t="shared" si="67"/>
        <v>0</v>
      </c>
      <c r="BF43" s="229">
        <f t="shared" si="30"/>
        <v>0</v>
      </c>
      <c r="BG43" s="228">
        <f t="shared" si="68"/>
        <v>0</v>
      </c>
      <c r="BH43" s="226">
        <f>+IF($O43&gt;M$8,"FIN",(M$19-SUM(BI$25:BI42))*VLOOKUP($O43,$A:$N,13,0)/VLOOKUP(M$15,$K$1:$M$4,2,0))</f>
        <v>0</v>
      </c>
      <c r="BI43" s="229">
        <f t="shared" si="69"/>
        <v>0</v>
      </c>
      <c r="BJ43" s="229">
        <f t="shared" si="32"/>
        <v>0</v>
      </c>
      <c r="BK43" s="228">
        <f t="shared" si="70"/>
        <v>0</v>
      </c>
      <c r="BL43" s="218"/>
      <c r="BM43" s="226">
        <f t="shared" si="33"/>
        <v>1019.4978227284585</v>
      </c>
      <c r="BN43" s="223">
        <f t="shared" si="33"/>
        <v>2790.6425520877519</v>
      </c>
      <c r="BO43" s="227">
        <f t="shared" si="4"/>
        <v>3810.1403748162102</v>
      </c>
      <c r="BP43" s="217">
        <f t="shared" si="34"/>
        <v>9</v>
      </c>
      <c r="BQ43" s="222">
        <f t="shared" si="5"/>
        <v>25115.782968789768</v>
      </c>
    </row>
    <row r="44" spans="1:69" s="20" customFormat="1" x14ac:dyDescent="0.25">
      <c r="A44" s="180">
        <f t="shared" si="6"/>
        <v>47546</v>
      </c>
      <c r="B44" s="236">
        <v>0.01</v>
      </c>
      <c r="C44" s="237">
        <v>5.0000000000000001E-3</v>
      </c>
      <c r="D44" s="191">
        <v>1.7500000000000002E-2</v>
      </c>
      <c r="E44" s="191">
        <v>1.25E-3</v>
      </c>
      <c r="F44" s="191">
        <v>0.05</v>
      </c>
      <c r="G44" s="191">
        <v>0.04</v>
      </c>
      <c r="H44" s="191">
        <v>0.05</v>
      </c>
      <c r="I44" s="191">
        <v>4.2500000000000003E-2</v>
      </c>
      <c r="J44" s="191">
        <v>4.8750000000000002E-2</v>
      </c>
      <c r="K44" s="191">
        <v>4.4999999999999998E-2</v>
      </c>
      <c r="L44" s="191">
        <v>0.05</v>
      </c>
      <c r="M44" s="192">
        <v>4.1250000000000002E-2</v>
      </c>
      <c r="N44" s="20">
        <f t="shared" si="7"/>
        <v>2030</v>
      </c>
      <c r="O44" s="181">
        <f t="shared" si="8"/>
        <v>47546</v>
      </c>
      <c r="P44" s="226">
        <f>+IF($O44&gt;B$8,"FIN",(B$19-SUM(Q$25:Q43))*VLOOKUP($O44,$A:$N,2,0)/VLOOKUP(B$15,$K$1:$M$4,2,0))</f>
        <v>2.6820287530197788</v>
      </c>
      <c r="Q44" s="229">
        <f t="shared" si="47"/>
        <v>268.202875301978</v>
      </c>
      <c r="R44" s="229">
        <f t="shared" si="10"/>
        <v>270.88490405499778</v>
      </c>
      <c r="S44" s="228">
        <f t="shared" si="48"/>
        <v>109.53534847004453</v>
      </c>
      <c r="T44" s="226">
        <f>+IF($O44&gt;C$8,"FIN",(C$19-SUM(U$25:U43))*VLOOKUP($O44,$A:$N,3,0)/VLOOKUP(C$15,$K$1:$M$4,2,0))</f>
        <v>0.35942277518534044</v>
      </c>
      <c r="U44" s="229">
        <f t="shared" si="49"/>
        <v>71.884555037068111</v>
      </c>
      <c r="V44" s="229">
        <f t="shared" si="12"/>
        <v>72.243977812253448</v>
      </c>
      <c r="W44" s="228">
        <f t="shared" si="50"/>
        <v>29.21266252223754</v>
      </c>
      <c r="X44" s="226">
        <f>+IF($O44&gt;D$8,"FIN",(D$19-SUM(Y$25:Y43))*VLOOKUP($O44,$A:$N,4,0)/VLOOKUP(D$15,$K$1:$M$4,2,0))</f>
        <v>20.125000000000004</v>
      </c>
      <c r="Y44" s="229">
        <f t="shared" si="51"/>
        <v>1150</v>
      </c>
      <c r="Z44" s="229">
        <f t="shared" si="14"/>
        <v>1170.125</v>
      </c>
      <c r="AA44" s="228">
        <f t="shared" si="52"/>
        <v>473.15316472005566</v>
      </c>
      <c r="AB44" s="226">
        <f>+IF($O44&gt;E$8,"FIN",(E$19-SUM(AC$25:AC43))*VLOOKUP($O44,$A:$N,5,0)/VLOOKUP(E$15,$K$1:$M$4,2,0))</f>
        <v>0.32291666666666657</v>
      </c>
      <c r="AC44" s="229">
        <f t="shared" si="53"/>
        <v>258.33333333333331</v>
      </c>
      <c r="AD44" s="229">
        <f t="shared" si="16"/>
        <v>258.65625</v>
      </c>
      <c r="AE44" s="228">
        <f t="shared" si="54"/>
        <v>104.59055507926239</v>
      </c>
      <c r="AF44" s="226">
        <f>+IF($O44&gt;F$8,"FIN",(F$19-SUM(AG$25:AG43))*VLOOKUP($O44,$A:$N,6,0)/VLOOKUP(F$15,$K$1:$M$4,2,0))</f>
        <v>509.8125</v>
      </c>
      <c r="AG44" s="229">
        <f t="shared" si="55"/>
        <v>0</v>
      </c>
      <c r="AH44" s="229">
        <f t="shared" si="18"/>
        <v>509.8125</v>
      </c>
      <c r="AI44" s="228">
        <f t="shared" si="56"/>
        <v>206.14840105872739</v>
      </c>
      <c r="AJ44" s="226">
        <f>+IF($O44&gt;G$8,"FIN",(G$19-SUM(AK$25:AK43))*VLOOKUP($O44,$A:$N,7,0)/VLOOKUP(G$15,$K$1:$M$4,2,0))</f>
        <v>47.227828535999997</v>
      </c>
      <c r="AK44" s="229">
        <f t="shared" si="57"/>
        <v>0</v>
      </c>
      <c r="AL44" s="229">
        <f t="shared" si="20"/>
        <v>47.227828535999997</v>
      </c>
      <c r="AM44" s="228">
        <f t="shared" si="58"/>
        <v>19.097102048639719</v>
      </c>
      <c r="AN44" s="226">
        <f>+IF($O44&gt;H$8,"FIN",(H$19-SUM(AO$25:AO43))*VLOOKUP($O44,$A:$N,8,0)/VLOOKUP(H$15,$K$1:$M$4,2,0))</f>
        <v>113.83551279102274</v>
      </c>
      <c r="AO44" s="229">
        <f t="shared" si="59"/>
        <v>252.96780620227273</v>
      </c>
      <c r="AP44" s="229">
        <f t="shared" si="22"/>
        <v>366.80331899329548</v>
      </c>
      <c r="AQ44" s="228">
        <f t="shared" si="60"/>
        <v>148.32103511291345</v>
      </c>
      <c r="AR44" s="226">
        <f>+IF($O44&gt;I$8,"FIN",(I$19-SUM(AS$25:AS43))*VLOOKUP($O44,$A:$N,9,0)/VLOOKUP(I$15,$K$1:$M$4,2,0))</f>
        <v>100.42857441725113</v>
      </c>
      <c r="AS44" s="229">
        <f t="shared" si="61"/>
        <v>262.55836448954545</v>
      </c>
      <c r="AT44" s="229">
        <f t="shared" si="24"/>
        <v>362.98693890679658</v>
      </c>
      <c r="AU44" s="228">
        <f t="shared" si="62"/>
        <v>146.77783903069869</v>
      </c>
      <c r="AV44" s="226">
        <f>+IF($O44&gt;J$8,"FIN",(J$19-SUM(AW$25:AW43))*VLOOKUP($O44,$A:$N,10,0)/VLOOKUP(J$15,$K$1:$M$4,2,0))</f>
        <v>112.68830709964286</v>
      </c>
      <c r="AW44" s="229">
        <f t="shared" si="63"/>
        <v>192.62958478571429</v>
      </c>
      <c r="AX44" s="229">
        <f t="shared" si="26"/>
        <v>305.31789188535714</v>
      </c>
      <c r="AY44" s="228">
        <f t="shared" si="64"/>
        <v>123.45871320689032</v>
      </c>
      <c r="AZ44" s="226">
        <f>+IF($O44&gt;K$8,"FIN",(K$19-SUM(BA$25:BA43))*VLOOKUP($O44,$A:$N,11,0)/VLOOKUP(K$15,$K$1:$M$4,2,0))</f>
        <v>124.84073117571428</v>
      </c>
      <c r="BA44" s="229">
        <f t="shared" si="65"/>
        <v>231.18653921428569</v>
      </c>
      <c r="BB44" s="229">
        <f t="shared" si="28"/>
        <v>356.02727038999996</v>
      </c>
      <c r="BC44" s="228">
        <f t="shared" si="66"/>
        <v>143.96361902503702</v>
      </c>
      <c r="BD44" s="226">
        <f>+IF($O44&gt;L$8,"FIN",(L$19-SUM(BE$25:BE43))*VLOOKUP($O44,$A:$N,12,0)/VLOOKUP(L$15,$K$1:$M$4,2,0))</f>
        <v>0</v>
      </c>
      <c r="BE44" s="229">
        <f t="shared" si="67"/>
        <v>0</v>
      </c>
      <c r="BF44" s="229">
        <f t="shared" si="30"/>
        <v>0</v>
      </c>
      <c r="BG44" s="228">
        <f t="shared" si="68"/>
        <v>0</v>
      </c>
      <c r="BH44" s="226">
        <f>+IF($O44&gt;M$8,"FIN",(M$19-SUM(BI$25:BI43))*VLOOKUP($O44,$A:$N,13,0)/VLOOKUP(M$15,$K$1:$M$4,2,0))</f>
        <v>0</v>
      </c>
      <c r="BI44" s="229">
        <f t="shared" si="69"/>
        <v>0</v>
      </c>
      <c r="BJ44" s="229">
        <f t="shared" si="32"/>
        <v>0</v>
      </c>
      <c r="BK44" s="228">
        <f t="shared" si="70"/>
        <v>0</v>
      </c>
      <c r="BL44" s="218"/>
      <c r="BM44" s="226">
        <f t="shared" si="33"/>
        <v>1066.431845348767</v>
      </c>
      <c r="BN44" s="223">
        <f t="shared" si="33"/>
        <v>2790.6425520877519</v>
      </c>
      <c r="BO44" s="227">
        <f t="shared" si="4"/>
        <v>3857.0743974365187</v>
      </c>
      <c r="BP44" s="217">
        <f t="shared" si="34"/>
        <v>9.5</v>
      </c>
      <c r="BQ44" s="222">
        <f t="shared" si="5"/>
        <v>26511.104244833645</v>
      </c>
    </row>
    <row r="45" spans="1:69" s="20" customFormat="1" x14ac:dyDescent="0.25">
      <c r="A45" s="180">
        <f t="shared" si="6"/>
        <v>47730</v>
      </c>
      <c r="B45" s="236">
        <v>0.01</v>
      </c>
      <c r="C45" s="237">
        <v>5.0000000000000001E-3</v>
      </c>
      <c r="D45" s="191">
        <v>1.7500000000000002E-2</v>
      </c>
      <c r="E45" s="191">
        <v>1.25E-3</v>
      </c>
      <c r="F45" s="191">
        <v>0.05</v>
      </c>
      <c r="G45" s="191">
        <v>0.04</v>
      </c>
      <c r="H45" s="191">
        <v>0.05</v>
      </c>
      <c r="I45" s="191">
        <v>4.2500000000000003E-2</v>
      </c>
      <c r="J45" s="191">
        <v>4.8750000000000002E-2</v>
      </c>
      <c r="K45" s="191">
        <v>4.4999999999999998E-2</v>
      </c>
      <c r="L45" s="191">
        <v>0.05</v>
      </c>
      <c r="M45" s="192">
        <v>4.1250000000000002E-2</v>
      </c>
      <c r="N45" s="20">
        <f t="shared" si="7"/>
        <v>2030</v>
      </c>
      <c r="O45" s="181">
        <f t="shared" si="8"/>
        <v>47730</v>
      </c>
      <c r="P45" s="226">
        <f>+IF($O45&gt;B$8,"FIN",(B$19-SUM(Q$25:Q44))*VLOOKUP($O45,$A:$N,2,0)/VLOOKUP(B$15,$K$1:$M$4,2,0))</f>
        <v>1.3410143765098883</v>
      </c>
      <c r="Q45" s="229">
        <f t="shared" si="47"/>
        <v>268.202875301978</v>
      </c>
      <c r="R45" s="229">
        <f t="shared" ref="R45" si="71">+SUM(P45:Q45)</f>
        <v>269.54388967848786</v>
      </c>
      <c r="S45" s="228">
        <f t="shared" ref="S45" si="72">R45/(1+$B$5)^(YEARFRAC($O$25,$O45))</f>
        <v>103.92083787227494</v>
      </c>
      <c r="T45" s="226">
        <f>+IF($O45&gt;C$8,"FIN",(C$19-SUM(U$25:U44))*VLOOKUP($O45,$A:$N,3,0)/VLOOKUP(C$15,$K$1:$M$4,2,0))</f>
        <v>0.17971138759267008</v>
      </c>
      <c r="U45" s="229">
        <f t="shared" si="49"/>
        <v>71.884555037068111</v>
      </c>
      <c r="V45" s="229">
        <f t="shared" ref="V45" si="73">+SUM(T45:U45)</f>
        <v>72.064266424660786</v>
      </c>
      <c r="W45" s="228">
        <f t="shared" ref="W45" si="74">V45/(1+$B$5)^(YEARFRAC($O$25,$O45))</f>
        <v>27.783894327689861</v>
      </c>
      <c r="X45" s="226">
        <f>+IF($O45&gt;D$8,"FIN",(D$19-SUM(Y$25:Y44))*VLOOKUP($O45,$A:$N,4,0)/VLOOKUP(D$15,$K$1:$M$4,2,0))</f>
        <v>10.062500000000002</v>
      </c>
      <c r="Y45" s="229">
        <f t="shared" si="51"/>
        <v>1150</v>
      </c>
      <c r="Z45" s="229">
        <f t="shared" si="14"/>
        <v>1160.0625</v>
      </c>
      <c r="AA45" s="228">
        <f t="shared" si="52"/>
        <v>447.25431219384586</v>
      </c>
      <c r="AB45" s="226">
        <f>+IF($O45&gt;E$8,"FIN",(E$19-SUM(AC$25:AC44))*VLOOKUP($O45,$A:$N,5,0)/VLOOKUP(E$15,$K$1:$M$4,2,0))</f>
        <v>0.16145833333333315</v>
      </c>
      <c r="AC45" s="229">
        <f t="shared" si="53"/>
        <v>258.33333333333331</v>
      </c>
      <c r="AD45" s="229">
        <f t="shared" si="16"/>
        <v>258.49479166666663</v>
      </c>
      <c r="AE45" s="228">
        <f t="shared" si="54"/>
        <v>99.660932279568087</v>
      </c>
      <c r="AF45" s="226">
        <f>+IF($O45&gt;F$8,"FIN",(F$19-SUM(AG$25:AG44))*VLOOKUP($O45,$A:$N,6,0)/VLOOKUP(F$15,$K$1:$M$4,2,0))</f>
        <v>509.8125</v>
      </c>
      <c r="AG45" s="229">
        <f t="shared" si="55"/>
        <v>0</v>
      </c>
      <c r="AH45" s="229">
        <f t="shared" si="18"/>
        <v>509.8125</v>
      </c>
      <c r="AI45" s="228">
        <f t="shared" si="56"/>
        <v>196.554788242293</v>
      </c>
      <c r="AJ45" s="226">
        <f>+IF($O45&gt;G$8,"FIN",(G$19-SUM(AK$25:AK44))*VLOOKUP($O45,$A:$N,7,0)/VLOOKUP(G$15,$K$1:$M$4,2,0))</f>
        <v>47.227828535999997</v>
      </c>
      <c r="AK45" s="229">
        <f t="shared" si="57"/>
        <v>0</v>
      </c>
      <c r="AL45" s="229">
        <f t="shared" si="20"/>
        <v>47.227828535999997</v>
      </c>
      <c r="AM45" s="228">
        <f t="shared" si="58"/>
        <v>18.208372366383333</v>
      </c>
      <c r="AN45" s="226">
        <f>+IF($O45&gt;H$8,"FIN",(H$19-SUM(AO$25:AO44))*VLOOKUP($O45,$A:$N,8,0)/VLOOKUP(H$15,$K$1:$M$4,2,0))</f>
        <v>107.51131763596591</v>
      </c>
      <c r="AO45" s="229">
        <f t="shared" si="59"/>
        <v>252.96780620227273</v>
      </c>
      <c r="AP45" s="229">
        <f t="shared" si="22"/>
        <v>360.47912383823865</v>
      </c>
      <c r="AQ45" s="228">
        <f t="shared" si="60"/>
        <v>138.98030717526996</v>
      </c>
      <c r="AR45" s="226">
        <f>+IF($O45&gt;I$8,"FIN",(I$19-SUM(AS$25:AS44))*VLOOKUP($O45,$A:$N,9,0)/VLOOKUP(I$15,$K$1:$M$4,2,0))</f>
        <v>94.849209171848287</v>
      </c>
      <c r="AS45" s="229">
        <f t="shared" si="61"/>
        <v>262.55836448954545</v>
      </c>
      <c r="AT45" s="229">
        <f t="shared" si="24"/>
        <v>357.40757366139371</v>
      </c>
      <c r="AU45" s="228">
        <f t="shared" si="62"/>
        <v>137.79609161644132</v>
      </c>
      <c r="AV45" s="226">
        <f>+IF($O45&gt;J$8,"FIN",(J$19-SUM(AW$25:AW44))*VLOOKUP($O45,$A:$N,10,0)/VLOOKUP(J$15,$K$1:$M$4,2,0))</f>
        <v>107.99296097049107</v>
      </c>
      <c r="AW45" s="229">
        <f t="shared" si="63"/>
        <v>192.62958478571429</v>
      </c>
      <c r="AX45" s="229">
        <f t="shared" si="26"/>
        <v>300.62254575620534</v>
      </c>
      <c r="AY45" s="228">
        <f t="shared" si="64"/>
        <v>115.90300516752724</v>
      </c>
      <c r="AZ45" s="226">
        <f>+IF($O45&gt;K$8,"FIN",(K$19-SUM(BA$25:BA44))*VLOOKUP($O45,$A:$N,11,0)/VLOOKUP(K$15,$K$1:$M$4,2,0))</f>
        <v>119.63903404339284</v>
      </c>
      <c r="BA45" s="229">
        <f t="shared" si="65"/>
        <v>231.18653921428569</v>
      </c>
      <c r="BB45" s="229">
        <f t="shared" si="28"/>
        <v>350.82557325767851</v>
      </c>
      <c r="BC45" s="228">
        <f t="shared" si="66"/>
        <v>135.25844552976645</v>
      </c>
      <c r="BD45" s="226">
        <f>+IF($O45&gt;L$8,"FIN",(L$19-SUM(BE$25:BE44))*VLOOKUP($O45,$A:$N,12,0)/VLOOKUP(L$15,$K$1:$M$4,2,0))</f>
        <v>0</v>
      </c>
      <c r="BE45" s="229">
        <f t="shared" si="67"/>
        <v>0</v>
      </c>
      <c r="BF45" s="229">
        <f t="shared" si="30"/>
        <v>0</v>
      </c>
      <c r="BG45" s="228">
        <f t="shared" si="68"/>
        <v>0</v>
      </c>
      <c r="BH45" s="226">
        <f>+IF($O45&gt;M$8,"FIN",(M$19-SUM(BI$25:BI44))*VLOOKUP($O45,$A:$N,13,0)/VLOOKUP(M$15,$K$1:$M$4,2,0))</f>
        <v>0</v>
      </c>
      <c r="BI45" s="229">
        <f t="shared" si="69"/>
        <v>0</v>
      </c>
      <c r="BJ45" s="229">
        <f t="shared" si="32"/>
        <v>0</v>
      </c>
      <c r="BK45" s="228">
        <f t="shared" si="70"/>
        <v>0</v>
      </c>
      <c r="BL45" s="218"/>
      <c r="BM45" s="226">
        <f t="shared" si="33"/>
        <v>1031.4978424454721</v>
      </c>
      <c r="BN45" s="223">
        <f t="shared" si="33"/>
        <v>2790.6425520877519</v>
      </c>
      <c r="BO45" s="227">
        <f t="shared" si="4"/>
        <v>3822.140394533224</v>
      </c>
      <c r="BP45" s="217">
        <f t="shared" si="34"/>
        <v>10</v>
      </c>
      <c r="BQ45" s="222">
        <f t="shared" si="5"/>
        <v>27906.425520877521</v>
      </c>
    </row>
    <row r="46" spans="1:69" s="20" customFormat="1" x14ac:dyDescent="0.25">
      <c r="A46" s="180">
        <f t="shared" si="6"/>
        <v>47911</v>
      </c>
      <c r="B46" s="189"/>
      <c r="C46" s="190"/>
      <c r="D46" s="191"/>
      <c r="E46" s="191"/>
      <c r="F46" s="191">
        <v>0.05</v>
      </c>
      <c r="G46" s="191">
        <v>0.04</v>
      </c>
      <c r="H46" s="191">
        <v>0.05</v>
      </c>
      <c r="I46" s="191">
        <v>4.2500000000000003E-2</v>
      </c>
      <c r="J46" s="191">
        <v>4.8750000000000002E-2</v>
      </c>
      <c r="K46" s="191">
        <v>4.4999999999999998E-2</v>
      </c>
      <c r="L46" s="191">
        <v>0.05</v>
      </c>
      <c r="M46" s="192">
        <v>4.1250000000000002E-2</v>
      </c>
      <c r="N46" s="20">
        <f t="shared" si="7"/>
        <v>2031</v>
      </c>
      <c r="O46" s="181">
        <f t="shared" si="8"/>
        <v>47911</v>
      </c>
      <c r="P46" s="226"/>
      <c r="Q46" s="229"/>
      <c r="R46" s="229"/>
      <c r="S46" s="228"/>
      <c r="T46" s="226"/>
      <c r="U46" s="229"/>
      <c r="V46" s="229"/>
      <c r="W46" s="228"/>
      <c r="X46" s="226"/>
      <c r="Y46" s="229"/>
      <c r="Z46" s="229"/>
      <c r="AA46" s="228"/>
      <c r="AB46" s="226"/>
      <c r="AC46" s="229"/>
      <c r="AD46" s="229"/>
      <c r="AE46" s="228"/>
      <c r="AF46" s="226">
        <f>+IF($O46&gt;F$8,"FIN",(F$19-SUM(AG$25:AG45))*VLOOKUP($O46,$A:$N,6,0)/VLOOKUP(F$15,$K$1:$M$4,2,0))</f>
        <v>509.8125</v>
      </c>
      <c r="AG46" s="229">
        <f t="shared" si="55"/>
        <v>2039.25</v>
      </c>
      <c r="AH46" s="229">
        <f t="shared" si="18"/>
        <v>2549.0625</v>
      </c>
      <c r="AI46" s="228">
        <f t="shared" si="56"/>
        <v>937.03818663057893</v>
      </c>
      <c r="AJ46" s="226">
        <f>+IF($O46&gt;G$8,"FIN",(G$19-SUM(AK$25:AK45))*VLOOKUP($O46,$A:$N,7,0)/VLOOKUP(G$15,$K$1:$M$4,2,0))</f>
        <v>47.227828535999997</v>
      </c>
      <c r="AK46" s="229">
        <f t="shared" si="57"/>
        <v>236.13914267999999</v>
      </c>
      <c r="AL46" s="229">
        <f t="shared" si="20"/>
        <v>283.36697121599997</v>
      </c>
      <c r="AM46" s="228">
        <f t="shared" si="58"/>
        <v>104.16601117439845</v>
      </c>
      <c r="AN46" s="226">
        <f>+IF($O46&gt;H$8,"FIN",(H$19-SUM(AO$25:AO45))*VLOOKUP($O46,$A:$N,8,0)/VLOOKUP(H$15,$K$1:$M$4,2,0))</f>
        <v>101.1871224809091</v>
      </c>
      <c r="AO46" s="229">
        <f t="shared" si="59"/>
        <v>252.96780620227273</v>
      </c>
      <c r="AP46" s="229">
        <f t="shared" si="22"/>
        <v>354.15492868318182</v>
      </c>
      <c r="AQ46" s="228">
        <f t="shared" si="60"/>
        <v>130.18774241885819</v>
      </c>
      <c r="AR46" s="226">
        <f>+IF($O46&gt;I$8,"FIN",(I$19-SUM(AS$25:AS45))*VLOOKUP($O46,$A:$N,9,0)/VLOOKUP(I$15,$K$1:$M$4,2,0))</f>
        <v>89.269843926445446</v>
      </c>
      <c r="AS46" s="229">
        <f t="shared" si="61"/>
        <v>262.55836448954545</v>
      </c>
      <c r="AT46" s="229">
        <f t="shared" si="24"/>
        <v>351.8282084159909</v>
      </c>
      <c r="AU46" s="228">
        <f t="shared" si="62"/>
        <v>129.33243748225297</v>
      </c>
      <c r="AV46" s="226">
        <f>+IF($O46&gt;J$8,"FIN",(J$19-SUM(AW$25:AW45))*VLOOKUP($O46,$A:$N,10,0)/VLOOKUP(J$15,$K$1:$M$4,2,0))</f>
        <v>103.2976148413393</v>
      </c>
      <c r="AW46" s="229">
        <f t="shared" si="63"/>
        <v>192.62958478571429</v>
      </c>
      <c r="AX46" s="229">
        <f t="shared" si="26"/>
        <v>295.9271996270536</v>
      </c>
      <c r="AY46" s="228">
        <f t="shared" si="64"/>
        <v>108.78316499230584</v>
      </c>
      <c r="AZ46" s="226">
        <f>+IF($O46&gt;K$8,"FIN",(K$19-SUM(BA$25:BA45))*VLOOKUP($O46,$A:$N,11,0)/VLOOKUP(K$15,$K$1:$M$4,2,0))</f>
        <v>114.43733691107141</v>
      </c>
      <c r="BA46" s="229">
        <f t="shared" si="65"/>
        <v>231.18653921428569</v>
      </c>
      <c r="BB46" s="229">
        <f t="shared" si="28"/>
        <v>345.62387612535713</v>
      </c>
      <c r="BC46" s="228">
        <f t="shared" si="66"/>
        <v>127.05171808880185</v>
      </c>
      <c r="BD46" s="226">
        <f>+IF($O46&gt;L$8,"FIN",(L$19-SUM(BE$25:BE45))*VLOOKUP($O46,$A:$N,12,0)/VLOOKUP(L$15,$K$1:$M$4,2,0))</f>
        <v>0</v>
      </c>
      <c r="BE46" s="229">
        <f t="shared" si="67"/>
        <v>0</v>
      </c>
      <c r="BF46" s="229">
        <f t="shared" si="30"/>
        <v>0</v>
      </c>
      <c r="BG46" s="228">
        <f t="shared" si="68"/>
        <v>0</v>
      </c>
      <c r="BH46" s="226">
        <f>+IF($O46&gt;M$8,"FIN",(M$19-SUM(BI$25:BI45))*VLOOKUP($O46,$A:$N,13,0)/VLOOKUP(M$15,$K$1:$M$4,2,0))</f>
        <v>0</v>
      </c>
      <c r="BI46" s="229">
        <f t="shared" si="69"/>
        <v>0</v>
      </c>
      <c r="BJ46" s="229">
        <f t="shared" si="32"/>
        <v>0</v>
      </c>
      <c r="BK46" s="228">
        <f t="shared" si="70"/>
        <v>0</v>
      </c>
      <c r="BL46" s="218"/>
      <c r="BM46" s="226">
        <f t="shared" si="33"/>
        <v>996.56383954217745</v>
      </c>
      <c r="BN46" s="223">
        <f t="shared" si="33"/>
        <v>3305.8643160541633</v>
      </c>
      <c r="BO46" s="227">
        <f t="shared" si="4"/>
        <v>4302.4281555963407</v>
      </c>
      <c r="BP46" s="217">
        <f t="shared" si="34"/>
        <v>10.5</v>
      </c>
      <c r="BQ46" s="222">
        <f t="shared" si="5"/>
        <v>34711.575318568714</v>
      </c>
    </row>
    <row r="47" spans="1:69" s="20" customFormat="1" x14ac:dyDescent="0.25">
      <c r="A47" s="180">
        <f t="shared" si="6"/>
        <v>48095</v>
      </c>
      <c r="B47" s="189"/>
      <c r="C47" s="190"/>
      <c r="D47" s="191"/>
      <c r="E47" s="191"/>
      <c r="F47" s="191">
        <v>0.05</v>
      </c>
      <c r="G47" s="191">
        <v>0.04</v>
      </c>
      <c r="H47" s="191">
        <v>0.05</v>
      </c>
      <c r="I47" s="191">
        <v>4.2500000000000003E-2</v>
      </c>
      <c r="J47" s="191">
        <v>4.8750000000000002E-2</v>
      </c>
      <c r="K47" s="191">
        <v>4.4999999999999998E-2</v>
      </c>
      <c r="L47" s="191">
        <v>0.05</v>
      </c>
      <c r="M47" s="192">
        <v>4.1250000000000002E-2</v>
      </c>
      <c r="N47" s="20">
        <f t="shared" si="7"/>
        <v>2031</v>
      </c>
      <c r="O47" s="181">
        <f t="shared" si="8"/>
        <v>48095</v>
      </c>
      <c r="P47" s="226"/>
      <c r="Q47" s="229"/>
      <c r="R47" s="229"/>
      <c r="S47" s="228"/>
      <c r="T47" s="226"/>
      <c r="U47" s="229"/>
      <c r="V47" s="229"/>
      <c r="W47" s="228"/>
      <c r="X47" s="226"/>
      <c r="Y47" s="229"/>
      <c r="Z47" s="229"/>
      <c r="AA47" s="228"/>
      <c r="AB47" s="226"/>
      <c r="AC47" s="229"/>
      <c r="AD47" s="229"/>
      <c r="AE47" s="228"/>
      <c r="AF47" s="226">
        <f>+IF($O47&gt;F$8,"FIN",(F$19-SUM(AG$25:AG46))*VLOOKUP($O47,$A:$N,6,0)/VLOOKUP(F$15,$K$1:$M$4,2,0))</f>
        <v>458.83125000000001</v>
      </c>
      <c r="AG47" s="229">
        <f t="shared" si="55"/>
        <v>2039.25</v>
      </c>
      <c r="AH47" s="229">
        <f t="shared" si="18"/>
        <v>2498.0812500000002</v>
      </c>
      <c r="AI47" s="228">
        <f t="shared" si="56"/>
        <v>875.56223853385063</v>
      </c>
      <c r="AJ47" s="226">
        <f>+IF($O47&gt;G$8,"FIN",(G$19-SUM(AK$25:AK46))*VLOOKUP($O47,$A:$N,7,0)/VLOOKUP(G$15,$K$1:$M$4,2,0))</f>
        <v>42.505045682399995</v>
      </c>
      <c r="AK47" s="229">
        <f t="shared" si="57"/>
        <v>236.13914267999999</v>
      </c>
      <c r="AL47" s="229">
        <f t="shared" si="20"/>
        <v>278.64418836239997</v>
      </c>
      <c r="AM47" s="228">
        <f t="shared" si="58"/>
        <v>97.663088146965123</v>
      </c>
      <c r="AN47" s="226">
        <f>+IF($O47&gt;H$8,"FIN",(H$19-SUM(AO$25:AO46))*VLOOKUP($O47,$A:$N,8,0)/VLOOKUP(H$15,$K$1:$M$4,2,0))</f>
        <v>94.862927325852283</v>
      </c>
      <c r="AO47" s="229">
        <f t="shared" si="59"/>
        <v>252.96780620227273</v>
      </c>
      <c r="AP47" s="229">
        <f t="shared" si="22"/>
        <v>347.83073352812499</v>
      </c>
      <c r="AQ47" s="228">
        <f t="shared" si="60"/>
        <v>121.91255015374556</v>
      </c>
      <c r="AR47" s="226">
        <f>+IF($O47&gt;I$8,"FIN",(I$19-SUM(AS$25:AS46))*VLOOKUP($O47,$A:$N,9,0)/VLOOKUP(I$15,$K$1:$M$4,2,0))</f>
        <v>83.690478681042606</v>
      </c>
      <c r="AS47" s="229">
        <f t="shared" si="61"/>
        <v>262.55836448954545</v>
      </c>
      <c r="AT47" s="229">
        <f t="shared" si="24"/>
        <v>346.24884317058809</v>
      </c>
      <c r="AU47" s="228">
        <f t="shared" si="62"/>
        <v>121.35810723378043</v>
      </c>
      <c r="AV47" s="226">
        <f>+IF($O47&gt;J$8,"FIN",(J$19-SUM(AW$25:AW46))*VLOOKUP($O47,$A:$N,10,0)/VLOOKUP(J$15,$K$1:$M$4,2,0))</f>
        <v>98.602268712187495</v>
      </c>
      <c r="AW47" s="229">
        <f t="shared" si="63"/>
        <v>192.62958478571429</v>
      </c>
      <c r="AX47" s="229">
        <f t="shared" si="26"/>
        <v>291.2318534979018</v>
      </c>
      <c r="AY47" s="228">
        <f t="shared" si="64"/>
        <v>102.07498798567313</v>
      </c>
      <c r="AZ47" s="226">
        <f>+IF($O47&gt;K$8,"FIN",(K$19-SUM(BA$25:BA46))*VLOOKUP($O47,$A:$N,11,0)/VLOOKUP(K$15,$K$1:$M$4,2,0))</f>
        <v>109.23563977875</v>
      </c>
      <c r="BA47" s="229">
        <f t="shared" si="65"/>
        <v>231.18653921428569</v>
      </c>
      <c r="BB47" s="229">
        <f t="shared" si="28"/>
        <v>340.42217899303569</v>
      </c>
      <c r="BC47" s="228">
        <f t="shared" si="66"/>
        <v>119.31589698522156</v>
      </c>
      <c r="BD47" s="226">
        <f>+IF($O47&gt;L$8,"FIN",(L$19-SUM(BE$25:BE46))*VLOOKUP($O47,$A:$N,12,0)/VLOOKUP(L$15,$K$1:$M$4,2,0))</f>
        <v>0</v>
      </c>
      <c r="BE47" s="229">
        <f t="shared" si="67"/>
        <v>0</v>
      </c>
      <c r="BF47" s="229">
        <f t="shared" si="30"/>
        <v>0</v>
      </c>
      <c r="BG47" s="228">
        <f t="shared" si="68"/>
        <v>0</v>
      </c>
      <c r="BH47" s="226">
        <f>+IF($O47&gt;M$8,"FIN",(M$19-SUM(BI$25:BI46))*VLOOKUP($O47,$A:$N,13,0)/VLOOKUP(M$15,$K$1:$M$4,2,0))</f>
        <v>0</v>
      </c>
      <c r="BI47" s="229">
        <f t="shared" si="69"/>
        <v>0</v>
      </c>
      <c r="BJ47" s="229">
        <f t="shared" si="32"/>
        <v>0</v>
      </c>
      <c r="BK47" s="228">
        <f t="shared" si="70"/>
        <v>0</v>
      </c>
      <c r="BL47" s="218"/>
      <c r="BM47" s="226">
        <f t="shared" si="33"/>
        <v>917.12340232847009</v>
      </c>
      <c r="BN47" s="223">
        <f t="shared" si="33"/>
        <v>3305.8643160541633</v>
      </c>
      <c r="BO47" s="227">
        <f t="shared" si="4"/>
        <v>4222.9877183826338</v>
      </c>
      <c r="BP47" s="217">
        <f t="shared" si="34"/>
        <v>11</v>
      </c>
      <c r="BQ47" s="222">
        <f t="shared" si="5"/>
        <v>36364.507476595798</v>
      </c>
    </row>
    <row r="48" spans="1:69" s="20" customFormat="1" x14ac:dyDescent="0.25">
      <c r="A48" s="180">
        <f t="shared" si="6"/>
        <v>48277</v>
      </c>
      <c r="B48" s="189"/>
      <c r="C48" s="190"/>
      <c r="D48" s="191"/>
      <c r="E48" s="191"/>
      <c r="F48" s="191">
        <v>0.05</v>
      </c>
      <c r="G48" s="191">
        <v>0.04</v>
      </c>
      <c r="H48" s="191">
        <v>0.05</v>
      </c>
      <c r="I48" s="191">
        <v>4.2500000000000003E-2</v>
      </c>
      <c r="J48" s="191">
        <v>4.8750000000000002E-2</v>
      </c>
      <c r="K48" s="191">
        <v>4.4999999999999998E-2</v>
      </c>
      <c r="L48" s="191">
        <v>0.05</v>
      </c>
      <c r="M48" s="192">
        <v>4.1250000000000002E-2</v>
      </c>
      <c r="N48" s="20">
        <f t="shared" si="7"/>
        <v>2032</v>
      </c>
      <c r="O48" s="181">
        <f t="shared" si="8"/>
        <v>48277</v>
      </c>
      <c r="P48" s="226"/>
      <c r="Q48" s="229"/>
      <c r="R48" s="229"/>
      <c r="S48" s="228"/>
      <c r="T48" s="226"/>
      <c r="U48" s="229"/>
      <c r="V48" s="229"/>
      <c r="W48" s="228"/>
      <c r="X48" s="226"/>
      <c r="Y48" s="229"/>
      <c r="Z48" s="229"/>
      <c r="AA48" s="228"/>
      <c r="AB48" s="226"/>
      <c r="AC48" s="229"/>
      <c r="AD48" s="229"/>
      <c r="AE48" s="228"/>
      <c r="AF48" s="226">
        <f>+IF($O48&gt;F$8,"FIN",(F$19-SUM(AG$25:AG47))*VLOOKUP($O48,$A:$N,6,0)/VLOOKUP(F$15,$K$1:$M$4,2,0))</f>
        <v>407.85</v>
      </c>
      <c r="AG48" s="229">
        <f t="shared" si="55"/>
        <v>2039.25</v>
      </c>
      <c r="AH48" s="229">
        <f t="shared" si="18"/>
        <v>2447.1</v>
      </c>
      <c r="AI48" s="228">
        <f t="shared" si="56"/>
        <v>817.7787810594142</v>
      </c>
      <c r="AJ48" s="226">
        <f>+IF($O48&gt;G$8,"FIN",(G$19-SUM(AK$25:AK47))*VLOOKUP($O48,$A:$N,7,0)/VLOOKUP(G$15,$K$1:$M$4,2,0))</f>
        <v>37.7822628288</v>
      </c>
      <c r="AK48" s="229">
        <f t="shared" si="57"/>
        <v>236.13914267999999</v>
      </c>
      <c r="AL48" s="229">
        <f t="shared" si="20"/>
        <v>273.92140550879998</v>
      </c>
      <c r="AM48" s="228">
        <f t="shared" si="58"/>
        <v>91.539828001744084</v>
      </c>
      <c r="AN48" s="226">
        <f>+IF($O48&gt;H$8,"FIN",(H$19-SUM(AO$25:AO47))*VLOOKUP($O48,$A:$N,8,0)/VLOOKUP(H$15,$K$1:$M$4,2,0))</f>
        <v>88.53873217079547</v>
      </c>
      <c r="AO48" s="229">
        <f t="shared" si="59"/>
        <v>252.96780620227273</v>
      </c>
      <c r="AP48" s="229">
        <f t="shared" si="22"/>
        <v>341.50653837306822</v>
      </c>
      <c r="AQ48" s="228">
        <f t="shared" si="60"/>
        <v>114.12561835419386</v>
      </c>
      <c r="AR48" s="226">
        <f>+IF($O48&gt;I$8,"FIN",(I$19-SUM(AS$25:AS47))*VLOOKUP($O48,$A:$N,9,0)/VLOOKUP(I$15,$K$1:$M$4,2,0))</f>
        <v>78.111113435639766</v>
      </c>
      <c r="AS48" s="229">
        <f t="shared" si="61"/>
        <v>262.55836448954545</v>
      </c>
      <c r="AT48" s="229">
        <f t="shared" si="24"/>
        <v>340.66947792518522</v>
      </c>
      <c r="AU48" s="228">
        <f t="shared" si="62"/>
        <v>113.84588713244452</v>
      </c>
      <c r="AV48" s="226">
        <f>+IF($O48&gt;J$8,"FIN",(J$19-SUM(AW$25:AW47))*VLOOKUP($O48,$A:$N,10,0)/VLOOKUP(J$15,$K$1:$M$4,2,0))</f>
        <v>93.906922583035708</v>
      </c>
      <c r="AW48" s="229">
        <f t="shared" si="63"/>
        <v>192.62958478571429</v>
      </c>
      <c r="AX48" s="229">
        <f t="shared" si="26"/>
        <v>286.53650736874999</v>
      </c>
      <c r="AY48" s="228">
        <f t="shared" si="64"/>
        <v>95.755578327423578</v>
      </c>
      <c r="AZ48" s="226">
        <f>+IF($O48&gt;K$8,"FIN",(K$19-SUM(BA$25:BA47))*VLOOKUP($O48,$A:$N,11,0)/VLOOKUP(K$15,$K$1:$M$4,2,0))</f>
        <v>104.03394264642857</v>
      </c>
      <c r="BA48" s="229">
        <f t="shared" si="65"/>
        <v>231.18653921428569</v>
      </c>
      <c r="BB48" s="229">
        <f t="shared" si="28"/>
        <v>335.22048186071424</v>
      </c>
      <c r="BC48" s="228">
        <f t="shared" si="66"/>
        <v>112.02492625646862</v>
      </c>
      <c r="BD48" s="226">
        <f>+IF($O48&gt;L$8,"FIN",(L$19-SUM(BE$25:BE47))*VLOOKUP($O48,$A:$N,12,0)/VLOOKUP(L$15,$K$1:$M$4,2,0))</f>
        <v>0</v>
      </c>
      <c r="BE48" s="229">
        <f t="shared" si="67"/>
        <v>0</v>
      </c>
      <c r="BF48" s="229">
        <f t="shared" si="30"/>
        <v>0</v>
      </c>
      <c r="BG48" s="228">
        <f t="shared" si="68"/>
        <v>0</v>
      </c>
      <c r="BH48" s="226">
        <f>+IF($O48&gt;M$8,"FIN",(M$19-SUM(BI$25:BI47))*VLOOKUP($O48,$A:$N,13,0)/VLOOKUP(M$15,$K$1:$M$4,2,0))</f>
        <v>0</v>
      </c>
      <c r="BI48" s="229">
        <f t="shared" si="69"/>
        <v>0</v>
      </c>
      <c r="BJ48" s="229">
        <f t="shared" si="32"/>
        <v>0</v>
      </c>
      <c r="BK48" s="228">
        <f t="shared" si="70"/>
        <v>0</v>
      </c>
      <c r="BL48" s="218"/>
      <c r="BM48" s="226">
        <f t="shared" si="33"/>
        <v>837.68296511476296</v>
      </c>
      <c r="BN48" s="223">
        <f t="shared" si="33"/>
        <v>3305.8643160541633</v>
      </c>
      <c r="BO48" s="227">
        <f t="shared" si="4"/>
        <v>4143.547281168926</v>
      </c>
      <c r="BP48" s="217">
        <f t="shared" si="34"/>
        <v>11.5</v>
      </c>
      <c r="BQ48" s="222">
        <f t="shared" si="5"/>
        <v>38017.439634622875</v>
      </c>
    </row>
    <row r="49" spans="1:69" s="20" customFormat="1" x14ac:dyDescent="0.25">
      <c r="A49" s="180">
        <f t="shared" si="6"/>
        <v>48461</v>
      </c>
      <c r="B49" s="189"/>
      <c r="C49" s="190"/>
      <c r="D49" s="191"/>
      <c r="E49" s="191"/>
      <c r="F49" s="191">
        <v>0.05</v>
      </c>
      <c r="G49" s="191">
        <v>0.04</v>
      </c>
      <c r="H49" s="191">
        <v>0.05</v>
      </c>
      <c r="I49" s="191">
        <v>4.2500000000000003E-2</v>
      </c>
      <c r="J49" s="191">
        <v>4.8750000000000002E-2</v>
      </c>
      <c r="K49" s="191">
        <v>4.4999999999999998E-2</v>
      </c>
      <c r="L49" s="191">
        <v>0.05</v>
      </c>
      <c r="M49" s="192">
        <v>4.1250000000000002E-2</v>
      </c>
      <c r="N49" s="20">
        <f t="shared" si="7"/>
        <v>2032</v>
      </c>
      <c r="O49" s="181">
        <f t="shared" si="8"/>
        <v>48461</v>
      </c>
      <c r="P49" s="226"/>
      <c r="Q49" s="229"/>
      <c r="R49" s="229"/>
      <c r="S49" s="228"/>
      <c r="T49" s="226"/>
      <c r="U49" s="229"/>
      <c r="V49" s="229"/>
      <c r="W49" s="228"/>
      <c r="X49" s="226"/>
      <c r="Y49" s="229"/>
      <c r="Z49" s="229"/>
      <c r="AA49" s="228"/>
      <c r="AB49" s="226"/>
      <c r="AC49" s="229"/>
      <c r="AD49" s="229"/>
      <c r="AE49" s="228"/>
      <c r="AF49" s="226">
        <f>+IF($O49&gt;F$8,"FIN",(F$19-SUM(AG$25:AG48))*VLOOKUP($O49,$A:$N,6,0)/VLOOKUP(F$15,$K$1:$M$4,2,0))</f>
        <v>356.86875000000003</v>
      </c>
      <c r="AG49" s="229">
        <f t="shared" si="55"/>
        <v>2039.25</v>
      </c>
      <c r="AH49" s="229">
        <f t="shared" si="18"/>
        <v>2396.1187500000001</v>
      </c>
      <c r="AI49" s="228">
        <f t="shared" si="56"/>
        <v>763.47727664361742</v>
      </c>
      <c r="AJ49" s="226">
        <f>+IF($O49&gt;G$8,"FIN",(G$19-SUM(AK$25:AK48))*VLOOKUP($O49,$A:$N,7,0)/VLOOKUP(G$15,$K$1:$M$4,2,0))</f>
        <v>33.059479975199999</v>
      </c>
      <c r="AK49" s="229">
        <f t="shared" si="57"/>
        <v>236.13914267999999</v>
      </c>
      <c r="AL49" s="229">
        <f t="shared" si="20"/>
        <v>269.19862265519998</v>
      </c>
      <c r="AM49" s="228">
        <f t="shared" si="58"/>
        <v>85.774977263128079</v>
      </c>
      <c r="AN49" s="226">
        <f>+IF($O49&gt;H$8,"FIN",(H$19-SUM(AO$25:AO48))*VLOOKUP($O49,$A:$N,8,0)/VLOOKUP(H$15,$K$1:$M$4,2,0))</f>
        <v>82.214537015738642</v>
      </c>
      <c r="AO49" s="229">
        <f t="shared" si="59"/>
        <v>252.96780620227273</v>
      </c>
      <c r="AP49" s="229">
        <f t="shared" si="22"/>
        <v>335.1823432180114</v>
      </c>
      <c r="AQ49" s="228">
        <f t="shared" si="60"/>
        <v>106.79942410162835</v>
      </c>
      <c r="AR49" s="226">
        <f>+IF($O49&gt;I$8,"FIN",(I$19-SUM(AS$25:AS48))*VLOOKUP($O49,$A:$N,9,0)/VLOOKUP(I$15,$K$1:$M$4,2,0))</f>
        <v>72.531748190236925</v>
      </c>
      <c r="AS49" s="229">
        <f t="shared" si="61"/>
        <v>262.55836448954545</v>
      </c>
      <c r="AT49" s="229">
        <f t="shared" si="24"/>
        <v>335.09011267978235</v>
      </c>
      <c r="AU49" s="228">
        <f t="shared" si="62"/>
        <v>106.77003660981457</v>
      </c>
      <c r="AV49" s="226">
        <f>+IF($O49&gt;J$8,"FIN",(J$19-SUM(AW$25:AW48))*VLOOKUP($O49,$A:$N,10,0)/VLOOKUP(J$15,$K$1:$M$4,2,0))</f>
        <v>89.211576453883922</v>
      </c>
      <c r="AW49" s="229">
        <f t="shared" si="63"/>
        <v>192.62958478571429</v>
      </c>
      <c r="AX49" s="229">
        <f t="shared" si="26"/>
        <v>281.84116123959819</v>
      </c>
      <c r="AY49" s="228">
        <f t="shared" si="64"/>
        <v>89.803279670209619</v>
      </c>
      <c r="AZ49" s="226">
        <f>+IF($O49&gt;K$8,"FIN",(K$19-SUM(BA$25:BA48))*VLOOKUP($O49,$A:$N,11,0)/VLOOKUP(K$15,$K$1:$M$4,2,0))</f>
        <v>98.832245514107143</v>
      </c>
      <c r="BA49" s="229">
        <f t="shared" si="65"/>
        <v>231.18653921428569</v>
      </c>
      <c r="BB49" s="229">
        <f t="shared" si="28"/>
        <v>330.0187847283928</v>
      </c>
      <c r="BC49" s="228">
        <f t="shared" si="66"/>
        <v>105.15415523778593</v>
      </c>
      <c r="BD49" s="226">
        <f>+IF($O49&gt;L$8,"FIN",(L$19-SUM(BE$25:BE48))*VLOOKUP($O49,$A:$N,12,0)/VLOOKUP(L$15,$K$1:$M$4,2,0))</f>
        <v>0</v>
      </c>
      <c r="BE49" s="229">
        <f t="shared" si="67"/>
        <v>0</v>
      </c>
      <c r="BF49" s="229">
        <f t="shared" si="30"/>
        <v>0</v>
      </c>
      <c r="BG49" s="228">
        <f t="shared" si="68"/>
        <v>0</v>
      </c>
      <c r="BH49" s="226">
        <f>+IF($O49&gt;M$8,"FIN",(M$19-SUM(BI$25:BI48))*VLOOKUP($O49,$A:$N,13,0)/VLOOKUP(M$15,$K$1:$M$4,2,0))</f>
        <v>0</v>
      </c>
      <c r="BI49" s="229">
        <f t="shared" si="69"/>
        <v>0</v>
      </c>
      <c r="BJ49" s="229">
        <f t="shared" si="32"/>
        <v>0</v>
      </c>
      <c r="BK49" s="228">
        <f t="shared" si="70"/>
        <v>0</v>
      </c>
      <c r="BL49" s="218"/>
      <c r="BM49" s="226">
        <f t="shared" si="33"/>
        <v>758.24252790105572</v>
      </c>
      <c r="BN49" s="223">
        <f t="shared" si="33"/>
        <v>3305.8643160541633</v>
      </c>
      <c r="BO49" s="227">
        <f t="shared" si="4"/>
        <v>4064.1068439552191</v>
      </c>
      <c r="BP49" s="217">
        <f t="shared" si="34"/>
        <v>12</v>
      </c>
      <c r="BQ49" s="222">
        <f t="shared" si="5"/>
        <v>39670.371792649959</v>
      </c>
    </row>
    <row r="50" spans="1:69" s="20" customFormat="1" x14ac:dyDescent="0.25">
      <c r="A50" s="180">
        <f t="shared" si="6"/>
        <v>48642</v>
      </c>
      <c r="B50" s="189"/>
      <c r="C50" s="190"/>
      <c r="D50" s="191"/>
      <c r="E50" s="191"/>
      <c r="F50" s="191">
        <v>0.05</v>
      </c>
      <c r="G50" s="191">
        <v>0.04</v>
      </c>
      <c r="H50" s="191">
        <v>0.05</v>
      </c>
      <c r="I50" s="191">
        <v>4.2500000000000003E-2</v>
      </c>
      <c r="J50" s="191">
        <v>4.8750000000000002E-2</v>
      </c>
      <c r="K50" s="191">
        <v>4.4999999999999998E-2</v>
      </c>
      <c r="L50" s="191">
        <v>0.05</v>
      </c>
      <c r="M50" s="192">
        <v>4.1250000000000002E-2</v>
      </c>
      <c r="N50" s="20">
        <f t="shared" si="7"/>
        <v>2033</v>
      </c>
      <c r="O50" s="181">
        <f t="shared" si="8"/>
        <v>48642</v>
      </c>
      <c r="P50" s="226"/>
      <c r="Q50" s="229"/>
      <c r="R50" s="229"/>
      <c r="S50" s="228"/>
      <c r="T50" s="226"/>
      <c r="U50" s="229"/>
      <c r="V50" s="229"/>
      <c r="W50" s="228"/>
      <c r="X50" s="226"/>
      <c r="Y50" s="229"/>
      <c r="Z50" s="229"/>
      <c r="AA50" s="228"/>
      <c r="AB50" s="226"/>
      <c r="AC50" s="229"/>
      <c r="AD50" s="229"/>
      <c r="AE50" s="228"/>
      <c r="AF50" s="226">
        <f>+IF($O50&gt;F$8,"FIN",(F$19-SUM(AG$25:AG49))*VLOOKUP($O50,$A:$N,6,0)/VLOOKUP(F$15,$K$1:$M$4,2,0))</f>
        <v>305.88749999999999</v>
      </c>
      <c r="AG50" s="229">
        <f t="shared" si="55"/>
        <v>2039.25</v>
      </c>
      <c r="AH50" s="229">
        <f t="shared" si="18"/>
        <v>2345.1374999999998</v>
      </c>
      <c r="AI50" s="228">
        <f t="shared" si="56"/>
        <v>712.45878652903514</v>
      </c>
      <c r="AJ50" s="226">
        <f>+IF($O50&gt;G$8,"FIN",(G$19-SUM(AK$25:AK49))*VLOOKUP($O50,$A:$N,7,0)/VLOOKUP(G$15,$K$1:$M$4,2,0))</f>
        <v>28.3366971216</v>
      </c>
      <c r="AK50" s="229">
        <f t="shared" si="57"/>
        <v>236.13914267999999</v>
      </c>
      <c r="AL50" s="229">
        <f t="shared" si="20"/>
        <v>264.47583980159999</v>
      </c>
      <c r="AM50" s="228">
        <f t="shared" si="58"/>
        <v>80.348438371436828</v>
      </c>
      <c r="AN50" s="226">
        <f>+IF($O50&gt;H$8,"FIN",(H$19-SUM(AO$25:AO49))*VLOOKUP($O50,$A:$N,8,0)/VLOOKUP(H$15,$K$1:$M$4,2,0))</f>
        <v>75.890341860681829</v>
      </c>
      <c r="AO50" s="229">
        <f t="shared" si="59"/>
        <v>252.96780620227273</v>
      </c>
      <c r="AP50" s="229">
        <f t="shared" si="22"/>
        <v>328.85814806295457</v>
      </c>
      <c r="AQ50" s="228">
        <f t="shared" si="60"/>
        <v>99.907948727577121</v>
      </c>
      <c r="AR50" s="226">
        <f>+IF($O50&gt;I$8,"FIN",(I$19-SUM(AS$25:AS49))*VLOOKUP($O50,$A:$N,9,0)/VLOOKUP(I$15,$K$1:$M$4,2,0))</f>
        <v>66.952382944834085</v>
      </c>
      <c r="AS50" s="229">
        <f t="shared" si="61"/>
        <v>262.55836448954545</v>
      </c>
      <c r="AT50" s="229">
        <f t="shared" si="24"/>
        <v>329.51074743437954</v>
      </c>
      <c r="AU50" s="228">
        <f t="shared" si="62"/>
        <v>100.10621009018594</v>
      </c>
      <c r="AV50" s="226">
        <f>+IF($O50&gt;J$8,"FIN",(J$19-SUM(AW$25:AW49))*VLOOKUP($O50,$A:$N,10,0)/VLOOKUP(J$15,$K$1:$M$4,2,0))</f>
        <v>84.516230324732149</v>
      </c>
      <c r="AW50" s="229">
        <f t="shared" si="63"/>
        <v>192.62958478571429</v>
      </c>
      <c r="AX50" s="229">
        <f t="shared" si="26"/>
        <v>277.14581511044645</v>
      </c>
      <c r="AY50" s="228">
        <f t="shared" si="64"/>
        <v>84.197609362004997</v>
      </c>
      <c r="AZ50" s="226">
        <f>+IF($O50&gt;K$8,"FIN",(K$19-SUM(BA$25:BA49))*VLOOKUP($O50,$A:$N,11,0)/VLOOKUP(K$15,$K$1:$M$4,2,0))</f>
        <v>93.630548381785701</v>
      </c>
      <c r="BA50" s="229">
        <f t="shared" si="65"/>
        <v>231.18653921428569</v>
      </c>
      <c r="BB50" s="229">
        <f t="shared" si="28"/>
        <v>324.81708759607136</v>
      </c>
      <c r="BC50" s="228">
        <f t="shared" si="66"/>
        <v>98.680264194569531</v>
      </c>
      <c r="BD50" s="226">
        <f>+IF($O50&gt;L$8,"FIN",(L$19-SUM(BE$25:BE49))*VLOOKUP($O50,$A:$N,12,0)/VLOOKUP(L$15,$K$1:$M$4,2,0))</f>
        <v>0</v>
      </c>
      <c r="BE50" s="229">
        <f t="shared" si="67"/>
        <v>0</v>
      </c>
      <c r="BF50" s="229">
        <f t="shared" si="30"/>
        <v>0</v>
      </c>
      <c r="BG50" s="228">
        <f t="shared" si="68"/>
        <v>0</v>
      </c>
      <c r="BH50" s="226">
        <f>+IF($O50&gt;M$8,"FIN",(M$19-SUM(BI$25:BI49))*VLOOKUP($O50,$A:$N,13,0)/VLOOKUP(M$15,$K$1:$M$4,2,0))</f>
        <v>0</v>
      </c>
      <c r="BI50" s="229">
        <f t="shared" si="69"/>
        <v>0</v>
      </c>
      <c r="BJ50" s="229">
        <f t="shared" si="32"/>
        <v>0</v>
      </c>
      <c r="BK50" s="228">
        <f t="shared" si="70"/>
        <v>0</v>
      </c>
      <c r="BL50" s="218"/>
      <c r="BM50" s="226">
        <f t="shared" si="33"/>
        <v>678.80209068734848</v>
      </c>
      <c r="BN50" s="223">
        <f t="shared" si="33"/>
        <v>3305.8643160541633</v>
      </c>
      <c r="BO50" s="227">
        <f t="shared" si="4"/>
        <v>3984.6664067415118</v>
      </c>
      <c r="BP50" s="217">
        <f t="shared" si="34"/>
        <v>12.5</v>
      </c>
      <c r="BQ50" s="222">
        <f t="shared" si="5"/>
        <v>41323.303950677044</v>
      </c>
    </row>
    <row r="51" spans="1:69" s="20" customFormat="1" x14ac:dyDescent="0.25">
      <c r="A51" s="180">
        <f t="shared" si="6"/>
        <v>48826</v>
      </c>
      <c r="B51" s="189"/>
      <c r="C51" s="190"/>
      <c r="D51" s="191"/>
      <c r="E51" s="191"/>
      <c r="F51" s="191">
        <v>0.05</v>
      </c>
      <c r="G51" s="191">
        <v>0.04</v>
      </c>
      <c r="H51" s="191">
        <v>0.05</v>
      </c>
      <c r="I51" s="191">
        <v>4.2500000000000003E-2</v>
      </c>
      <c r="J51" s="191">
        <v>4.8750000000000002E-2</v>
      </c>
      <c r="K51" s="191">
        <v>4.4999999999999998E-2</v>
      </c>
      <c r="L51" s="191">
        <v>0.05</v>
      </c>
      <c r="M51" s="192">
        <v>4.1250000000000002E-2</v>
      </c>
      <c r="N51" s="20">
        <f t="shared" si="7"/>
        <v>2033</v>
      </c>
      <c r="O51" s="181">
        <f t="shared" si="8"/>
        <v>48826</v>
      </c>
      <c r="P51" s="226"/>
      <c r="Q51" s="229"/>
      <c r="R51" s="229"/>
      <c r="S51" s="228"/>
      <c r="T51" s="226"/>
      <c r="U51" s="229"/>
      <c r="V51" s="229"/>
      <c r="W51" s="228"/>
      <c r="X51" s="226"/>
      <c r="Y51" s="229"/>
      <c r="Z51" s="229"/>
      <c r="AA51" s="228"/>
      <c r="AB51" s="226"/>
      <c r="AC51" s="229"/>
      <c r="AD51" s="229"/>
      <c r="AE51" s="228"/>
      <c r="AF51" s="226">
        <f>+IF($O51&gt;F$8,"FIN",(F$19-SUM(AG$25:AG50))*VLOOKUP($O51,$A:$N,6,0)/VLOOKUP(F$15,$K$1:$M$4,2,0))</f>
        <v>254.90625</v>
      </c>
      <c r="AG51" s="229">
        <f t="shared" si="55"/>
        <v>2039.25</v>
      </c>
      <c r="AH51" s="229">
        <f t="shared" si="18"/>
        <v>2294.15625</v>
      </c>
      <c r="AI51" s="228">
        <f t="shared" si="56"/>
        <v>664.53534717529556</v>
      </c>
      <c r="AJ51" s="226">
        <f>+IF($O51&gt;G$8,"FIN",(G$19-SUM(AK$25:AK50))*VLOOKUP($O51,$A:$N,7,0)/VLOOKUP(G$15,$K$1:$M$4,2,0))</f>
        <v>23.613914267999998</v>
      </c>
      <c r="AK51" s="229">
        <f t="shared" si="57"/>
        <v>236.13914267999999</v>
      </c>
      <c r="AL51" s="229">
        <f t="shared" si="20"/>
        <v>259.75305694799999</v>
      </c>
      <c r="AM51" s="228">
        <f t="shared" si="58"/>
        <v>75.241208125550955</v>
      </c>
      <c r="AN51" s="226">
        <f>+IF($O51&gt;H$8,"FIN",(H$19-SUM(AO$25:AO50))*VLOOKUP($O51,$A:$N,8,0)/VLOOKUP(H$15,$K$1:$M$4,2,0))</f>
        <v>69.566146705625016</v>
      </c>
      <c r="AO51" s="229">
        <f t="shared" si="59"/>
        <v>252.96780620227273</v>
      </c>
      <c r="AP51" s="229">
        <f t="shared" si="22"/>
        <v>322.53395290789774</v>
      </c>
      <c r="AQ51" s="228">
        <f t="shared" si="60"/>
        <v>93.42659741308826</v>
      </c>
      <c r="AR51" s="226">
        <f>+IF($O51&gt;I$8,"FIN",(I$19-SUM(AS$25:AS50))*VLOOKUP($O51,$A:$N,9,0)/VLOOKUP(I$15,$K$1:$M$4,2,0))</f>
        <v>61.373017699431237</v>
      </c>
      <c r="AS51" s="229">
        <f t="shared" si="61"/>
        <v>262.55836448954545</v>
      </c>
      <c r="AT51" s="229">
        <f t="shared" si="24"/>
        <v>323.93138218897667</v>
      </c>
      <c r="AU51" s="228">
        <f t="shared" si="62"/>
        <v>93.831382899017882</v>
      </c>
      <c r="AV51" s="226">
        <f>+IF($O51&gt;J$8,"FIN",(J$19-SUM(AW$25:AW50))*VLOOKUP($O51,$A:$N,10,0)/VLOOKUP(J$15,$K$1:$M$4,2,0))</f>
        <v>79.820884195580362</v>
      </c>
      <c r="AW51" s="229">
        <f t="shared" si="63"/>
        <v>192.62958478571429</v>
      </c>
      <c r="AX51" s="229">
        <f t="shared" si="26"/>
        <v>272.45046898129465</v>
      </c>
      <c r="AY51" s="228">
        <f t="shared" si="64"/>
        <v>78.919196106436402</v>
      </c>
      <c r="AZ51" s="226">
        <f>+IF($O51&gt;K$8,"FIN",(K$19-SUM(BA$25:BA50))*VLOOKUP($O51,$A:$N,11,0)/VLOOKUP(K$15,$K$1:$M$4,2,0))</f>
        <v>88.428851249464273</v>
      </c>
      <c r="BA51" s="229">
        <f t="shared" si="65"/>
        <v>231.18653921428569</v>
      </c>
      <c r="BB51" s="229">
        <f t="shared" si="28"/>
        <v>319.61539046374997</v>
      </c>
      <c r="BC51" s="228">
        <f t="shared" si="66"/>
        <v>92.581193832981413</v>
      </c>
      <c r="BD51" s="226">
        <f>+IF($O51&gt;L$8,"FIN",(L$19-SUM(BE$25:BE50))*VLOOKUP($O51,$A:$N,12,0)/VLOOKUP(L$15,$K$1:$M$4,2,0))</f>
        <v>0</v>
      </c>
      <c r="BE51" s="229">
        <f t="shared" si="67"/>
        <v>0</v>
      </c>
      <c r="BF51" s="229">
        <f t="shared" si="30"/>
        <v>0</v>
      </c>
      <c r="BG51" s="228">
        <f t="shared" si="68"/>
        <v>0</v>
      </c>
      <c r="BH51" s="226">
        <f>+IF($O51&gt;M$8,"FIN",(M$19-SUM(BI$25:BI50))*VLOOKUP($O51,$A:$N,13,0)/VLOOKUP(M$15,$K$1:$M$4,2,0))</f>
        <v>0</v>
      </c>
      <c r="BI51" s="229">
        <f t="shared" si="69"/>
        <v>0</v>
      </c>
      <c r="BJ51" s="229">
        <f t="shared" si="32"/>
        <v>0</v>
      </c>
      <c r="BK51" s="228">
        <f t="shared" si="70"/>
        <v>0</v>
      </c>
      <c r="BL51" s="218"/>
      <c r="BM51" s="226">
        <f t="shared" si="33"/>
        <v>599.36165347364124</v>
      </c>
      <c r="BN51" s="223">
        <f t="shared" si="33"/>
        <v>3305.8643160541633</v>
      </c>
      <c r="BO51" s="227">
        <f t="shared" si="4"/>
        <v>3905.2259695278044</v>
      </c>
      <c r="BP51" s="217">
        <f t="shared" si="34"/>
        <v>13</v>
      </c>
      <c r="BQ51" s="222">
        <f t="shared" si="5"/>
        <v>42976.236108704121</v>
      </c>
    </row>
    <row r="52" spans="1:69" s="20" customFormat="1" x14ac:dyDescent="0.25">
      <c r="A52" s="180">
        <f t="shared" si="6"/>
        <v>49007</v>
      </c>
      <c r="B52" s="189"/>
      <c r="C52" s="190"/>
      <c r="D52" s="191"/>
      <c r="E52" s="191"/>
      <c r="F52" s="191">
        <v>0.05</v>
      </c>
      <c r="G52" s="191">
        <v>0.04</v>
      </c>
      <c r="H52" s="191">
        <v>0.05</v>
      </c>
      <c r="I52" s="191">
        <v>4.2500000000000003E-2</v>
      </c>
      <c r="J52" s="191">
        <v>4.8750000000000002E-2</v>
      </c>
      <c r="K52" s="191">
        <v>4.4999999999999998E-2</v>
      </c>
      <c r="L52" s="191">
        <v>0.05</v>
      </c>
      <c r="M52" s="192">
        <v>4.1250000000000002E-2</v>
      </c>
      <c r="N52" s="20">
        <f t="shared" si="7"/>
        <v>2034</v>
      </c>
      <c r="O52" s="181">
        <f t="shared" si="8"/>
        <v>49007</v>
      </c>
      <c r="P52" s="226"/>
      <c r="Q52" s="229"/>
      <c r="R52" s="229"/>
      <c r="S52" s="228"/>
      <c r="T52" s="226"/>
      <c r="U52" s="229"/>
      <c r="V52" s="229"/>
      <c r="W52" s="228"/>
      <c r="X52" s="226"/>
      <c r="Y52" s="229"/>
      <c r="Z52" s="229"/>
      <c r="AA52" s="228"/>
      <c r="AB52" s="226"/>
      <c r="AC52" s="229"/>
      <c r="AD52" s="229"/>
      <c r="AE52" s="228"/>
      <c r="AF52" s="226">
        <f>+IF($O52&gt;F$8,"FIN",(F$19-SUM(AG$25:AG51))*VLOOKUP($O52,$A:$N,6,0)/VLOOKUP(F$15,$K$1:$M$4,2,0))</f>
        <v>203.92500000000001</v>
      </c>
      <c r="AG52" s="229">
        <f t="shared" si="55"/>
        <v>2039.25</v>
      </c>
      <c r="AH52" s="229">
        <f t="shared" si="18"/>
        <v>2243.1750000000002</v>
      </c>
      <c r="AI52" s="228">
        <f t="shared" si="56"/>
        <v>619.52937959046528</v>
      </c>
      <c r="AJ52" s="226">
        <f>+IF($O52&gt;G$8,"FIN",(G$19-SUM(AK$25:AK51))*VLOOKUP($O52,$A:$N,7,0)/VLOOKUP(G$15,$K$1:$M$4,2,0))</f>
        <v>18.891131414399997</v>
      </c>
      <c r="AK52" s="229">
        <f t="shared" si="57"/>
        <v>236.13914267999999</v>
      </c>
      <c r="AL52" s="229">
        <f t="shared" si="20"/>
        <v>255.0302740944</v>
      </c>
      <c r="AM52" s="228">
        <f t="shared" si="58"/>
        <v>70.435319351584226</v>
      </c>
      <c r="AN52" s="226">
        <f>+IF($O52&gt;H$8,"FIN",(H$19-SUM(AO$25:AO51))*VLOOKUP($O52,$A:$N,8,0)/VLOOKUP(H$15,$K$1:$M$4,2,0))</f>
        <v>63.241951550568196</v>
      </c>
      <c r="AO52" s="229">
        <f t="shared" si="59"/>
        <v>252.96780620227273</v>
      </c>
      <c r="AP52" s="229">
        <f t="shared" si="22"/>
        <v>316.20975775284091</v>
      </c>
      <c r="AQ52" s="228">
        <f t="shared" si="60"/>
        <v>87.332123013616339</v>
      </c>
      <c r="AR52" s="226">
        <f>+IF($O52&gt;I$8,"FIN",(I$19-SUM(AS$25:AS51))*VLOOKUP($O52,$A:$N,9,0)/VLOOKUP(I$15,$K$1:$M$4,2,0))</f>
        <v>55.793652454028397</v>
      </c>
      <c r="AS52" s="229">
        <f t="shared" si="61"/>
        <v>262.55836448954545</v>
      </c>
      <c r="AT52" s="229">
        <f t="shared" si="24"/>
        <v>318.35201694357386</v>
      </c>
      <c r="AU52" s="228">
        <f t="shared" si="62"/>
        <v>87.923781046251676</v>
      </c>
      <c r="AV52" s="226">
        <f>+IF($O52&gt;J$8,"FIN",(J$19-SUM(AW$25:AW51))*VLOOKUP($O52,$A:$N,10,0)/VLOOKUP(J$15,$K$1:$M$4,2,0))</f>
        <v>75.125538066428575</v>
      </c>
      <c r="AW52" s="229">
        <f t="shared" si="63"/>
        <v>192.62958478571429</v>
      </c>
      <c r="AX52" s="229">
        <f t="shared" si="26"/>
        <v>267.75512285214285</v>
      </c>
      <c r="AY52" s="228">
        <f t="shared" si="64"/>
        <v>73.949720883460657</v>
      </c>
      <c r="AZ52" s="226">
        <f>+IF($O52&gt;K$8,"FIN",(K$19-SUM(BA$25:BA51))*VLOOKUP($O52,$A:$N,11,0)/VLOOKUP(K$15,$K$1:$M$4,2,0))</f>
        <v>83.227154117142845</v>
      </c>
      <c r="BA52" s="229">
        <f t="shared" si="65"/>
        <v>231.18653921428569</v>
      </c>
      <c r="BB52" s="229">
        <f t="shared" si="28"/>
        <v>314.41369333142853</v>
      </c>
      <c r="BC52" s="228">
        <f t="shared" si="66"/>
        <v>86.83607848891269</v>
      </c>
      <c r="BD52" s="226">
        <f>+IF($O52&gt;L$8,"FIN",(L$19-SUM(BE$25:BE51))*VLOOKUP($O52,$A:$N,12,0)/VLOOKUP(L$15,$K$1:$M$4,2,0))</f>
        <v>0</v>
      </c>
      <c r="BE52" s="229">
        <f t="shared" si="67"/>
        <v>0</v>
      </c>
      <c r="BF52" s="229">
        <f t="shared" si="30"/>
        <v>0</v>
      </c>
      <c r="BG52" s="228">
        <f t="shared" si="68"/>
        <v>0</v>
      </c>
      <c r="BH52" s="226">
        <f>+IF($O52&gt;M$8,"FIN",(M$19-SUM(BI$25:BI51))*VLOOKUP($O52,$A:$N,13,0)/VLOOKUP(M$15,$K$1:$M$4,2,0))</f>
        <v>0</v>
      </c>
      <c r="BI52" s="229">
        <f t="shared" si="69"/>
        <v>0</v>
      </c>
      <c r="BJ52" s="229">
        <f t="shared" si="32"/>
        <v>0</v>
      </c>
      <c r="BK52" s="228">
        <f t="shared" si="70"/>
        <v>0</v>
      </c>
      <c r="BL52" s="218"/>
      <c r="BM52" s="226">
        <f t="shared" si="33"/>
        <v>519.92121625993411</v>
      </c>
      <c r="BN52" s="223">
        <f t="shared" si="33"/>
        <v>3305.8643160541633</v>
      </c>
      <c r="BO52" s="227">
        <f t="shared" si="4"/>
        <v>3825.7855323140975</v>
      </c>
      <c r="BP52" s="217">
        <f t="shared" si="34"/>
        <v>13.5</v>
      </c>
      <c r="BQ52" s="222">
        <f t="shared" si="5"/>
        <v>44629.168266731205</v>
      </c>
    </row>
    <row r="53" spans="1:69" s="20" customFormat="1" x14ac:dyDescent="0.25">
      <c r="A53" s="180">
        <f t="shared" si="6"/>
        <v>49191</v>
      </c>
      <c r="B53" s="189"/>
      <c r="C53" s="190"/>
      <c r="D53" s="191"/>
      <c r="E53" s="191"/>
      <c r="F53" s="191">
        <v>0.05</v>
      </c>
      <c r="G53" s="191">
        <v>0.04</v>
      </c>
      <c r="H53" s="191">
        <v>0.05</v>
      </c>
      <c r="I53" s="191">
        <v>4.2500000000000003E-2</v>
      </c>
      <c r="J53" s="191">
        <v>4.8750000000000002E-2</v>
      </c>
      <c r="K53" s="191">
        <v>4.4999999999999998E-2</v>
      </c>
      <c r="L53" s="191">
        <v>0.05</v>
      </c>
      <c r="M53" s="192">
        <v>4.1250000000000002E-2</v>
      </c>
      <c r="N53" s="20">
        <f t="shared" si="7"/>
        <v>2034</v>
      </c>
      <c r="O53" s="181">
        <f t="shared" si="8"/>
        <v>49191</v>
      </c>
      <c r="P53" s="226"/>
      <c r="Q53" s="229"/>
      <c r="R53" s="229"/>
      <c r="S53" s="228"/>
      <c r="T53" s="226"/>
      <c r="U53" s="229"/>
      <c r="V53" s="229"/>
      <c r="W53" s="228"/>
      <c r="X53" s="226"/>
      <c r="Y53" s="229"/>
      <c r="Z53" s="229"/>
      <c r="AA53" s="228"/>
      <c r="AB53" s="226"/>
      <c r="AC53" s="229"/>
      <c r="AD53" s="229"/>
      <c r="AE53" s="228"/>
      <c r="AF53" s="226">
        <f>+IF($O53&gt;F$8,"FIN",(F$19-SUM(AG$25:AG52))*VLOOKUP($O53,$A:$N,6,0)/VLOOKUP(F$15,$K$1:$M$4,2,0))</f>
        <v>152.94374999999999</v>
      </c>
      <c r="AG53" s="229">
        <f t="shared" si="55"/>
        <v>2039.25</v>
      </c>
      <c r="AH53" s="229">
        <f t="shared" si="18"/>
        <v>2192.1937499999999</v>
      </c>
      <c r="AI53" s="228">
        <f t="shared" si="56"/>
        <v>577.27312986944855</v>
      </c>
      <c r="AJ53" s="226">
        <f>+IF($O53&gt;G$8,"FIN",(G$19-SUM(AK$25:AK52))*VLOOKUP($O53,$A:$N,7,0)/VLOOKUP(G$15,$K$1:$M$4,2,0))</f>
        <v>14.168348560799997</v>
      </c>
      <c r="AK53" s="229">
        <f t="shared" si="57"/>
        <v>236.13914267999999</v>
      </c>
      <c r="AL53" s="229">
        <f t="shared" si="20"/>
        <v>250.30749124079998</v>
      </c>
      <c r="AM53" s="228">
        <f t="shared" si="58"/>
        <v>65.913785630647922</v>
      </c>
      <c r="AN53" s="226">
        <f>+IF($O53&gt;H$8,"FIN",(H$19-SUM(AO$25:AO52))*VLOOKUP($O53,$A:$N,8,0)/VLOOKUP(H$15,$K$1:$M$4,2,0))</f>
        <v>56.917756395511383</v>
      </c>
      <c r="AO53" s="229">
        <f t="shared" si="59"/>
        <v>252.96780620227273</v>
      </c>
      <c r="AP53" s="229">
        <f t="shared" si="22"/>
        <v>309.88556259778409</v>
      </c>
      <c r="AQ53" s="228">
        <f t="shared" si="60"/>
        <v>81.602553890219667</v>
      </c>
      <c r="AR53" s="226">
        <f>+IF($O53&gt;I$8,"FIN",(I$19-SUM(AS$25:AS52))*VLOOKUP($O53,$A:$N,9,0)/VLOOKUP(I$15,$K$1:$M$4,2,0))</f>
        <v>50.214287208625557</v>
      </c>
      <c r="AS53" s="229">
        <f t="shared" si="61"/>
        <v>262.55836448954545</v>
      </c>
      <c r="AT53" s="229">
        <f t="shared" si="24"/>
        <v>312.77265169817099</v>
      </c>
      <c r="AU53" s="228">
        <f t="shared" si="62"/>
        <v>82.362814684317968</v>
      </c>
      <c r="AV53" s="226">
        <f>+IF($O53&gt;J$8,"FIN",(J$19-SUM(AW$25:AW52))*VLOOKUP($O53,$A:$N,10,0)/VLOOKUP(J$15,$K$1:$M$4,2,0))</f>
        <v>70.430191937276788</v>
      </c>
      <c r="AW53" s="229">
        <f t="shared" si="63"/>
        <v>192.62958478571429</v>
      </c>
      <c r="AX53" s="229">
        <f t="shared" si="26"/>
        <v>263.05977672299105</v>
      </c>
      <c r="AY53" s="228">
        <f t="shared" si="64"/>
        <v>69.271860961942508</v>
      </c>
      <c r="AZ53" s="226">
        <f>+IF($O53&gt;K$8,"FIN",(K$19-SUM(BA$25:BA52))*VLOOKUP($O53,$A:$N,11,0)/VLOOKUP(K$15,$K$1:$M$4,2,0))</f>
        <v>78.025456984821417</v>
      </c>
      <c r="BA53" s="229">
        <f t="shared" si="65"/>
        <v>231.18653921428569</v>
      </c>
      <c r="BB53" s="229">
        <f t="shared" si="28"/>
        <v>309.21199619910709</v>
      </c>
      <c r="BC53" s="228">
        <f t="shared" si="66"/>
        <v>81.425182805597629</v>
      </c>
      <c r="BD53" s="226">
        <f>+IF($O53&gt;L$8,"FIN",(L$19-SUM(BE$25:BE52))*VLOOKUP($O53,$A:$N,12,0)/VLOOKUP(L$15,$K$1:$M$4,2,0))</f>
        <v>0</v>
      </c>
      <c r="BE53" s="229">
        <f t="shared" si="67"/>
        <v>0</v>
      </c>
      <c r="BF53" s="229">
        <f t="shared" si="30"/>
        <v>0</v>
      </c>
      <c r="BG53" s="228">
        <f t="shared" si="68"/>
        <v>0</v>
      </c>
      <c r="BH53" s="226">
        <f>+IF($O53&gt;M$8,"FIN",(M$19-SUM(BI$25:BI52))*VLOOKUP($O53,$A:$N,13,0)/VLOOKUP(M$15,$K$1:$M$4,2,0))</f>
        <v>0</v>
      </c>
      <c r="BI53" s="229">
        <f t="shared" si="69"/>
        <v>0</v>
      </c>
      <c r="BJ53" s="229">
        <f t="shared" si="32"/>
        <v>0</v>
      </c>
      <c r="BK53" s="228">
        <f t="shared" si="70"/>
        <v>0</v>
      </c>
      <c r="BL53" s="218"/>
      <c r="BM53" s="226">
        <f t="shared" si="33"/>
        <v>440.48077904622687</v>
      </c>
      <c r="BN53" s="223">
        <f t="shared" si="33"/>
        <v>3305.8643160541633</v>
      </c>
      <c r="BO53" s="227">
        <f t="shared" si="4"/>
        <v>3746.3450951003902</v>
      </c>
      <c r="BP53" s="217">
        <f t="shared" si="34"/>
        <v>14</v>
      </c>
      <c r="BQ53" s="222">
        <f t="shared" si="5"/>
        <v>46282.10042475829</v>
      </c>
    </row>
    <row r="54" spans="1:69" s="20" customFormat="1" x14ac:dyDescent="0.25">
      <c r="A54" s="180">
        <f t="shared" si="6"/>
        <v>49372</v>
      </c>
      <c r="B54" s="189"/>
      <c r="C54" s="190"/>
      <c r="D54" s="191"/>
      <c r="E54" s="191"/>
      <c r="F54" s="191">
        <v>0.05</v>
      </c>
      <c r="G54" s="191">
        <v>0.04</v>
      </c>
      <c r="H54" s="191">
        <v>0.05</v>
      </c>
      <c r="I54" s="191">
        <v>4.2500000000000003E-2</v>
      </c>
      <c r="J54" s="191">
        <v>4.8750000000000002E-2</v>
      </c>
      <c r="K54" s="191">
        <v>4.4999999999999998E-2</v>
      </c>
      <c r="L54" s="191">
        <v>0.05</v>
      </c>
      <c r="M54" s="192">
        <v>4.1250000000000002E-2</v>
      </c>
      <c r="N54" s="20">
        <f t="shared" si="7"/>
        <v>2035</v>
      </c>
      <c r="O54" s="181">
        <f t="shared" si="8"/>
        <v>49372</v>
      </c>
      <c r="P54" s="226"/>
      <c r="Q54" s="229"/>
      <c r="R54" s="229"/>
      <c r="S54" s="228"/>
      <c r="T54" s="226"/>
      <c r="U54" s="229"/>
      <c r="V54" s="229"/>
      <c r="W54" s="228"/>
      <c r="X54" s="226"/>
      <c r="Y54" s="229"/>
      <c r="Z54" s="229"/>
      <c r="AA54" s="228"/>
      <c r="AB54" s="226"/>
      <c r="AC54" s="229"/>
      <c r="AD54" s="229"/>
      <c r="AE54" s="228"/>
      <c r="AF54" s="226">
        <f>+IF($O54&gt;F$8,"FIN",(F$19-SUM(AG$25:AG53))*VLOOKUP($O54,$A:$N,6,0)/VLOOKUP(F$15,$K$1:$M$4,2,0))</f>
        <v>101.96250000000001</v>
      </c>
      <c r="AG54" s="229">
        <f t="shared" si="55"/>
        <v>2039.25</v>
      </c>
      <c r="AH54" s="229">
        <f t="shared" si="18"/>
        <v>2141.2125000000001</v>
      </c>
      <c r="AI54" s="228">
        <f t="shared" si="56"/>
        <v>537.60813931404005</v>
      </c>
      <c r="AJ54" s="226">
        <f>+IF($O54&gt;G$8,"FIN",(G$19-SUM(AK$25:AK53))*VLOOKUP($O54,$A:$N,7,0)/VLOOKUP(G$15,$K$1:$M$4,2,0))</f>
        <v>9.4455657071999948</v>
      </c>
      <c r="AK54" s="229">
        <f t="shared" si="57"/>
        <v>236.13914267999999</v>
      </c>
      <c r="AL54" s="229">
        <f t="shared" si="20"/>
        <v>245.58470838719998</v>
      </c>
      <c r="AM54" s="228">
        <f t="shared" si="58"/>
        <v>61.660548927312782</v>
      </c>
      <c r="AN54" s="226">
        <f>+IF($O54&gt;H$8,"FIN",(H$19-SUM(AO$25:AO53))*VLOOKUP($O54,$A:$N,8,0)/VLOOKUP(H$15,$K$1:$M$4,2,0))</f>
        <v>50.593561240454562</v>
      </c>
      <c r="AO54" s="229">
        <f t="shared" si="59"/>
        <v>252.96780620227273</v>
      </c>
      <c r="AP54" s="229">
        <f t="shared" si="22"/>
        <v>303.56136744272726</v>
      </c>
      <c r="AQ54" s="228">
        <f t="shared" si="60"/>
        <v>76.217125539156072</v>
      </c>
      <c r="AR54" s="226">
        <f>+IF($O54&gt;I$8,"FIN",(I$19-SUM(AS$25:AS53))*VLOOKUP($O54,$A:$N,9,0)/VLOOKUP(I$15,$K$1:$M$4,2,0))</f>
        <v>44.634921963222709</v>
      </c>
      <c r="AS54" s="229">
        <f t="shared" si="61"/>
        <v>262.55836448954545</v>
      </c>
      <c r="AT54" s="229">
        <f t="shared" si="24"/>
        <v>307.19328645276818</v>
      </c>
      <c r="AU54" s="228">
        <f t="shared" si="62"/>
        <v>77.129015050882444</v>
      </c>
      <c r="AV54" s="226">
        <f>+IF($O54&gt;J$8,"FIN",(J$19-SUM(AW$25:AW53))*VLOOKUP($O54,$A:$N,10,0)/VLOOKUP(J$15,$K$1:$M$4,2,0))</f>
        <v>65.734845808125016</v>
      </c>
      <c r="AW54" s="229">
        <f t="shared" si="63"/>
        <v>192.62958478571429</v>
      </c>
      <c r="AX54" s="229">
        <f t="shared" si="26"/>
        <v>258.3644305938393</v>
      </c>
      <c r="AY54" s="228">
        <f t="shared" si="64"/>
        <v>64.869236844304524</v>
      </c>
      <c r="AZ54" s="226">
        <f>+IF($O54&gt;K$8,"FIN",(K$19-SUM(BA$25:BA53))*VLOOKUP($O54,$A:$N,11,0)/VLOOKUP(K$15,$K$1:$M$4,2,0))</f>
        <v>72.823759852499975</v>
      </c>
      <c r="BA54" s="229">
        <f t="shared" si="65"/>
        <v>231.18653921428569</v>
      </c>
      <c r="BB54" s="229">
        <f t="shared" si="28"/>
        <v>304.01029906678565</v>
      </c>
      <c r="BC54" s="228">
        <f t="shared" si="66"/>
        <v>76.329841719866423</v>
      </c>
      <c r="BD54" s="226">
        <f>+IF($O54&gt;L$8,"FIN",(L$19-SUM(BE$25:BE53))*VLOOKUP($O54,$A:$N,12,0)/VLOOKUP(L$15,$K$1:$M$4,2,0))</f>
        <v>0</v>
      </c>
      <c r="BE54" s="229">
        <f t="shared" si="67"/>
        <v>0</v>
      </c>
      <c r="BF54" s="229">
        <f t="shared" si="30"/>
        <v>0</v>
      </c>
      <c r="BG54" s="228">
        <f t="shared" si="68"/>
        <v>0</v>
      </c>
      <c r="BH54" s="226">
        <f>+IF($O54&gt;M$8,"FIN",(M$19-SUM(BI$25:BI53))*VLOOKUP($O54,$A:$N,13,0)/VLOOKUP(M$15,$K$1:$M$4,2,0))</f>
        <v>0</v>
      </c>
      <c r="BI54" s="229">
        <f t="shared" si="69"/>
        <v>0</v>
      </c>
      <c r="BJ54" s="229">
        <f t="shared" si="32"/>
        <v>0</v>
      </c>
      <c r="BK54" s="228">
        <f t="shared" si="70"/>
        <v>0</v>
      </c>
      <c r="BL54" s="218"/>
      <c r="BM54" s="226">
        <f t="shared" si="33"/>
        <v>361.04034183251963</v>
      </c>
      <c r="BN54" s="223">
        <f t="shared" si="33"/>
        <v>3305.8643160541633</v>
      </c>
      <c r="BO54" s="227">
        <f t="shared" si="4"/>
        <v>3666.9046578866828</v>
      </c>
      <c r="BP54" s="217">
        <f t="shared" si="34"/>
        <v>14.5</v>
      </c>
      <c r="BQ54" s="222">
        <f t="shared" si="5"/>
        <v>47935.032582785367</v>
      </c>
    </row>
    <row r="55" spans="1:69" s="20" customFormat="1" x14ac:dyDescent="0.25">
      <c r="A55" s="180">
        <f t="shared" si="6"/>
        <v>49556</v>
      </c>
      <c r="B55" s="181"/>
      <c r="C55" s="193"/>
      <c r="D55" s="191"/>
      <c r="E55" s="191"/>
      <c r="F55" s="191">
        <v>0.05</v>
      </c>
      <c r="G55" s="191">
        <v>0.04</v>
      </c>
      <c r="H55" s="191">
        <v>0.05</v>
      </c>
      <c r="I55" s="191">
        <v>4.2500000000000003E-2</v>
      </c>
      <c r="J55" s="191">
        <v>4.8750000000000002E-2</v>
      </c>
      <c r="K55" s="191">
        <v>4.4999999999999998E-2</v>
      </c>
      <c r="L55" s="191">
        <v>0.05</v>
      </c>
      <c r="M55" s="192">
        <v>4.1250000000000002E-2</v>
      </c>
      <c r="N55" s="20">
        <f t="shared" si="7"/>
        <v>2035</v>
      </c>
      <c r="O55" s="181">
        <f t="shared" si="8"/>
        <v>49556</v>
      </c>
      <c r="P55" s="226"/>
      <c r="Q55" s="229"/>
      <c r="R55" s="229"/>
      <c r="S55" s="228"/>
      <c r="T55" s="226"/>
      <c r="U55" s="229"/>
      <c r="V55" s="229"/>
      <c r="W55" s="228"/>
      <c r="X55" s="226"/>
      <c r="Y55" s="229"/>
      <c r="Z55" s="229"/>
      <c r="AA55" s="228"/>
      <c r="AB55" s="226"/>
      <c r="AC55" s="229"/>
      <c r="AD55" s="229"/>
      <c r="AE55" s="228"/>
      <c r="AF55" s="226">
        <f>+IF($O55&gt;F$8,"FIN",(F$19-SUM(AG$25:AG54))*VLOOKUP($O55,$A:$N,6,0)/VLOOKUP(F$15,$K$1:$M$4,2,0))</f>
        <v>50.981250000000003</v>
      </c>
      <c r="AG55" s="229">
        <f t="shared" si="55"/>
        <v>2039.25</v>
      </c>
      <c r="AH55" s="229">
        <f t="shared" si="18"/>
        <v>2090.2312499999998</v>
      </c>
      <c r="AI55" s="228">
        <f t="shared" si="56"/>
        <v>500.38474259296805</v>
      </c>
      <c r="AJ55" s="226">
        <f>+IF($O55&gt;G$8,"FIN",(G$19-SUM(AK$25:AK54))*VLOOKUP($O55,$A:$N,7,0)/VLOOKUP(G$15,$K$1:$M$4,2,0))</f>
        <v>4.7227828535999929</v>
      </c>
      <c r="AK55" s="229">
        <f t="shared" si="57"/>
        <v>236.13914267999999</v>
      </c>
      <c r="AL55" s="229">
        <f t="shared" si="20"/>
        <v>240.86192553359999</v>
      </c>
      <c r="AM55" s="228">
        <f t="shared" si="58"/>
        <v>57.660429968491329</v>
      </c>
      <c r="AN55" s="226">
        <f>+IF($O55&gt;H$8,"FIN",(H$19-SUM(AO$25:AO54))*VLOOKUP($O55,$A:$N,8,0)/VLOOKUP(H$15,$K$1:$M$4,2,0))</f>
        <v>44.269366085397749</v>
      </c>
      <c r="AO55" s="229">
        <f t="shared" si="59"/>
        <v>252.96780620227273</v>
      </c>
      <c r="AP55" s="229">
        <f t="shared" si="22"/>
        <v>297.23717228767049</v>
      </c>
      <c r="AQ55" s="228">
        <f t="shared" si="60"/>
        <v>71.156215822640547</v>
      </c>
      <c r="AR55" s="226">
        <f>+IF($O55&gt;I$8,"FIN",(I$19-SUM(AS$25:AS54))*VLOOKUP($O55,$A:$N,9,0)/VLOOKUP(I$15,$K$1:$M$4,2,0))</f>
        <v>39.055556717819869</v>
      </c>
      <c r="AS55" s="229">
        <f t="shared" si="61"/>
        <v>262.55836448954545</v>
      </c>
      <c r="AT55" s="229">
        <f t="shared" si="24"/>
        <v>301.61392120736531</v>
      </c>
      <c r="AU55" s="228">
        <f t="shared" si="62"/>
        <v>72.203974716100561</v>
      </c>
      <c r="AV55" s="226">
        <f>+IF($O55&gt;J$8,"FIN",(J$19-SUM(AW$25:AW54))*VLOOKUP($O55,$A:$N,10,0)/VLOOKUP(J$15,$K$1:$M$4,2,0))</f>
        <v>61.039499678973229</v>
      </c>
      <c r="AW55" s="229">
        <f t="shared" si="63"/>
        <v>192.62958478571429</v>
      </c>
      <c r="AX55" s="229">
        <f t="shared" si="26"/>
        <v>253.6690844646875</v>
      </c>
      <c r="AY55" s="228">
        <f t="shared" si="64"/>
        <v>60.726361991600953</v>
      </c>
      <c r="AZ55" s="226">
        <f>+IF($O55&gt;K$8,"FIN",(K$19-SUM(BA$25:BA54))*VLOOKUP($O55,$A:$N,11,0)/VLOOKUP(K$15,$K$1:$M$4,2,0))</f>
        <v>67.622062720178548</v>
      </c>
      <c r="BA55" s="229">
        <f t="shared" si="65"/>
        <v>231.18653921428569</v>
      </c>
      <c r="BB55" s="229">
        <f t="shared" si="28"/>
        <v>298.80860193446426</v>
      </c>
      <c r="BC55" s="228">
        <f t="shared" si="66"/>
        <v>71.532403586225968</v>
      </c>
      <c r="BD55" s="226">
        <f>+IF($O55&gt;L$8,"FIN",(L$19-SUM(BE$25:BE54))*VLOOKUP($O55,$A:$N,12,0)/VLOOKUP(L$15,$K$1:$M$4,2,0))</f>
        <v>0</v>
      </c>
      <c r="BE55" s="229">
        <f t="shared" si="67"/>
        <v>0</v>
      </c>
      <c r="BF55" s="229">
        <f t="shared" si="30"/>
        <v>0</v>
      </c>
      <c r="BG55" s="228">
        <f t="shared" si="68"/>
        <v>0</v>
      </c>
      <c r="BH55" s="226">
        <f>+IF($O55&gt;M$8,"FIN",(M$19-SUM(BI$25:BI54))*VLOOKUP($O55,$A:$N,13,0)/VLOOKUP(M$15,$K$1:$M$4,2,0))</f>
        <v>0</v>
      </c>
      <c r="BI55" s="229">
        <f t="shared" si="69"/>
        <v>0</v>
      </c>
      <c r="BJ55" s="229">
        <f t="shared" si="32"/>
        <v>0</v>
      </c>
      <c r="BK55" s="228">
        <f t="shared" si="70"/>
        <v>0</v>
      </c>
      <c r="BL55" s="218"/>
      <c r="BM55" s="226">
        <f t="shared" si="33"/>
        <v>281.59990461881239</v>
      </c>
      <c r="BN55" s="223">
        <f t="shared" si="33"/>
        <v>3305.8643160541633</v>
      </c>
      <c r="BO55" s="227">
        <f t="shared" si="4"/>
        <v>3587.4642206729759</v>
      </c>
      <c r="BP55" s="217">
        <f t="shared" si="34"/>
        <v>15</v>
      </c>
      <c r="BQ55" s="222">
        <f t="shared" si="5"/>
        <v>49587.964740812451</v>
      </c>
    </row>
    <row r="56" spans="1:69" s="20" customFormat="1" x14ac:dyDescent="0.25">
      <c r="A56" s="180">
        <f t="shared" si="6"/>
        <v>49738</v>
      </c>
      <c r="B56" s="181"/>
      <c r="C56" s="193"/>
      <c r="D56" s="191"/>
      <c r="E56" s="191"/>
      <c r="F56" s="191"/>
      <c r="G56" s="191"/>
      <c r="H56" s="191">
        <v>0.05</v>
      </c>
      <c r="I56" s="191">
        <v>4.2500000000000003E-2</v>
      </c>
      <c r="J56" s="191">
        <v>4.8750000000000002E-2</v>
      </c>
      <c r="K56" s="191">
        <v>4.4999999999999998E-2</v>
      </c>
      <c r="L56" s="191">
        <v>0.05</v>
      </c>
      <c r="M56" s="192">
        <v>4.1250000000000002E-2</v>
      </c>
      <c r="N56" s="20">
        <f t="shared" si="7"/>
        <v>2036</v>
      </c>
      <c r="O56" s="181">
        <f t="shared" si="8"/>
        <v>49738</v>
      </c>
      <c r="P56" s="230"/>
      <c r="Q56" s="229"/>
      <c r="R56" s="229"/>
      <c r="S56" s="228"/>
      <c r="T56" s="226"/>
      <c r="U56" s="229"/>
      <c r="V56" s="229"/>
      <c r="W56" s="228"/>
      <c r="X56" s="226"/>
      <c r="Y56" s="229"/>
      <c r="Z56" s="229"/>
      <c r="AA56" s="228"/>
      <c r="AB56" s="226"/>
      <c r="AC56" s="229"/>
      <c r="AD56" s="229"/>
      <c r="AE56" s="228"/>
      <c r="AF56" s="226"/>
      <c r="AG56" s="229"/>
      <c r="AH56" s="229"/>
      <c r="AI56" s="228"/>
      <c r="AJ56" s="226"/>
      <c r="AK56" s="229"/>
      <c r="AL56" s="229"/>
      <c r="AM56" s="228"/>
      <c r="AN56" s="226">
        <f>+IF($O56&gt;H$8,"FIN",(H$19-SUM(AO$25:AO55))*VLOOKUP($O56,$A:$N,8,0)/VLOOKUP(H$15,$K$1:$M$4,2,0))</f>
        <v>37.945170930340929</v>
      </c>
      <c r="AO56" s="229">
        <f t="shared" si="59"/>
        <v>252.96780620227273</v>
      </c>
      <c r="AP56" s="229">
        <f t="shared" si="22"/>
        <v>290.91297713261366</v>
      </c>
      <c r="AQ56" s="228">
        <f t="shared" si="60"/>
        <v>66.401283613658705</v>
      </c>
      <c r="AR56" s="226">
        <f>+IF($O56&gt;I$8,"FIN",(I$19-SUM(AS$25:AS55))*VLOOKUP($O56,$A:$N,9,0)/VLOOKUP(I$15,$K$1:$M$4,2,0))</f>
        <v>33.476191472417035</v>
      </c>
      <c r="AS56" s="229">
        <f t="shared" si="61"/>
        <v>262.55836448954545</v>
      </c>
      <c r="AT56" s="229">
        <f t="shared" si="24"/>
        <v>296.0345559619625</v>
      </c>
      <c r="AU56" s="228">
        <f t="shared" si="62"/>
        <v>67.570290963379904</v>
      </c>
      <c r="AV56" s="226">
        <f>+IF($O56&gt;J$8,"FIN",(J$19-SUM(AW$25:AW55))*VLOOKUP($O56,$A:$N,10,0)/VLOOKUP(J$15,$K$1:$M$4,2,0))</f>
        <v>56.344153549821449</v>
      </c>
      <c r="AW56" s="229">
        <f t="shared" si="63"/>
        <v>192.62958478571429</v>
      </c>
      <c r="AX56" s="229">
        <f t="shared" si="26"/>
        <v>248.97373833553573</v>
      </c>
      <c r="AY56" s="228">
        <f t="shared" si="64"/>
        <v>56.82859518513164</v>
      </c>
      <c r="AZ56" s="226">
        <f>+IF($O56&gt;K$8,"FIN",(K$19-SUM(BA$25:BA55))*VLOOKUP($O56,$A:$N,11,0)/VLOOKUP(K$15,$K$1:$M$4,2,0))</f>
        <v>62.42036558785712</v>
      </c>
      <c r="BA56" s="229">
        <f t="shared" si="65"/>
        <v>231.18653921428569</v>
      </c>
      <c r="BB56" s="229">
        <f t="shared" si="28"/>
        <v>293.60690480214282</v>
      </c>
      <c r="BC56" s="228">
        <f t="shared" si="66"/>
        <v>67.01617627668881</v>
      </c>
      <c r="BD56" s="226">
        <f>+IF($O56&gt;L$8,"FIN",(L$19-SUM(BE$25:BE55))*VLOOKUP($O56,$A:$N,12,0)/VLOOKUP(L$15,$K$1:$M$4,2,0))</f>
        <v>0</v>
      </c>
      <c r="BE56" s="229">
        <f t="shared" si="67"/>
        <v>0</v>
      </c>
      <c r="BF56" s="229">
        <f t="shared" si="30"/>
        <v>0</v>
      </c>
      <c r="BG56" s="228">
        <f t="shared" si="68"/>
        <v>0</v>
      </c>
      <c r="BH56" s="226">
        <f>+IF($O56&gt;M$8,"FIN",(M$19-SUM(BI$25:BI55))*VLOOKUP($O56,$A:$N,13,0)/VLOOKUP(M$15,$K$1:$M$4,2,0))</f>
        <v>0</v>
      </c>
      <c r="BI56" s="229">
        <f t="shared" si="69"/>
        <v>0</v>
      </c>
      <c r="BJ56" s="229">
        <f t="shared" si="32"/>
        <v>0</v>
      </c>
      <c r="BK56" s="228">
        <f t="shared" si="70"/>
        <v>0</v>
      </c>
      <c r="BL56" s="218"/>
      <c r="BM56" s="226">
        <f t="shared" si="33"/>
        <v>202.15946740510518</v>
      </c>
      <c r="BN56" s="223">
        <f t="shared" si="33"/>
        <v>1000.9909834557386</v>
      </c>
      <c r="BO56" s="227">
        <f t="shared" si="4"/>
        <v>1203.1504508608439</v>
      </c>
      <c r="BP56" s="217">
        <f t="shared" si="34"/>
        <v>15.5</v>
      </c>
      <c r="BQ56" s="222">
        <f t="shared" si="5"/>
        <v>15515.360243563948</v>
      </c>
    </row>
    <row r="57" spans="1:69" s="20" customFormat="1" x14ac:dyDescent="0.25">
      <c r="A57" s="180">
        <f t="shared" si="6"/>
        <v>49922</v>
      </c>
      <c r="B57" s="181"/>
      <c r="C57" s="193"/>
      <c r="D57" s="191"/>
      <c r="E57" s="191"/>
      <c r="F57" s="191"/>
      <c r="G57" s="191"/>
      <c r="H57" s="191">
        <v>0.05</v>
      </c>
      <c r="I57" s="191">
        <v>4.2500000000000003E-2</v>
      </c>
      <c r="J57" s="191">
        <v>4.8750000000000002E-2</v>
      </c>
      <c r="K57" s="191">
        <v>4.4999999999999998E-2</v>
      </c>
      <c r="L57" s="191">
        <v>0.05</v>
      </c>
      <c r="M57" s="192">
        <v>4.1250000000000002E-2</v>
      </c>
      <c r="N57" s="20">
        <f t="shared" si="7"/>
        <v>2036</v>
      </c>
      <c r="O57" s="181">
        <f t="shared" si="8"/>
        <v>49922</v>
      </c>
      <c r="P57" s="230"/>
      <c r="Q57" s="229"/>
      <c r="R57" s="229"/>
      <c r="S57" s="228"/>
      <c r="T57" s="226"/>
      <c r="U57" s="229"/>
      <c r="V57" s="229"/>
      <c r="W57" s="228"/>
      <c r="X57" s="226"/>
      <c r="Y57" s="229"/>
      <c r="Z57" s="229"/>
      <c r="AA57" s="228"/>
      <c r="AB57" s="226"/>
      <c r="AC57" s="229"/>
      <c r="AD57" s="229"/>
      <c r="AE57" s="228"/>
      <c r="AF57" s="226"/>
      <c r="AG57" s="229"/>
      <c r="AH57" s="229"/>
      <c r="AI57" s="228"/>
      <c r="AJ57" s="226"/>
      <c r="AK57" s="229"/>
      <c r="AL57" s="229"/>
      <c r="AM57" s="228"/>
      <c r="AN57" s="226">
        <f>+IF($O57&gt;H$8,"FIN",(H$19-SUM(AO$25:AO56))*VLOOKUP($O57,$A:$N,8,0)/VLOOKUP(H$15,$K$1:$M$4,2,0))</f>
        <v>31.620975775284116</v>
      </c>
      <c r="AO57" s="229">
        <f t="shared" si="59"/>
        <v>252.96780620227273</v>
      </c>
      <c r="AP57" s="229">
        <f t="shared" si="22"/>
        <v>284.58878197755683</v>
      </c>
      <c r="AQ57" s="228">
        <f t="shared" si="60"/>
        <v>61.93481067734669</v>
      </c>
      <c r="AR57" s="226">
        <f>+IF($O57&gt;I$8,"FIN",(I$19-SUM(AS$25:AS56))*VLOOKUP($O57,$A:$N,9,0)/VLOOKUP(I$15,$K$1:$M$4,2,0))</f>
        <v>27.896826227014202</v>
      </c>
      <c r="AS57" s="229">
        <f t="shared" si="61"/>
        <v>262.55836448954545</v>
      </c>
      <c r="AT57" s="229">
        <f t="shared" si="24"/>
        <v>290.45519071655963</v>
      </c>
      <c r="AU57" s="228">
        <f t="shared" si="62"/>
        <v>63.211512141407646</v>
      </c>
      <c r="AV57" s="226">
        <f>+IF($O57&gt;J$8,"FIN",(J$19-SUM(AW$25:AW56))*VLOOKUP($O57,$A:$N,10,0)/VLOOKUP(J$15,$K$1:$M$4,2,0))</f>
        <v>51.648807420669669</v>
      </c>
      <c r="AW57" s="229">
        <f t="shared" si="63"/>
        <v>192.62958478571429</v>
      </c>
      <c r="AX57" s="229">
        <f t="shared" si="26"/>
        <v>244.27839220638396</v>
      </c>
      <c r="AY57" s="228">
        <f t="shared" si="64"/>
        <v>53.162095388082292</v>
      </c>
      <c r="AZ57" s="226">
        <f>+IF($O57&gt;K$8,"FIN",(K$19-SUM(BA$25:BA56))*VLOOKUP($O57,$A:$N,11,0)/VLOOKUP(K$15,$K$1:$M$4,2,0))</f>
        <v>57.218668455535685</v>
      </c>
      <c r="BA57" s="229">
        <f t="shared" si="65"/>
        <v>231.18653921428569</v>
      </c>
      <c r="BB57" s="229">
        <f t="shared" si="28"/>
        <v>288.40520766982138</v>
      </c>
      <c r="BC57" s="228">
        <f t="shared" si="66"/>
        <v>62.765376102561547</v>
      </c>
      <c r="BD57" s="226">
        <f>+IF($O57&gt;L$8,"FIN",(L$19-SUM(BE$25:BE56))*VLOOKUP($O57,$A:$N,12,0)/VLOOKUP(L$15,$K$1:$M$4,2,0))</f>
        <v>0</v>
      </c>
      <c r="BE57" s="229">
        <f t="shared" si="67"/>
        <v>0</v>
      </c>
      <c r="BF57" s="229">
        <f t="shared" si="30"/>
        <v>0</v>
      </c>
      <c r="BG57" s="228">
        <f t="shared" si="68"/>
        <v>0</v>
      </c>
      <c r="BH57" s="226">
        <f>+IF($O57&gt;M$8,"FIN",(M$19-SUM(BI$25:BI56))*VLOOKUP($O57,$A:$N,13,0)/VLOOKUP(M$15,$K$1:$M$4,2,0))</f>
        <v>0</v>
      </c>
      <c r="BI57" s="229">
        <f t="shared" si="69"/>
        <v>0</v>
      </c>
      <c r="BJ57" s="229">
        <f t="shared" si="32"/>
        <v>0</v>
      </c>
      <c r="BK57" s="228">
        <f t="shared" si="70"/>
        <v>0</v>
      </c>
      <c r="BL57" s="218"/>
      <c r="BM57" s="226">
        <f t="shared" si="33"/>
        <v>179.01274684336647</v>
      </c>
      <c r="BN57" s="223">
        <f t="shared" si="33"/>
        <v>1000.9909834557386</v>
      </c>
      <c r="BO57" s="227">
        <f t="shared" si="4"/>
        <v>1180.003730299105</v>
      </c>
      <c r="BP57" s="217">
        <f t="shared" si="34"/>
        <v>16</v>
      </c>
      <c r="BQ57" s="222">
        <f t="shared" si="5"/>
        <v>16015.855735291818</v>
      </c>
    </row>
    <row r="58" spans="1:69" s="20" customFormat="1" x14ac:dyDescent="0.25">
      <c r="A58" s="180">
        <f t="shared" si="6"/>
        <v>50103</v>
      </c>
      <c r="B58" s="181"/>
      <c r="C58" s="193"/>
      <c r="D58" s="191"/>
      <c r="E58" s="191"/>
      <c r="F58" s="191"/>
      <c r="G58" s="191"/>
      <c r="H58" s="191">
        <v>0.05</v>
      </c>
      <c r="I58" s="191">
        <v>4.2500000000000003E-2</v>
      </c>
      <c r="J58" s="191">
        <v>4.8750000000000002E-2</v>
      </c>
      <c r="K58" s="191">
        <v>4.4999999999999998E-2</v>
      </c>
      <c r="L58" s="191">
        <v>0.05</v>
      </c>
      <c r="M58" s="192">
        <v>4.1250000000000002E-2</v>
      </c>
      <c r="N58" s="20">
        <f t="shared" si="7"/>
        <v>2037</v>
      </c>
      <c r="O58" s="181">
        <f t="shared" si="8"/>
        <v>50103</v>
      </c>
      <c r="P58" s="230"/>
      <c r="Q58" s="229"/>
      <c r="R58" s="229"/>
      <c r="S58" s="228"/>
      <c r="T58" s="226"/>
      <c r="U58" s="229"/>
      <c r="V58" s="229"/>
      <c r="W58" s="228"/>
      <c r="X58" s="226"/>
      <c r="Y58" s="229"/>
      <c r="Z58" s="229"/>
      <c r="AA58" s="228"/>
      <c r="AB58" s="226"/>
      <c r="AC58" s="229"/>
      <c r="AD58" s="229"/>
      <c r="AE58" s="228"/>
      <c r="AF58" s="226"/>
      <c r="AG58" s="229"/>
      <c r="AH58" s="229"/>
      <c r="AI58" s="228"/>
      <c r="AJ58" s="226"/>
      <c r="AK58" s="229"/>
      <c r="AL58" s="229"/>
      <c r="AM58" s="228"/>
      <c r="AN58" s="226">
        <f>+IF($O58&gt;H$8,"FIN",(H$19-SUM(AO$25:AO57))*VLOOKUP($O58,$A:$N,8,0)/VLOOKUP(H$15,$K$1:$M$4,2,0))</f>
        <v>25.296780620227288</v>
      </c>
      <c r="AO58" s="229">
        <f t="shared" si="59"/>
        <v>252.96780620227273</v>
      </c>
      <c r="AP58" s="229">
        <f t="shared" si="22"/>
        <v>278.26458682250001</v>
      </c>
      <c r="AQ58" s="228">
        <f t="shared" si="60"/>
        <v>57.740246620572783</v>
      </c>
      <c r="AR58" s="226">
        <f>+IF($O58&gt;I$8,"FIN",(I$19-SUM(AS$25:AS57))*VLOOKUP($O58,$A:$N,9,0)/VLOOKUP(I$15,$K$1:$M$4,2,0))</f>
        <v>22.317460981611369</v>
      </c>
      <c r="AS58" s="229">
        <f t="shared" si="61"/>
        <v>262.55836448954545</v>
      </c>
      <c r="AT58" s="229">
        <f t="shared" si="24"/>
        <v>284.87582547115682</v>
      </c>
      <c r="AU58" s="228">
        <f t="shared" si="62"/>
        <v>59.112086833515185</v>
      </c>
      <c r="AV58" s="226">
        <f>+IF($O58&gt;J$8,"FIN",(J$19-SUM(AW$25:AW57))*VLOOKUP($O58,$A:$N,10,0)/VLOOKUP(J$15,$K$1:$M$4,2,0))</f>
        <v>46.95346129151789</v>
      </c>
      <c r="AW58" s="229">
        <f t="shared" si="63"/>
        <v>192.62958478571429</v>
      </c>
      <c r="AX58" s="229">
        <f t="shared" si="26"/>
        <v>239.58304607723218</v>
      </c>
      <c r="AY58" s="228">
        <f t="shared" si="64"/>
        <v>49.713778977673634</v>
      </c>
      <c r="AZ58" s="226">
        <f>+IF($O58&gt;K$8,"FIN",(K$19-SUM(BA$25:BA57))*VLOOKUP($O58,$A:$N,11,0)/VLOOKUP(K$15,$K$1:$M$4,2,0))</f>
        <v>52.016971323214257</v>
      </c>
      <c r="BA58" s="229">
        <f t="shared" si="65"/>
        <v>231.18653921428569</v>
      </c>
      <c r="BB58" s="229">
        <f t="shared" si="28"/>
        <v>283.20351053749994</v>
      </c>
      <c r="BC58" s="228">
        <f t="shared" si="66"/>
        <v>58.765079412271859</v>
      </c>
      <c r="BD58" s="226">
        <f>+IF($O58&gt;L$8,"FIN",(L$19-SUM(BE$25:BE57))*VLOOKUP($O58,$A:$N,12,0)/VLOOKUP(L$15,$K$1:$M$4,2,0))</f>
        <v>0</v>
      </c>
      <c r="BE58" s="229">
        <f t="shared" si="67"/>
        <v>0</v>
      </c>
      <c r="BF58" s="229">
        <f t="shared" si="30"/>
        <v>0</v>
      </c>
      <c r="BG58" s="228">
        <f t="shared" si="68"/>
        <v>0</v>
      </c>
      <c r="BH58" s="226">
        <f>+IF($O58&gt;M$8,"FIN",(M$19-SUM(BI$25:BI57))*VLOOKUP($O58,$A:$N,13,0)/VLOOKUP(M$15,$K$1:$M$4,2,0))</f>
        <v>0</v>
      </c>
      <c r="BI58" s="229">
        <f t="shared" si="69"/>
        <v>0</v>
      </c>
      <c r="BJ58" s="229">
        <f t="shared" si="32"/>
        <v>0</v>
      </c>
      <c r="BK58" s="228">
        <f t="shared" si="70"/>
        <v>0</v>
      </c>
      <c r="BL58" s="218"/>
      <c r="BM58" s="226">
        <f t="shared" si="33"/>
        <v>155.86602628162777</v>
      </c>
      <c r="BN58" s="223">
        <f t="shared" si="33"/>
        <v>1000.9909834557386</v>
      </c>
      <c r="BO58" s="227">
        <f t="shared" si="4"/>
        <v>1156.8570097373663</v>
      </c>
      <c r="BP58" s="217">
        <f t="shared" si="34"/>
        <v>16.5</v>
      </c>
      <c r="BQ58" s="222">
        <f t="shared" si="5"/>
        <v>16516.351227019688</v>
      </c>
    </row>
    <row r="59" spans="1:69" s="20" customFormat="1" x14ac:dyDescent="0.25">
      <c r="A59" s="180">
        <f t="shared" si="6"/>
        <v>50287</v>
      </c>
      <c r="B59" s="181"/>
      <c r="C59" s="193"/>
      <c r="D59" s="191"/>
      <c r="E59" s="191"/>
      <c r="F59" s="191"/>
      <c r="G59" s="191"/>
      <c r="H59" s="191">
        <v>0.05</v>
      </c>
      <c r="I59" s="191">
        <v>4.2500000000000003E-2</v>
      </c>
      <c r="J59" s="191">
        <v>4.8750000000000002E-2</v>
      </c>
      <c r="K59" s="191">
        <v>4.4999999999999998E-2</v>
      </c>
      <c r="L59" s="191">
        <v>0.05</v>
      </c>
      <c r="M59" s="192">
        <v>4.1250000000000002E-2</v>
      </c>
      <c r="N59" s="20">
        <f t="shared" si="7"/>
        <v>2037</v>
      </c>
      <c r="O59" s="181">
        <f t="shared" si="8"/>
        <v>50287</v>
      </c>
      <c r="P59" s="230"/>
      <c r="Q59" s="229"/>
      <c r="R59" s="229"/>
      <c r="S59" s="228"/>
      <c r="T59" s="226"/>
      <c r="U59" s="229"/>
      <c r="V59" s="229"/>
      <c r="W59" s="228"/>
      <c r="X59" s="226"/>
      <c r="Y59" s="229"/>
      <c r="Z59" s="229"/>
      <c r="AA59" s="228"/>
      <c r="AB59" s="226"/>
      <c r="AC59" s="229"/>
      <c r="AD59" s="229"/>
      <c r="AE59" s="228"/>
      <c r="AF59" s="226"/>
      <c r="AG59" s="229"/>
      <c r="AH59" s="229"/>
      <c r="AI59" s="228"/>
      <c r="AJ59" s="226"/>
      <c r="AK59" s="229"/>
      <c r="AL59" s="229"/>
      <c r="AM59" s="228"/>
      <c r="AN59" s="226">
        <f>+IF($O59&gt;H$8,"FIN",(H$19-SUM(AO$25:AO58))*VLOOKUP($O59,$A:$N,8,0)/VLOOKUP(H$15,$K$1:$M$4,2,0))</f>
        <v>18.972585465170461</v>
      </c>
      <c r="AO59" s="229">
        <f t="shared" si="59"/>
        <v>252.96780620227273</v>
      </c>
      <c r="AP59" s="229">
        <f t="shared" si="22"/>
        <v>271.94039166744318</v>
      </c>
      <c r="AQ59" s="228">
        <f t="shared" si="60"/>
        <v>53.801956750018334</v>
      </c>
      <c r="AR59" s="226">
        <f>+IF($O59&gt;I$8,"FIN",(I$19-SUM(AS$25:AS58))*VLOOKUP($O59,$A:$N,9,0)/VLOOKUP(I$15,$K$1:$M$4,2,0))</f>
        <v>16.738095736208535</v>
      </c>
      <c r="AS59" s="229">
        <f t="shared" si="61"/>
        <v>262.55836448954545</v>
      </c>
      <c r="AT59" s="229">
        <f t="shared" si="24"/>
        <v>279.296460225754</v>
      </c>
      <c r="AU59" s="228">
        <f t="shared" si="62"/>
        <v>55.25731569834403</v>
      </c>
      <c r="AV59" s="226">
        <f>+IF($O59&gt;J$8,"FIN",(J$19-SUM(AW$25:AW58))*VLOOKUP($O59,$A:$N,10,0)/VLOOKUP(J$15,$K$1:$M$4,2,0))</f>
        <v>42.25811516236611</v>
      </c>
      <c r="AW59" s="229">
        <f t="shared" si="63"/>
        <v>192.62958478571429</v>
      </c>
      <c r="AX59" s="229">
        <f t="shared" si="26"/>
        <v>234.88769994808041</v>
      </c>
      <c r="AY59" s="228">
        <f t="shared" si="64"/>
        <v>46.471279224942229</v>
      </c>
      <c r="AZ59" s="226">
        <f>+IF($O59&gt;K$8,"FIN",(K$19-SUM(BA$25:BA58))*VLOOKUP($O59,$A:$N,11,0)/VLOOKUP(K$15,$K$1:$M$4,2,0))</f>
        <v>46.815274190892836</v>
      </c>
      <c r="BA59" s="229">
        <f t="shared" si="65"/>
        <v>231.18653921428569</v>
      </c>
      <c r="BB59" s="229">
        <f t="shared" si="28"/>
        <v>278.0018134051785</v>
      </c>
      <c r="BC59" s="228">
        <f t="shared" si="66"/>
        <v>55.001176726784657</v>
      </c>
      <c r="BD59" s="226">
        <f>+IF($O59&gt;L$8,"FIN",(L$19-SUM(BE$25:BE58))*VLOOKUP($O59,$A:$N,12,0)/VLOOKUP(L$15,$K$1:$M$4,2,0))</f>
        <v>0</v>
      </c>
      <c r="BE59" s="229">
        <f t="shared" si="67"/>
        <v>0</v>
      </c>
      <c r="BF59" s="229">
        <f t="shared" si="30"/>
        <v>0</v>
      </c>
      <c r="BG59" s="228">
        <f t="shared" si="68"/>
        <v>0</v>
      </c>
      <c r="BH59" s="226">
        <f>+IF($O59&gt;M$8,"FIN",(M$19-SUM(BI$25:BI58))*VLOOKUP($O59,$A:$N,13,0)/VLOOKUP(M$15,$K$1:$M$4,2,0))</f>
        <v>0</v>
      </c>
      <c r="BI59" s="229">
        <f t="shared" si="69"/>
        <v>0</v>
      </c>
      <c r="BJ59" s="229">
        <f t="shared" si="32"/>
        <v>0</v>
      </c>
      <c r="BK59" s="228">
        <f t="shared" si="70"/>
        <v>0</v>
      </c>
      <c r="BL59" s="218"/>
      <c r="BM59" s="226">
        <f t="shared" si="33"/>
        <v>132.71930571988906</v>
      </c>
      <c r="BN59" s="223">
        <f t="shared" si="33"/>
        <v>1000.9909834557386</v>
      </c>
      <c r="BO59" s="227">
        <f t="shared" si="4"/>
        <v>1133.7102891756276</v>
      </c>
      <c r="BP59" s="217">
        <f t="shared" si="34"/>
        <v>17</v>
      </c>
      <c r="BQ59" s="222">
        <f t="shared" si="5"/>
        <v>17016.846718747558</v>
      </c>
    </row>
    <row r="60" spans="1:69" s="20" customFormat="1" x14ac:dyDescent="0.25">
      <c r="A60" s="180">
        <f t="shared" si="6"/>
        <v>50468</v>
      </c>
      <c r="B60" s="181"/>
      <c r="C60" s="193"/>
      <c r="D60" s="191"/>
      <c r="E60" s="191"/>
      <c r="F60" s="191"/>
      <c r="G60" s="191"/>
      <c r="H60" s="191">
        <v>0.05</v>
      </c>
      <c r="I60" s="191">
        <v>4.2500000000000003E-2</v>
      </c>
      <c r="J60" s="191">
        <v>4.8750000000000002E-2</v>
      </c>
      <c r="K60" s="191">
        <v>4.4999999999999998E-2</v>
      </c>
      <c r="L60" s="191">
        <v>0.05</v>
      </c>
      <c r="M60" s="192">
        <v>4.1250000000000002E-2</v>
      </c>
      <c r="N60" s="20">
        <f t="shared" si="7"/>
        <v>2038</v>
      </c>
      <c r="O60" s="181">
        <f t="shared" si="8"/>
        <v>50468</v>
      </c>
      <c r="P60" s="230"/>
      <c r="Q60" s="229"/>
      <c r="R60" s="229"/>
      <c r="S60" s="228"/>
      <c r="T60" s="226"/>
      <c r="U60" s="229"/>
      <c r="V60" s="229"/>
      <c r="W60" s="228"/>
      <c r="X60" s="226"/>
      <c r="Y60" s="229"/>
      <c r="Z60" s="229"/>
      <c r="AA60" s="228"/>
      <c r="AB60" s="226"/>
      <c r="AC60" s="229"/>
      <c r="AD60" s="229"/>
      <c r="AE60" s="228"/>
      <c r="AF60" s="226"/>
      <c r="AG60" s="229"/>
      <c r="AH60" s="229"/>
      <c r="AI60" s="228"/>
      <c r="AJ60" s="226"/>
      <c r="AK60" s="229"/>
      <c r="AL60" s="229"/>
      <c r="AM60" s="228"/>
      <c r="AN60" s="226">
        <f>+IF($O60&gt;H$8,"FIN",(H$19-SUM(AO$25:AO59))*VLOOKUP($O60,$A:$N,8,0)/VLOOKUP(H$15,$K$1:$M$4,2,0))</f>
        <v>12.648390310113633</v>
      </c>
      <c r="AO60" s="229">
        <f t="shared" si="59"/>
        <v>252.96780620227273</v>
      </c>
      <c r="AP60" s="229">
        <f t="shared" si="22"/>
        <v>265.61619651238635</v>
      </c>
      <c r="AQ60" s="228">
        <f t="shared" si="60"/>
        <v>50.105172687273893</v>
      </c>
      <c r="AR60" s="226">
        <f>+IF($O60&gt;I$8,"FIN",(I$19-SUM(AS$25:AS59))*VLOOKUP($O60,$A:$N,9,0)/VLOOKUP(I$15,$K$1:$M$4,2,0))</f>
        <v>11.158730490805704</v>
      </c>
      <c r="AS60" s="229">
        <f t="shared" si="61"/>
        <v>262.55836448954545</v>
      </c>
      <c r="AT60" s="229">
        <f t="shared" si="24"/>
        <v>273.71709498035113</v>
      </c>
      <c r="AU60" s="228">
        <f t="shared" si="62"/>
        <v>51.633305843267337</v>
      </c>
      <c r="AV60" s="226">
        <f>+IF($O60&gt;J$8,"FIN",(J$19-SUM(AW$25:AW59))*VLOOKUP($O60,$A:$N,10,0)/VLOOKUP(J$15,$K$1:$M$4,2,0))</f>
        <v>37.562769033214323</v>
      </c>
      <c r="AW60" s="229">
        <f t="shared" si="63"/>
        <v>192.62958478571429</v>
      </c>
      <c r="AX60" s="229">
        <f t="shared" si="26"/>
        <v>230.19235381892861</v>
      </c>
      <c r="AY60" s="228">
        <f t="shared" si="64"/>
        <v>43.422907905578789</v>
      </c>
      <c r="AZ60" s="226">
        <f>+IF($O60&gt;K$8,"FIN",(K$19-SUM(BA$25:BA59))*VLOOKUP($O60,$A:$N,11,0)/VLOOKUP(K$15,$K$1:$M$4,2,0))</f>
        <v>41.613577058571416</v>
      </c>
      <c r="BA60" s="229">
        <f t="shared" si="65"/>
        <v>231.18653921428569</v>
      </c>
      <c r="BB60" s="229">
        <f t="shared" si="28"/>
        <v>272.80011627285711</v>
      </c>
      <c r="BC60" s="228">
        <f t="shared" si="66"/>
        <v>51.46032928124734</v>
      </c>
      <c r="BD60" s="226">
        <f>+IF($O60&gt;L$8,"FIN",(L$19-SUM(BE$25:BE59))*VLOOKUP($O60,$A:$N,12,0)/VLOOKUP(L$15,$K$1:$M$4,2,0))</f>
        <v>0</v>
      </c>
      <c r="BE60" s="229">
        <f t="shared" si="67"/>
        <v>0</v>
      </c>
      <c r="BF60" s="229">
        <f t="shared" si="30"/>
        <v>0</v>
      </c>
      <c r="BG60" s="228">
        <f t="shared" si="68"/>
        <v>0</v>
      </c>
      <c r="BH60" s="226">
        <f>+IF($O60&gt;M$8,"FIN",(M$19-SUM(BI$25:BI59))*VLOOKUP($O60,$A:$N,13,0)/VLOOKUP(M$15,$K$1:$M$4,2,0))</f>
        <v>0</v>
      </c>
      <c r="BI60" s="229">
        <f t="shared" si="69"/>
        <v>0</v>
      </c>
      <c r="BJ60" s="229">
        <f t="shared" si="32"/>
        <v>0</v>
      </c>
      <c r="BK60" s="228">
        <f t="shared" si="70"/>
        <v>0</v>
      </c>
      <c r="BL60" s="218"/>
      <c r="BM60" s="226">
        <f t="shared" si="33"/>
        <v>109.57258515815036</v>
      </c>
      <c r="BN60" s="223">
        <f t="shared" si="33"/>
        <v>1000.9909834557386</v>
      </c>
      <c r="BO60" s="227">
        <f t="shared" si="4"/>
        <v>1110.5635686138889</v>
      </c>
      <c r="BP60" s="217">
        <f t="shared" si="34"/>
        <v>17.5</v>
      </c>
      <c r="BQ60" s="222">
        <f t="shared" si="5"/>
        <v>17517.342210475425</v>
      </c>
    </row>
    <row r="61" spans="1:69" s="20" customFormat="1" x14ac:dyDescent="0.25">
      <c r="A61" s="180">
        <f t="shared" si="6"/>
        <v>50652</v>
      </c>
      <c r="B61" s="181"/>
      <c r="C61" s="193"/>
      <c r="D61" s="191"/>
      <c r="E61" s="191"/>
      <c r="F61" s="191"/>
      <c r="G61" s="191"/>
      <c r="H61" s="191">
        <v>0.05</v>
      </c>
      <c r="I61" s="191">
        <v>4.2500000000000003E-2</v>
      </c>
      <c r="J61" s="191">
        <v>4.8750000000000002E-2</v>
      </c>
      <c r="K61" s="191">
        <v>4.4999999999999998E-2</v>
      </c>
      <c r="L61" s="191">
        <v>0.05</v>
      </c>
      <c r="M61" s="192">
        <v>4.1250000000000002E-2</v>
      </c>
      <c r="N61" s="20">
        <f t="shared" si="7"/>
        <v>2038</v>
      </c>
      <c r="O61" s="181">
        <f t="shared" si="8"/>
        <v>50652</v>
      </c>
      <c r="P61" s="230"/>
      <c r="Q61" s="229"/>
      <c r="R61" s="229"/>
      <c r="S61" s="228"/>
      <c r="T61" s="226"/>
      <c r="U61" s="229"/>
      <c r="V61" s="229"/>
      <c r="W61" s="228"/>
      <c r="X61" s="226"/>
      <c r="Y61" s="229"/>
      <c r="Z61" s="229"/>
      <c r="AA61" s="228"/>
      <c r="AB61" s="226"/>
      <c r="AC61" s="229"/>
      <c r="AD61" s="229"/>
      <c r="AE61" s="228"/>
      <c r="AF61" s="226"/>
      <c r="AG61" s="229"/>
      <c r="AH61" s="229"/>
      <c r="AI61" s="228"/>
      <c r="AJ61" s="226"/>
      <c r="AK61" s="229"/>
      <c r="AL61" s="229"/>
      <c r="AM61" s="228"/>
      <c r="AN61" s="226">
        <f>+IF($O61&gt;H$8,"FIN",(H$19-SUM(AO$25:AO60))*VLOOKUP($O61,$A:$N,8,0)/VLOOKUP(H$15,$K$1:$M$4,2,0))</f>
        <v>6.3241951550568052</v>
      </c>
      <c r="AO61" s="229">
        <f t="shared" si="59"/>
        <v>252.96780620227273</v>
      </c>
      <c r="AP61" s="229">
        <f t="shared" si="22"/>
        <v>259.29200135732953</v>
      </c>
      <c r="AQ61" s="228">
        <f t="shared" si="60"/>
        <v>46.635945597267472</v>
      </c>
      <c r="AR61" s="226">
        <f>+IF($O61&gt;I$8,"FIN",(I$19-SUM(AS$25:AS60))*VLOOKUP($O61,$A:$N,9,0)/VLOOKUP(I$15,$K$1:$M$4,2,0))</f>
        <v>5.5793652454028715</v>
      </c>
      <c r="AS61" s="229">
        <f t="shared" si="61"/>
        <v>262.55836448954545</v>
      </c>
      <c r="AT61" s="229">
        <f t="shared" si="24"/>
        <v>268.13772973494832</v>
      </c>
      <c r="AU61" s="228">
        <f t="shared" si="62"/>
        <v>48.226927599131578</v>
      </c>
      <c r="AV61" s="226">
        <f>+IF($O61&gt;J$8,"FIN",(J$19-SUM(AW$25:AW60))*VLOOKUP($O61,$A:$N,10,0)/VLOOKUP(J$15,$K$1:$M$4,2,0))</f>
        <v>32.867422904062543</v>
      </c>
      <c r="AW61" s="229">
        <f t="shared" si="63"/>
        <v>192.62958478571429</v>
      </c>
      <c r="AX61" s="229">
        <f t="shared" si="26"/>
        <v>225.49700768977684</v>
      </c>
      <c r="AY61" s="228">
        <f t="shared" si="64"/>
        <v>40.557618931231907</v>
      </c>
      <c r="AZ61" s="226">
        <f>+IF($O61&gt;K$8,"FIN",(K$19-SUM(BA$25:BA60))*VLOOKUP($O61,$A:$N,11,0)/VLOOKUP(K$15,$K$1:$M$4,2,0))</f>
        <v>36.411879926249988</v>
      </c>
      <c r="BA61" s="229">
        <f t="shared" si="65"/>
        <v>231.18653921428569</v>
      </c>
      <c r="BB61" s="229">
        <f t="shared" si="28"/>
        <v>267.59841914053567</v>
      </c>
      <c r="BC61" s="228">
        <f t="shared" si="66"/>
        <v>48.129927848235305</v>
      </c>
      <c r="BD61" s="226">
        <f>+IF($O61&gt;L$8,"FIN",(L$19-SUM(BE$25:BE60))*VLOOKUP($O61,$A:$N,12,0)/VLOOKUP(L$15,$K$1:$M$4,2,0))</f>
        <v>0</v>
      </c>
      <c r="BE61" s="229">
        <f t="shared" si="67"/>
        <v>0</v>
      </c>
      <c r="BF61" s="229">
        <f t="shared" si="30"/>
        <v>0</v>
      </c>
      <c r="BG61" s="228">
        <f t="shared" si="68"/>
        <v>0</v>
      </c>
      <c r="BH61" s="226">
        <f>+IF($O61&gt;M$8,"FIN",(M$19-SUM(BI$25:BI60))*VLOOKUP($O61,$A:$N,13,0)/VLOOKUP(M$15,$K$1:$M$4,2,0))</f>
        <v>0</v>
      </c>
      <c r="BI61" s="229">
        <f t="shared" si="69"/>
        <v>0</v>
      </c>
      <c r="BJ61" s="229">
        <f t="shared" si="32"/>
        <v>0</v>
      </c>
      <c r="BK61" s="228">
        <f t="shared" si="70"/>
        <v>0</v>
      </c>
      <c r="BL61" s="218"/>
      <c r="BM61" s="226">
        <f t="shared" si="33"/>
        <v>86.425864596411657</v>
      </c>
      <c r="BN61" s="223">
        <f t="shared" si="33"/>
        <v>1000.9909834557386</v>
      </c>
      <c r="BO61" s="227">
        <f t="shared" si="4"/>
        <v>1087.4168480521503</v>
      </c>
      <c r="BP61" s="217">
        <f t="shared" si="34"/>
        <v>18</v>
      </c>
      <c r="BQ61" s="222">
        <f t="shared" si="5"/>
        <v>18017.837702203295</v>
      </c>
    </row>
    <row r="62" spans="1:69" s="20" customFormat="1" x14ac:dyDescent="0.25">
      <c r="A62" s="180">
        <f t="shared" si="6"/>
        <v>50833</v>
      </c>
      <c r="B62" s="181"/>
      <c r="C62" s="193"/>
      <c r="D62" s="194"/>
      <c r="E62" s="194"/>
      <c r="F62" s="194"/>
      <c r="G62" s="194"/>
      <c r="H62" s="191"/>
      <c r="I62" s="191"/>
      <c r="J62" s="191">
        <v>4.8750000000000002E-2</v>
      </c>
      <c r="K62" s="191">
        <v>4.4999999999999998E-2</v>
      </c>
      <c r="L62" s="191">
        <v>0.05</v>
      </c>
      <c r="M62" s="192">
        <v>4.1250000000000002E-2</v>
      </c>
      <c r="N62" s="20">
        <f t="shared" si="7"/>
        <v>2039</v>
      </c>
      <c r="O62" s="181">
        <f t="shared" si="8"/>
        <v>50833</v>
      </c>
      <c r="P62" s="230"/>
      <c r="Q62" s="229"/>
      <c r="R62" s="229"/>
      <c r="S62" s="228"/>
      <c r="T62" s="226"/>
      <c r="U62" s="229"/>
      <c r="V62" s="229"/>
      <c r="W62" s="228"/>
      <c r="X62" s="226"/>
      <c r="Y62" s="229"/>
      <c r="Z62" s="229"/>
      <c r="AA62" s="228"/>
      <c r="AB62" s="226"/>
      <c r="AC62" s="229"/>
      <c r="AD62" s="229"/>
      <c r="AE62" s="228"/>
      <c r="AF62" s="226"/>
      <c r="AG62" s="229"/>
      <c r="AH62" s="229"/>
      <c r="AI62" s="228"/>
      <c r="AJ62" s="226"/>
      <c r="AK62" s="229"/>
      <c r="AL62" s="229"/>
      <c r="AM62" s="228"/>
      <c r="AN62" s="226"/>
      <c r="AO62" s="229"/>
      <c r="AP62" s="229"/>
      <c r="AQ62" s="228"/>
      <c r="AR62" s="226"/>
      <c r="AS62" s="229"/>
      <c r="AT62" s="229"/>
      <c r="AU62" s="228"/>
      <c r="AV62" s="226">
        <f>+IF($O62&gt;J$8,"FIN",(J$19-SUM(AW$25:AW61))*VLOOKUP($O62,$A:$N,10,0)/VLOOKUP(J$15,$K$1:$M$4,2,0))</f>
        <v>28.172076774910753</v>
      </c>
      <c r="AW62" s="229">
        <f t="shared" si="63"/>
        <v>192.62958478571429</v>
      </c>
      <c r="AX62" s="229">
        <f t="shared" si="26"/>
        <v>220.80166156062504</v>
      </c>
      <c r="AY62" s="228">
        <f t="shared" si="64"/>
        <v>37.864973896363395</v>
      </c>
      <c r="AZ62" s="226">
        <f>+IF($O62&gt;K$8,"FIN",(K$19-SUM(BA$25:BA61))*VLOOKUP($O62,$A:$N,11,0)/VLOOKUP(K$15,$K$1:$M$4,2,0))</f>
        <v>31.210182793928571</v>
      </c>
      <c r="BA62" s="229">
        <f t="shared" si="65"/>
        <v>231.18653921428569</v>
      </c>
      <c r="BB62" s="229">
        <f t="shared" si="28"/>
        <v>262.39672200821428</v>
      </c>
      <c r="BC62" s="228">
        <f t="shared" si="66"/>
        <v>44.998053724357263</v>
      </c>
      <c r="BD62" s="226">
        <f>+IF($O62&gt;L$8,"FIN",(L$19-SUM(BE$25:BE61))*VLOOKUP($O62,$A:$N,12,0)/VLOOKUP(L$15,$K$1:$M$4,2,0))</f>
        <v>0</v>
      </c>
      <c r="BE62" s="229">
        <f t="shared" si="67"/>
        <v>0</v>
      </c>
      <c r="BF62" s="229">
        <f t="shared" si="30"/>
        <v>0</v>
      </c>
      <c r="BG62" s="228">
        <f t="shared" si="68"/>
        <v>0</v>
      </c>
      <c r="BH62" s="226">
        <f>+IF($O62&gt;M$8,"FIN",(M$19-SUM(BI$25:BI61))*VLOOKUP($O62,$A:$N,13,0)/VLOOKUP(M$15,$K$1:$M$4,2,0))</f>
        <v>0</v>
      </c>
      <c r="BI62" s="229">
        <f t="shared" si="69"/>
        <v>0</v>
      </c>
      <c r="BJ62" s="229">
        <f t="shared" si="32"/>
        <v>0</v>
      </c>
      <c r="BK62" s="228">
        <f t="shared" si="70"/>
        <v>0</v>
      </c>
      <c r="BL62" s="218"/>
      <c r="BM62" s="226">
        <f t="shared" si="33"/>
        <v>63.279144034672925</v>
      </c>
      <c r="BN62" s="223">
        <f t="shared" si="33"/>
        <v>452.68193485802669</v>
      </c>
      <c r="BO62" s="227">
        <f t="shared" si="4"/>
        <v>515.96107889269956</v>
      </c>
      <c r="BP62" s="217">
        <f t="shared" si="34"/>
        <v>18.5</v>
      </c>
      <c r="BQ62" s="222">
        <f t="shared" si="5"/>
        <v>8374.6157948734945</v>
      </c>
    </row>
    <row r="63" spans="1:69" s="20" customFormat="1" x14ac:dyDescent="0.25">
      <c r="A63" s="180">
        <f t="shared" si="6"/>
        <v>51017</v>
      </c>
      <c r="B63" s="181"/>
      <c r="C63" s="193"/>
      <c r="D63" s="194"/>
      <c r="E63" s="194"/>
      <c r="F63" s="194"/>
      <c r="G63" s="194"/>
      <c r="H63" s="191"/>
      <c r="I63" s="191"/>
      <c r="J63" s="191">
        <v>4.8750000000000002E-2</v>
      </c>
      <c r="K63" s="191">
        <v>4.4999999999999998E-2</v>
      </c>
      <c r="L63" s="191">
        <v>0.05</v>
      </c>
      <c r="M63" s="192">
        <v>4.1250000000000002E-2</v>
      </c>
      <c r="N63" s="20">
        <f t="shared" si="7"/>
        <v>2039</v>
      </c>
      <c r="O63" s="181">
        <f t="shared" si="8"/>
        <v>51017</v>
      </c>
      <c r="P63" s="230"/>
      <c r="Q63" s="229"/>
      <c r="R63" s="229"/>
      <c r="S63" s="228"/>
      <c r="T63" s="226"/>
      <c r="U63" s="229"/>
      <c r="V63" s="229"/>
      <c r="W63" s="228"/>
      <c r="X63" s="226"/>
      <c r="Y63" s="229"/>
      <c r="Z63" s="229"/>
      <c r="AA63" s="228"/>
      <c r="AB63" s="226"/>
      <c r="AC63" s="229"/>
      <c r="AD63" s="229"/>
      <c r="AE63" s="228"/>
      <c r="AF63" s="226"/>
      <c r="AG63" s="229"/>
      <c r="AH63" s="229"/>
      <c r="AI63" s="228"/>
      <c r="AJ63" s="226"/>
      <c r="AK63" s="229"/>
      <c r="AL63" s="229"/>
      <c r="AM63" s="228"/>
      <c r="AN63" s="226"/>
      <c r="AO63" s="229"/>
      <c r="AP63" s="229"/>
      <c r="AQ63" s="228"/>
      <c r="AR63" s="226"/>
      <c r="AS63" s="229"/>
      <c r="AT63" s="229"/>
      <c r="AU63" s="228"/>
      <c r="AV63" s="226">
        <f>+IF($O63&gt;J$8,"FIN",(J$19-SUM(AW$25:AW62))*VLOOKUP($O63,$A:$N,10,0)/VLOOKUP(J$15,$K$1:$M$4,2,0))</f>
        <v>23.476730645758959</v>
      </c>
      <c r="AW63" s="229">
        <f t="shared" si="63"/>
        <v>192.62958478571429</v>
      </c>
      <c r="AX63" s="229">
        <f t="shared" si="26"/>
        <v>216.10631543147323</v>
      </c>
      <c r="AY63" s="228">
        <f t="shared" si="64"/>
        <v>35.335109441130534</v>
      </c>
      <c r="AZ63" s="226">
        <f>+IF($O63&gt;K$8,"FIN",(K$19-SUM(BA$25:BA62))*VLOOKUP($O63,$A:$N,11,0)/VLOOKUP(K$15,$K$1:$M$4,2,0))</f>
        <v>26.008485661607146</v>
      </c>
      <c r="BA63" s="229">
        <f t="shared" si="65"/>
        <v>231.18653921428569</v>
      </c>
      <c r="BB63" s="229">
        <f t="shared" si="28"/>
        <v>257.19502487589284</v>
      </c>
      <c r="BC63" s="228">
        <f t="shared" si="66"/>
        <v>42.053441768043797</v>
      </c>
      <c r="BD63" s="226">
        <f>+IF($O63&gt;L$8,"FIN",(L$19-SUM(BE$25:BE62))*VLOOKUP($O63,$A:$N,12,0)/VLOOKUP(L$15,$K$1:$M$4,2,0))</f>
        <v>0</v>
      </c>
      <c r="BE63" s="229">
        <f t="shared" si="67"/>
        <v>0</v>
      </c>
      <c r="BF63" s="229">
        <f t="shared" si="30"/>
        <v>0</v>
      </c>
      <c r="BG63" s="228">
        <f t="shared" si="68"/>
        <v>0</v>
      </c>
      <c r="BH63" s="226">
        <f>+IF($O63&gt;M$8,"FIN",(M$19-SUM(BI$25:BI62))*VLOOKUP($O63,$A:$N,13,0)/VLOOKUP(M$15,$K$1:$M$4,2,0))</f>
        <v>0</v>
      </c>
      <c r="BI63" s="229">
        <f t="shared" si="69"/>
        <v>0</v>
      </c>
      <c r="BJ63" s="229">
        <f t="shared" si="32"/>
        <v>0</v>
      </c>
      <c r="BK63" s="228">
        <f t="shared" si="70"/>
        <v>0</v>
      </c>
      <c r="BL63" s="218"/>
      <c r="BM63" s="226">
        <f t="shared" si="33"/>
        <v>52.732620028894104</v>
      </c>
      <c r="BN63" s="223">
        <f t="shared" si="33"/>
        <v>452.68193485802669</v>
      </c>
      <c r="BO63" s="227">
        <f t="shared" si="4"/>
        <v>505.41455488692077</v>
      </c>
      <c r="BP63" s="217">
        <f t="shared" si="34"/>
        <v>19</v>
      </c>
      <c r="BQ63" s="222">
        <f t="shared" si="5"/>
        <v>8600.9567623025068</v>
      </c>
    </row>
    <row r="64" spans="1:69" s="20" customFormat="1" x14ac:dyDescent="0.25">
      <c r="A64" s="180">
        <f t="shared" si="6"/>
        <v>51199</v>
      </c>
      <c r="B64" s="181"/>
      <c r="C64" s="193"/>
      <c r="D64" s="194"/>
      <c r="E64" s="194"/>
      <c r="F64" s="194"/>
      <c r="G64" s="194"/>
      <c r="H64" s="191"/>
      <c r="I64" s="191"/>
      <c r="J64" s="191">
        <v>4.8750000000000002E-2</v>
      </c>
      <c r="K64" s="191">
        <v>4.4999999999999998E-2</v>
      </c>
      <c r="L64" s="191">
        <v>0.05</v>
      </c>
      <c r="M64" s="192">
        <v>4.1250000000000002E-2</v>
      </c>
      <c r="N64" s="20">
        <f t="shared" si="7"/>
        <v>2040</v>
      </c>
      <c r="O64" s="181">
        <f t="shared" si="8"/>
        <v>51199</v>
      </c>
      <c r="P64" s="230"/>
      <c r="Q64" s="229"/>
      <c r="R64" s="229"/>
      <c r="S64" s="228"/>
      <c r="T64" s="226"/>
      <c r="U64" s="229"/>
      <c r="V64" s="229"/>
      <c r="W64" s="228"/>
      <c r="X64" s="226"/>
      <c r="Y64" s="229"/>
      <c r="Z64" s="229"/>
      <c r="AA64" s="228"/>
      <c r="AB64" s="226"/>
      <c r="AC64" s="229"/>
      <c r="AD64" s="229"/>
      <c r="AE64" s="228"/>
      <c r="AF64" s="229"/>
      <c r="AG64" s="229"/>
      <c r="AH64" s="229"/>
      <c r="AI64" s="228"/>
      <c r="AJ64" s="229"/>
      <c r="AK64" s="229"/>
      <c r="AL64" s="229"/>
      <c r="AM64" s="228"/>
      <c r="AN64" s="226"/>
      <c r="AO64" s="229"/>
      <c r="AP64" s="229"/>
      <c r="AQ64" s="228"/>
      <c r="AR64" s="226"/>
      <c r="AS64" s="229"/>
      <c r="AT64" s="229"/>
      <c r="AU64" s="228"/>
      <c r="AV64" s="226">
        <f>+IF($O64&gt;J$8,"FIN",(J$19-SUM(AW$25:AW63))*VLOOKUP($O64,$A:$N,10,0)/VLOOKUP(J$15,$K$1:$M$4,2,0))</f>
        <v>18.781384516607169</v>
      </c>
      <c r="AW64" s="229">
        <f t="shared" si="63"/>
        <v>192.62958478571429</v>
      </c>
      <c r="AX64" s="229">
        <f t="shared" si="26"/>
        <v>211.41096930232146</v>
      </c>
      <c r="AY64" s="228">
        <f>AX64/(1+$B$5)^(YEARFRAC($O$25,$O64))</f>
        <v>32.958706335884855</v>
      </c>
      <c r="AZ64" s="226">
        <f>+IF($O64&gt;K$8,"FIN",(K$19-SUM(BA$25:BA63))*VLOOKUP($O64,$A:$N,11,0)/VLOOKUP(K$15,$K$1:$M$4,2,0))</f>
        <v>20.806788529285726</v>
      </c>
      <c r="BA64" s="229">
        <f t="shared" si="65"/>
        <v>231.18653921428569</v>
      </c>
      <c r="BB64" s="229">
        <f t="shared" si="28"/>
        <v>251.9933277435714</v>
      </c>
      <c r="BC64" s="228">
        <f>BB64/(1+$B$5)^(YEARFRAC($O$25,$O64))</f>
        <v>39.28544538209804</v>
      </c>
      <c r="BD64" s="226">
        <f>+IF($O64&gt;L$8,"FIN",(L$19-SUM(BE$25:BE63))*VLOOKUP($O64,$A:$N,12,0)/VLOOKUP(L$15,$K$1:$M$4,2,0))</f>
        <v>0</v>
      </c>
      <c r="BE64" s="229">
        <f t="shared" si="67"/>
        <v>0</v>
      </c>
      <c r="BF64" s="229">
        <f t="shared" si="30"/>
        <v>0</v>
      </c>
      <c r="BG64" s="228">
        <f>BF64/(1+$B$5)^(YEARFRAC($O$25,$O64))</f>
        <v>0</v>
      </c>
      <c r="BH64" s="226">
        <f>+IF($O64&gt;M$8,"FIN",(M$19-SUM(BI$25:BI63))*VLOOKUP($O64,$A:$N,13,0)/VLOOKUP(M$15,$K$1:$M$4,2,0))</f>
        <v>0</v>
      </c>
      <c r="BI64" s="229">
        <f t="shared" si="69"/>
        <v>0</v>
      </c>
      <c r="BJ64" s="229">
        <f t="shared" si="32"/>
        <v>0</v>
      </c>
      <c r="BK64" s="228">
        <f>BJ64/(1+$B$5)^(YEARFRAC($O$25,$O64))</f>
        <v>0</v>
      </c>
      <c r="BL64" s="218"/>
      <c r="BM64" s="226">
        <f t="shared" si="33"/>
        <v>42.186096023115297</v>
      </c>
      <c r="BN64" s="223">
        <f t="shared" si="33"/>
        <v>452.68193485802669</v>
      </c>
      <c r="BO64" s="227">
        <f t="shared" si="4"/>
        <v>494.86803088114198</v>
      </c>
      <c r="BP64" s="217">
        <f t="shared" si="34"/>
        <v>19.5</v>
      </c>
      <c r="BQ64" s="222">
        <f t="shared" si="5"/>
        <v>8827.297729731521</v>
      </c>
    </row>
    <row r="65" spans="1:69" s="20" customFormat="1" x14ac:dyDescent="0.25">
      <c r="A65" s="180">
        <f t="shared" si="6"/>
        <v>51383</v>
      </c>
      <c r="B65" s="181"/>
      <c r="C65" s="193"/>
      <c r="D65" s="194"/>
      <c r="E65" s="194"/>
      <c r="F65" s="194"/>
      <c r="G65" s="194"/>
      <c r="H65" s="191"/>
      <c r="I65" s="191"/>
      <c r="J65" s="191">
        <v>4.8750000000000002E-2</v>
      </c>
      <c r="K65" s="191">
        <v>4.4999999999999998E-2</v>
      </c>
      <c r="L65" s="191">
        <v>0.05</v>
      </c>
      <c r="M65" s="192">
        <v>4.1250000000000002E-2</v>
      </c>
      <c r="N65" s="20">
        <f t="shared" si="7"/>
        <v>2040</v>
      </c>
      <c r="O65" s="181">
        <f t="shared" si="8"/>
        <v>51383</v>
      </c>
      <c r="P65" s="230"/>
      <c r="Q65" s="229"/>
      <c r="R65" s="229"/>
      <c r="S65" s="228"/>
      <c r="T65" s="226"/>
      <c r="U65" s="229"/>
      <c r="V65" s="229"/>
      <c r="W65" s="228"/>
      <c r="X65" s="226"/>
      <c r="Y65" s="229"/>
      <c r="Z65" s="229"/>
      <c r="AA65" s="228"/>
      <c r="AB65" s="226"/>
      <c r="AC65" s="229"/>
      <c r="AD65" s="229"/>
      <c r="AE65" s="228"/>
      <c r="AF65" s="229"/>
      <c r="AG65" s="229"/>
      <c r="AH65" s="229"/>
      <c r="AI65" s="228"/>
      <c r="AJ65" s="229"/>
      <c r="AK65" s="229"/>
      <c r="AL65" s="229"/>
      <c r="AM65" s="228"/>
      <c r="AN65" s="226"/>
      <c r="AO65" s="229"/>
      <c r="AP65" s="229"/>
      <c r="AQ65" s="228"/>
      <c r="AR65" s="226"/>
      <c r="AS65" s="229"/>
      <c r="AT65" s="229"/>
      <c r="AU65" s="228"/>
      <c r="AV65" s="226">
        <f>+IF($O65&gt;J$8,"FIN",(J$19-SUM(AW$25:AW64))*VLOOKUP($O65,$A:$N,10,0)/VLOOKUP(J$15,$K$1:$M$4,2,0))</f>
        <v>14.086038387455377</v>
      </c>
      <c r="AW65" s="229">
        <f t="shared" si="63"/>
        <v>192.62958478571429</v>
      </c>
      <c r="AX65" s="229">
        <f t="shared" si="26"/>
        <v>206.71562317316966</v>
      </c>
      <c r="AY65" s="228">
        <f t="shared" si="64"/>
        <v>30.726960197731646</v>
      </c>
      <c r="AZ65" s="226">
        <f>+IF($O65&gt;K$8,"FIN",(K$19-SUM(BA$25:BA64))*VLOOKUP($O65,$A:$N,11,0)/VLOOKUP(K$15,$K$1:$M$4,2,0))</f>
        <v>15.605091396964305</v>
      </c>
      <c r="BA65" s="229">
        <f t="shared" si="65"/>
        <v>231.18653921428569</v>
      </c>
      <c r="BB65" s="229">
        <f t="shared" si="28"/>
        <v>246.79163061124999</v>
      </c>
      <c r="BC65" s="228">
        <f t="shared" si="66"/>
        <v>36.684003340050467</v>
      </c>
      <c r="BD65" s="226">
        <f>+IF($O65&gt;L$8,"FIN",(L$19-SUM(BE$25:BE64))*VLOOKUP($O65,$A:$N,12,0)/VLOOKUP(L$15,$K$1:$M$4,2,0))</f>
        <v>0</v>
      </c>
      <c r="BE65" s="229">
        <f t="shared" si="67"/>
        <v>0</v>
      </c>
      <c r="BF65" s="229">
        <f t="shared" si="30"/>
        <v>0</v>
      </c>
      <c r="BG65" s="228">
        <f t="shared" si="68"/>
        <v>0</v>
      </c>
      <c r="BH65" s="226">
        <f>+IF($O65&gt;M$8,"FIN",(M$19-SUM(BI$25:BI64))*VLOOKUP($O65,$A:$N,13,0)/VLOOKUP(M$15,$K$1:$M$4,2,0))</f>
        <v>0</v>
      </c>
      <c r="BI65" s="229">
        <f t="shared" si="69"/>
        <v>0</v>
      </c>
      <c r="BJ65" s="229">
        <f t="shared" si="32"/>
        <v>0</v>
      </c>
      <c r="BK65" s="228">
        <f t="shared" si="70"/>
        <v>0</v>
      </c>
      <c r="BL65" s="218"/>
      <c r="BM65" s="226">
        <f t="shared" si="33"/>
        <v>31.639572017336484</v>
      </c>
      <c r="BN65" s="223">
        <f t="shared" si="33"/>
        <v>452.68193485802669</v>
      </c>
      <c r="BO65" s="227">
        <f t="shared" si="4"/>
        <v>484.32150687536318</v>
      </c>
      <c r="BP65" s="217">
        <f t="shared" si="34"/>
        <v>20</v>
      </c>
      <c r="BQ65" s="222">
        <f t="shared" si="5"/>
        <v>9053.6386971605334</v>
      </c>
    </row>
    <row r="66" spans="1:69" s="20" customFormat="1" x14ac:dyDescent="0.25">
      <c r="A66" s="180">
        <f t="shared" si="6"/>
        <v>51564</v>
      </c>
      <c r="B66" s="181"/>
      <c r="C66" s="193"/>
      <c r="D66" s="194"/>
      <c r="E66" s="194"/>
      <c r="F66" s="194"/>
      <c r="G66" s="194"/>
      <c r="H66" s="194"/>
      <c r="I66" s="191"/>
      <c r="J66" s="191">
        <v>4.8750000000000002E-2</v>
      </c>
      <c r="K66" s="191">
        <v>4.4999999999999998E-2</v>
      </c>
      <c r="L66" s="191">
        <v>0.05</v>
      </c>
      <c r="M66" s="192">
        <v>4.1250000000000002E-2</v>
      </c>
      <c r="N66" s="20">
        <f t="shared" si="7"/>
        <v>2041</v>
      </c>
      <c r="O66" s="181">
        <f t="shared" si="8"/>
        <v>51564</v>
      </c>
      <c r="P66" s="230"/>
      <c r="Q66" s="229"/>
      <c r="R66" s="229"/>
      <c r="S66" s="228"/>
      <c r="T66" s="226"/>
      <c r="U66" s="229"/>
      <c r="V66" s="229"/>
      <c r="W66" s="228"/>
      <c r="X66" s="226"/>
      <c r="Y66" s="229"/>
      <c r="Z66" s="229"/>
      <c r="AA66" s="228"/>
      <c r="AB66" s="226"/>
      <c r="AC66" s="229"/>
      <c r="AD66" s="229"/>
      <c r="AE66" s="228"/>
      <c r="AF66" s="229"/>
      <c r="AG66" s="229"/>
      <c r="AH66" s="229"/>
      <c r="AI66" s="228"/>
      <c r="AJ66" s="229"/>
      <c r="AK66" s="229"/>
      <c r="AL66" s="229"/>
      <c r="AM66" s="228"/>
      <c r="AN66" s="229"/>
      <c r="AO66" s="229"/>
      <c r="AP66" s="229"/>
      <c r="AQ66" s="228"/>
      <c r="AR66" s="229"/>
      <c r="AS66" s="229"/>
      <c r="AT66" s="229"/>
      <c r="AU66" s="228"/>
      <c r="AV66" s="226">
        <f>+IF($O66&gt;J$8,"FIN",(J$19-SUM(AW$25:AW65))*VLOOKUP($O66,$A:$N,10,0)/VLOOKUP(J$15,$K$1:$M$4,2,0))</f>
        <v>9.3906922583035843</v>
      </c>
      <c r="AW66" s="229">
        <f t="shared" si="63"/>
        <v>192.62958478571429</v>
      </c>
      <c r="AX66" s="229">
        <f t="shared" si="26"/>
        <v>202.02027704401786</v>
      </c>
      <c r="AY66" s="228">
        <f t="shared" si="64"/>
        <v>28.631553754201068</v>
      </c>
      <c r="AZ66" s="226">
        <f>+IF($O66&gt;K$8,"FIN",(K$19-SUM(BA$25:BA65))*VLOOKUP($O66,$A:$N,11,0)/VLOOKUP(K$15,$K$1:$M$4,2,0))</f>
        <v>10.403394264642884</v>
      </c>
      <c r="BA66" s="229">
        <f t="shared" si="65"/>
        <v>231.18653921428569</v>
      </c>
      <c r="BB66" s="229">
        <f t="shared" si="28"/>
        <v>241.58993347892857</v>
      </c>
      <c r="BC66" s="228">
        <f t="shared" si="66"/>
        <v>34.239608360544175</v>
      </c>
      <c r="BD66" s="226">
        <f>+IF($O66&gt;L$8,"FIN",(L$19-SUM(BE$25:BE65))*VLOOKUP($O66,$A:$N,12,0)/VLOOKUP(L$15,$K$1:$M$4,2,0))</f>
        <v>0</v>
      </c>
      <c r="BE66" s="229">
        <f t="shared" si="67"/>
        <v>0</v>
      </c>
      <c r="BF66" s="229">
        <f t="shared" si="30"/>
        <v>0</v>
      </c>
      <c r="BG66" s="228">
        <f t="shared" si="68"/>
        <v>0</v>
      </c>
      <c r="BH66" s="226">
        <f>+IF($O66&gt;M$8,"FIN",(M$19-SUM(BI$25:BI65))*VLOOKUP($O66,$A:$N,13,0)/VLOOKUP(M$15,$K$1:$M$4,2,0))</f>
        <v>0</v>
      </c>
      <c r="BI66" s="229">
        <f t="shared" si="69"/>
        <v>0</v>
      </c>
      <c r="BJ66" s="229">
        <f t="shared" si="32"/>
        <v>0</v>
      </c>
      <c r="BK66" s="228">
        <f t="shared" si="70"/>
        <v>0</v>
      </c>
      <c r="BL66" s="218"/>
      <c r="BM66" s="226">
        <f t="shared" si="33"/>
        <v>21.09304801155767</v>
      </c>
      <c r="BN66" s="223">
        <f t="shared" si="33"/>
        <v>452.68193485802669</v>
      </c>
      <c r="BO66" s="227">
        <f t="shared" si="4"/>
        <v>473.77498286958439</v>
      </c>
      <c r="BP66" s="217">
        <f t="shared" si="34"/>
        <v>20.5</v>
      </c>
      <c r="BQ66" s="222">
        <f t="shared" si="5"/>
        <v>9279.9796645895476</v>
      </c>
    </row>
    <row r="67" spans="1:69" s="20" customFormat="1" x14ac:dyDescent="0.25">
      <c r="A67" s="180">
        <f t="shared" si="6"/>
        <v>51748</v>
      </c>
      <c r="B67" s="181"/>
      <c r="C67" s="193"/>
      <c r="D67" s="194"/>
      <c r="E67" s="194"/>
      <c r="F67" s="194"/>
      <c r="G67" s="194"/>
      <c r="H67" s="194"/>
      <c r="I67" s="191"/>
      <c r="J67" s="191">
        <v>4.8750000000000002E-2</v>
      </c>
      <c r="K67" s="191">
        <v>4.4999999999999998E-2</v>
      </c>
      <c r="L67" s="191">
        <v>0.05</v>
      </c>
      <c r="M67" s="192">
        <v>4.1250000000000002E-2</v>
      </c>
      <c r="N67" s="20">
        <f t="shared" si="7"/>
        <v>2041</v>
      </c>
      <c r="O67" s="181">
        <f t="shared" si="8"/>
        <v>51748</v>
      </c>
      <c r="P67" s="230"/>
      <c r="Q67" s="229"/>
      <c r="R67" s="229"/>
      <c r="S67" s="228"/>
      <c r="T67" s="226"/>
      <c r="U67" s="229"/>
      <c r="V67" s="229"/>
      <c r="W67" s="228"/>
      <c r="X67" s="226"/>
      <c r="Y67" s="229"/>
      <c r="Z67" s="229"/>
      <c r="AA67" s="228"/>
      <c r="AB67" s="226"/>
      <c r="AC67" s="229"/>
      <c r="AD67" s="229"/>
      <c r="AE67" s="228"/>
      <c r="AF67" s="229"/>
      <c r="AG67" s="229"/>
      <c r="AH67" s="229"/>
      <c r="AI67" s="228"/>
      <c r="AJ67" s="229"/>
      <c r="AK67" s="229"/>
      <c r="AL67" s="229"/>
      <c r="AM67" s="228"/>
      <c r="AN67" s="229"/>
      <c r="AO67" s="229"/>
      <c r="AP67" s="229"/>
      <c r="AQ67" s="228"/>
      <c r="AR67" s="229"/>
      <c r="AS67" s="229"/>
      <c r="AT67" s="229"/>
      <c r="AU67" s="228"/>
      <c r="AV67" s="226">
        <f>+IF($O67&gt;J$8,"FIN",(J$19-SUM(AW$25:AW66))*VLOOKUP($O67,$A:$N,10,0)/VLOOKUP(J$15,$K$1:$M$4,2,0))</f>
        <v>4.6953461291517922</v>
      </c>
      <c r="AW67" s="229">
        <f t="shared" si="63"/>
        <v>192.62958478571429</v>
      </c>
      <c r="AX67" s="229">
        <f t="shared" si="26"/>
        <v>197.32493091486609</v>
      </c>
      <c r="AY67" s="228">
        <f t="shared" si="64"/>
        <v>26.664630573453785</v>
      </c>
      <c r="AZ67" s="226">
        <f>+IF($O67&gt;K$8,"FIN",(K$19-SUM(BA$25:BA66))*VLOOKUP($O67,$A:$N,11,0)/VLOOKUP(K$15,$K$1:$M$4,2,0))</f>
        <v>5.2016971323214625</v>
      </c>
      <c r="BA67" s="229">
        <f t="shared" si="65"/>
        <v>231.18653921428569</v>
      </c>
      <c r="BB67" s="229">
        <f t="shared" si="28"/>
        <v>236.38823634660716</v>
      </c>
      <c r="BC67" s="228">
        <f t="shared" si="66"/>
        <v>31.943277338898532</v>
      </c>
      <c r="BD67" s="226">
        <f>+IF($O67&gt;L$8,"FIN",(L$19-SUM(BE$25:BE66))*VLOOKUP($O67,$A:$N,12,0)/VLOOKUP(L$15,$K$1:$M$4,2,0))</f>
        <v>0</v>
      </c>
      <c r="BE67" s="229">
        <f t="shared" si="67"/>
        <v>0</v>
      </c>
      <c r="BF67" s="229">
        <f t="shared" si="30"/>
        <v>0</v>
      </c>
      <c r="BG67" s="228">
        <f t="shared" si="68"/>
        <v>0</v>
      </c>
      <c r="BH67" s="226">
        <f>+IF($O67&gt;M$8,"FIN",(M$19-SUM(BI$25:BI66))*VLOOKUP($O67,$A:$N,13,0)/VLOOKUP(M$15,$K$1:$M$4,2,0))</f>
        <v>0</v>
      </c>
      <c r="BI67" s="229">
        <f t="shared" si="69"/>
        <v>0</v>
      </c>
      <c r="BJ67" s="229">
        <f t="shared" si="32"/>
        <v>0</v>
      </c>
      <c r="BK67" s="228">
        <f t="shared" si="70"/>
        <v>0</v>
      </c>
      <c r="BL67" s="218"/>
      <c r="BM67" s="226">
        <f t="shared" si="33"/>
        <v>10.54652400577886</v>
      </c>
      <c r="BN67" s="223">
        <f t="shared" si="33"/>
        <v>452.68193485802669</v>
      </c>
      <c r="BO67" s="227">
        <f t="shared" si="4"/>
        <v>463.22845886380554</v>
      </c>
      <c r="BP67" s="217">
        <f t="shared" si="34"/>
        <v>21</v>
      </c>
      <c r="BQ67" s="222">
        <f t="shared" si="5"/>
        <v>9506.32063201856</v>
      </c>
    </row>
    <row r="68" spans="1:69" s="20" customFormat="1" x14ac:dyDescent="0.25">
      <c r="A68" s="180">
        <f t="shared" si="6"/>
        <v>51929</v>
      </c>
      <c r="B68" s="181"/>
      <c r="C68" s="193"/>
      <c r="D68" s="194"/>
      <c r="E68" s="194"/>
      <c r="F68" s="194"/>
      <c r="G68" s="194"/>
      <c r="H68" s="194"/>
      <c r="I68" s="191"/>
      <c r="J68" s="191"/>
      <c r="K68" s="191"/>
      <c r="L68" s="191">
        <v>0.05</v>
      </c>
      <c r="M68" s="192">
        <v>4.1250000000000002E-2</v>
      </c>
      <c r="N68" s="20">
        <f t="shared" si="7"/>
        <v>2042</v>
      </c>
      <c r="O68" s="181">
        <f t="shared" si="8"/>
        <v>51929</v>
      </c>
      <c r="P68" s="230"/>
      <c r="Q68" s="229"/>
      <c r="R68" s="229"/>
      <c r="S68" s="228"/>
      <c r="T68" s="226"/>
      <c r="U68" s="229"/>
      <c r="V68" s="229"/>
      <c r="W68" s="228"/>
      <c r="X68" s="226"/>
      <c r="Y68" s="229"/>
      <c r="Z68" s="229"/>
      <c r="AA68" s="228"/>
      <c r="AB68" s="226"/>
      <c r="AC68" s="229"/>
      <c r="AD68" s="229"/>
      <c r="AE68" s="228"/>
      <c r="AF68" s="229"/>
      <c r="AG68" s="229"/>
      <c r="AH68" s="229"/>
      <c r="AI68" s="228"/>
      <c r="AJ68" s="229"/>
      <c r="AK68" s="229"/>
      <c r="AL68" s="229"/>
      <c r="AM68" s="228"/>
      <c r="AN68" s="229"/>
      <c r="AO68" s="229"/>
      <c r="AP68" s="229"/>
      <c r="AQ68" s="228"/>
      <c r="AR68" s="229"/>
      <c r="AS68" s="229"/>
      <c r="AT68" s="229"/>
      <c r="AU68" s="228"/>
      <c r="AV68" s="226"/>
      <c r="AW68" s="229"/>
      <c r="AX68" s="229"/>
      <c r="AY68" s="228"/>
      <c r="AZ68" s="226"/>
      <c r="BA68" s="229"/>
      <c r="BB68" s="229"/>
      <c r="BC68" s="228"/>
      <c r="BD68" s="226">
        <f>+IF($O68&gt;L$8,"FIN",(L$19-SUM(BE$25:BE67))*VLOOKUP($O68,$A:$N,12,0)/VLOOKUP(L$15,$K$1:$M$4,2,0))</f>
        <v>0</v>
      </c>
      <c r="BE68" s="229">
        <f t="shared" si="67"/>
        <v>0</v>
      </c>
      <c r="BF68" s="229">
        <f t="shared" si="30"/>
        <v>0</v>
      </c>
      <c r="BG68" s="228">
        <f t="shared" si="68"/>
        <v>0</v>
      </c>
      <c r="BH68" s="226">
        <f>+IF($O68&gt;M$8,"FIN",(M$19-SUM(BI$25:BI67))*VLOOKUP($O68,$A:$N,13,0)/VLOOKUP(M$15,$K$1:$M$4,2,0))</f>
        <v>0</v>
      </c>
      <c r="BI68" s="229">
        <f t="shared" si="69"/>
        <v>0</v>
      </c>
      <c r="BJ68" s="229">
        <f t="shared" si="32"/>
        <v>0</v>
      </c>
      <c r="BK68" s="228">
        <f t="shared" si="70"/>
        <v>0</v>
      </c>
      <c r="BL68" s="218"/>
      <c r="BM68" s="226">
        <f t="shared" si="33"/>
        <v>0</v>
      </c>
      <c r="BN68" s="223">
        <f t="shared" si="33"/>
        <v>0</v>
      </c>
      <c r="BO68" s="227">
        <f t="shared" si="4"/>
        <v>0</v>
      </c>
      <c r="BP68" s="217">
        <f t="shared" si="34"/>
        <v>21.5</v>
      </c>
      <c r="BQ68" s="222">
        <f t="shared" si="5"/>
        <v>0</v>
      </c>
    </row>
    <row r="69" spans="1:69" s="20" customFormat="1" x14ac:dyDescent="0.25">
      <c r="A69" s="180">
        <f t="shared" si="6"/>
        <v>52113</v>
      </c>
      <c r="B69" s="181"/>
      <c r="C69" s="193"/>
      <c r="D69" s="194"/>
      <c r="E69" s="194"/>
      <c r="F69" s="194"/>
      <c r="G69" s="194"/>
      <c r="H69" s="194"/>
      <c r="I69" s="191"/>
      <c r="J69" s="191"/>
      <c r="K69" s="191"/>
      <c r="L69" s="191">
        <v>0.05</v>
      </c>
      <c r="M69" s="192">
        <v>4.1250000000000002E-2</v>
      </c>
      <c r="N69" s="20">
        <f t="shared" si="7"/>
        <v>2042</v>
      </c>
      <c r="O69" s="181">
        <f t="shared" si="8"/>
        <v>52113</v>
      </c>
      <c r="P69" s="230"/>
      <c r="Q69" s="229"/>
      <c r="R69" s="229"/>
      <c r="S69" s="228"/>
      <c r="T69" s="226"/>
      <c r="U69" s="229"/>
      <c r="V69" s="229"/>
      <c r="W69" s="228"/>
      <c r="X69" s="226"/>
      <c r="Y69" s="229"/>
      <c r="Z69" s="229"/>
      <c r="AA69" s="228"/>
      <c r="AB69" s="226"/>
      <c r="AC69" s="229"/>
      <c r="AD69" s="229"/>
      <c r="AE69" s="228"/>
      <c r="AF69" s="229"/>
      <c r="AG69" s="229"/>
      <c r="AH69" s="229"/>
      <c r="AI69" s="228"/>
      <c r="AJ69" s="229"/>
      <c r="AK69" s="229"/>
      <c r="AL69" s="229"/>
      <c r="AM69" s="228"/>
      <c r="AN69" s="229"/>
      <c r="AO69" s="229"/>
      <c r="AP69" s="229"/>
      <c r="AQ69" s="228"/>
      <c r="AR69" s="229"/>
      <c r="AS69" s="229"/>
      <c r="AT69" s="229"/>
      <c r="AU69" s="228"/>
      <c r="AV69" s="226"/>
      <c r="AW69" s="229"/>
      <c r="AX69" s="229"/>
      <c r="AY69" s="228"/>
      <c r="AZ69" s="226"/>
      <c r="BA69" s="229"/>
      <c r="BB69" s="229"/>
      <c r="BC69" s="228"/>
      <c r="BD69" s="226">
        <f>+IF($O69&gt;L$8,"FIN",(L$19-SUM(BE$25:BE68))*VLOOKUP($O69,$A:$N,12,0)/VLOOKUP(L$15,$K$1:$M$4,2,0))</f>
        <v>0</v>
      </c>
      <c r="BE69" s="229">
        <f t="shared" si="67"/>
        <v>0</v>
      </c>
      <c r="BF69" s="229">
        <f t="shared" si="30"/>
        <v>0</v>
      </c>
      <c r="BG69" s="228">
        <f t="shared" si="68"/>
        <v>0</v>
      </c>
      <c r="BH69" s="226">
        <f>+IF($O69&gt;M$8,"FIN",(M$19-SUM(BI$25:BI68))*VLOOKUP($O69,$A:$N,13,0)/VLOOKUP(M$15,$K$1:$M$4,2,0))</f>
        <v>0</v>
      </c>
      <c r="BI69" s="229">
        <f t="shared" si="69"/>
        <v>0</v>
      </c>
      <c r="BJ69" s="229">
        <f t="shared" si="32"/>
        <v>0</v>
      </c>
      <c r="BK69" s="228">
        <f t="shared" si="70"/>
        <v>0</v>
      </c>
      <c r="BL69" s="218"/>
      <c r="BM69" s="226">
        <f t="shared" si="33"/>
        <v>0</v>
      </c>
      <c r="BN69" s="223">
        <f t="shared" si="33"/>
        <v>0</v>
      </c>
      <c r="BO69" s="227">
        <f t="shared" si="4"/>
        <v>0</v>
      </c>
      <c r="BP69" s="217">
        <f t="shared" si="34"/>
        <v>22</v>
      </c>
      <c r="BQ69" s="222">
        <f t="shared" si="5"/>
        <v>0</v>
      </c>
    </row>
    <row r="70" spans="1:69" s="20" customFormat="1" x14ac:dyDescent="0.25">
      <c r="A70" s="180">
        <f t="shared" si="6"/>
        <v>52294</v>
      </c>
      <c r="B70" s="181"/>
      <c r="C70" s="193"/>
      <c r="D70" s="194"/>
      <c r="E70" s="194"/>
      <c r="F70" s="194"/>
      <c r="G70" s="194"/>
      <c r="H70" s="194"/>
      <c r="I70" s="191"/>
      <c r="J70" s="191"/>
      <c r="K70" s="191"/>
      <c r="L70" s="191">
        <v>0.05</v>
      </c>
      <c r="M70" s="192">
        <v>4.1250000000000002E-2</v>
      </c>
      <c r="N70" s="20">
        <f t="shared" si="7"/>
        <v>2043</v>
      </c>
      <c r="O70" s="181">
        <f t="shared" si="8"/>
        <v>52294</v>
      </c>
      <c r="P70" s="230"/>
      <c r="Q70" s="229"/>
      <c r="R70" s="229"/>
      <c r="S70" s="228"/>
      <c r="T70" s="230"/>
      <c r="U70" s="229"/>
      <c r="V70" s="229"/>
      <c r="W70" s="228"/>
      <c r="X70" s="226"/>
      <c r="Y70" s="229"/>
      <c r="Z70" s="229"/>
      <c r="AA70" s="228"/>
      <c r="AB70" s="226"/>
      <c r="AC70" s="229"/>
      <c r="AD70" s="229"/>
      <c r="AE70" s="228"/>
      <c r="AF70" s="229"/>
      <c r="AG70" s="229"/>
      <c r="AH70" s="229"/>
      <c r="AI70" s="228"/>
      <c r="AJ70" s="229"/>
      <c r="AK70" s="229"/>
      <c r="AL70" s="229"/>
      <c r="AM70" s="228"/>
      <c r="AN70" s="229"/>
      <c r="AO70" s="229"/>
      <c r="AP70" s="229"/>
      <c r="AQ70" s="228"/>
      <c r="AR70" s="229"/>
      <c r="AS70" s="229"/>
      <c r="AT70" s="229"/>
      <c r="AU70" s="228"/>
      <c r="AV70" s="226"/>
      <c r="AW70" s="229"/>
      <c r="AX70" s="229"/>
      <c r="AY70" s="228"/>
      <c r="AZ70" s="226"/>
      <c r="BA70" s="229"/>
      <c r="BB70" s="229"/>
      <c r="BC70" s="228"/>
      <c r="BD70" s="226">
        <f>+IF($O70&gt;L$8,"FIN",(L$19-SUM(BE$25:BE69))*VLOOKUP($O70,$A:$N,12,0)/VLOOKUP(L$15,$K$1:$M$4,2,0))</f>
        <v>0</v>
      </c>
      <c r="BE70" s="229">
        <f t="shared" si="67"/>
        <v>0</v>
      </c>
      <c r="BF70" s="229">
        <f t="shared" si="30"/>
        <v>0</v>
      </c>
      <c r="BG70" s="228">
        <f t="shared" si="68"/>
        <v>0</v>
      </c>
      <c r="BH70" s="226">
        <f>+IF($O70&gt;M$8,"FIN",(M$19-SUM(BI$25:BI69))*VLOOKUP($O70,$A:$N,13,0)/VLOOKUP(M$15,$K$1:$M$4,2,0))</f>
        <v>0</v>
      </c>
      <c r="BI70" s="229">
        <f t="shared" si="69"/>
        <v>0</v>
      </c>
      <c r="BJ70" s="229">
        <f t="shared" si="32"/>
        <v>0</v>
      </c>
      <c r="BK70" s="228">
        <f t="shared" si="70"/>
        <v>0</v>
      </c>
      <c r="BL70" s="218"/>
      <c r="BM70" s="226">
        <f t="shared" si="33"/>
        <v>0</v>
      </c>
      <c r="BN70" s="223">
        <f t="shared" si="33"/>
        <v>0</v>
      </c>
      <c r="BO70" s="227">
        <f t="shared" si="4"/>
        <v>0</v>
      </c>
      <c r="BP70" s="217">
        <f t="shared" si="34"/>
        <v>22.5</v>
      </c>
      <c r="BQ70" s="222">
        <f t="shared" si="5"/>
        <v>0</v>
      </c>
    </row>
    <row r="71" spans="1:69" s="20" customFormat="1" x14ac:dyDescent="0.25">
      <c r="A71" s="180">
        <f t="shared" si="6"/>
        <v>52478</v>
      </c>
      <c r="B71" s="181"/>
      <c r="C71" s="193"/>
      <c r="D71" s="194"/>
      <c r="E71" s="194"/>
      <c r="F71" s="194"/>
      <c r="G71" s="194"/>
      <c r="H71" s="194"/>
      <c r="I71" s="191"/>
      <c r="J71" s="191"/>
      <c r="K71" s="191"/>
      <c r="L71" s="191">
        <v>0.05</v>
      </c>
      <c r="M71" s="192">
        <v>4.1250000000000002E-2</v>
      </c>
      <c r="N71" s="20">
        <f t="shared" si="7"/>
        <v>2043</v>
      </c>
      <c r="O71" s="181">
        <f t="shared" si="8"/>
        <v>52478</v>
      </c>
      <c r="P71" s="230"/>
      <c r="Q71" s="229"/>
      <c r="R71" s="229"/>
      <c r="S71" s="228"/>
      <c r="T71" s="230"/>
      <c r="U71" s="229"/>
      <c r="V71" s="229"/>
      <c r="W71" s="228"/>
      <c r="X71" s="226"/>
      <c r="Y71" s="229"/>
      <c r="Z71" s="229"/>
      <c r="AA71" s="228"/>
      <c r="AB71" s="226"/>
      <c r="AC71" s="229"/>
      <c r="AD71" s="229"/>
      <c r="AE71" s="228"/>
      <c r="AF71" s="229"/>
      <c r="AG71" s="229"/>
      <c r="AH71" s="229"/>
      <c r="AI71" s="228"/>
      <c r="AJ71" s="229"/>
      <c r="AK71" s="229"/>
      <c r="AL71" s="229"/>
      <c r="AM71" s="228"/>
      <c r="AN71" s="229"/>
      <c r="AO71" s="229"/>
      <c r="AP71" s="229"/>
      <c r="AQ71" s="228"/>
      <c r="AR71" s="229"/>
      <c r="AS71" s="229"/>
      <c r="AT71" s="229"/>
      <c r="AU71" s="228"/>
      <c r="AV71" s="226"/>
      <c r="AW71" s="229"/>
      <c r="AX71" s="229"/>
      <c r="AY71" s="228"/>
      <c r="AZ71" s="226"/>
      <c r="BA71" s="229"/>
      <c r="BB71" s="229"/>
      <c r="BC71" s="228"/>
      <c r="BD71" s="226">
        <f>+IF($O71&gt;L$8,"FIN",(L$19-SUM(BE$25:BE70))*VLOOKUP($O71,$A:$N,12,0)/VLOOKUP(L$15,$K$1:$M$4,2,0))</f>
        <v>0</v>
      </c>
      <c r="BE71" s="229">
        <f t="shared" si="67"/>
        <v>0</v>
      </c>
      <c r="BF71" s="229">
        <f t="shared" si="30"/>
        <v>0</v>
      </c>
      <c r="BG71" s="228">
        <f t="shared" si="68"/>
        <v>0</v>
      </c>
      <c r="BH71" s="226">
        <f>+IF($O71&gt;M$8,"FIN",(M$19-SUM(BI$25:BI70))*VLOOKUP($O71,$A:$N,13,0)/VLOOKUP(M$15,$K$1:$M$4,2,0))</f>
        <v>0</v>
      </c>
      <c r="BI71" s="229">
        <f t="shared" si="69"/>
        <v>0</v>
      </c>
      <c r="BJ71" s="229">
        <f t="shared" si="32"/>
        <v>0</v>
      </c>
      <c r="BK71" s="228">
        <f t="shared" si="70"/>
        <v>0</v>
      </c>
      <c r="BL71" s="218"/>
      <c r="BM71" s="226">
        <f t="shared" si="33"/>
        <v>0</v>
      </c>
      <c r="BN71" s="223">
        <f t="shared" si="33"/>
        <v>0</v>
      </c>
      <c r="BO71" s="227">
        <f t="shared" si="4"/>
        <v>0</v>
      </c>
      <c r="BP71" s="217">
        <f t="shared" si="34"/>
        <v>23</v>
      </c>
      <c r="BQ71" s="222">
        <f t="shared" si="5"/>
        <v>0</v>
      </c>
    </row>
    <row r="72" spans="1:69" s="20" customFormat="1" x14ac:dyDescent="0.25">
      <c r="A72" s="180">
        <f t="shared" si="6"/>
        <v>52660</v>
      </c>
      <c r="B72" s="181"/>
      <c r="C72" s="193"/>
      <c r="D72" s="194"/>
      <c r="E72" s="194"/>
      <c r="F72" s="194"/>
      <c r="G72" s="194"/>
      <c r="H72" s="194"/>
      <c r="I72" s="191"/>
      <c r="J72" s="191"/>
      <c r="K72" s="191"/>
      <c r="L72" s="191">
        <v>0.05</v>
      </c>
      <c r="M72" s="192">
        <v>4.1250000000000002E-2</v>
      </c>
      <c r="N72" s="20">
        <f t="shared" si="7"/>
        <v>2044</v>
      </c>
      <c r="O72" s="181">
        <f t="shared" si="8"/>
        <v>52660</v>
      </c>
      <c r="P72" s="230"/>
      <c r="Q72" s="229"/>
      <c r="R72" s="229"/>
      <c r="S72" s="228"/>
      <c r="T72" s="230"/>
      <c r="U72" s="229"/>
      <c r="V72" s="229"/>
      <c r="W72" s="228"/>
      <c r="X72" s="226"/>
      <c r="Y72" s="229"/>
      <c r="Z72" s="229"/>
      <c r="AA72" s="228"/>
      <c r="AB72" s="226"/>
      <c r="AC72" s="229"/>
      <c r="AD72" s="229"/>
      <c r="AE72" s="228"/>
      <c r="AF72" s="229"/>
      <c r="AG72" s="229"/>
      <c r="AH72" s="229"/>
      <c r="AI72" s="228"/>
      <c r="AJ72" s="229"/>
      <c r="AK72" s="229"/>
      <c r="AL72" s="229"/>
      <c r="AM72" s="228"/>
      <c r="AN72" s="229"/>
      <c r="AO72" s="229"/>
      <c r="AP72" s="229"/>
      <c r="AQ72" s="228"/>
      <c r="AR72" s="229"/>
      <c r="AS72" s="229"/>
      <c r="AT72" s="229"/>
      <c r="AU72" s="228"/>
      <c r="AV72" s="226"/>
      <c r="AW72" s="229"/>
      <c r="AX72" s="229"/>
      <c r="AY72" s="228"/>
      <c r="AZ72" s="226"/>
      <c r="BA72" s="229"/>
      <c r="BB72" s="229"/>
      <c r="BC72" s="228"/>
      <c r="BD72" s="226">
        <f>+IF($O72&gt;L$8,"FIN",(L$19-SUM(BE$25:BE71))*VLOOKUP($O72,$A:$N,12,0)/VLOOKUP(L$15,$K$1:$M$4,2,0))</f>
        <v>0</v>
      </c>
      <c r="BE72" s="229">
        <f t="shared" si="67"/>
        <v>0</v>
      </c>
      <c r="BF72" s="229">
        <f t="shared" si="30"/>
        <v>0</v>
      </c>
      <c r="BG72" s="228">
        <f t="shared" si="68"/>
        <v>0</v>
      </c>
      <c r="BH72" s="226">
        <f>+IF($O72&gt;M$8,"FIN",(M$19-SUM(BI$25:BI71))*VLOOKUP($O72,$A:$N,13,0)/VLOOKUP(M$15,$K$1:$M$4,2,0))</f>
        <v>0</v>
      </c>
      <c r="BI72" s="229">
        <f t="shared" si="69"/>
        <v>0</v>
      </c>
      <c r="BJ72" s="229">
        <f t="shared" si="32"/>
        <v>0</v>
      </c>
      <c r="BK72" s="228">
        <f t="shared" si="70"/>
        <v>0</v>
      </c>
      <c r="BL72" s="218"/>
      <c r="BM72" s="226">
        <f t="shared" si="33"/>
        <v>0</v>
      </c>
      <c r="BN72" s="223">
        <f t="shared" si="33"/>
        <v>0</v>
      </c>
      <c r="BO72" s="227">
        <f t="shared" si="4"/>
        <v>0</v>
      </c>
      <c r="BP72" s="217">
        <f t="shared" si="34"/>
        <v>23.5</v>
      </c>
      <c r="BQ72" s="222">
        <f t="shared" si="5"/>
        <v>0</v>
      </c>
    </row>
    <row r="73" spans="1:69" s="20" customFormat="1" x14ac:dyDescent="0.25">
      <c r="A73" s="180">
        <f t="shared" si="6"/>
        <v>52844</v>
      </c>
      <c r="B73" s="181"/>
      <c r="C73" s="193"/>
      <c r="D73" s="194"/>
      <c r="E73" s="194"/>
      <c r="F73" s="194"/>
      <c r="G73" s="194"/>
      <c r="H73" s="194"/>
      <c r="I73" s="191"/>
      <c r="J73" s="194"/>
      <c r="K73" s="194"/>
      <c r="L73" s="191">
        <v>0.05</v>
      </c>
      <c r="M73" s="192">
        <v>4.1250000000000002E-2</v>
      </c>
      <c r="N73" s="20">
        <f t="shared" si="7"/>
        <v>2044</v>
      </c>
      <c r="O73" s="181">
        <f t="shared" si="8"/>
        <v>52844</v>
      </c>
      <c r="P73" s="230"/>
      <c r="Q73" s="229"/>
      <c r="R73" s="229"/>
      <c r="S73" s="228"/>
      <c r="T73" s="230"/>
      <c r="U73" s="229"/>
      <c r="V73" s="229"/>
      <c r="W73" s="228"/>
      <c r="X73" s="226"/>
      <c r="Y73" s="229"/>
      <c r="Z73" s="229"/>
      <c r="AA73" s="228"/>
      <c r="AB73" s="226"/>
      <c r="AC73" s="229"/>
      <c r="AD73" s="229"/>
      <c r="AE73" s="228"/>
      <c r="AF73" s="229"/>
      <c r="AG73" s="229"/>
      <c r="AH73" s="229"/>
      <c r="AI73" s="228"/>
      <c r="AJ73" s="229"/>
      <c r="AK73" s="229"/>
      <c r="AL73" s="229"/>
      <c r="AM73" s="228"/>
      <c r="AN73" s="229"/>
      <c r="AO73" s="229"/>
      <c r="AP73" s="229"/>
      <c r="AQ73" s="228"/>
      <c r="AR73" s="229"/>
      <c r="AS73" s="229"/>
      <c r="AT73" s="229"/>
      <c r="AU73" s="228"/>
      <c r="AV73" s="229"/>
      <c r="AW73" s="229"/>
      <c r="AX73" s="229"/>
      <c r="AY73" s="228"/>
      <c r="AZ73" s="226"/>
      <c r="BA73" s="229"/>
      <c r="BB73" s="229"/>
      <c r="BC73" s="228"/>
      <c r="BD73" s="226">
        <f>+IF($O73&gt;L$8,"FIN",(L$19-SUM(BE$25:BE72))*VLOOKUP($O73,$A:$N,12,0)/VLOOKUP(L$15,$K$1:$M$4,2,0))</f>
        <v>0</v>
      </c>
      <c r="BE73" s="229">
        <f t="shared" si="67"/>
        <v>0</v>
      </c>
      <c r="BF73" s="229">
        <f t="shared" si="30"/>
        <v>0</v>
      </c>
      <c r="BG73" s="228">
        <f t="shared" si="68"/>
        <v>0</v>
      </c>
      <c r="BH73" s="226">
        <f>+IF($O73&gt;M$8,"FIN",(M$19-SUM(BI$25:BI72))*VLOOKUP($O73,$A:$N,13,0)/VLOOKUP(M$15,$K$1:$M$4,2,0))</f>
        <v>0</v>
      </c>
      <c r="BI73" s="229">
        <f t="shared" si="69"/>
        <v>0</v>
      </c>
      <c r="BJ73" s="229">
        <f t="shared" si="32"/>
        <v>0</v>
      </c>
      <c r="BK73" s="228">
        <f t="shared" si="70"/>
        <v>0</v>
      </c>
      <c r="BL73" s="218"/>
      <c r="BM73" s="226">
        <f t="shared" si="33"/>
        <v>0</v>
      </c>
      <c r="BN73" s="223">
        <f t="shared" si="33"/>
        <v>0</v>
      </c>
      <c r="BO73" s="227">
        <f t="shared" si="4"/>
        <v>0</v>
      </c>
      <c r="BP73" s="217">
        <f t="shared" si="34"/>
        <v>24</v>
      </c>
      <c r="BQ73" s="222">
        <f t="shared" si="5"/>
        <v>0</v>
      </c>
    </row>
    <row r="74" spans="1:69" s="20" customFormat="1" x14ac:dyDescent="0.25">
      <c r="A74" s="180">
        <f t="shared" si="6"/>
        <v>53025</v>
      </c>
      <c r="B74" s="181"/>
      <c r="C74" s="193"/>
      <c r="D74" s="194"/>
      <c r="E74" s="194"/>
      <c r="F74" s="194"/>
      <c r="G74" s="194"/>
      <c r="H74" s="194"/>
      <c r="I74" s="191"/>
      <c r="J74" s="194"/>
      <c r="K74" s="194"/>
      <c r="L74" s="191">
        <v>0.05</v>
      </c>
      <c r="M74" s="192">
        <v>4.1250000000000002E-2</v>
      </c>
      <c r="N74" s="20">
        <f t="shared" si="7"/>
        <v>2045</v>
      </c>
      <c r="O74" s="181">
        <f t="shared" si="8"/>
        <v>53025</v>
      </c>
      <c r="P74" s="230"/>
      <c r="Q74" s="229"/>
      <c r="R74" s="229"/>
      <c r="S74" s="228"/>
      <c r="T74" s="230"/>
      <c r="U74" s="229"/>
      <c r="V74" s="229"/>
      <c r="W74" s="228"/>
      <c r="X74" s="226"/>
      <c r="Y74" s="229"/>
      <c r="Z74" s="229"/>
      <c r="AA74" s="228"/>
      <c r="AB74" s="226"/>
      <c r="AC74" s="229"/>
      <c r="AD74" s="229"/>
      <c r="AE74" s="228"/>
      <c r="AF74" s="229"/>
      <c r="AG74" s="229"/>
      <c r="AH74" s="229"/>
      <c r="AI74" s="228"/>
      <c r="AJ74" s="229"/>
      <c r="AK74" s="229"/>
      <c r="AL74" s="229"/>
      <c r="AM74" s="228"/>
      <c r="AN74" s="229"/>
      <c r="AO74" s="229"/>
      <c r="AP74" s="229"/>
      <c r="AQ74" s="228"/>
      <c r="AR74" s="229"/>
      <c r="AS74" s="229"/>
      <c r="AT74" s="229"/>
      <c r="AU74" s="228"/>
      <c r="AV74" s="229"/>
      <c r="AW74" s="229"/>
      <c r="AX74" s="229"/>
      <c r="AY74" s="228"/>
      <c r="AZ74" s="226"/>
      <c r="BA74" s="229"/>
      <c r="BB74" s="229"/>
      <c r="BC74" s="228"/>
      <c r="BD74" s="226">
        <f>+IF($O74&gt;L$8,"FIN",(L$19-SUM(BE$25:BE73))*VLOOKUP($O74,$A:$N,12,0)/VLOOKUP(L$15,$K$1:$M$4,2,0))</f>
        <v>0</v>
      </c>
      <c r="BE74" s="229">
        <f t="shared" si="67"/>
        <v>0</v>
      </c>
      <c r="BF74" s="229">
        <f t="shared" si="30"/>
        <v>0</v>
      </c>
      <c r="BG74" s="228">
        <f t="shared" si="68"/>
        <v>0</v>
      </c>
      <c r="BH74" s="226">
        <f>+IF($O74&gt;M$8,"FIN",(M$19-SUM(BI$25:BI73))*VLOOKUP($O74,$A:$N,13,0)/VLOOKUP(M$15,$K$1:$M$4,2,0))</f>
        <v>0</v>
      </c>
      <c r="BI74" s="229">
        <f t="shared" si="69"/>
        <v>0</v>
      </c>
      <c r="BJ74" s="229">
        <f t="shared" si="32"/>
        <v>0</v>
      </c>
      <c r="BK74" s="228">
        <f t="shared" si="70"/>
        <v>0</v>
      </c>
      <c r="BL74" s="218"/>
      <c r="BM74" s="226">
        <f t="shared" si="33"/>
        <v>0</v>
      </c>
      <c r="BN74" s="223">
        <f t="shared" si="33"/>
        <v>0</v>
      </c>
      <c r="BO74" s="227">
        <f t="shared" si="4"/>
        <v>0</v>
      </c>
      <c r="BP74" s="217">
        <f t="shared" si="34"/>
        <v>24.5</v>
      </c>
      <c r="BQ74" s="222">
        <f t="shared" si="5"/>
        <v>0</v>
      </c>
    </row>
    <row r="75" spans="1:69" s="20" customFormat="1" x14ac:dyDescent="0.25">
      <c r="A75" s="180">
        <f t="shared" si="6"/>
        <v>53209</v>
      </c>
      <c r="B75" s="181"/>
      <c r="C75" s="193"/>
      <c r="D75" s="194"/>
      <c r="E75" s="194"/>
      <c r="F75" s="194"/>
      <c r="G75" s="194"/>
      <c r="H75" s="194"/>
      <c r="I75" s="191"/>
      <c r="J75" s="194"/>
      <c r="K75" s="194"/>
      <c r="L75" s="191">
        <v>0.05</v>
      </c>
      <c r="M75" s="192">
        <v>4.1250000000000002E-2</v>
      </c>
      <c r="N75" s="20">
        <f t="shared" si="7"/>
        <v>2045</v>
      </c>
      <c r="O75" s="181">
        <f t="shared" si="8"/>
        <v>53209</v>
      </c>
      <c r="P75" s="230"/>
      <c r="Q75" s="229"/>
      <c r="R75" s="229"/>
      <c r="S75" s="228"/>
      <c r="T75" s="230"/>
      <c r="U75" s="229"/>
      <c r="V75" s="229"/>
      <c r="W75" s="228"/>
      <c r="X75" s="226"/>
      <c r="Y75" s="229"/>
      <c r="Z75" s="229"/>
      <c r="AA75" s="228"/>
      <c r="AB75" s="226"/>
      <c r="AC75" s="229"/>
      <c r="AD75" s="229"/>
      <c r="AE75" s="228"/>
      <c r="AF75" s="229"/>
      <c r="AG75" s="229"/>
      <c r="AH75" s="229"/>
      <c r="AI75" s="228"/>
      <c r="AJ75" s="229"/>
      <c r="AK75" s="229"/>
      <c r="AL75" s="229"/>
      <c r="AM75" s="228"/>
      <c r="AN75" s="229"/>
      <c r="AO75" s="229"/>
      <c r="AP75" s="229"/>
      <c r="AQ75" s="228"/>
      <c r="AR75" s="229"/>
      <c r="AS75" s="229"/>
      <c r="AT75" s="229"/>
      <c r="AU75" s="228"/>
      <c r="AV75" s="229"/>
      <c r="AW75" s="229"/>
      <c r="AX75" s="229"/>
      <c r="AY75" s="228"/>
      <c r="AZ75" s="226"/>
      <c r="BA75" s="229"/>
      <c r="BB75" s="229"/>
      <c r="BC75" s="228"/>
      <c r="BD75" s="226">
        <f>+IF($O75&gt;L$8,"FIN",(L$19-SUM(BE$25:BE74))*VLOOKUP($O75,$A:$N,12,0)/VLOOKUP(L$15,$K$1:$M$4,2,0))</f>
        <v>0</v>
      </c>
      <c r="BE75" s="229">
        <f t="shared" si="67"/>
        <v>0</v>
      </c>
      <c r="BF75" s="229">
        <f t="shared" si="30"/>
        <v>0</v>
      </c>
      <c r="BG75" s="228">
        <f t="shared" si="68"/>
        <v>0</v>
      </c>
      <c r="BH75" s="226">
        <f>+IF($O75&gt;M$8,"FIN",(M$19-SUM(BI$25:BI74))*VLOOKUP($O75,$A:$N,13,0)/VLOOKUP(M$15,$K$1:$M$4,2,0))</f>
        <v>0</v>
      </c>
      <c r="BI75" s="229">
        <f t="shared" si="69"/>
        <v>0</v>
      </c>
      <c r="BJ75" s="229">
        <f t="shared" si="32"/>
        <v>0</v>
      </c>
      <c r="BK75" s="228">
        <f t="shared" si="70"/>
        <v>0</v>
      </c>
      <c r="BL75" s="218"/>
      <c r="BM75" s="226">
        <f t="shared" si="33"/>
        <v>0</v>
      </c>
      <c r="BN75" s="223">
        <f t="shared" si="33"/>
        <v>0</v>
      </c>
      <c r="BO75" s="227">
        <f t="shared" si="4"/>
        <v>0</v>
      </c>
      <c r="BP75" s="217">
        <f t="shared" si="34"/>
        <v>25</v>
      </c>
      <c r="BQ75" s="222">
        <f t="shared" si="5"/>
        <v>0</v>
      </c>
    </row>
    <row r="76" spans="1:69" s="20" customFormat="1" x14ac:dyDescent="0.25">
      <c r="A76" s="180">
        <f t="shared" si="6"/>
        <v>53390</v>
      </c>
      <c r="B76" s="181"/>
      <c r="C76" s="193"/>
      <c r="D76" s="194"/>
      <c r="E76" s="194"/>
      <c r="F76" s="194"/>
      <c r="G76" s="194"/>
      <c r="H76" s="194"/>
      <c r="I76" s="191"/>
      <c r="J76" s="194"/>
      <c r="K76" s="194"/>
      <c r="L76" s="191">
        <v>0.05</v>
      </c>
      <c r="M76" s="192">
        <v>4.1250000000000002E-2</v>
      </c>
      <c r="N76" s="213">
        <f t="shared" si="7"/>
        <v>2046</v>
      </c>
      <c r="O76" s="181">
        <f t="shared" si="8"/>
        <v>53390</v>
      </c>
      <c r="P76" s="230"/>
      <c r="Q76" s="229"/>
      <c r="R76" s="229"/>
      <c r="S76" s="228"/>
      <c r="T76" s="230"/>
      <c r="U76" s="229"/>
      <c r="V76" s="229"/>
      <c r="W76" s="228"/>
      <c r="X76" s="226"/>
      <c r="Y76" s="229"/>
      <c r="Z76" s="229"/>
      <c r="AA76" s="228"/>
      <c r="AB76" s="229"/>
      <c r="AC76" s="229"/>
      <c r="AD76" s="229"/>
      <c r="AE76" s="228"/>
      <c r="AF76" s="229"/>
      <c r="AG76" s="229"/>
      <c r="AH76" s="229"/>
      <c r="AI76" s="228"/>
      <c r="AJ76" s="229"/>
      <c r="AK76" s="229"/>
      <c r="AL76" s="229"/>
      <c r="AM76" s="228"/>
      <c r="AN76" s="229"/>
      <c r="AO76" s="229"/>
      <c r="AP76" s="229"/>
      <c r="AQ76" s="228"/>
      <c r="AR76" s="229"/>
      <c r="AS76" s="229"/>
      <c r="AT76" s="229"/>
      <c r="AU76" s="228"/>
      <c r="AV76" s="229"/>
      <c r="AW76" s="229"/>
      <c r="AX76" s="229"/>
      <c r="AY76" s="228"/>
      <c r="AZ76" s="229"/>
      <c r="BA76" s="229"/>
      <c r="BB76" s="229"/>
      <c r="BC76" s="228"/>
      <c r="BD76" s="226">
        <f>+IF($O76&gt;L$8,"FIN",(L$19-SUM(BE$25:BE75))*VLOOKUP($O76,$A:$N,12,0)/VLOOKUP(L$15,$K$1:$M$4,2,0))</f>
        <v>0</v>
      </c>
      <c r="BE76" s="229">
        <f t="shared" si="67"/>
        <v>0</v>
      </c>
      <c r="BF76" s="229">
        <f t="shared" si="30"/>
        <v>0</v>
      </c>
      <c r="BG76" s="228">
        <f t="shared" si="68"/>
        <v>0</v>
      </c>
      <c r="BH76" s="226">
        <f>+IF($O76&gt;M$8,"FIN",(M$19-SUM(BI$25:BI75))*VLOOKUP($O76,$A:$N,13,0)/VLOOKUP(M$15,$K$1:$M$4,2,0))</f>
        <v>0</v>
      </c>
      <c r="BI76" s="229">
        <f t="shared" si="69"/>
        <v>0</v>
      </c>
      <c r="BJ76" s="229">
        <f t="shared" si="32"/>
        <v>0</v>
      </c>
      <c r="BK76" s="228">
        <f t="shared" si="70"/>
        <v>0</v>
      </c>
      <c r="BL76" s="218"/>
      <c r="BM76" s="226">
        <f t="shared" si="33"/>
        <v>0</v>
      </c>
      <c r="BN76" s="223">
        <f t="shared" si="33"/>
        <v>0</v>
      </c>
      <c r="BO76" s="227">
        <f t="shared" si="4"/>
        <v>0</v>
      </c>
      <c r="BP76" s="217">
        <f t="shared" si="34"/>
        <v>25.5</v>
      </c>
      <c r="BQ76" s="222">
        <f t="shared" si="5"/>
        <v>0</v>
      </c>
    </row>
    <row r="77" spans="1:69" s="20" customFormat="1" x14ac:dyDescent="0.25">
      <c r="A77" s="201">
        <f t="shared" si="6"/>
        <v>53574</v>
      </c>
      <c r="B77" s="195"/>
      <c r="C77" s="196"/>
      <c r="D77" s="197"/>
      <c r="E77" s="197"/>
      <c r="F77" s="197"/>
      <c r="G77" s="197"/>
      <c r="H77" s="197"/>
      <c r="I77" s="198"/>
      <c r="J77" s="197"/>
      <c r="K77" s="197"/>
      <c r="L77" s="198">
        <v>0.05</v>
      </c>
      <c r="M77" s="199">
        <v>4.1250000000000002E-2</v>
      </c>
      <c r="N77" s="214">
        <f t="shared" si="7"/>
        <v>2046</v>
      </c>
      <c r="O77" s="181">
        <f t="shared" si="8"/>
        <v>53574</v>
      </c>
      <c r="P77" s="230"/>
      <c r="Q77" s="229"/>
      <c r="R77" s="229"/>
      <c r="S77" s="228"/>
      <c r="T77" s="230"/>
      <c r="U77" s="229"/>
      <c r="V77" s="229"/>
      <c r="W77" s="228"/>
      <c r="X77" s="226"/>
      <c r="Y77" s="229"/>
      <c r="Z77" s="229"/>
      <c r="AA77" s="228"/>
      <c r="AB77" s="229"/>
      <c r="AC77" s="229"/>
      <c r="AD77" s="229"/>
      <c r="AE77" s="228"/>
      <c r="AF77" s="229"/>
      <c r="AG77" s="229"/>
      <c r="AH77" s="229"/>
      <c r="AI77" s="228"/>
      <c r="AJ77" s="229"/>
      <c r="AK77" s="229"/>
      <c r="AL77" s="229"/>
      <c r="AM77" s="228"/>
      <c r="AN77" s="229"/>
      <c r="AO77" s="229"/>
      <c r="AP77" s="229"/>
      <c r="AQ77" s="228"/>
      <c r="AR77" s="229"/>
      <c r="AS77" s="229"/>
      <c r="AT77" s="229"/>
      <c r="AU77" s="228"/>
      <c r="AV77" s="229"/>
      <c r="AW77" s="229"/>
      <c r="AX77" s="229"/>
      <c r="AY77" s="228"/>
      <c r="AZ77" s="229"/>
      <c r="BA77" s="229"/>
      <c r="BB77" s="229"/>
      <c r="BC77" s="228"/>
      <c r="BD77" s="226">
        <f>+IF($O77&gt;L$8,"FIN",(L$19-SUM(BE$25:BE76))*VLOOKUP($O77,$A:$N,12,0)/VLOOKUP(L$15,$K$1:$M$4,2,0))</f>
        <v>0</v>
      </c>
      <c r="BE77" s="229">
        <f t="shared" si="67"/>
        <v>0</v>
      </c>
      <c r="BF77" s="229">
        <f t="shared" si="30"/>
        <v>0</v>
      </c>
      <c r="BG77" s="228">
        <f t="shared" si="68"/>
        <v>0</v>
      </c>
      <c r="BH77" s="226">
        <f>+IF($O77&gt;M$8,"FIN",(M$19-SUM(BI$25:BI76))*VLOOKUP($O77,$A:$N,13,0)/VLOOKUP(M$15,$K$1:$M$4,2,0))</f>
        <v>0</v>
      </c>
      <c r="BI77" s="229">
        <f t="shared" si="69"/>
        <v>0</v>
      </c>
      <c r="BJ77" s="229">
        <f t="shared" si="32"/>
        <v>0</v>
      </c>
      <c r="BK77" s="228">
        <f t="shared" si="70"/>
        <v>0</v>
      </c>
      <c r="BL77" s="218"/>
      <c r="BM77" s="226">
        <f t="shared" si="33"/>
        <v>0</v>
      </c>
      <c r="BN77" s="223">
        <f t="shared" si="33"/>
        <v>0</v>
      </c>
      <c r="BO77" s="227">
        <f t="shared" si="4"/>
        <v>0</v>
      </c>
      <c r="BP77" s="217">
        <f t="shared" si="34"/>
        <v>26</v>
      </c>
      <c r="BQ77" s="222">
        <f t="shared" si="5"/>
        <v>0</v>
      </c>
    </row>
    <row r="78" spans="1:69" s="20" customFormat="1" x14ac:dyDescent="0.25">
      <c r="O78" s="187" t="s">
        <v>44</v>
      </c>
      <c r="P78" s="231">
        <f>+SUM(P25:P77)</f>
        <v>177.01389769930543</v>
      </c>
      <c r="Q78" s="232">
        <f>+SUM(Q25:Q77)</f>
        <v>2145.6230024158244</v>
      </c>
      <c r="R78" s="232"/>
      <c r="S78" s="233">
        <f>+SUM(S25:S77)</f>
        <v>1101.8187840477167</v>
      </c>
      <c r="T78" s="231">
        <f>+SUM(T25:T77)</f>
        <v>23.721903162232479</v>
      </c>
      <c r="U78" s="232">
        <f>+SUM(U25:U77)</f>
        <v>575.076440296545</v>
      </c>
      <c r="V78" s="232"/>
      <c r="W78" s="233">
        <f>+SUM(W25:W77)</f>
        <v>279.41889756533936</v>
      </c>
      <c r="X78" s="231">
        <f>+SUM(X25:X77)</f>
        <v>715.875</v>
      </c>
      <c r="Y78" s="232">
        <f>+SUM(Y25:Y77)</f>
        <v>13800</v>
      </c>
      <c r="Z78" s="232"/>
      <c r="AA78" s="233">
        <f>+SUM(AA25:AA77)</f>
        <v>7448.7944084834025</v>
      </c>
      <c r="AB78" s="232">
        <f>+SUM(AB25:AB77)</f>
        <v>28.09375</v>
      </c>
      <c r="AC78" s="232">
        <f>+SUM(AC25:AC77)</f>
        <v>3100.0000000000005</v>
      </c>
      <c r="AD78" s="232"/>
      <c r="AE78" s="233">
        <f>+SUM(AE25:AE77)</f>
        <v>1593.8860100753234</v>
      </c>
      <c r="AF78" s="232">
        <f>+SUM(AF25:AF77)</f>
        <v>9635.4562500000011</v>
      </c>
      <c r="AG78" s="232">
        <f>+SUM(AG25:AG77)</f>
        <v>20392.5</v>
      </c>
      <c r="AH78" s="232"/>
      <c r="AI78" s="233">
        <f>+SUM(AI25:AI77)</f>
        <v>10747.957460853409</v>
      </c>
      <c r="AJ78" s="232">
        <f>+SUM(AJ25:AJ77)</f>
        <v>917.99091716849955</v>
      </c>
      <c r="AK78" s="232">
        <f>+SUM(AK25:AK77)</f>
        <v>2361.3914268000003</v>
      </c>
      <c r="AL78" s="232"/>
      <c r="AM78" s="233">
        <f>+SUM(AM25:AM77)</f>
        <v>1147.98763190261</v>
      </c>
      <c r="AN78" s="232">
        <f>+SUM(AN25:AN77)</f>
        <v>3005.2575376829996</v>
      </c>
      <c r="AO78" s="232">
        <f>+SUM(AO25:AO77)</f>
        <v>5565.2917364500008</v>
      </c>
      <c r="AP78" s="232"/>
      <c r="AQ78" s="233">
        <f>+SUM(AQ25:AQ77)</f>
        <v>3221.633668901075</v>
      </c>
      <c r="AR78" s="232">
        <f>+SUM(AR25:AR77)</f>
        <v>2631.8194060520814</v>
      </c>
      <c r="AS78" s="232">
        <f>+SUM(AS25:AS77)</f>
        <v>5776.2840187699976</v>
      </c>
      <c r="AT78" s="232"/>
      <c r="AU78" s="233">
        <f>+SUM(AU25:AU77)</f>
        <v>3094.8472474028235</v>
      </c>
      <c r="AV78" s="232">
        <f>+SUM(AV25:AV77)</f>
        <v>2851.3994287905352</v>
      </c>
      <c r="AW78" s="232">
        <f>+SUM(AW25:AW77)</f>
        <v>5393.6283739999999</v>
      </c>
      <c r="AX78" s="232"/>
      <c r="AY78" s="233">
        <f>+SUM(AY25:AY77)</f>
        <v>2791.0430007211626</v>
      </c>
      <c r="AZ78" s="232">
        <f>+SUM(AZ25:AZ77)</f>
        <v>2988.0860193446442</v>
      </c>
      <c r="BA78" s="232">
        <f>+SUM(BA25:BA77)</f>
        <v>6473.2230979999977</v>
      </c>
      <c r="BB78" s="232"/>
      <c r="BC78" s="233">
        <f>+SUM(BC25:BC77)</f>
        <v>3112.7439145465569</v>
      </c>
      <c r="BD78" s="232">
        <f>+SUM(BD25:BD77)</f>
        <v>0</v>
      </c>
      <c r="BE78" s="232">
        <f>+SUM(BE25:BE77)</f>
        <v>0</v>
      </c>
      <c r="BF78" s="232"/>
      <c r="BG78" s="233">
        <f>+SUM(BG25:BG77)</f>
        <v>0</v>
      </c>
      <c r="BH78" s="232">
        <f>+SUM(BH25:BH77)</f>
        <v>0</v>
      </c>
      <c r="BI78" s="232">
        <f>+SUM(BI25:BI77)</f>
        <v>0</v>
      </c>
      <c r="BJ78" s="232"/>
      <c r="BK78" s="233">
        <f>+SUM(BK25:BK77)</f>
        <v>0</v>
      </c>
      <c r="BL78" s="218"/>
      <c r="BM78" s="231">
        <f>+SUM(BM25:BM77)</f>
        <v>23797.501546937136</v>
      </c>
      <c r="BN78" s="232">
        <f>+SUM(BN25:BN77)</f>
        <v>67866.193825876588</v>
      </c>
      <c r="BO78" s="233">
        <f>+SUM(BO25:BO77)</f>
        <v>91663.695372813672</v>
      </c>
      <c r="BP78" s="215"/>
      <c r="BQ78" s="221">
        <f>+SUM(BQ27:BQ77)/BN78</f>
        <v>11.444011399451952</v>
      </c>
    </row>
    <row r="79" spans="1:69" s="20" customFormat="1" x14ac:dyDescent="0.25">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row>
    <row r="80" spans="1:69" s="20" customFormat="1" x14ac:dyDescent="0.25">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c r="AX80" s="179"/>
      <c r="AY80" s="179"/>
      <c r="AZ80" s="179"/>
      <c r="BA80" s="179"/>
      <c r="BB80" s="179"/>
      <c r="BC80" s="179"/>
      <c r="BD80" s="179"/>
      <c r="BE80" s="179"/>
      <c r="BF80" s="179"/>
      <c r="BG80" s="179"/>
      <c r="BH80" s="179"/>
    </row>
    <row r="81" spans="16:60" s="20" customFormat="1" x14ac:dyDescent="0.25">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79"/>
      <c r="AS81" s="179"/>
      <c r="AT81" s="179"/>
      <c r="AU81" s="179"/>
      <c r="AV81" s="179"/>
      <c r="AW81" s="179"/>
      <c r="AX81" s="179"/>
      <c r="AY81" s="179"/>
      <c r="AZ81" s="179"/>
      <c r="BA81" s="179"/>
      <c r="BB81" s="179"/>
      <c r="BC81" s="179"/>
      <c r="BD81" s="179"/>
      <c r="BE81" s="179"/>
      <c r="BF81" s="179"/>
      <c r="BG81" s="179"/>
      <c r="BH81" s="179"/>
    </row>
    <row r="82" spans="16:60" s="20" customFormat="1" x14ac:dyDescent="0.25">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179"/>
      <c r="AS82" s="179"/>
      <c r="AT82" s="179"/>
      <c r="AU82" s="179"/>
      <c r="AV82" s="179"/>
      <c r="AW82" s="179"/>
      <c r="AX82" s="179"/>
      <c r="AY82" s="179"/>
      <c r="AZ82" s="179"/>
      <c r="BA82" s="179"/>
      <c r="BB82" s="179"/>
      <c r="BC82" s="179"/>
      <c r="BD82" s="179"/>
      <c r="BE82" s="179"/>
      <c r="BF82" s="179"/>
      <c r="BG82" s="179"/>
      <c r="BH82" s="179"/>
    </row>
    <row r="83" spans="16:60" s="20" customFormat="1" x14ac:dyDescent="0.25">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179"/>
      <c r="AS83" s="179"/>
      <c r="AT83" s="179"/>
      <c r="AU83" s="179"/>
      <c r="AV83" s="179"/>
      <c r="AW83" s="179"/>
      <c r="AX83" s="179"/>
      <c r="AY83" s="179"/>
      <c r="AZ83" s="179"/>
      <c r="BA83" s="179"/>
      <c r="BB83" s="179"/>
      <c r="BC83" s="179"/>
      <c r="BD83" s="179"/>
      <c r="BE83" s="179"/>
      <c r="BF83" s="179"/>
      <c r="BG83" s="179"/>
      <c r="BH83" s="179"/>
    </row>
    <row r="84" spans="16:60" s="20" customFormat="1" x14ac:dyDescent="0.25">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179"/>
      <c r="AQ84" s="179"/>
      <c r="AR84" s="179"/>
      <c r="AS84" s="179"/>
      <c r="AT84" s="179"/>
      <c r="AU84" s="179"/>
      <c r="AV84" s="179"/>
      <c r="AW84" s="179"/>
      <c r="AX84" s="179"/>
      <c r="AY84" s="179"/>
      <c r="AZ84" s="179"/>
      <c r="BA84" s="179"/>
      <c r="BB84" s="179"/>
      <c r="BC84" s="179"/>
      <c r="BD84" s="179"/>
      <c r="BE84" s="179"/>
      <c r="BF84" s="179"/>
      <c r="BG84" s="179"/>
      <c r="BH84" s="179"/>
    </row>
    <row r="85" spans="16:60" s="20" customFormat="1" x14ac:dyDescent="0.25">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c r="AS85" s="179"/>
      <c r="AT85" s="179"/>
      <c r="AU85" s="179"/>
      <c r="AV85" s="179"/>
      <c r="AW85" s="179"/>
      <c r="AX85" s="179"/>
      <c r="AY85" s="179"/>
      <c r="AZ85" s="179"/>
      <c r="BA85" s="179"/>
      <c r="BB85" s="179"/>
      <c r="BC85" s="179"/>
      <c r="BD85" s="179"/>
      <c r="BE85" s="179"/>
      <c r="BF85" s="179"/>
      <c r="BG85" s="179"/>
      <c r="BH85" s="179"/>
    </row>
    <row r="86" spans="16:60" s="20" customFormat="1" x14ac:dyDescent="0.25">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c r="AS86" s="179"/>
      <c r="AT86" s="179"/>
      <c r="AU86" s="179"/>
      <c r="AV86" s="179"/>
      <c r="AW86" s="179"/>
      <c r="AX86" s="179"/>
      <c r="AY86" s="179"/>
      <c r="AZ86" s="179"/>
      <c r="BA86" s="179"/>
      <c r="BB86" s="179"/>
      <c r="BC86" s="179"/>
      <c r="BD86" s="179"/>
      <c r="BE86" s="179"/>
      <c r="BF86" s="179"/>
      <c r="BG86" s="179"/>
      <c r="BH86" s="179"/>
    </row>
    <row r="87" spans="16:60" s="20" customFormat="1" x14ac:dyDescent="0.25">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R87" s="179"/>
      <c r="AS87" s="179"/>
      <c r="AT87" s="179"/>
      <c r="AU87" s="179"/>
      <c r="AV87" s="179"/>
      <c r="AW87" s="179"/>
      <c r="AX87" s="179"/>
      <c r="AY87" s="179"/>
      <c r="AZ87" s="179"/>
      <c r="BA87" s="179"/>
      <c r="BB87" s="179"/>
      <c r="BC87" s="179"/>
      <c r="BD87" s="179"/>
      <c r="BE87" s="179"/>
      <c r="BF87" s="179"/>
      <c r="BG87" s="179"/>
      <c r="BH87" s="179"/>
    </row>
    <row r="88" spans="16:60" s="20" customFormat="1" x14ac:dyDescent="0.25">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79"/>
      <c r="AS88" s="179"/>
      <c r="AT88" s="179"/>
      <c r="AU88" s="179"/>
      <c r="AV88" s="179"/>
      <c r="AW88" s="179"/>
      <c r="AX88" s="179"/>
      <c r="AY88" s="179"/>
      <c r="AZ88" s="179"/>
      <c r="BA88" s="179"/>
      <c r="BB88" s="179"/>
      <c r="BC88" s="179"/>
      <c r="BD88" s="179"/>
      <c r="BE88" s="179"/>
      <c r="BF88" s="179"/>
      <c r="BG88" s="179"/>
      <c r="BH88" s="179"/>
    </row>
    <row r="89" spans="16:60" s="20" customFormat="1" x14ac:dyDescent="0.25">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c r="BE89" s="179"/>
      <c r="BF89" s="179"/>
      <c r="BG89" s="179"/>
      <c r="BH89" s="179"/>
    </row>
    <row r="90" spans="16:60" s="20" customFormat="1" x14ac:dyDescent="0.25">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row>
    <row r="91" spans="16:60" s="20" customFormat="1" x14ac:dyDescent="0.25">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c r="BD91" s="179"/>
      <c r="BE91" s="179"/>
      <c r="BF91" s="179"/>
      <c r="BG91" s="179"/>
      <c r="BH91" s="179"/>
    </row>
    <row r="92" spans="16:60" s="20" customFormat="1" x14ac:dyDescent="0.25">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79"/>
      <c r="AS92" s="179"/>
      <c r="AT92" s="179"/>
      <c r="AU92" s="179"/>
      <c r="AV92" s="179"/>
      <c r="AW92" s="179"/>
      <c r="AX92" s="179"/>
      <c r="AY92" s="179"/>
      <c r="AZ92" s="179"/>
      <c r="BA92" s="179"/>
      <c r="BB92" s="179"/>
      <c r="BC92" s="179"/>
      <c r="BD92" s="179"/>
      <c r="BE92" s="179"/>
      <c r="BF92" s="179"/>
      <c r="BG92" s="179"/>
      <c r="BH92" s="179"/>
    </row>
    <row r="93" spans="16:60" s="20" customFormat="1" x14ac:dyDescent="0.25">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79"/>
      <c r="AV93" s="179"/>
      <c r="AW93" s="179"/>
      <c r="AX93" s="179"/>
      <c r="AY93" s="179"/>
      <c r="AZ93" s="179"/>
      <c r="BA93" s="179"/>
      <c r="BB93" s="179"/>
      <c r="BC93" s="179"/>
      <c r="BD93" s="179"/>
      <c r="BE93" s="179"/>
      <c r="BF93" s="179"/>
      <c r="BG93" s="179"/>
      <c r="BH93" s="179"/>
    </row>
    <row r="94" spans="16:60" s="20" customFormat="1" x14ac:dyDescent="0.25">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c r="AX94" s="179"/>
      <c r="AY94" s="179"/>
      <c r="AZ94" s="179"/>
      <c r="BA94" s="179"/>
      <c r="BB94" s="179"/>
      <c r="BC94" s="179"/>
      <c r="BD94" s="179"/>
      <c r="BE94" s="179"/>
      <c r="BF94" s="179"/>
      <c r="BG94" s="179"/>
      <c r="BH94" s="179"/>
    </row>
    <row r="95" spans="16:60" s="20" customFormat="1" x14ac:dyDescent="0.25">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79"/>
      <c r="AS95" s="179"/>
      <c r="AT95" s="179"/>
      <c r="AU95" s="179"/>
      <c r="AV95" s="179"/>
      <c r="AW95" s="179"/>
      <c r="AX95" s="179"/>
      <c r="AY95" s="179"/>
      <c r="AZ95" s="179"/>
      <c r="BA95" s="179"/>
      <c r="BB95" s="179"/>
      <c r="BC95" s="179"/>
      <c r="BD95" s="179"/>
      <c r="BE95" s="179"/>
      <c r="BF95" s="179"/>
      <c r="BG95" s="179"/>
      <c r="BH95" s="179"/>
    </row>
    <row r="96" spans="16:60" s="20" customFormat="1" x14ac:dyDescent="0.25">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c r="BD96" s="179"/>
      <c r="BE96" s="179"/>
      <c r="BF96" s="179"/>
      <c r="BG96" s="179"/>
      <c r="BH96" s="179"/>
    </row>
    <row r="97" spans="16:60" s="20" customFormat="1" x14ac:dyDescent="0.25">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179"/>
      <c r="BE97" s="179"/>
      <c r="BF97" s="179"/>
      <c r="BG97" s="179"/>
      <c r="BH97" s="179"/>
    </row>
    <row r="98" spans="16:60" s="20" customFormat="1" x14ac:dyDescent="0.25">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179"/>
      <c r="BE98" s="179"/>
      <c r="BF98" s="179"/>
      <c r="BG98" s="179"/>
      <c r="BH98" s="179"/>
    </row>
    <row r="99" spans="16:60" s="20" customFormat="1" x14ac:dyDescent="0.25">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79"/>
      <c r="AZ99" s="179"/>
      <c r="BA99" s="179"/>
      <c r="BB99" s="179"/>
      <c r="BC99" s="179"/>
      <c r="BD99" s="179"/>
      <c r="BE99" s="179"/>
      <c r="BF99" s="179"/>
      <c r="BG99" s="179"/>
      <c r="BH99" s="179"/>
    </row>
    <row r="100" spans="16:60" s="20" customFormat="1" x14ac:dyDescent="0.25">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row>
    <row r="101" spans="16:60" s="20" customFormat="1" x14ac:dyDescent="0.25">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row>
    <row r="102" spans="16:60" s="20" customFormat="1" x14ac:dyDescent="0.25">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row>
    <row r="103" spans="16:60" s="20" customFormat="1" x14ac:dyDescent="0.25">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row>
    <row r="104" spans="16:60" s="20" customFormat="1" x14ac:dyDescent="0.25">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row>
    <row r="105" spans="16:60" s="20" customFormat="1" x14ac:dyDescent="0.25">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row>
    <row r="106" spans="16:60" s="20" customFormat="1" x14ac:dyDescent="0.25">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79"/>
      <c r="AZ106" s="179"/>
      <c r="BA106" s="179"/>
      <c r="BB106" s="179"/>
      <c r="BC106" s="179"/>
      <c r="BD106" s="179"/>
      <c r="BE106" s="179"/>
      <c r="BF106" s="179"/>
      <c r="BG106" s="179"/>
      <c r="BH106" s="179"/>
    </row>
    <row r="107" spans="16:60" s="20" customFormat="1" x14ac:dyDescent="0.25">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79"/>
      <c r="AV107" s="179"/>
      <c r="AW107" s="179"/>
      <c r="AX107" s="179"/>
      <c r="AY107" s="179"/>
      <c r="AZ107" s="179"/>
      <c r="BA107" s="179"/>
      <c r="BB107" s="179"/>
      <c r="BC107" s="179"/>
      <c r="BD107" s="179"/>
      <c r="BE107" s="179"/>
      <c r="BF107" s="179"/>
      <c r="BG107" s="179"/>
      <c r="BH107" s="179"/>
    </row>
    <row r="108" spans="16:60" s="20" customFormat="1" x14ac:dyDescent="0.25">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79"/>
      <c r="AV108" s="179"/>
      <c r="AW108" s="179"/>
      <c r="AX108" s="179"/>
      <c r="AY108" s="179"/>
      <c r="AZ108" s="179"/>
      <c r="BA108" s="179"/>
      <c r="BB108" s="179"/>
      <c r="BC108" s="179"/>
      <c r="BD108" s="179"/>
      <c r="BE108" s="179"/>
      <c r="BF108" s="179"/>
      <c r="BG108" s="179"/>
      <c r="BH108" s="179"/>
    </row>
    <row r="109" spans="16:60" s="20" customFormat="1" x14ac:dyDescent="0.25">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c r="AY109" s="179"/>
      <c r="AZ109" s="179"/>
      <c r="BA109" s="179"/>
      <c r="BB109" s="179"/>
      <c r="BC109" s="179"/>
      <c r="BD109" s="179"/>
      <c r="BE109" s="179"/>
      <c r="BF109" s="179"/>
      <c r="BG109" s="179"/>
      <c r="BH109" s="179"/>
    </row>
    <row r="110" spans="16:60" s="20" customFormat="1" x14ac:dyDescent="0.25">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T110" s="179"/>
      <c r="AU110" s="179"/>
      <c r="AV110" s="179"/>
      <c r="AW110" s="179"/>
      <c r="AX110" s="179"/>
      <c r="AY110" s="179"/>
      <c r="AZ110" s="179"/>
      <c r="BA110" s="179"/>
      <c r="BB110" s="179"/>
      <c r="BC110" s="179"/>
      <c r="BD110" s="179"/>
      <c r="BE110" s="179"/>
      <c r="BF110" s="179"/>
      <c r="BG110" s="179"/>
      <c r="BH110" s="179"/>
    </row>
    <row r="111" spans="16:60" s="20" customFormat="1" x14ac:dyDescent="0.25">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T111" s="179"/>
      <c r="AU111" s="179"/>
      <c r="AV111" s="179"/>
      <c r="AW111" s="179"/>
      <c r="AX111" s="179"/>
      <c r="AY111" s="179"/>
      <c r="AZ111" s="179"/>
      <c r="BA111" s="179"/>
      <c r="BB111" s="179"/>
      <c r="BC111" s="179"/>
      <c r="BD111" s="179"/>
      <c r="BE111" s="179"/>
      <c r="BF111" s="179"/>
      <c r="BG111" s="179"/>
      <c r="BH111" s="179"/>
    </row>
    <row r="112" spans="16:60" s="20" customFormat="1" x14ac:dyDescent="0.25">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179"/>
      <c r="BB112" s="179"/>
      <c r="BC112" s="179"/>
      <c r="BD112" s="179"/>
      <c r="BE112" s="179"/>
      <c r="BF112" s="179"/>
      <c r="BG112" s="179"/>
      <c r="BH112" s="179"/>
    </row>
    <row r="113" spans="16:60" s="20" customFormat="1" x14ac:dyDescent="0.25">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c r="AW113" s="179"/>
      <c r="AX113" s="179"/>
      <c r="AY113" s="179"/>
      <c r="AZ113" s="179"/>
      <c r="BA113" s="179"/>
      <c r="BB113" s="179"/>
      <c r="BC113" s="179"/>
      <c r="BD113" s="179"/>
      <c r="BE113" s="179"/>
      <c r="BF113" s="179"/>
      <c r="BG113" s="179"/>
      <c r="BH113" s="179"/>
    </row>
    <row r="114" spans="16:60" s="20" customFormat="1" x14ac:dyDescent="0.25">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row>
    <row r="115" spans="16:60" s="20" customFormat="1" x14ac:dyDescent="0.25">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79"/>
      <c r="BA115" s="179"/>
      <c r="BB115" s="179"/>
      <c r="BC115" s="179"/>
      <c r="BD115" s="179"/>
      <c r="BE115" s="179"/>
      <c r="BF115" s="179"/>
      <c r="BG115" s="179"/>
      <c r="BH115" s="179"/>
    </row>
    <row r="116" spans="16:60" s="20" customFormat="1" x14ac:dyDescent="0.25">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c r="BE116" s="179"/>
      <c r="BF116" s="179"/>
      <c r="BG116" s="179"/>
      <c r="BH116" s="179"/>
    </row>
    <row r="117" spans="16:60" s="20" customFormat="1" x14ac:dyDescent="0.25">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79"/>
      <c r="BD117" s="179"/>
      <c r="BE117" s="179"/>
      <c r="BF117" s="179"/>
      <c r="BG117" s="179"/>
      <c r="BH117" s="179"/>
    </row>
    <row r="118" spans="16:60" s="20" customFormat="1" x14ac:dyDescent="0.25">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c r="BE118" s="179"/>
      <c r="BF118" s="179"/>
      <c r="BG118" s="179"/>
      <c r="BH118" s="179"/>
    </row>
    <row r="119" spans="16:60" s="20" customFormat="1" x14ac:dyDescent="0.25">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79"/>
      <c r="AQ119" s="179"/>
      <c r="AR119" s="179"/>
      <c r="AS119" s="179"/>
      <c r="AT119" s="179"/>
      <c r="AU119" s="179"/>
      <c r="AV119" s="179"/>
      <c r="AW119" s="179"/>
      <c r="AX119" s="179"/>
      <c r="AY119" s="179"/>
      <c r="AZ119" s="179"/>
      <c r="BA119" s="179"/>
      <c r="BB119" s="179"/>
      <c r="BC119" s="179"/>
      <c r="BD119" s="179"/>
      <c r="BE119" s="179"/>
      <c r="BF119" s="179"/>
      <c r="BG119" s="179"/>
      <c r="BH119" s="179"/>
    </row>
    <row r="120" spans="16:60" s="20" customFormat="1" x14ac:dyDescent="0.25">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row>
    <row r="121" spans="16:60" s="20" customFormat="1" x14ac:dyDescent="0.25">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c r="AO121" s="179"/>
      <c r="AP121" s="179"/>
      <c r="AQ121" s="179"/>
      <c r="AR121" s="179"/>
      <c r="AS121" s="179"/>
      <c r="AT121" s="179"/>
      <c r="AU121" s="179"/>
      <c r="AV121" s="179"/>
      <c r="AW121" s="179"/>
      <c r="AX121" s="179"/>
      <c r="AY121" s="179"/>
      <c r="AZ121" s="179"/>
      <c r="BA121" s="179"/>
      <c r="BB121" s="179"/>
      <c r="BC121" s="179"/>
      <c r="BD121" s="179"/>
      <c r="BE121" s="179"/>
      <c r="BF121" s="179"/>
      <c r="BG121" s="179"/>
      <c r="BH121" s="179"/>
    </row>
    <row r="122" spans="16:60" s="20" customFormat="1" x14ac:dyDescent="0.25">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79"/>
      <c r="BA122" s="179"/>
      <c r="BB122" s="179"/>
      <c r="BC122" s="179"/>
      <c r="BD122" s="179"/>
      <c r="BE122" s="179"/>
      <c r="BF122" s="179"/>
      <c r="BG122" s="179"/>
      <c r="BH122" s="179"/>
    </row>
    <row r="123" spans="16:60" s="20" customFormat="1" x14ac:dyDescent="0.25">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row>
    <row r="124" spans="16:60" s="20" customFormat="1" x14ac:dyDescent="0.25">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179"/>
      <c r="AY124" s="179"/>
      <c r="AZ124" s="179"/>
      <c r="BA124" s="179"/>
      <c r="BB124" s="179"/>
      <c r="BC124" s="179"/>
      <c r="BD124" s="179"/>
      <c r="BE124" s="179"/>
      <c r="BF124" s="179"/>
      <c r="BG124" s="179"/>
      <c r="BH124" s="179"/>
    </row>
    <row r="125" spans="16:60" s="20" customFormat="1" x14ac:dyDescent="0.25">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179"/>
      <c r="AR125" s="179"/>
      <c r="AS125" s="179"/>
      <c r="AT125" s="179"/>
      <c r="AU125" s="179"/>
      <c r="AV125" s="179"/>
      <c r="AW125" s="179"/>
      <c r="AX125" s="179"/>
      <c r="AY125" s="179"/>
      <c r="AZ125" s="179"/>
      <c r="BA125" s="179"/>
      <c r="BB125" s="179"/>
      <c r="BC125" s="179"/>
      <c r="BD125" s="179"/>
      <c r="BE125" s="179"/>
      <c r="BF125" s="179"/>
      <c r="BG125" s="179"/>
      <c r="BH125" s="179"/>
    </row>
    <row r="126" spans="16:60" s="20" customFormat="1" x14ac:dyDescent="0.25">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c r="AR126" s="179"/>
      <c r="AS126" s="179"/>
      <c r="AT126" s="179"/>
      <c r="AU126" s="179"/>
      <c r="AV126" s="179"/>
      <c r="AW126" s="179"/>
      <c r="AX126" s="179"/>
      <c r="AY126" s="179"/>
      <c r="AZ126" s="179"/>
      <c r="BA126" s="179"/>
      <c r="BB126" s="179"/>
      <c r="BC126" s="179"/>
      <c r="BD126" s="179"/>
      <c r="BE126" s="179"/>
      <c r="BF126" s="179"/>
      <c r="BG126" s="179"/>
      <c r="BH126" s="179"/>
    </row>
    <row r="127" spans="16:60" s="20" customFormat="1" x14ac:dyDescent="0.25">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c r="AU127" s="179"/>
      <c r="AV127" s="179"/>
      <c r="AW127" s="179"/>
      <c r="AX127" s="179"/>
      <c r="AY127" s="179"/>
      <c r="AZ127" s="179"/>
      <c r="BA127" s="179"/>
      <c r="BB127" s="179"/>
      <c r="BC127" s="179"/>
      <c r="BD127" s="179"/>
      <c r="BE127" s="179"/>
      <c r="BF127" s="179"/>
      <c r="BG127" s="179"/>
      <c r="BH127" s="179"/>
    </row>
    <row r="128" spans="16:60" s="20" customFormat="1" x14ac:dyDescent="0.25">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179"/>
      <c r="AV128" s="179"/>
      <c r="AW128" s="179"/>
      <c r="AX128" s="179"/>
      <c r="AY128" s="179"/>
      <c r="AZ128" s="179"/>
      <c r="BA128" s="179"/>
      <c r="BB128" s="179"/>
      <c r="BC128" s="179"/>
      <c r="BD128" s="179"/>
      <c r="BE128" s="179"/>
      <c r="BF128" s="179"/>
      <c r="BG128" s="179"/>
      <c r="BH128" s="179"/>
    </row>
    <row r="129" spans="16:60" s="20" customFormat="1" x14ac:dyDescent="0.25">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179"/>
      <c r="AV129" s="179"/>
      <c r="AW129" s="179"/>
      <c r="AX129" s="179"/>
      <c r="AY129" s="179"/>
      <c r="AZ129" s="179"/>
      <c r="BA129" s="179"/>
      <c r="BB129" s="179"/>
      <c r="BC129" s="179"/>
      <c r="BD129" s="179"/>
      <c r="BE129" s="179"/>
      <c r="BF129" s="179"/>
      <c r="BG129" s="179"/>
      <c r="BH129" s="179"/>
    </row>
    <row r="130" spans="16:60" s="20" customFormat="1" x14ac:dyDescent="0.25">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c r="AW130" s="179"/>
      <c r="AX130" s="179"/>
      <c r="AY130" s="179"/>
      <c r="AZ130" s="179"/>
      <c r="BA130" s="179"/>
      <c r="BB130" s="179"/>
      <c r="BC130" s="179"/>
      <c r="BD130" s="179"/>
      <c r="BE130" s="179"/>
      <c r="BF130" s="179"/>
      <c r="BG130" s="179"/>
      <c r="BH130" s="179"/>
    </row>
    <row r="131" spans="16:60" s="20" customFormat="1" x14ac:dyDescent="0.25">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row>
    <row r="132" spans="16:60" s="20" customFormat="1" x14ac:dyDescent="0.25">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c r="AR132" s="179"/>
      <c r="AS132" s="179"/>
      <c r="AT132" s="179"/>
      <c r="AU132" s="179"/>
      <c r="AV132" s="179"/>
      <c r="AW132" s="179"/>
      <c r="AX132" s="179"/>
      <c r="AY132" s="179"/>
      <c r="AZ132" s="179"/>
      <c r="BA132" s="179"/>
      <c r="BB132" s="179"/>
      <c r="BC132" s="179"/>
      <c r="BD132" s="179"/>
      <c r="BE132" s="179"/>
      <c r="BF132" s="179"/>
      <c r="BG132" s="179"/>
      <c r="BH132" s="179"/>
    </row>
    <row r="133" spans="16:60" s="20" customFormat="1" x14ac:dyDescent="0.25">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c r="AW133" s="179"/>
      <c r="AX133" s="179"/>
      <c r="AY133" s="179"/>
      <c r="AZ133" s="179"/>
      <c r="BA133" s="179"/>
      <c r="BB133" s="179"/>
      <c r="BC133" s="179"/>
      <c r="BD133" s="179"/>
      <c r="BE133" s="179"/>
      <c r="BF133" s="179"/>
      <c r="BG133" s="179"/>
      <c r="BH133" s="179"/>
    </row>
    <row r="134" spans="16:60" s="20" customFormat="1" x14ac:dyDescent="0.25">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c r="AS134" s="179"/>
      <c r="AT134" s="179"/>
      <c r="AU134" s="179"/>
      <c r="AV134" s="179"/>
      <c r="AW134" s="179"/>
      <c r="AX134" s="179"/>
      <c r="AY134" s="179"/>
      <c r="AZ134" s="179"/>
      <c r="BA134" s="179"/>
      <c r="BB134" s="179"/>
      <c r="BC134" s="179"/>
      <c r="BD134" s="179"/>
      <c r="BE134" s="179"/>
      <c r="BF134" s="179"/>
      <c r="BG134" s="179"/>
      <c r="BH134" s="179"/>
    </row>
    <row r="135" spans="16:60" s="20" customFormat="1" x14ac:dyDescent="0.25">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179"/>
      <c r="AU135" s="179"/>
      <c r="AV135" s="179"/>
      <c r="AW135" s="179"/>
      <c r="AX135" s="179"/>
      <c r="AY135" s="179"/>
      <c r="AZ135" s="179"/>
      <c r="BA135" s="179"/>
      <c r="BB135" s="179"/>
      <c r="BC135" s="179"/>
      <c r="BD135" s="179"/>
      <c r="BE135" s="179"/>
      <c r="BF135" s="179"/>
      <c r="BG135" s="179"/>
      <c r="BH135" s="179"/>
    </row>
    <row r="136" spans="16:60" s="20" customFormat="1" x14ac:dyDescent="0.25">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79"/>
      <c r="AX136" s="179"/>
      <c r="AY136" s="179"/>
      <c r="AZ136" s="179"/>
      <c r="BA136" s="179"/>
      <c r="BB136" s="179"/>
      <c r="BC136" s="179"/>
      <c r="BD136" s="179"/>
      <c r="BE136" s="179"/>
      <c r="BF136" s="179"/>
      <c r="BG136" s="179"/>
      <c r="BH136" s="179"/>
    </row>
    <row r="137" spans="16:60" s="20" customFormat="1" x14ac:dyDescent="0.25">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c r="AS137" s="179"/>
      <c r="AT137" s="179"/>
      <c r="AU137" s="179"/>
      <c r="AV137" s="179"/>
      <c r="AW137" s="179"/>
      <c r="AX137" s="179"/>
      <c r="AY137" s="179"/>
      <c r="AZ137" s="179"/>
      <c r="BA137" s="179"/>
      <c r="BB137" s="179"/>
      <c r="BC137" s="179"/>
      <c r="BD137" s="179"/>
      <c r="BE137" s="179"/>
      <c r="BF137" s="179"/>
      <c r="BG137" s="179"/>
      <c r="BH137" s="179"/>
    </row>
    <row r="138" spans="16:60" s="20" customFormat="1" x14ac:dyDescent="0.25">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c r="AS138" s="179"/>
      <c r="AT138" s="179"/>
      <c r="AU138" s="179"/>
      <c r="AV138" s="179"/>
      <c r="AW138" s="179"/>
      <c r="AX138" s="179"/>
      <c r="AY138" s="179"/>
      <c r="AZ138" s="179"/>
      <c r="BA138" s="179"/>
      <c r="BB138" s="179"/>
      <c r="BC138" s="179"/>
      <c r="BD138" s="179"/>
      <c r="BE138" s="179"/>
      <c r="BF138" s="179"/>
      <c r="BG138" s="179"/>
      <c r="BH138" s="179"/>
    </row>
    <row r="139" spans="16:60" s="20" customFormat="1" x14ac:dyDescent="0.25">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79"/>
      <c r="AL139" s="179"/>
      <c r="AM139" s="179"/>
      <c r="AN139" s="179"/>
      <c r="AO139" s="179"/>
      <c r="AP139" s="179"/>
      <c r="AQ139" s="179"/>
      <c r="AR139" s="179"/>
      <c r="AS139" s="179"/>
      <c r="AT139" s="179"/>
      <c r="AU139" s="179"/>
      <c r="AV139" s="179"/>
      <c r="AW139" s="179"/>
      <c r="AX139" s="179"/>
      <c r="AY139" s="179"/>
      <c r="AZ139" s="179"/>
      <c r="BA139" s="179"/>
      <c r="BB139" s="179"/>
      <c r="BC139" s="179"/>
      <c r="BD139" s="179"/>
      <c r="BE139" s="179"/>
      <c r="BF139" s="179"/>
      <c r="BG139" s="179"/>
      <c r="BH139" s="179"/>
    </row>
    <row r="140" spans="16:60" s="20" customFormat="1" x14ac:dyDescent="0.25">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79"/>
      <c r="AQ140" s="179"/>
      <c r="AR140" s="179"/>
      <c r="AS140" s="179"/>
      <c r="AT140" s="179"/>
      <c r="AU140" s="179"/>
      <c r="AV140" s="179"/>
      <c r="AW140" s="179"/>
      <c r="AX140" s="179"/>
      <c r="AY140" s="179"/>
      <c r="AZ140" s="179"/>
      <c r="BA140" s="179"/>
      <c r="BB140" s="179"/>
      <c r="BC140" s="179"/>
      <c r="BD140" s="179"/>
      <c r="BE140" s="179"/>
      <c r="BF140" s="179"/>
      <c r="BG140" s="179"/>
      <c r="BH140" s="179"/>
    </row>
    <row r="141" spans="16:60" s="20" customFormat="1" x14ac:dyDescent="0.25">
      <c r="P141" s="179"/>
      <c r="Q141" s="179"/>
      <c r="R141" s="179"/>
      <c r="S141" s="179"/>
      <c r="T141" s="179"/>
      <c r="U141" s="179"/>
      <c r="V141" s="179"/>
      <c r="W141" s="179"/>
      <c r="X141" s="179"/>
      <c r="Y141" s="179"/>
      <c r="Z141" s="179"/>
      <c r="AA141" s="179"/>
      <c r="AB141" s="179"/>
      <c r="AC141" s="179"/>
      <c r="AD141" s="179"/>
      <c r="AE141" s="179"/>
      <c r="AF141" s="179"/>
      <c r="AG141" s="179"/>
      <c r="AH141" s="179"/>
      <c r="AI141" s="179"/>
      <c r="AJ141" s="179"/>
      <c r="AK141" s="179"/>
      <c r="AL141" s="179"/>
      <c r="AM141" s="179"/>
      <c r="AN141" s="179"/>
      <c r="AO141" s="179"/>
      <c r="AP141" s="179"/>
      <c r="AQ141" s="179"/>
      <c r="AR141" s="179"/>
      <c r="AS141" s="179"/>
      <c r="AT141" s="179"/>
      <c r="AU141" s="179"/>
      <c r="AV141" s="179"/>
      <c r="AW141" s="179"/>
      <c r="AX141" s="179"/>
      <c r="AY141" s="179"/>
      <c r="AZ141" s="179"/>
      <c r="BA141" s="179"/>
      <c r="BB141" s="179"/>
      <c r="BC141" s="179"/>
      <c r="BD141" s="179"/>
      <c r="BE141" s="179"/>
      <c r="BF141" s="179"/>
      <c r="BG141" s="179"/>
      <c r="BH141" s="179"/>
    </row>
    <row r="142" spans="16:60" s="20" customFormat="1" x14ac:dyDescent="0.25">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c r="AP142" s="179"/>
      <c r="AQ142" s="179"/>
      <c r="AR142" s="179"/>
      <c r="AS142" s="179"/>
      <c r="AT142" s="179"/>
      <c r="AU142" s="179"/>
      <c r="AV142" s="179"/>
      <c r="AW142" s="179"/>
      <c r="AX142" s="179"/>
      <c r="AY142" s="179"/>
      <c r="AZ142" s="179"/>
      <c r="BA142" s="179"/>
      <c r="BB142" s="179"/>
      <c r="BC142" s="179"/>
      <c r="BD142" s="179"/>
      <c r="BE142" s="179"/>
      <c r="BF142" s="179"/>
      <c r="BG142" s="179"/>
      <c r="BH142" s="179"/>
    </row>
    <row r="143" spans="16:60" s="20" customFormat="1" x14ac:dyDescent="0.25">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c r="AK143" s="179"/>
      <c r="AL143" s="179"/>
      <c r="AM143" s="179"/>
      <c r="AN143" s="179"/>
      <c r="AO143" s="179"/>
      <c r="AP143" s="179"/>
      <c r="AQ143" s="179"/>
      <c r="AR143" s="179"/>
      <c r="AS143" s="179"/>
      <c r="AT143" s="179"/>
      <c r="AU143" s="179"/>
      <c r="AV143" s="179"/>
      <c r="AW143" s="179"/>
      <c r="AX143" s="179"/>
      <c r="AY143" s="179"/>
      <c r="AZ143" s="179"/>
      <c r="BA143" s="179"/>
      <c r="BB143" s="179"/>
      <c r="BC143" s="179"/>
      <c r="BD143" s="179"/>
      <c r="BE143" s="179"/>
      <c r="BF143" s="179"/>
      <c r="BG143" s="179"/>
      <c r="BH143" s="179"/>
    </row>
    <row r="144" spans="16:60" s="20" customFormat="1" x14ac:dyDescent="0.25">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179"/>
      <c r="AV144" s="179"/>
      <c r="AW144" s="179"/>
      <c r="AX144" s="179"/>
      <c r="AY144" s="179"/>
      <c r="AZ144" s="179"/>
      <c r="BA144" s="179"/>
      <c r="BB144" s="179"/>
      <c r="BC144" s="179"/>
      <c r="BD144" s="179"/>
      <c r="BE144" s="179"/>
      <c r="BF144" s="179"/>
      <c r="BG144" s="179"/>
      <c r="BH144" s="179"/>
    </row>
    <row r="145" spans="16:60" s="20" customFormat="1" x14ac:dyDescent="0.25">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c r="AS145" s="179"/>
      <c r="AT145" s="179"/>
      <c r="AU145" s="179"/>
      <c r="AV145" s="179"/>
      <c r="AW145" s="179"/>
      <c r="AX145" s="179"/>
      <c r="AY145" s="179"/>
      <c r="AZ145" s="179"/>
      <c r="BA145" s="179"/>
      <c r="BB145" s="179"/>
      <c r="BC145" s="179"/>
      <c r="BD145" s="179"/>
      <c r="BE145" s="179"/>
      <c r="BF145" s="179"/>
      <c r="BG145" s="179"/>
      <c r="BH145" s="179"/>
    </row>
    <row r="146" spans="16:60" s="20" customFormat="1" x14ac:dyDescent="0.25">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c r="AP146" s="179"/>
      <c r="AQ146" s="179"/>
      <c r="AR146" s="179"/>
      <c r="AS146" s="179"/>
      <c r="AT146" s="179"/>
      <c r="AU146" s="179"/>
      <c r="AV146" s="179"/>
      <c r="AW146" s="179"/>
      <c r="AX146" s="179"/>
      <c r="AY146" s="179"/>
      <c r="AZ146" s="179"/>
      <c r="BA146" s="179"/>
      <c r="BB146" s="179"/>
      <c r="BC146" s="179"/>
      <c r="BD146" s="179"/>
      <c r="BE146" s="179"/>
      <c r="BF146" s="179"/>
      <c r="BG146" s="179"/>
      <c r="BH146" s="179"/>
    </row>
    <row r="147" spans="16:60" s="20" customFormat="1" x14ac:dyDescent="0.25">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79"/>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row>
    <row r="148" spans="16:60" s="20" customFormat="1" x14ac:dyDescent="0.25">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c r="AO148" s="179"/>
      <c r="AP148" s="179"/>
      <c r="AQ148" s="179"/>
      <c r="AR148" s="179"/>
      <c r="AS148" s="179"/>
      <c r="AT148" s="179"/>
      <c r="AU148" s="179"/>
      <c r="AV148" s="179"/>
      <c r="AW148" s="179"/>
      <c r="AX148" s="179"/>
      <c r="AY148" s="179"/>
      <c r="AZ148" s="179"/>
      <c r="BA148" s="179"/>
      <c r="BB148" s="179"/>
      <c r="BC148" s="179"/>
      <c r="BD148" s="179"/>
      <c r="BE148" s="179"/>
      <c r="BF148" s="179"/>
      <c r="BG148" s="179"/>
      <c r="BH148" s="179"/>
    </row>
    <row r="149" spans="16:60" s="20" customFormat="1" x14ac:dyDescent="0.25">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c r="AK149" s="179"/>
      <c r="AL149" s="179"/>
      <c r="AM149" s="179"/>
      <c r="AN149" s="179"/>
      <c r="AO149" s="179"/>
      <c r="AP149" s="179"/>
      <c r="AQ149" s="179"/>
      <c r="AR149" s="179"/>
      <c r="AS149" s="179"/>
      <c r="AT149" s="179"/>
      <c r="AU149" s="179"/>
      <c r="AV149" s="179"/>
      <c r="AW149" s="179"/>
      <c r="AX149" s="179"/>
      <c r="AY149" s="179"/>
      <c r="AZ149" s="179"/>
      <c r="BA149" s="179"/>
      <c r="BB149" s="179"/>
      <c r="BC149" s="179"/>
      <c r="BD149" s="179"/>
      <c r="BE149" s="179"/>
      <c r="BF149" s="179"/>
      <c r="BG149" s="179"/>
      <c r="BH149" s="179"/>
    </row>
    <row r="150" spans="16:60" s="20" customFormat="1" x14ac:dyDescent="0.25">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c r="AK150" s="179"/>
      <c r="AL150" s="179"/>
      <c r="AM150" s="179"/>
      <c r="AN150" s="179"/>
      <c r="AO150" s="179"/>
      <c r="AP150" s="179"/>
      <c r="AQ150" s="179"/>
      <c r="AR150" s="179"/>
      <c r="AS150" s="179"/>
      <c r="AT150" s="179"/>
      <c r="AU150" s="179"/>
      <c r="AV150" s="179"/>
      <c r="AW150" s="179"/>
      <c r="AX150" s="179"/>
      <c r="AY150" s="179"/>
      <c r="AZ150" s="179"/>
      <c r="BA150" s="179"/>
      <c r="BB150" s="179"/>
      <c r="BC150" s="179"/>
      <c r="BD150" s="179"/>
      <c r="BE150" s="179"/>
      <c r="BF150" s="179"/>
      <c r="BG150" s="179"/>
      <c r="BH150" s="179"/>
    </row>
    <row r="151" spans="16:60" s="20" customFormat="1" x14ac:dyDescent="0.25">
      <c r="P151" s="179"/>
      <c r="Q151" s="179"/>
      <c r="R151" s="179"/>
      <c r="S151" s="179"/>
      <c r="T151" s="179"/>
      <c r="U151" s="179"/>
      <c r="V151" s="179"/>
      <c r="W151" s="179"/>
      <c r="X151" s="179"/>
      <c r="Y151" s="179"/>
      <c r="Z151" s="179"/>
      <c r="AA151" s="179"/>
      <c r="AB151" s="179"/>
      <c r="AC151" s="179"/>
      <c r="AD151" s="179"/>
      <c r="AE151" s="179"/>
      <c r="AF151" s="179"/>
      <c r="AG151" s="179"/>
      <c r="AH151" s="179"/>
      <c r="AI151" s="179"/>
      <c r="AJ151" s="179"/>
      <c r="AK151" s="179"/>
      <c r="AL151" s="179"/>
      <c r="AM151" s="179"/>
      <c r="AN151" s="179"/>
      <c r="AO151" s="179"/>
      <c r="AP151" s="179"/>
      <c r="AQ151" s="179"/>
      <c r="AR151" s="179"/>
      <c r="AS151" s="179"/>
      <c r="AT151" s="179"/>
      <c r="AU151" s="179"/>
      <c r="AV151" s="179"/>
      <c r="AW151" s="179"/>
      <c r="AX151" s="179"/>
      <c r="AY151" s="179"/>
      <c r="AZ151" s="179"/>
      <c r="BA151" s="179"/>
      <c r="BB151" s="179"/>
      <c r="BC151" s="179"/>
      <c r="BD151" s="179"/>
      <c r="BE151" s="179"/>
      <c r="BF151" s="179"/>
      <c r="BG151" s="179"/>
      <c r="BH151" s="179"/>
    </row>
    <row r="152" spans="16:60" s="20" customFormat="1" x14ac:dyDescent="0.25">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row>
    <row r="153" spans="16:60" s="20" customFormat="1" x14ac:dyDescent="0.25">
      <c r="P153" s="179"/>
      <c r="Q153" s="179"/>
      <c r="R153" s="179"/>
      <c r="S153" s="179"/>
      <c r="T153" s="179"/>
      <c r="U153" s="179"/>
      <c r="V153" s="179"/>
      <c r="W153" s="179"/>
      <c r="X153" s="179"/>
      <c r="Y153" s="179"/>
      <c r="Z153" s="179"/>
      <c r="AA153" s="179"/>
      <c r="AB153" s="179"/>
      <c r="AC153" s="179"/>
      <c r="AD153" s="179"/>
      <c r="AE153" s="179"/>
      <c r="AF153" s="179"/>
      <c r="AG153" s="179"/>
      <c r="AH153" s="179"/>
      <c r="AI153" s="179"/>
      <c r="AJ153" s="179"/>
      <c r="AK153" s="179"/>
      <c r="AL153" s="179"/>
      <c r="AM153" s="179"/>
      <c r="AN153" s="179"/>
      <c r="AO153" s="179"/>
      <c r="AP153" s="179"/>
      <c r="AQ153" s="179"/>
      <c r="AR153" s="179"/>
      <c r="AS153" s="179"/>
      <c r="AT153" s="179"/>
      <c r="AU153" s="179"/>
      <c r="AV153" s="179"/>
      <c r="AW153" s="179"/>
      <c r="AX153" s="179"/>
      <c r="AY153" s="179"/>
      <c r="AZ153" s="179"/>
      <c r="BA153" s="179"/>
      <c r="BB153" s="179"/>
      <c r="BC153" s="179"/>
      <c r="BD153" s="179"/>
      <c r="BE153" s="179"/>
      <c r="BF153" s="179"/>
      <c r="BG153" s="179"/>
      <c r="BH153" s="179"/>
    </row>
    <row r="154" spans="16:60" s="20" customFormat="1" x14ac:dyDescent="0.25">
      <c r="P154" s="179"/>
      <c r="Q154" s="179"/>
      <c r="R154" s="179"/>
      <c r="S154" s="179"/>
      <c r="T154" s="179"/>
      <c r="U154" s="179"/>
      <c r="V154" s="179"/>
      <c r="W154" s="179"/>
      <c r="X154" s="179"/>
      <c r="Y154" s="179"/>
      <c r="Z154" s="179"/>
      <c r="AA154" s="179"/>
      <c r="AB154" s="179"/>
      <c r="AC154" s="179"/>
      <c r="AD154" s="179"/>
      <c r="AE154" s="179"/>
      <c r="AF154" s="179"/>
      <c r="AG154" s="179"/>
      <c r="AH154" s="179"/>
      <c r="AI154" s="179"/>
      <c r="AJ154" s="179"/>
      <c r="AK154" s="179"/>
      <c r="AL154" s="179"/>
      <c r="AM154" s="179"/>
      <c r="AN154" s="179"/>
      <c r="AO154" s="179"/>
      <c r="AP154" s="179"/>
      <c r="AQ154" s="179"/>
      <c r="AR154" s="179"/>
      <c r="AS154" s="179"/>
      <c r="AT154" s="179"/>
      <c r="AU154" s="179"/>
      <c r="AV154" s="179"/>
      <c r="AW154" s="179"/>
      <c r="AX154" s="179"/>
      <c r="AY154" s="179"/>
      <c r="AZ154" s="179"/>
      <c r="BA154" s="179"/>
      <c r="BB154" s="179"/>
      <c r="BC154" s="179"/>
      <c r="BD154" s="179"/>
      <c r="BE154" s="179"/>
      <c r="BF154" s="179"/>
      <c r="BG154" s="179"/>
      <c r="BH154" s="179"/>
    </row>
    <row r="155" spans="16:60" s="20" customFormat="1" x14ac:dyDescent="0.25">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c r="AO155" s="179"/>
      <c r="AP155" s="179"/>
      <c r="AQ155" s="179"/>
      <c r="AR155" s="179"/>
      <c r="AS155" s="179"/>
      <c r="AT155" s="179"/>
      <c r="AU155" s="179"/>
      <c r="AV155" s="179"/>
      <c r="AW155" s="179"/>
      <c r="AX155" s="179"/>
      <c r="AY155" s="179"/>
      <c r="AZ155" s="179"/>
      <c r="BA155" s="179"/>
      <c r="BB155" s="179"/>
      <c r="BC155" s="179"/>
      <c r="BD155" s="179"/>
      <c r="BE155" s="179"/>
      <c r="BF155" s="179"/>
      <c r="BG155" s="179"/>
      <c r="BH155" s="179"/>
    </row>
    <row r="156" spans="16:60" s="20" customFormat="1" x14ac:dyDescent="0.25">
      <c r="P156" s="179"/>
      <c r="Q156" s="179"/>
      <c r="R156" s="179"/>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c r="AO156" s="179"/>
      <c r="AP156" s="179"/>
      <c r="AQ156" s="179"/>
      <c r="AR156" s="179"/>
      <c r="AS156" s="179"/>
      <c r="AT156" s="179"/>
      <c r="AU156" s="179"/>
      <c r="AV156" s="179"/>
      <c r="AW156" s="179"/>
      <c r="AX156" s="179"/>
      <c r="AY156" s="179"/>
      <c r="AZ156" s="179"/>
      <c r="BA156" s="179"/>
      <c r="BB156" s="179"/>
      <c r="BC156" s="179"/>
      <c r="BD156" s="179"/>
      <c r="BE156" s="179"/>
      <c r="BF156" s="179"/>
      <c r="BG156" s="179"/>
      <c r="BH156" s="179"/>
    </row>
    <row r="157" spans="16:60" s="20" customFormat="1" x14ac:dyDescent="0.25">
      <c r="P157" s="179"/>
      <c r="Q157" s="179"/>
      <c r="R157" s="179"/>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c r="AO157" s="179"/>
      <c r="AP157" s="179"/>
      <c r="AQ157" s="179"/>
      <c r="AR157" s="179"/>
      <c r="AS157" s="179"/>
      <c r="AT157" s="179"/>
      <c r="AU157" s="179"/>
      <c r="AV157" s="179"/>
      <c r="AW157" s="179"/>
      <c r="AX157" s="179"/>
      <c r="AY157" s="179"/>
      <c r="AZ157" s="179"/>
      <c r="BA157" s="179"/>
      <c r="BB157" s="179"/>
      <c r="BC157" s="179"/>
      <c r="BD157" s="179"/>
      <c r="BE157" s="179"/>
      <c r="BF157" s="179"/>
      <c r="BG157" s="179"/>
      <c r="BH157" s="179"/>
    </row>
    <row r="158" spans="16:60" s="20" customFormat="1" x14ac:dyDescent="0.25">
      <c r="P158" s="179"/>
      <c r="Q158" s="179"/>
      <c r="R158" s="179"/>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c r="AS158" s="179"/>
      <c r="AT158" s="179"/>
      <c r="AU158" s="179"/>
      <c r="AV158" s="179"/>
      <c r="AW158" s="179"/>
      <c r="AX158" s="179"/>
      <c r="AY158" s="179"/>
      <c r="AZ158" s="179"/>
      <c r="BA158" s="179"/>
      <c r="BB158" s="179"/>
      <c r="BC158" s="179"/>
      <c r="BD158" s="179"/>
      <c r="BE158" s="179"/>
      <c r="BF158" s="179"/>
      <c r="BG158" s="179"/>
      <c r="BH158" s="179"/>
    </row>
    <row r="159" spans="16:60" s="20" customFormat="1" x14ac:dyDescent="0.25">
      <c r="P159" s="179"/>
      <c r="Q159" s="179"/>
      <c r="R159" s="179"/>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c r="AO159" s="179"/>
      <c r="AP159" s="179"/>
      <c r="AQ159" s="179"/>
      <c r="AR159" s="179"/>
      <c r="AS159" s="179"/>
      <c r="AT159" s="179"/>
      <c r="AU159" s="179"/>
      <c r="AV159" s="179"/>
      <c r="AW159" s="179"/>
      <c r="AX159" s="179"/>
      <c r="AY159" s="179"/>
      <c r="AZ159" s="179"/>
      <c r="BA159" s="179"/>
      <c r="BB159" s="179"/>
      <c r="BC159" s="179"/>
      <c r="BD159" s="179"/>
      <c r="BE159" s="179"/>
      <c r="BF159" s="179"/>
      <c r="BG159" s="179"/>
      <c r="BH159" s="179"/>
    </row>
    <row r="160" spans="16:60" s="20" customFormat="1" x14ac:dyDescent="0.25">
      <c r="P160" s="179"/>
      <c r="Q160" s="179"/>
      <c r="R160" s="179"/>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c r="AO160" s="179"/>
      <c r="AP160" s="179"/>
      <c r="AQ160" s="179"/>
      <c r="AR160" s="179"/>
      <c r="AS160" s="179"/>
      <c r="AT160" s="179"/>
      <c r="AU160" s="179"/>
      <c r="AV160" s="179"/>
      <c r="AW160" s="179"/>
      <c r="AX160" s="179"/>
      <c r="AY160" s="179"/>
      <c r="AZ160" s="179"/>
      <c r="BA160" s="179"/>
      <c r="BB160" s="179"/>
      <c r="BC160" s="179"/>
      <c r="BD160" s="179"/>
      <c r="BE160" s="179"/>
      <c r="BF160" s="179"/>
      <c r="BG160" s="179"/>
      <c r="BH160" s="179"/>
    </row>
    <row r="161" spans="16:60" s="20" customFormat="1" x14ac:dyDescent="0.25">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179"/>
      <c r="AV161" s="179"/>
      <c r="AW161" s="179"/>
      <c r="AX161" s="179"/>
      <c r="AY161" s="179"/>
      <c r="AZ161" s="179"/>
      <c r="BA161" s="179"/>
      <c r="BB161" s="179"/>
      <c r="BC161" s="179"/>
      <c r="BD161" s="179"/>
      <c r="BE161" s="179"/>
      <c r="BF161" s="179"/>
      <c r="BG161" s="179"/>
      <c r="BH161" s="179"/>
    </row>
    <row r="162" spans="16:60" s="20" customFormat="1" x14ac:dyDescent="0.25">
      <c r="P162" s="179"/>
      <c r="Q162" s="179"/>
      <c r="R162" s="179"/>
      <c r="S162" s="179"/>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c r="AO162" s="179"/>
      <c r="AP162" s="179"/>
      <c r="AQ162" s="179"/>
      <c r="AR162" s="179"/>
      <c r="AS162" s="179"/>
      <c r="AT162" s="179"/>
      <c r="AU162" s="179"/>
      <c r="AV162" s="179"/>
      <c r="AW162" s="179"/>
      <c r="AX162" s="179"/>
      <c r="AY162" s="179"/>
      <c r="AZ162" s="179"/>
      <c r="BA162" s="179"/>
      <c r="BB162" s="179"/>
      <c r="BC162" s="179"/>
      <c r="BD162" s="179"/>
      <c r="BE162" s="179"/>
      <c r="BF162" s="179"/>
      <c r="BG162" s="179"/>
      <c r="BH162" s="179"/>
    </row>
    <row r="163" spans="16:60" s="20" customFormat="1" x14ac:dyDescent="0.25">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79"/>
      <c r="AL163" s="179"/>
      <c r="AM163" s="179"/>
      <c r="AN163" s="179"/>
      <c r="AO163" s="179"/>
      <c r="AP163" s="179"/>
      <c r="AQ163" s="179"/>
      <c r="AR163" s="179"/>
      <c r="AS163" s="179"/>
      <c r="AT163" s="179"/>
      <c r="AU163" s="179"/>
      <c r="AV163" s="179"/>
      <c r="AW163" s="179"/>
      <c r="AX163" s="179"/>
      <c r="AY163" s="179"/>
      <c r="AZ163" s="179"/>
      <c r="BA163" s="179"/>
      <c r="BB163" s="179"/>
      <c r="BC163" s="179"/>
      <c r="BD163" s="179"/>
      <c r="BE163" s="179"/>
      <c r="BF163" s="179"/>
      <c r="BG163" s="179"/>
      <c r="BH163" s="179"/>
    </row>
    <row r="164" spans="16:60" s="20" customFormat="1" x14ac:dyDescent="0.25">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c r="AO164" s="179"/>
      <c r="AP164" s="179"/>
      <c r="AQ164" s="179"/>
      <c r="AR164" s="179"/>
      <c r="AS164" s="179"/>
      <c r="AT164" s="179"/>
      <c r="AU164" s="179"/>
      <c r="AV164" s="179"/>
      <c r="AW164" s="179"/>
      <c r="AX164" s="179"/>
      <c r="AY164" s="179"/>
      <c r="AZ164" s="179"/>
      <c r="BA164" s="179"/>
      <c r="BB164" s="179"/>
      <c r="BC164" s="179"/>
      <c r="BD164" s="179"/>
      <c r="BE164" s="179"/>
      <c r="BF164" s="179"/>
      <c r="BG164" s="179"/>
      <c r="BH164" s="179"/>
    </row>
    <row r="165" spans="16:60" s="20" customFormat="1" x14ac:dyDescent="0.25">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79"/>
      <c r="AQ165" s="179"/>
      <c r="AR165" s="179"/>
      <c r="AS165" s="179"/>
      <c r="AT165" s="179"/>
      <c r="AU165" s="179"/>
      <c r="AV165" s="179"/>
      <c r="AW165" s="179"/>
      <c r="AX165" s="179"/>
      <c r="AY165" s="179"/>
      <c r="AZ165" s="179"/>
      <c r="BA165" s="179"/>
      <c r="BB165" s="179"/>
      <c r="BC165" s="179"/>
      <c r="BD165" s="179"/>
      <c r="BE165" s="179"/>
      <c r="BF165" s="179"/>
      <c r="BG165" s="179"/>
      <c r="BH165" s="179"/>
    </row>
    <row r="166" spans="16:60" s="20" customFormat="1" x14ac:dyDescent="0.25">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c r="AP166" s="179"/>
      <c r="AQ166" s="179"/>
      <c r="AR166" s="179"/>
      <c r="AS166" s="179"/>
      <c r="AT166" s="179"/>
      <c r="AU166" s="179"/>
      <c r="AV166" s="179"/>
      <c r="AW166" s="179"/>
      <c r="AX166" s="179"/>
      <c r="AY166" s="179"/>
      <c r="AZ166" s="179"/>
      <c r="BA166" s="179"/>
      <c r="BB166" s="179"/>
      <c r="BC166" s="179"/>
      <c r="BD166" s="179"/>
      <c r="BE166" s="179"/>
      <c r="BF166" s="179"/>
      <c r="BG166" s="179"/>
      <c r="BH166" s="179"/>
    </row>
    <row r="167" spans="16:60" s="20" customFormat="1" x14ac:dyDescent="0.25">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79"/>
      <c r="AQ167" s="179"/>
      <c r="AR167" s="179"/>
      <c r="AS167" s="179"/>
      <c r="AT167" s="179"/>
      <c r="AU167" s="179"/>
      <c r="AV167" s="179"/>
      <c r="AW167" s="179"/>
      <c r="AX167" s="179"/>
      <c r="AY167" s="179"/>
      <c r="AZ167" s="179"/>
      <c r="BA167" s="179"/>
      <c r="BB167" s="179"/>
      <c r="BC167" s="179"/>
      <c r="BD167" s="179"/>
      <c r="BE167" s="179"/>
      <c r="BF167" s="179"/>
      <c r="BG167" s="179"/>
      <c r="BH167" s="179"/>
    </row>
    <row r="168" spans="16:60" s="20" customFormat="1" x14ac:dyDescent="0.25">
      <c r="P168" s="179"/>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79"/>
      <c r="AL168" s="179"/>
      <c r="AM168" s="179"/>
      <c r="AN168" s="179"/>
      <c r="AO168" s="179"/>
      <c r="AP168" s="179"/>
      <c r="AQ168" s="179"/>
      <c r="AR168" s="179"/>
      <c r="AS168" s="179"/>
      <c r="AT168" s="179"/>
      <c r="AU168" s="179"/>
      <c r="AV168" s="179"/>
      <c r="AW168" s="179"/>
      <c r="AX168" s="179"/>
      <c r="AY168" s="179"/>
      <c r="AZ168" s="179"/>
      <c r="BA168" s="179"/>
      <c r="BB168" s="179"/>
      <c r="BC168" s="179"/>
      <c r="BD168" s="179"/>
      <c r="BE168" s="179"/>
      <c r="BF168" s="179"/>
      <c r="BG168" s="179"/>
      <c r="BH168" s="179"/>
    </row>
    <row r="169" spans="16:60" s="20" customFormat="1" x14ac:dyDescent="0.25">
      <c r="P169" s="179"/>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79"/>
      <c r="AL169" s="179"/>
      <c r="AM169" s="179"/>
      <c r="AN169" s="179"/>
      <c r="AO169" s="179"/>
      <c r="AP169" s="179"/>
      <c r="AQ169" s="179"/>
      <c r="AR169" s="179"/>
      <c r="AS169" s="179"/>
      <c r="AT169" s="179"/>
      <c r="AU169" s="179"/>
      <c r="AV169" s="179"/>
      <c r="AW169" s="179"/>
      <c r="AX169" s="179"/>
      <c r="AY169" s="179"/>
      <c r="AZ169" s="179"/>
      <c r="BA169" s="179"/>
      <c r="BB169" s="179"/>
      <c r="BC169" s="179"/>
      <c r="BD169" s="179"/>
      <c r="BE169" s="179"/>
      <c r="BF169" s="179"/>
      <c r="BG169" s="179"/>
      <c r="BH169" s="179"/>
    </row>
    <row r="170" spans="16:60" s="20" customFormat="1" x14ac:dyDescent="0.25">
      <c r="P170" s="179"/>
      <c r="Q170" s="179"/>
      <c r="R170" s="179"/>
      <c r="S170" s="179"/>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c r="AO170" s="179"/>
      <c r="AP170" s="179"/>
      <c r="AQ170" s="179"/>
      <c r="AR170" s="179"/>
      <c r="AS170" s="179"/>
      <c r="AT170" s="179"/>
      <c r="AU170" s="179"/>
      <c r="AV170" s="179"/>
      <c r="AW170" s="179"/>
      <c r="AX170" s="179"/>
      <c r="AY170" s="179"/>
      <c r="AZ170" s="179"/>
      <c r="BA170" s="179"/>
      <c r="BB170" s="179"/>
      <c r="BC170" s="179"/>
      <c r="BD170" s="179"/>
      <c r="BE170" s="179"/>
      <c r="BF170" s="179"/>
      <c r="BG170" s="179"/>
      <c r="BH170" s="179"/>
    </row>
    <row r="171" spans="16:60" s="20" customFormat="1" x14ac:dyDescent="0.25">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79"/>
      <c r="AP171" s="179"/>
      <c r="AQ171" s="179"/>
      <c r="AR171" s="179"/>
      <c r="AS171" s="179"/>
      <c r="AT171" s="179"/>
      <c r="AU171" s="179"/>
      <c r="AV171" s="179"/>
      <c r="AW171" s="179"/>
      <c r="AX171" s="179"/>
      <c r="AY171" s="179"/>
      <c r="AZ171" s="179"/>
      <c r="BA171" s="179"/>
      <c r="BB171" s="179"/>
      <c r="BC171" s="179"/>
      <c r="BD171" s="179"/>
      <c r="BE171" s="179"/>
      <c r="BF171" s="179"/>
      <c r="BG171" s="179"/>
      <c r="BH171" s="179"/>
    </row>
    <row r="172" spans="16:60" s="20" customFormat="1" x14ac:dyDescent="0.25">
      <c r="P172" s="179"/>
      <c r="Q172" s="179"/>
      <c r="R172" s="179"/>
      <c r="S172" s="179"/>
      <c r="T172" s="179"/>
      <c r="U172" s="179"/>
      <c r="V172" s="179"/>
      <c r="W172" s="179"/>
      <c r="X172" s="179"/>
      <c r="Y172" s="179"/>
      <c r="Z172" s="179"/>
      <c r="AA172" s="179"/>
      <c r="AB172" s="179"/>
      <c r="AC172" s="179"/>
      <c r="AD172" s="179"/>
      <c r="AE172" s="179"/>
      <c r="AF172" s="179"/>
      <c r="AG172" s="179"/>
      <c r="AH172" s="179"/>
      <c r="AI172" s="179"/>
      <c r="AJ172" s="179"/>
      <c r="AK172" s="179"/>
      <c r="AL172" s="179"/>
      <c r="AM172" s="179"/>
      <c r="AN172" s="179"/>
      <c r="AO172" s="179"/>
      <c r="AP172" s="179"/>
      <c r="AQ172" s="179"/>
      <c r="AR172" s="179"/>
      <c r="AS172" s="179"/>
      <c r="AT172" s="179"/>
      <c r="AU172" s="179"/>
      <c r="AV172" s="179"/>
      <c r="AW172" s="179"/>
      <c r="AX172" s="179"/>
      <c r="AY172" s="179"/>
      <c r="AZ172" s="179"/>
      <c r="BA172" s="179"/>
      <c r="BB172" s="179"/>
      <c r="BC172" s="179"/>
      <c r="BD172" s="179"/>
      <c r="BE172" s="179"/>
      <c r="BF172" s="179"/>
      <c r="BG172" s="179"/>
      <c r="BH172" s="179"/>
    </row>
    <row r="173" spans="16:60" s="20" customFormat="1" x14ac:dyDescent="0.25">
      <c r="P173" s="179"/>
      <c r="Q173" s="179"/>
      <c r="R173" s="179"/>
      <c r="S173" s="179"/>
      <c r="T173" s="179"/>
      <c r="U173" s="179"/>
      <c r="V173" s="179"/>
      <c r="W173" s="179"/>
      <c r="X173" s="179"/>
      <c r="Y173" s="179"/>
      <c r="Z173" s="179"/>
      <c r="AA173" s="179"/>
      <c r="AB173" s="179"/>
      <c r="AC173" s="179"/>
      <c r="AD173" s="179"/>
      <c r="AE173" s="179"/>
      <c r="AF173" s="179"/>
      <c r="AG173" s="179"/>
      <c r="AH173" s="179"/>
      <c r="AI173" s="179"/>
      <c r="AJ173" s="179"/>
      <c r="AK173" s="179"/>
      <c r="AL173" s="179"/>
      <c r="AM173" s="179"/>
      <c r="AN173" s="179"/>
      <c r="AO173" s="179"/>
      <c r="AP173" s="179"/>
      <c r="AQ173" s="179"/>
      <c r="AR173" s="179"/>
      <c r="AS173" s="179"/>
      <c r="AT173" s="179"/>
      <c r="AU173" s="179"/>
      <c r="AV173" s="179"/>
      <c r="AW173" s="179"/>
      <c r="AX173" s="179"/>
      <c r="AY173" s="179"/>
      <c r="AZ173" s="179"/>
      <c r="BA173" s="179"/>
      <c r="BB173" s="179"/>
      <c r="BC173" s="179"/>
      <c r="BD173" s="179"/>
      <c r="BE173" s="179"/>
      <c r="BF173" s="179"/>
      <c r="BG173" s="179"/>
      <c r="BH173" s="179"/>
    </row>
    <row r="174" spans="16:60" s="20" customFormat="1" x14ac:dyDescent="0.25">
      <c r="P174" s="179"/>
      <c r="Q174" s="179"/>
      <c r="R174" s="179"/>
      <c r="S174" s="179"/>
      <c r="T174" s="179"/>
      <c r="U174" s="179"/>
      <c r="V174" s="179"/>
      <c r="W174" s="179"/>
      <c r="X174" s="179"/>
      <c r="Y174" s="179"/>
      <c r="Z174" s="179"/>
      <c r="AA174" s="179"/>
      <c r="AB174" s="179"/>
      <c r="AC174" s="179"/>
      <c r="AD174" s="179"/>
      <c r="AE174" s="179"/>
      <c r="AF174" s="179"/>
      <c r="AG174" s="179"/>
      <c r="AH174" s="179"/>
      <c r="AI174" s="179"/>
      <c r="AJ174" s="179"/>
      <c r="AK174" s="179"/>
      <c r="AL174" s="179"/>
      <c r="AM174" s="179"/>
      <c r="AN174" s="179"/>
      <c r="AO174" s="179"/>
      <c r="AP174" s="179"/>
      <c r="AQ174" s="179"/>
      <c r="AR174" s="179"/>
      <c r="AS174" s="179"/>
      <c r="AT174" s="179"/>
      <c r="AU174" s="179"/>
      <c r="AV174" s="179"/>
      <c r="AW174" s="179"/>
      <c r="AX174" s="179"/>
      <c r="AY174" s="179"/>
      <c r="AZ174" s="179"/>
      <c r="BA174" s="179"/>
      <c r="BB174" s="179"/>
      <c r="BC174" s="179"/>
      <c r="BD174" s="179"/>
      <c r="BE174" s="179"/>
      <c r="BF174" s="179"/>
      <c r="BG174" s="179"/>
      <c r="BH174" s="179"/>
    </row>
    <row r="175" spans="16:60" s="20" customFormat="1" x14ac:dyDescent="0.25">
      <c r="P175" s="179"/>
      <c r="Q175" s="17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c r="AO175" s="179"/>
      <c r="AP175" s="179"/>
      <c r="AQ175" s="179"/>
      <c r="AR175" s="179"/>
      <c r="AS175" s="179"/>
      <c r="AT175" s="179"/>
      <c r="AU175" s="179"/>
      <c r="AV175" s="179"/>
      <c r="AW175" s="179"/>
      <c r="AX175" s="179"/>
      <c r="AY175" s="179"/>
      <c r="AZ175" s="179"/>
      <c r="BA175" s="179"/>
      <c r="BB175" s="179"/>
      <c r="BC175" s="179"/>
      <c r="BD175" s="179"/>
      <c r="BE175" s="179"/>
      <c r="BF175" s="179"/>
      <c r="BG175" s="179"/>
      <c r="BH175" s="179"/>
    </row>
    <row r="176" spans="16:60" s="20" customFormat="1" x14ac:dyDescent="0.25">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c r="AS176" s="179"/>
      <c r="AT176" s="179"/>
      <c r="AU176" s="179"/>
      <c r="AV176" s="179"/>
      <c r="AW176" s="179"/>
      <c r="AX176" s="179"/>
      <c r="AY176" s="179"/>
      <c r="AZ176" s="179"/>
      <c r="BA176" s="179"/>
      <c r="BB176" s="179"/>
      <c r="BC176" s="179"/>
      <c r="BD176" s="179"/>
      <c r="BE176" s="179"/>
      <c r="BF176" s="179"/>
      <c r="BG176" s="179"/>
      <c r="BH176" s="179"/>
    </row>
    <row r="177" spans="16:60" s="20" customFormat="1" x14ac:dyDescent="0.25">
      <c r="P177" s="179"/>
      <c r="Q177" s="17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c r="AO177" s="179"/>
      <c r="AP177" s="179"/>
      <c r="AQ177" s="179"/>
      <c r="AR177" s="179"/>
      <c r="AS177" s="179"/>
      <c r="AT177" s="179"/>
      <c r="AU177" s="179"/>
      <c r="AV177" s="179"/>
      <c r="AW177" s="179"/>
      <c r="AX177" s="179"/>
      <c r="AY177" s="179"/>
      <c r="AZ177" s="179"/>
      <c r="BA177" s="179"/>
      <c r="BB177" s="179"/>
      <c r="BC177" s="179"/>
      <c r="BD177" s="179"/>
      <c r="BE177" s="179"/>
      <c r="BF177" s="179"/>
      <c r="BG177" s="179"/>
      <c r="BH177" s="179"/>
    </row>
    <row r="178" spans="16:60" s="20" customFormat="1" x14ac:dyDescent="0.25">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c r="AP178" s="179"/>
      <c r="AQ178" s="179"/>
      <c r="AR178" s="179"/>
      <c r="AS178" s="179"/>
      <c r="AT178" s="179"/>
      <c r="AU178" s="179"/>
      <c r="AV178" s="179"/>
      <c r="AW178" s="179"/>
      <c r="AX178" s="179"/>
      <c r="AY178" s="179"/>
      <c r="AZ178" s="179"/>
      <c r="BA178" s="179"/>
      <c r="BB178" s="179"/>
      <c r="BC178" s="179"/>
      <c r="BD178" s="179"/>
      <c r="BE178" s="179"/>
      <c r="BF178" s="179"/>
      <c r="BG178" s="179"/>
      <c r="BH178" s="179"/>
    </row>
    <row r="179" spans="16:60" s="20" customFormat="1" x14ac:dyDescent="0.25">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c r="AO179" s="179"/>
      <c r="AP179" s="179"/>
      <c r="AQ179" s="179"/>
      <c r="AR179" s="179"/>
      <c r="AS179" s="179"/>
      <c r="AT179" s="179"/>
      <c r="AU179" s="179"/>
      <c r="AV179" s="179"/>
      <c r="AW179" s="179"/>
      <c r="AX179" s="179"/>
      <c r="AY179" s="179"/>
      <c r="AZ179" s="179"/>
      <c r="BA179" s="179"/>
      <c r="BB179" s="179"/>
      <c r="BC179" s="179"/>
      <c r="BD179" s="179"/>
      <c r="BE179" s="179"/>
      <c r="BF179" s="179"/>
      <c r="BG179" s="179"/>
      <c r="BH179" s="179"/>
    </row>
    <row r="180" spans="16:60" s="20" customFormat="1" x14ac:dyDescent="0.25">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79"/>
      <c r="AK180" s="179"/>
      <c r="AL180" s="179"/>
      <c r="AM180" s="179"/>
      <c r="AN180" s="179"/>
      <c r="AO180" s="179"/>
      <c r="AP180" s="179"/>
      <c r="AQ180" s="179"/>
      <c r="AR180" s="179"/>
      <c r="AS180" s="179"/>
      <c r="AT180" s="179"/>
      <c r="AU180" s="179"/>
      <c r="AV180" s="179"/>
      <c r="AW180" s="179"/>
      <c r="AX180" s="179"/>
      <c r="AY180" s="179"/>
      <c r="AZ180" s="179"/>
      <c r="BA180" s="179"/>
      <c r="BB180" s="179"/>
      <c r="BC180" s="179"/>
      <c r="BD180" s="179"/>
      <c r="BE180" s="179"/>
      <c r="BF180" s="179"/>
      <c r="BG180" s="179"/>
      <c r="BH180" s="179"/>
    </row>
    <row r="181" spans="16:60" s="20" customFormat="1" x14ac:dyDescent="0.25">
      <c r="P181" s="179"/>
      <c r="Q181" s="179"/>
      <c r="R181" s="179"/>
      <c r="S181" s="179"/>
      <c r="T181" s="179"/>
      <c r="U181" s="179"/>
      <c r="V181" s="179"/>
      <c r="W181" s="179"/>
      <c r="X181" s="179"/>
      <c r="Y181" s="179"/>
      <c r="Z181" s="179"/>
      <c r="AA181" s="179"/>
      <c r="AB181" s="179"/>
      <c r="AC181" s="179"/>
      <c r="AD181" s="179"/>
      <c r="AE181" s="179"/>
      <c r="AF181" s="179"/>
      <c r="AG181" s="179"/>
      <c r="AH181" s="179"/>
      <c r="AI181" s="179"/>
      <c r="AJ181" s="179"/>
      <c r="AK181" s="179"/>
      <c r="AL181" s="179"/>
      <c r="AM181" s="179"/>
      <c r="AN181" s="179"/>
      <c r="AO181" s="179"/>
      <c r="AP181" s="179"/>
      <c r="AQ181" s="179"/>
      <c r="AR181" s="179"/>
      <c r="AS181" s="179"/>
      <c r="AT181" s="179"/>
      <c r="AU181" s="179"/>
      <c r="AV181" s="179"/>
      <c r="AW181" s="179"/>
      <c r="AX181" s="179"/>
      <c r="AY181" s="179"/>
      <c r="AZ181" s="179"/>
      <c r="BA181" s="179"/>
      <c r="BB181" s="179"/>
      <c r="BC181" s="179"/>
      <c r="BD181" s="179"/>
      <c r="BE181" s="179"/>
      <c r="BF181" s="179"/>
      <c r="BG181" s="179"/>
      <c r="BH181" s="179"/>
    </row>
    <row r="182" spans="16:60" s="20" customFormat="1" x14ac:dyDescent="0.25">
      <c r="P182" s="179"/>
      <c r="Q182" s="179"/>
      <c r="R182" s="179"/>
      <c r="S182" s="179"/>
      <c r="T182" s="179"/>
      <c r="U182" s="179"/>
      <c r="V182" s="179"/>
      <c r="W182" s="179"/>
      <c r="X182" s="179"/>
      <c r="Y182" s="179"/>
      <c r="Z182" s="179"/>
      <c r="AA182" s="179"/>
      <c r="AB182" s="179"/>
      <c r="AC182" s="179"/>
      <c r="AD182" s="179"/>
      <c r="AE182" s="179"/>
      <c r="AF182" s="179"/>
      <c r="AG182" s="179"/>
      <c r="AH182" s="179"/>
      <c r="AI182" s="179"/>
      <c r="AJ182" s="179"/>
      <c r="AK182" s="179"/>
      <c r="AL182" s="179"/>
      <c r="AM182" s="179"/>
      <c r="AN182" s="179"/>
      <c r="AO182" s="179"/>
      <c r="AP182" s="179"/>
      <c r="AQ182" s="179"/>
      <c r="AR182" s="179"/>
      <c r="AS182" s="179"/>
      <c r="AT182" s="179"/>
      <c r="AU182" s="179"/>
      <c r="AV182" s="179"/>
      <c r="AW182" s="179"/>
      <c r="AX182" s="179"/>
      <c r="AY182" s="179"/>
      <c r="AZ182" s="179"/>
      <c r="BA182" s="179"/>
      <c r="BB182" s="179"/>
      <c r="BC182" s="179"/>
      <c r="BD182" s="179"/>
      <c r="BE182" s="179"/>
      <c r="BF182" s="179"/>
      <c r="BG182" s="179"/>
      <c r="BH182" s="179"/>
    </row>
    <row r="183" spans="16:60" s="20" customFormat="1" x14ac:dyDescent="0.25">
      <c r="P183" s="179"/>
      <c r="Q183" s="179"/>
      <c r="R183" s="179"/>
      <c r="S183" s="179"/>
      <c r="T183" s="179"/>
      <c r="U183" s="179"/>
      <c r="V183" s="179"/>
      <c r="W183" s="179"/>
      <c r="X183" s="179"/>
      <c r="Y183" s="179"/>
      <c r="Z183" s="179"/>
      <c r="AA183" s="179"/>
      <c r="AB183" s="179"/>
      <c r="AC183" s="179"/>
      <c r="AD183" s="179"/>
      <c r="AE183" s="179"/>
      <c r="AF183" s="179"/>
      <c r="AG183" s="179"/>
      <c r="AH183" s="179"/>
      <c r="AI183" s="179"/>
      <c r="AJ183" s="179"/>
      <c r="AK183" s="179"/>
      <c r="AL183" s="179"/>
      <c r="AM183" s="179"/>
      <c r="AN183" s="179"/>
      <c r="AO183" s="179"/>
      <c r="AP183" s="179"/>
      <c r="AQ183" s="179"/>
      <c r="AR183" s="179"/>
      <c r="AS183" s="179"/>
      <c r="AT183" s="179"/>
      <c r="AU183" s="179"/>
      <c r="AV183" s="179"/>
      <c r="AW183" s="179"/>
      <c r="AX183" s="179"/>
      <c r="AY183" s="179"/>
      <c r="AZ183" s="179"/>
      <c r="BA183" s="179"/>
      <c r="BB183" s="179"/>
      <c r="BC183" s="179"/>
      <c r="BD183" s="179"/>
      <c r="BE183" s="179"/>
      <c r="BF183" s="179"/>
      <c r="BG183" s="179"/>
      <c r="BH183" s="179"/>
    </row>
    <row r="184" spans="16:60" s="20" customFormat="1" x14ac:dyDescent="0.25">
      <c r="P184" s="179"/>
      <c r="Q184" s="179"/>
      <c r="R184" s="179"/>
      <c r="S184" s="179"/>
      <c r="T184" s="179"/>
      <c r="U184" s="179"/>
      <c r="V184" s="179"/>
      <c r="W184" s="179"/>
      <c r="X184" s="179"/>
      <c r="Y184" s="179"/>
      <c r="Z184" s="179"/>
      <c r="AA184" s="179"/>
      <c r="AB184" s="179"/>
      <c r="AC184" s="179"/>
      <c r="AD184" s="179"/>
      <c r="AE184" s="179"/>
      <c r="AF184" s="179"/>
      <c r="AG184" s="179"/>
      <c r="AH184" s="179"/>
      <c r="AI184" s="179"/>
      <c r="AJ184" s="179"/>
      <c r="AK184" s="179"/>
      <c r="AL184" s="179"/>
      <c r="AM184" s="179"/>
      <c r="AN184" s="179"/>
      <c r="AO184" s="179"/>
      <c r="AP184" s="179"/>
      <c r="AQ184" s="179"/>
      <c r="AR184" s="179"/>
      <c r="AS184" s="179"/>
      <c r="AT184" s="179"/>
      <c r="AU184" s="179"/>
      <c r="AV184" s="179"/>
      <c r="AW184" s="179"/>
      <c r="AX184" s="179"/>
      <c r="AY184" s="179"/>
      <c r="AZ184" s="179"/>
      <c r="BA184" s="179"/>
      <c r="BB184" s="179"/>
      <c r="BC184" s="179"/>
      <c r="BD184" s="179"/>
      <c r="BE184" s="179"/>
      <c r="BF184" s="179"/>
      <c r="BG184" s="179"/>
      <c r="BH184" s="179"/>
    </row>
    <row r="185" spans="16:60" s="20" customFormat="1" x14ac:dyDescent="0.25">
      <c r="P185" s="179"/>
      <c r="Q185" s="179"/>
      <c r="R185" s="179"/>
      <c r="S185" s="179"/>
      <c r="T185" s="179"/>
      <c r="U185" s="179"/>
      <c r="V185" s="179"/>
      <c r="W185" s="179"/>
      <c r="X185" s="179"/>
      <c r="Y185" s="179"/>
      <c r="Z185" s="179"/>
      <c r="AA185" s="179"/>
      <c r="AB185" s="179"/>
      <c r="AC185" s="179"/>
      <c r="AD185" s="179"/>
      <c r="AE185" s="179"/>
      <c r="AF185" s="179"/>
      <c r="AG185" s="179"/>
      <c r="AH185" s="179"/>
      <c r="AI185" s="179"/>
      <c r="AJ185" s="179"/>
      <c r="AK185" s="179"/>
      <c r="AL185" s="179"/>
      <c r="AM185" s="179"/>
      <c r="AN185" s="179"/>
      <c r="AO185" s="179"/>
      <c r="AP185" s="179"/>
      <c r="AQ185" s="179"/>
      <c r="AR185" s="179"/>
      <c r="AS185" s="179"/>
      <c r="AT185" s="179"/>
      <c r="AU185" s="179"/>
      <c r="AV185" s="179"/>
      <c r="AW185" s="179"/>
      <c r="AX185" s="179"/>
      <c r="AY185" s="179"/>
      <c r="AZ185" s="179"/>
      <c r="BA185" s="179"/>
      <c r="BB185" s="179"/>
      <c r="BC185" s="179"/>
      <c r="BD185" s="179"/>
      <c r="BE185" s="179"/>
      <c r="BF185" s="179"/>
      <c r="BG185" s="179"/>
      <c r="BH185" s="179"/>
    </row>
    <row r="186" spans="16:60" s="20" customFormat="1" x14ac:dyDescent="0.25">
      <c r="P186" s="179"/>
      <c r="Q186" s="179"/>
      <c r="R186" s="179"/>
      <c r="S186" s="179"/>
      <c r="T186" s="179"/>
      <c r="U186" s="179"/>
      <c r="V186" s="179"/>
      <c r="W186" s="179"/>
      <c r="X186" s="179"/>
      <c r="Y186" s="179"/>
      <c r="Z186" s="179"/>
      <c r="AA186" s="179"/>
      <c r="AB186" s="179"/>
      <c r="AC186" s="179"/>
      <c r="AD186" s="179"/>
      <c r="AE186" s="179"/>
      <c r="AF186" s="179"/>
      <c r="AG186" s="179"/>
      <c r="AH186" s="179"/>
      <c r="AI186" s="179"/>
      <c r="AJ186" s="179"/>
      <c r="AK186" s="179"/>
      <c r="AL186" s="179"/>
      <c r="AM186" s="179"/>
      <c r="AN186" s="179"/>
      <c r="AO186" s="179"/>
      <c r="AP186" s="179"/>
      <c r="AQ186" s="179"/>
      <c r="AR186" s="179"/>
      <c r="AS186" s="179"/>
      <c r="AT186" s="179"/>
      <c r="AU186" s="179"/>
      <c r="AV186" s="179"/>
      <c r="AW186" s="179"/>
      <c r="AX186" s="179"/>
      <c r="AY186" s="179"/>
      <c r="AZ186" s="179"/>
      <c r="BA186" s="179"/>
      <c r="BB186" s="179"/>
      <c r="BC186" s="179"/>
      <c r="BD186" s="179"/>
      <c r="BE186" s="179"/>
      <c r="BF186" s="179"/>
      <c r="BG186" s="179"/>
      <c r="BH186" s="179"/>
    </row>
    <row r="187" spans="16:60" s="20" customFormat="1" x14ac:dyDescent="0.25">
      <c r="P187" s="179"/>
      <c r="Q187" s="179"/>
      <c r="R187" s="179"/>
      <c r="S187" s="179"/>
      <c r="T187" s="179"/>
      <c r="U187" s="179"/>
      <c r="V187" s="179"/>
      <c r="W187" s="179"/>
      <c r="X187" s="179"/>
      <c r="Y187" s="179"/>
      <c r="Z187" s="179"/>
      <c r="AA187" s="179"/>
      <c r="AB187" s="179"/>
      <c r="AC187" s="179"/>
      <c r="AD187" s="179"/>
      <c r="AE187" s="179"/>
      <c r="AF187" s="179"/>
      <c r="AG187" s="179"/>
      <c r="AH187" s="179"/>
      <c r="AI187" s="179"/>
      <c r="AJ187" s="179"/>
      <c r="AK187" s="179"/>
      <c r="AL187" s="179"/>
      <c r="AM187" s="179"/>
      <c r="AN187" s="179"/>
      <c r="AO187" s="179"/>
      <c r="AP187" s="179"/>
      <c r="AQ187" s="179"/>
      <c r="AR187" s="179"/>
      <c r="AS187" s="179"/>
      <c r="AT187" s="179"/>
      <c r="AU187" s="179"/>
      <c r="AV187" s="179"/>
      <c r="AW187" s="179"/>
      <c r="AX187" s="179"/>
      <c r="AY187" s="179"/>
      <c r="AZ187" s="179"/>
      <c r="BA187" s="179"/>
      <c r="BB187" s="179"/>
      <c r="BC187" s="179"/>
      <c r="BD187" s="179"/>
      <c r="BE187" s="179"/>
      <c r="BF187" s="179"/>
      <c r="BG187" s="179"/>
      <c r="BH187" s="179"/>
    </row>
    <row r="188" spans="16:60" s="20" customFormat="1" x14ac:dyDescent="0.25">
      <c r="P188" s="179"/>
      <c r="Q188" s="179"/>
      <c r="R188" s="179"/>
      <c r="S188" s="179"/>
      <c r="T188" s="179"/>
      <c r="U188" s="179"/>
      <c r="V188" s="179"/>
      <c r="W188" s="179"/>
      <c r="X188" s="179"/>
      <c r="Y188" s="179"/>
      <c r="Z188" s="179"/>
      <c r="AA188" s="179"/>
      <c r="AB188" s="179"/>
      <c r="AC188" s="179"/>
      <c r="AD188" s="179"/>
      <c r="AE188" s="179"/>
      <c r="AF188" s="179"/>
      <c r="AG188" s="179"/>
      <c r="AH188" s="179"/>
      <c r="AI188" s="179"/>
      <c r="AJ188" s="179"/>
      <c r="AK188" s="179"/>
      <c r="AL188" s="179"/>
      <c r="AM188" s="179"/>
      <c r="AN188" s="179"/>
      <c r="AO188" s="179"/>
      <c r="AP188" s="179"/>
      <c r="AQ188" s="179"/>
      <c r="AR188" s="179"/>
      <c r="AS188" s="179"/>
      <c r="AT188" s="179"/>
      <c r="AU188" s="179"/>
      <c r="AV188" s="179"/>
      <c r="AW188" s="179"/>
      <c r="AX188" s="179"/>
      <c r="AY188" s="179"/>
      <c r="AZ188" s="179"/>
      <c r="BA188" s="179"/>
      <c r="BB188" s="179"/>
      <c r="BC188" s="179"/>
      <c r="BD188" s="179"/>
      <c r="BE188" s="179"/>
      <c r="BF188" s="179"/>
      <c r="BG188" s="179"/>
      <c r="BH188" s="179"/>
    </row>
    <row r="189" spans="16:60" s="20" customFormat="1" x14ac:dyDescent="0.25">
      <c r="P189" s="179"/>
      <c r="Q189" s="179"/>
      <c r="R189" s="179"/>
      <c r="S189" s="179"/>
      <c r="T189" s="179"/>
      <c r="U189" s="179"/>
      <c r="V189" s="179"/>
      <c r="W189" s="179"/>
      <c r="X189" s="179"/>
      <c r="Y189" s="179"/>
      <c r="Z189" s="179"/>
      <c r="AA189" s="179"/>
      <c r="AB189" s="179"/>
      <c r="AC189" s="179"/>
      <c r="AD189" s="179"/>
      <c r="AE189" s="179"/>
      <c r="AF189" s="179"/>
      <c r="AG189" s="179"/>
      <c r="AH189" s="179"/>
      <c r="AI189" s="179"/>
      <c r="AJ189" s="179"/>
      <c r="AK189" s="179"/>
      <c r="AL189" s="179"/>
      <c r="AM189" s="179"/>
      <c r="AN189" s="179"/>
      <c r="AO189" s="179"/>
      <c r="AP189" s="179"/>
      <c r="AQ189" s="179"/>
      <c r="AR189" s="179"/>
      <c r="AS189" s="179"/>
      <c r="AT189" s="179"/>
      <c r="AU189" s="179"/>
      <c r="AV189" s="179"/>
      <c r="AW189" s="179"/>
      <c r="AX189" s="179"/>
      <c r="AY189" s="179"/>
      <c r="AZ189" s="179"/>
      <c r="BA189" s="179"/>
      <c r="BB189" s="179"/>
      <c r="BC189" s="179"/>
      <c r="BD189" s="179"/>
      <c r="BE189" s="179"/>
      <c r="BF189" s="179"/>
      <c r="BG189" s="179"/>
      <c r="BH189" s="179"/>
    </row>
    <row r="190" spans="16:60" s="20" customFormat="1" x14ac:dyDescent="0.25">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79"/>
      <c r="AK190" s="179"/>
      <c r="AL190" s="179"/>
      <c r="AM190" s="179"/>
      <c r="AN190" s="179"/>
      <c r="AO190" s="179"/>
      <c r="AP190" s="179"/>
      <c r="AQ190" s="179"/>
      <c r="AR190" s="179"/>
      <c r="AS190" s="179"/>
      <c r="AT190" s="179"/>
      <c r="AU190" s="179"/>
      <c r="AV190" s="179"/>
      <c r="AW190" s="179"/>
      <c r="AX190" s="179"/>
      <c r="AY190" s="179"/>
      <c r="AZ190" s="179"/>
      <c r="BA190" s="179"/>
      <c r="BB190" s="179"/>
      <c r="BC190" s="179"/>
      <c r="BD190" s="179"/>
      <c r="BE190" s="179"/>
      <c r="BF190" s="179"/>
      <c r="BG190" s="179"/>
      <c r="BH190" s="179"/>
    </row>
    <row r="191" spans="16:60" s="20" customFormat="1" x14ac:dyDescent="0.25">
      <c r="P191" s="179"/>
      <c r="Q191" s="179"/>
      <c r="R191" s="179"/>
      <c r="S191" s="179"/>
      <c r="T191" s="179"/>
      <c r="U191" s="179"/>
      <c r="V191" s="179"/>
      <c r="W191" s="179"/>
      <c r="X191" s="179"/>
      <c r="Y191" s="179"/>
      <c r="Z191" s="179"/>
      <c r="AA191" s="179"/>
      <c r="AB191" s="179"/>
      <c r="AC191" s="179"/>
      <c r="AD191" s="179"/>
      <c r="AE191" s="179"/>
      <c r="AF191" s="179"/>
      <c r="AG191" s="179"/>
      <c r="AH191" s="179"/>
      <c r="AI191" s="179"/>
      <c r="AJ191" s="179"/>
      <c r="AK191" s="179"/>
      <c r="AL191" s="179"/>
      <c r="AM191" s="179"/>
      <c r="AN191" s="179"/>
      <c r="AO191" s="179"/>
      <c r="AP191" s="179"/>
      <c r="AQ191" s="179"/>
      <c r="AR191" s="179"/>
      <c r="AS191" s="179"/>
      <c r="AT191" s="179"/>
      <c r="AU191" s="179"/>
      <c r="AV191" s="179"/>
      <c r="AW191" s="179"/>
      <c r="AX191" s="179"/>
      <c r="AY191" s="179"/>
      <c r="AZ191" s="179"/>
      <c r="BA191" s="179"/>
      <c r="BB191" s="179"/>
      <c r="BC191" s="179"/>
      <c r="BD191" s="179"/>
      <c r="BE191" s="179"/>
      <c r="BF191" s="179"/>
      <c r="BG191" s="179"/>
      <c r="BH191" s="179"/>
    </row>
    <row r="192" spans="16:60" s="20" customFormat="1" x14ac:dyDescent="0.25">
      <c r="P192" s="179"/>
      <c r="Q192" s="179"/>
      <c r="R192" s="179"/>
      <c r="S192" s="179"/>
      <c r="T192" s="179"/>
      <c r="U192" s="179"/>
      <c r="V192" s="179"/>
      <c r="W192" s="179"/>
      <c r="X192" s="179"/>
      <c r="Y192" s="179"/>
      <c r="Z192" s="179"/>
      <c r="AA192" s="179"/>
      <c r="AB192" s="179"/>
      <c r="AC192" s="179"/>
      <c r="AD192" s="179"/>
      <c r="AE192" s="179"/>
      <c r="AF192" s="179"/>
      <c r="AG192" s="179"/>
      <c r="AH192" s="179"/>
      <c r="AI192" s="179"/>
      <c r="AJ192" s="179"/>
      <c r="AK192" s="179"/>
      <c r="AL192" s="179"/>
      <c r="AM192" s="179"/>
      <c r="AN192" s="179"/>
      <c r="AO192" s="179"/>
      <c r="AP192" s="179"/>
      <c r="AQ192" s="179"/>
      <c r="AR192" s="179"/>
      <c r="AS192" s="179"/>
      <c r="AT192" s="179"/>
      <c r="AU192" s="179"/>
      <c r="AV192" s="179"/>
      <c r="AW192" s="179"/>
      <c r="AX192" s="179"/>
      <c r="AY192" s="179"/>
      <c r="AZ192" s="179"/>
      <c r="BA192" s="179"/>
      <c r="BB192" s="179"/>
      <c r="BC192" s="179"/>
      <c r="BD192" s="179"/>
      <c r="BE192" s="179"/>
      <c r="BF192" s="179"/>
      <c r="BG192" s="179"/>
      <c r="BH192" s="179"/>
    </row>
    <row r="193" spans="16:60" s="20" customFormat="1" x14ac:dyDescent="0.25">
      <c r="P193" s="179"/>
      <c r="Q193" s="179"/>
      <c r="R193" s="179"/>
      <c r="S193" s="179"/>
      <c r="T193" s="179"/>
      <c r="U193" s="179"/>
      <c r="V193" s="179"/>
      <c r="W193" s="179"/>
      <c r="X193" s="179"/>
      <c r="Y193" s="179"/>
      <c r="Z193" s="179"/>
      <c r="AA193" s="179"/>
      <c r="AB193" s="179"/>
      <c r="AC193" s="179"/>
      <c r="AD193" s="179"/>
      <c r="AE193" s="179"/>
      <c r="AF193" s="179"/>
      <c r="AG193" s="179"/>
      <c r="AH193" s="179"/>
      <c r="AI193" s="179"/>
      <c r="AJ193" s="179"/>
      <c r="AK193" s="179"/>
      <c r="AL193" s="179"/>
      <c r="AM193" s="179"/>
      <c r="AN193" s="179"/>
      <c r="AO193" s="179"/>
      <c r="AP193" s="179"/>
      <c r="AQ193" s="179"/>
      <c r="AR193" s="179"/>
      <c r="AS193" s="179"/>
      <c r="AT193" s="179"/>
      <c r="AU193" s="179"/>
      <c r="AV193" s="179"/>
      <c r="AW193" s="179"/>
      <c r="AX193" s="179"/>
      <c r="AY193" s="179"/>
      <c r="AZ193" s="179"/>
      <c r="BA193" s="179"/>
      <c r="BB193" s="179"/>
      <c r="BC193" s="179"/>
      <c r="BD193" s="179"/>
      <c r="BE193" s="179"/>
      <c r="BF193" s="179"/>
      <c r="BG193" s="179"/>
      <c r="BH193" s="179"/>
    </row>
    <row r="194" spans="16:60" s="20" customFormat="1" x14ac:dyDescent="0.25">
      <c r="P194" s="179"/>
      <c r="Q194" s="179"/>
      <c r="R194" s="179"/>
      <c r="S194" s="179"/>
      <c r="T194" s="179"/>
      <c r="U194" s="179"/>
      <c r="V194" s="179"/>
      <c r="W194" s="179"/>
      <c r="X194" s="179"/>
      <c r="Y194" s="179"/>
      <c r="Z194" s="179"/>
      <c r="AA194" s="179"/>
      <c r="AB194" s="179"/>
      <c r="AC194" s="179"/>
      <c r="AD194" s="179"/>
      <c r="AE194" s="179"/>
      <c r="AF194" s="179"/>
      <c r="AG194" s="179"/>
      <c r="AH194" s="179"/>
      <c r="AI194" s="179"/>
      <c r="AJ194" s="179"/>
      <c r="AK194" s="179"/>
      <c r="AL194" s="179"/>
      <c r="AM194" s="179"/>
      <c r="AN194" s="179"/>
      <c r="AO194" s="179"/>
      <c r="AP194" s="179"/>
      <c r="AQ194" s="179"/>
      <c r="AR194" s="179"/>
      <c r="AS194" s="179"/>
      <c r="AT194" s="179"/>
      <c r="AU194" s="179"/>
      <c r="AV194" s="179"/>
      <c r="AW194" s="179"/>
      <c r="AX194" s="179"/>
      <c r="AY194" s="179"/>
      <c r="AZ194" s="179"/>
      <c r="BA194" s="179"/>
      <c r="BB194" s="179"/>
      <c r="BC194" s="179"/>
      <c r="BD194" s="179"/>
      <c r="BE194" s="179"/>
      <c r="BF194" s="179"/>
      <c r="BG194" s="179"/>
      <c r="BH194" s="179"/>
    </row>
    <row r="195" spans="16:60" s="20" customFormat="1" x14ac:dyDescent="0.25">
      <c r="P195" s="179"/>
      <c r="Q195" s="179"/>
      <c r="R195" s="179"/>
      <c r="S195" s="179"/>
      <c r="T195" s="179"/>
      <c r="U195" s="179"/>
      <c r="V195" s="179"/>
      <c r="W195" s="179"/>
      <c r="X195" s="179"/>
      <c r="Y195" s="179"/>
      <c r="Z195" s="179"/>
      <c r="AA195" s="179"/>
      <c r="AB195" s="179"/>
      <c r="AC195" s="179"/>
      <c r="AD195" s="179"/>
      <c r="AE195" s="179"/>
      <c r="AF195" s="179"/>
      <c r="AG195" s="179"/>
      <c r="AH195" s="179"/>
      <c r="AI195" s="179"/>
      <c r="AJ195" s="179"/>
      <c r="AK195" s="179"/>
      <c r="AL195" s="179"/>
      <c r="AM195" s="179"/>
      <c r="AN195" s="179"/>
      <c r="AO195" s="179"/>
      <c r="AP195" s="179"/>
      <c r="AQ195" s="179"/>
      <c r="AR195" s="179"/>
      <c r="AS195" s="179"/>
      <c r="AT195" s="179"/>
      <c r="AU195" s="179"/>
      <c r="AV195" s="179"/>
      <c r="AW195" s="179"/>
      <c r="AX195" s="179"/>
      <c r="AY195" s="179"/>
      <c r="AZ195" s="179"/>
      <c r="BA195" s="179"/>
      <c r="BB195" s="179"/>
      <c r="BC195" s="179"/>
      <c r="BD195" s="179"/>
      <c r="BE195" s="179"/>
      <c r="BF195" s="179"/>
      <c r="BG195" s="179"/>
      <c r="BH195" s="179"/>
    </row>
    <row r="196" spans="16:60" s="20" customFormat="1" x14ac:dyDescent="0.25">
      <c r="P196" s="179"/>
      <c r="Q196" s="179"/>
      <c r="R196" s="179"/>
      <c r="S196" s="179"/>
      <c r="T196" s="179"/>
      <c r="U196" s="179"/>
      <c r="V196" s="179"/>
      <c r="W196" s="179"/>
      <c r="X196" s="179"/>
      <c r="Y196" s="179"/>
      <c r="Z196" s="179"/>
      <c r="AA196" s="179"/>
      <c r="AB196" s="179"/>
      <c r="AC196" s="179"/>
      <c r="AD196" s="179"/>
      <c r="AE196" s="179"/>
      <c r="AF196" s="179"/>
      <c r="AG196" s="179"/>
      <c r="AH196" s="179"/>
      <c r="AI196" s="179"/>
      <c r="AJ196" s="179"/>
      <c r="AK196" s="179"/>
      <c r="AL196" s="179"/>
      <c r="AM196" s="179"/>
      <c r="AN196" s="179"/>
      <c r="AO196" s="179"/>
      <c r="AP196" s="179"/>
      <c r="AQ196" s="179"/>
      <c r="AR196" s="179"/>
      <c r="AS196" s="179"/>
      <c r="AT196" s="179"/>
      <c r="AU196" s="179"/>
      <c r="AV196" s="179"/>
      <c r="AW196" s="179"/>
      <c r="AX196" s="179"/>
      <c r="AY196" s="179"/>
      <c r="AZ196" s="179"/>
      <c r="BA196" s="179"/>
      <c r="BB196" s="179"/>
      <c r="BC196" s="179"/>
      <c r="BD196" s="179"/>
      <c r="BE196" s="179"/>
      <c r="BF196" s="179"/>
      <c r="BG196" s="179"/>
      <c r="BH196" s="179"/>
    </row>
    <row r="197" spans="16:60" s="20" customFormat="1" x14ac:dyDescent="0.25">
      <c r="P197" s="179"/>
      <c r="Q197" s="179"/>
      <c r="R197" s="179"/>
      <c r="S197" s="179"/>
      <c r="T197" s="179"/>
      <c r="U197" s="179"/>
      <c r="V197" s="179"/>
      <c r="W197" s="179"/>
      <c r="X197" s="179"/>
      <c r="Y197" s="179"/>
      <c r="Z197" s="179"/>
      <c r="AA197" s="179"/>
      <c r="AB197" s="179"/>
      <c r="AC197" s="179"/>
      <c r="AD197" s="179"/>
      <c r="AE197" s="179"/>
      <c r="AF197" s="179"/>
      <c r="AG197" s="179"/>
      <c r="AH197" s="179"/>
      <c r="AI197" s="179"/>
      <c r="AJ197" s="179"/>
      <c r="AK197" s="179"/>
      <c r="AL197" s="179"/>
      <c r="AM197" s="179"/>
      <c r="AN197" s="179"/>
      <c r="AO197" s="179"/>
      <c r="AP197" s="179"/>
      <c r="AQ197" s="179"/>
      <c r="AR197" s="179"/>
      <c r="AS197" s="179"/>
      <c r="AT197" s="179"/>
      <c r="AU197" s="179"/>
      <c r="AV197" s="179"/>
      <c r="AW197" s="179"/>
      <c r="AX197" s="179"/>
      <c r="AY197" s="179"/>
      <c r="AZ197" s="179"/>
      <c r="BA197" s="179"/>
      <c r="BB197" s="179"/>
      <c r="BC197" s="179"/>
      <c r="BD197" s="179"/>
      <c r="BE197" s="179"/>
      <c r="BF197" s="179"/>
      <c r="BG197" s="179"/>
      <c r="BH197" s="179"/>
    </row>
    <row r="198" spans="16:60" s="20" customFormat="1" x14ac:dyDescent="0.25">
      <c r="P198" s="179"/>
      <c r="Q198" s="179"/>
      <c r="R198" s="179"/>
      <c r="S198" s="179"/>
      <c r="T198" s="179"/>
      <c r="U198" s="179"/>
      <c r="V198" s="179"/>
      <c r="W198" s="179"/>
      <c r="X198" s="179"/>
      <c r="Y198" s="179"/>
      <c r="Z198" s="179"/>
      <c r="AA198" s="179"/>
      <c r="AB198" s="179"/>
      <c r="AC198" s="179"/>
      <c r="AD198" s="179"/>
      <c r="AE198" s="179"/>
      <c r="AF198" s="179"/>
      <c r="AG198" s="179"/>
      <c r="AH198" s="179"/>
      <c r="AI198" s="179"/>
      <c r="AJ198" s="179"/>
      <c r="AK198" s="179"/>
      <c r="AL198" s="179"/>
      <c r="AM198" s="179"/>
      <c r="AN198" s="179"/>
      <c r="AO198" s="179"/>
      <c r="AP198" s="179"/>
      <c r="AQ198" s="179"/>
      <c r="AR198" s="179"/>
      <c r="AS198" s="179"/>
      <c r="AT198" s="179"/>
      <c r="AU198" s="179"/>
      <c r="AV198" s="179"/>
      <c r="AW198" s="179"/>
      <c r="AX198" s="179"/>
      <c r="AY198" s="179"/>
      <c r="AZ198" s="179"/>
      <c r="BA198" s="179"/>
      <c r="BB198" s="179"/>
      <c r="BC198" s="179"/>
      <c r="BD198" s="179"/>
      <c r="BE198" s="179"/>
      <c r="BF198" s="179"/>
      <c r="BG198" s="179"/>
      <c r="BH198" s="179"/>
    </row>
    <row r="199" spans="16:60" s="20" customFormat="1" x14ac:dyDescent="0.25">
      <c r="P199" s="179"/>
      <c r="Q199" s="179"/>
      <c r="R199" s="179"/>
      <c r="S199" s="179"/>
      <c r="T199" s="179"/>
      <c r="U199" s="179"/>
      <c r="V199" s="179"/>
      <c r="W199" s="179"/>
      <c r="X199" s="179"/>
      <c r="Y199" s="179"/>
      <c r="Z199" s="179"/>
      <c r="AA199" s="179"/>
      <c r="AB199" s="179"/>
      <c r="AC199" s="179"/>
      <c r="AD199" s="179"/>
      <c r="AE199" s="179"/>
      <c r="AF199" s="179"/>
      <c r="AG199" s="179"/>
      <c r="AH199" s="179"/>
      <c r="AI199" s="179"/>
      <c r="AJ199" s="179"/>
      <c r="AK199" s="179"/>
      <c r="AL199" s="179"/>
      <c r="AM199" s="179"/>
      <c r="AN199" s="179"/>
      <c r="AO199" s="179"/>
      <c r="AP199" s="179"/>
      <c r="AQ199" s="179"/>
      <c r="AR199" s="179"/>
      <c r="AS199" s="179"/>
      <c r="AT199" s="179"/>
      <c r="AU199" s="179"/>
      <c r="AV199" s="179"/>
      <c r="AW199" s="179"/>
      <c r="AX199" s="179"/>
      <c r="AY199" s="179"/>
      <c r="AZ199" s="179"/>
      <c r="BA199" s="179"/>
      <c r="BB199" s="179"/>
      <c r="BC199" s="179"/>
      <c r="BD199" s="179"/>
      <c r="BE199" s="179"/>
      <c r="BF199" s="179"/>
      <c r="BG199" s="179"/>
      <c r="BH199" s="179"/>
    </row>
    <row r="200" spans="16:60" s="20" customFormat="1" x14ac:dyDescent="0.25">
      <c r="P200" s="179"/>
      <c r="Q200" s="179"/>
      <c r="R200" s="179"/>
      <c r="S200" s="179"/>
      <c r="T200" s="179"/>
      <c r="U200" s="179"/>
      <c r="V200" s="179"/>
      <c r="W200" s="179"/>
      <c r="X200" s="179"/>
      <c r="Y200" s="179"/>
      <c r="Z200" s="179"/>
      <c r="AA200" s="179"/>
      <c r="AB200" s="179"/>
      <c r="AC200" s="179"/>
      <c r="AD200" s="179"/>
      <c r="AE200" s="179"/>
      <c r="AF200" s="179"/>
      <c r="AG200" s="179"/>
      <c r="AH200" s="179"/>
      <c r="AI200" s="179"/>
      <c r="AJ200" s="179"/>
      <c r="AK200" s="179"/>
      <c r="AL200" s="179"/>
      <c r="AM200" s="179"/>
      <c r="AN200" s="179"/>
      <c r="AO200" s="179"/>
      <c r="AP200" s="179"/>
      <c r="AQ200" s="179"/>
      <c r="AR200" s="179"/>
      <c r="AS200" s="179"/>
      <c r="AT200" s="179"/>
      <c r="AU200" s="179"/>
      <c r="AV200" s="179"/>
      <c r="AW200" s="179"/>
      <c r="AX200" s="179"/>
      <c r="AY200" s="179"/>
      <c r="AZ200" s="179"/>
      <c r="BA200" s="179"/>
      <c r="BB200" s="179"/>
      <c r="BC200" s="179"/>
      <c r="BD200" s="179"/>
      <c r="BE200" s="179"/>
      <c r="BF200" s="179"/>
      <c r="BG200" s="179"/>
      <c r="BH200" s="179"/>
    </row>
    <row r="201" spans="16:60" s="20" customFormat="1" x14ac:dyDescent="0.25">
      <c r="P201" s="179"/>
      <c r="Q201" s="179"/>
      <c r="R201" s="179"/>
      <c r="S201" s="179"/>
      <c r="T201" s="179"/>
      <c r="U201" s="179"/>
      <c r="V201" s="179"/>
      <c r="W201" s="179"/>
      <c r="X201" s="179"/>
      <c r="Y201" s="179"/>
      <c r="Z201" s="179"/>
      <c r="AA201" s="179"/>
      <c r="AB201" s="179"/>
      <c r="AC201" s="179"/>
      <c r="AD201" s="179"/>
      <c r="AE201" s="179"/>
      <c r="AF201" s="179"/>
      <c r="AG201" s="179"/>
      <c r="AH201" s="179"/>
      <c r="AI201" s="179"/>
      <c r="AJ201" s="179"/>
      <c r="AK201" s="179"/>
      <c r="AL201" s="179"/>
      <c r="AM201" s="179"/>
      <c r="AN201" s="179"/>
      <c r="AO201" s="179"/>
      <c r="AP201" s="179"/>
      <c r="AQ201" s="179"/>
      <c r="AR201" s="179"/>
      <c r="AS201" s="179"/>
      <c r="AT201" s="179"/>
      <c r="AU201" s="179"/>
      <c r="AV201" s="179"/>
      <c r="AW201" s="179"/>
      <c r="AX201" s="179"/>
      <c r="AY201" s="179"/>
      <c r="AZ201" s="179"/>
      <c r="BA201" s="179"/>
      <c r="BB201" s="179"/>
      <c r="BC201" s="179"/>
      <c r="BD201" s="179"/>
      <c r="BE201" s="179"/>
      <c r="BF201" s="179"/>
      <c r="BG201" s="179"/>
      <c r="BH201" s="179"/>
    </row>
    <row r="202" spans="16:60" s="20" customFormat="1" x14ac:dyDescent="0.25">
      <c r="P202" s="179"/>
      <c r="Q202" s="179"/>
      <c r="R202" s="179"/>
      <c r="S202" s="179"/>
      <c r="T202" s="179"/>
      <c r="U202" s="179"/>
      <c r="V202" s="179"/>
      <c r="W202" s="179"/>
      <c r="X202" s="179"/>
      <c r="Y202" s="179"/>
      <c r="Z202" s="179"/>
      <c r="AA202" s="179"/>
      <c r="AB202" s="179"/>
      <c r="AC202" s="179"/>
      <c r="AD202" s="179"/>
      <c r="AE202" s="179"/>
      <c r="AF202" s="179"/>
      <c r="AG202" s="179"/>
      <c r="AH202" s="179"/>
      <c r="AI202" s="179"/>
      <c r="AJ202" s="179"/>
      <c r="AK202" s="179"/>
      <c r="AL202" s="179"/>
      <c r="AM202" s="179"/>
      <c r="AN202" s="179"/>
      <c r="AO202" s="179"/>
      <c r="AP202" s="179"/>
      <c r="AQ202" s="179"/>
      <c r="AR202" s="179"/>
      <c r="AS202" s="179"/>
      <c r="AT202" s="179"/>
      <c r="AU202" s="179"/>
      <c r="AV202" s="179"/>
      <c r="AW202" s="179"/>
      <c r="AX202" s="179"/>
      <c r="AY202" s="179"/>
      <c r="AZ202" s="179"/>
      <c r="BA202" s="179"/>
      <c r="BB202" s="179"/>
      <c r="BC202" s="179"/>
      <c r="BD202" s="179"/>
      <c r="BE202" s="179"/>
      <c r="BF202" s="179"/>
      <c r="BG202" s="179"/>
      <c r="BH202" s="179"/>
    </row>
    <row r="203" spans="16:60" s="20" customFormat="1" x14ac:dyDescent="0.25">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c r="BC203" s="179"/>
      <c r="BD203" s="179"/>
      <c r="BE203" s="179"/>
      <c r="BF203" s="179"/>
      <c r="BG203" s="179"/>
      <c r="BH203" s="179"/>
    </row>
    <row r="204" spans="16:60" s="20" customFormat="1" x14ac:dyDescent="0.25">
      <c r="P204" s="179"/>
      <c r="Q204" s="179"/>
      <c r="R204" s="179"/>
      <c r="S204" s="179"/>
      <c r="T204" s="179"/>
      <c r="U204" s="179"/>
      <c r="V204" s="179"/>
      <c r="W204" s="179"/>
      <c r="X204" s="179"/>
      <c r="Y204" s="179"/>
      <c r="Z204" s="179"/>
      <c r="AA204" s="179"/>
      <c r="AB204" s="179"/>
      <c r="AC204" s="179"/>
      <c r="AD204" s="179"/>
      <c r="AE204" s="179"/>
      <c r="AF204" s="179"/>
      <c r="AG204" s="179"/>
      <c r="AH204" s="179"/>
      <c r="AI204" s="179"/>
      <c r="AJ204" s="179"/>
      <c r="AK204" s="179"/>
      <c r="AL204" s="179"/>
      <c r="AM204" s="179"/>
      <c r="AN204" s="179"/>
      <c r="AO204" s="179"/>
      <c r="AP204" s="179"/>
      <c r="AQ204" s="179"/>
      <c r="AR204" s="179"/>
      <c r="AS204" s="179"/>
      <c r="AT204" s="179"/>
      <c r="AU204" s="179"/>
      <c r="AV204" s="179"/>
      <c r="AW204" s="179"/>
      <c r="AX204" s="179"/>
      <c r="AY204" s="179"/>
      <c r="AZ204" s="179"/>
      <c r="BA204" s="179"/>
      <c r="BB204" s="179"/>
      <c r="BC204" s="179"/>
      <c r="BD204" s="179"/>
      <c r="BE204" s="179"/>
      <c r="BF204" s="179"/>
      <c r="BG204" s="179"/>
      <c r="BH204" s="179"/>
    </row>
    <row r="205" spans="16:60" s="20" customFormat="1" x14ac:dyDescent="0.25">
      <c r="P205" s="179"/>
      <c r="Q205" s="179"/>
      <c r="R205" s="179"/>
      <c r="S205" s="179"/>
      <c r="T205" s="179"/>
      <c r="U205" s="179"/>
      <c r="V205" s="179"/>
      <c r="W205" s="179"/>
      <c r="X205" s="179"/>
      <c r="Y205" s="179"/>
      <c r="Z205" s="179"/>
      <c r="AA205" s="179"/>
      <c r="AB205" s="179"/>
      <c r="AC205" s="179"/>
      <c r="AD205" s="179"/>
      <c r="AE205" s="179"/>
      <c r="AF205" s="179"/>
      <c r="AG205" s="179"/>
      <c r="AH205" s="179"/>
      <c r="AI205" s="179"/>
      <c r="AJ205" s="179"/>
      <c r="AK205" s="179"/>
      <c r="AL205" s="179"/>
      <c r="AM205" s="179"/>
      <c r="AN205" s="179"/>
      <c r="AO205" s="179"/>
      <c r="AP205" s="179"/>
      <c r="AQ205" s="179"/>
      <c r="AR205" s="179"/>
      <c r="AS205" s="179"/>
      <c r="AT205" s="179"/>
      <c r="AU205" s="179"/>
      <c r="AV205" s="179"/>
      <c r="AW205" s="179"/>
      <c r="AX205" s="179"/>
      <c r="AY205" s="179"/>
      <c r="AZ205" s="179"/>
      <c r="BA205" s="179"/>
      <c r="BB205" s="179"/>
      <c r="BC205" s="179"/>
      <c r="BD205" s="179"/>
      <c r="BE205" s="179"/>
      <c r="BF205" s="179"/>
      <c r="BG205" s="179"/>
      <c r="BH205" s="179"/>
    </row>
    <row r="206" spans="16:60" s="20" customFormat="1" x14ac:dyDescent="0.25">
      <c r="P206" s="179"/>
      <c r="Q206" s="179"/>
      <c r="R206" s="179"/>
      <c r="S206" s="179"/>
      <c r="T206" s="179"/>
      <c r="U206" s="179"/>
      <c r="V206" s="179"/>
      <c r="W206" s="179"/>
      <c r="X206" s="179"/>
      <c r="Y206" s="179"/>
      <c r="Z206" s="179"/>
      <c r="AA206" s="179"/>
      <c r="AB206" s="179"/>
      <c r="AC206" s="179"/>
      <c r="AD206" s="179"/>
      <c r="AE206" s="179"/>
      <c r="AF206" s="179"/>
      <c r="AG206" s="179"/>
      <c r="AH206" s="179"/>
      <c r="AI206" s="179"/>
      <c r="AJ206" s="179"/>
      <c r="AK206" s="179"/>
      <c r="AL206" s="179"/>
      <c r="AM206" s="179"/>
      <c r="AN206" s="179"/>
      <c r="AO206" s="179"/>
      <c r="AP206" s="179"/>
      <c r="AQ206" s="179"/>
      <c r="AR206" s="179"/>
      <c r="AS206" s="179"/>
      <c r="AT206" s="179"/>
      <c r="AU206" s="179"/>
      <c r="AV206" s="179"/>
      <c r="AW206" s="179"/>
      <c r="AX206" s="179"/>
      <c r="AY206" s="179"/>
      <c r="AZ206" s="179"/>
      <c r="BA206" s="179"/>
      <c r="BB206" s="179"/>
      <c r="BC206" s="179"/>
      <c r="BD206" s="179"/>
      <c r="BE206" s="179"/>
      <c r="BF206" s="179"/>
      <c r="BG206" s="179"/>
      <c r="BH206" s="179"/>
    </row>
    <row r="207" spans="16:60" s="20" customFormat="1" x14ac:dyDescent="0.25">
      <c r="P207" s="179"/>
      <c r="Q207" s="179"/>
      <c r="R207" s="179"/>
      <c r="S207" s="179"/>
      <c r="T207" s="179"/>
      <c r="U207" s="179"/>
      <c r="V207" s="179"/>
      <c r="W207" s="179"/>
      <c r="X207" s="179"/>
      <c r="Y207" s="179"/>
      <c r="Z207" s="179"/>
      <c r="AA207" s="179"/>
      <c r="AB207" s="179"/>
      <c r="AC207" s="179"/>
      <c r="AD207" s="179"/>
      <c r="AE207" s="179"/>
      <c r="AF207" s="179"/>
      <c r="AG207" s="179"/>
      <c r="AH207" s="179"/>
      <c r="AI207" s="179"/>
      <c r="AJ207" s="179"/>
      <c r="AK207" s="179"/>
      <c r="AL207" s="179"/>
      <c r="AM207" s="179"/>
      <c r="AN207" s="179"/>
      <c r="AO207" s="179"/>
      <c r="AP207" s="179"/>
      <c r="AQ207" s="179"/>
      <c r="AR207" s="179"/>
      <c r="AS207" s="179"/>
      <c r="AT207" s="179"/>
      <c r="AU207" s="179"/>
      <c r="AV207" s="179"/>
      <c r="AW207" s="179"/>
      <c r="AX207" s="179"/>
      <c r="AY207" s="179"/>
      <c r="AZ207" s="179"/>
      <c r="BA207" s="179"/>
      <c r="BB207" s="179"/>
      <c r="BC207" s="179"/>
      <c r="BD207" s="179"/>
      <c r="BE207" s="179"/>
      <c r="BF207" s="179"/>
      <c r="BG207" s="179"/>
      <c r="BH207" s="179"/>
    </row>
    <row r="208" spans="16:60" s="20" customFormat="1" x14ac:dyDescent="0.25">
      <c r="P208" s="179"/>
      <c r="Q208" s="179"/>
      <c r="R208" s="179"/>
      <c r="S208" s="179"/>
      <c r="T208" s="179"/>
      <c r="U208" s="179"/>
      <c r="V208" s="179"/>
      <c r="W208" s="179"/>
      <c r="X208" s="179"/>
      <c r="Y208" s="179"/>
      <c r="Z208" s="179"/>
      <c r="AA208" s="179"/>
      <c r="AB208" s="179"/>
      <c r="AC208" s="179"/>
      <c r="AD208" s="179"/>
      <c r="AE208" s="179"/>
      <c r="AF208" s="179"/>
      <c r="AG208" s="179"/>
      <c r="AH208" s="179"/>
      <c r="AI208" s="179"/>
      <c r="AJ208" s="179"/>
      <c r="AK208" s="179"/>
      <c r="AL208" s="179"/>
      <c r="AM208" s="179"/>
      <c r="AN208" s="179"/>
      <c r="AO208" s="179"/>
      <c r="AP208" s="179"/>
      <c r="AQ208" s="179"/>
      <c r="AR208" s="179"/>
      <c r="AS208" s="179"/>
      <c r="AT208" s="179"/>
      <c r="AU208" s="179"/>
      <c r="AV208" s="179"/>
      <c r="AW208" s="179"/>
      <c r="AX208" s="179"/>
      <c r="AY208" s="179"/>
      <c r="AZ208" s="179"/>
      <c r="BA208" s="179"/>
      <c r="BB208" s="179"/>
      <c r="BC208" s="179"/>
      <c r="BD208" s="179"/>
      <c r="BE208" s="179"/>
      <c r="BF208" s="179"/>
      <c r="BG208" s="179"/>
      <c r="BH208" s="179"/>
    </row>
    <row r="209" spans="16:60" s="20" customFormat="1" x14ac:dyDescent="0.25">
      <c r="P209" s="179"/>
      <c r="Q209" s="179"/>
      <c r="R209" s="179"/>
      <c r="S209" s="179"/>
      <c r="T209" s="179"/>
      <c r="U209" s="179"/>
      <c r="V209" s="179"/>
      <c r="W209" s="179"/>
      <c r="X209" s="179"/>
      <c r="Y209" s="179"/>
      <c r="Z209" s="179"/>
      <c r="AA209" s="179"/>
      <c r="AB209" s="179"/>
      <c r="AC209" s="179"/>
      <c r="AD209" s="179"/>
      <c r="AE209" s="179"/>
      <c r="AF209" s="179"/>
      <c r="AG209" s="179"/>
      <c r="AH209" s="179"/>
      <c r="AI209" s="179"/>
      <c r="AJ209" s="179"/>
      <c r="AK209" s="179"/>
      <c r="AL209" s="179"/>
      <c r="AM209" s="179"/>
      <c r="AN209" s="179"/>
      <c r="AO209" s="179"/>
      <c r="AP209" s="179"/>
      <c r="AQ209" s="179"/>
      <c r="AR209" s="179"/>
      <c r="AS209" s="179"/>
      <c r="AT209" s="179"/>
      <c r="AU209" s="179"/>
      <c r="AV209" s="179"/>
      <c r="AW209" s="179"/>
      <c r="AX209" s="179"/>
      <c r="AY209" s="179"/>
      <c r="AZ209" s="179"/>
      <c r="BA209" s="179"/>
      <c r="BB209" s="179"/>
      <c r="BC209" s="179"/>
      <c r="BD209" s="179"/>
      <c r="BE209" s="179"/>
      <c r="BF209" s="179"/>
      <c r="BG209" s="179"/>
      <c r="BH209" s="179"/>
    </row>
    <row r="210" spans="16:60" s="20" customFormat="1" x14ac:dyDescent="0.25">
      <c r="P210" s="179"/>
      <c r="Q210" s="179"/>
      <c r="R210" s="179"/>
      <c r="S210" s="179"/>
      <c r="T210" s="179"/>
      <c r="U210" s="179"/>
      <c r="V210" s="179"/>
      <c r="W210" s="179"/>
      <c r="X210" s="179"/>
      <c r="Y210" s="179"/>
      <c r="Z210" s="179"/>
      <c r="AA210" s="179"/>
      <c r="AB210" s="179"/>
      <c r="AC210" s="179"/>
      <c r="AD210" s="179"/>
      <c r="AE210" s="179"/>
      <c r="AF210" s="179"/>
      <c r="AG210" s="179"/>
      <c r="AH210" s="179"/>
      <c r="AI210" s="179"/>
      <c r="AJ210" s="179"/>
      <c r="AK210" s="179"/>
      <c r="AL210" s="179"/>
      <c r="AM210" s="179"/>
      <c r="AN210" s="179"/>
      <c r="AO210" s="179"/>
      <c r="AP210" s="179"/>
      <c r="AQ210" s="179"/>
      <c r="AR210" s="179"/>
      <c r="AS210" s="179"/>
      <c r="AT210" s="179"/>
      <c r="AU210" s="179"/>
      <c r="AV210" s="179"/>
      <c r="AW210" s="179"/>
      <c r="AX210" s="179"/>
      <c r="AY210" s="179"/>
      <c r="AZ210" s="179"/>
      <c r="BA210" s="179"/>
      <c r="BB210" s="179"/>
      <c r="BC210" s="179"/>
      <c r="BD210" s="179"/>
      <c r="BE210" s="179"/>
      <c r="BF210" s="179"/>
      <c r="BG210" s="179"/>
      <c r="BH210" s="179"/>
    </row>
    <row r="211" spans="16:60" s="20" customFormat="1" x14ac:dyDescent="0.25">
      <c r="P211" s="179"/>
      <c r="Q211" s="179"/>
      <c r="R211" s="179"/>
      <c r="S211" s="179"/>
      <c r="T211" s="179"/>
      <c r="U211" s="179"/>
      <c r="V211" s="179"/>
      <c r="W211" s="179"/>
      <c r="X211" s="179"/>
      <c r="Y211" s="179"/>
      <c r="Z211" s="179"/>
      <c r="AA211" s="179"/>
      <c r="AB211" s="179"/>
      <c r="AC211" s="179"/>
      <c r="AD211" s="179"/>
      <c r="AE211" s="179"/>
      <c r="AF211" s="179"/>
      <c r="AG211" s="179"/>
      <c r="AH211" s="179"/>
      <c r="AI211" s="179"/>
      <c r="AJ211" s="179"/>
      <c r="AK211" s="179"/>
      <c r="AL211" s="179"/>
      <c r="AM211" s="179"/>
      <c r="AN211" s="179"/>
      <c r="AO211" s="179"/>
      <c r="AP211" s="179"/>
      <c r="AQ211" s="179"/>
      <c r="AR211" s="179"/>
      <c r="AS211" s="179"/>
      <c r="AT211" s="179"/>
      <c r="AU211" s="179"/>
      <c r="AV211" s="179"/>
      <c r="AW211" s="179"/>
      <c r="AX211" s="179"/>
      <c r="AY211" s="179"/>
      <c r="AZ211" s="179"/>
      <c r="BA211" s="179"/>
      <c r="BB211" s="179"/>
      <c r="BC211" s="179"/>
      <c r="BD211" s="179"/>
      <c r="BE211" s="179"/>
      <c r="BF211" s="179"/>
      <c r="BG211" s="179"/>
      <c r="BH211" s="179"/>
    </row>
    <row r="212" spans="16:60" s="20" customFormat="1" x14ac:dyDescent="0.25">
      <c r="P212" s="179"/>
      <c r="Q212" s="179"/>
      <c r="R212" s="179"/>
      <c r="S212" s="179"/>
      <c r="T212" s="179"/>
      <c r="U212" s="179"/>
      <c r="V212" s="179"/>
      <c r="W212" s="179"/>
      <c r="X212" s="179"/>
      <c r="Y212" s="179"/>
      <c r="Z212" s="179"/>
      <c r="AA212" s="179"/>
      <c r="AB212" s="179"/>
      <c r="AC212" s="179"/>
      <c r="AD212" s="179"/>
      <c r="AE212" s="179"/>
      <c r="AF212" s="179"/>
      <c r="AG212" s="179"/>
      <c r="AH212" s="179"/>
      <c r="AI212" s="179"/>
      <c r="AJ212" s="179"/>
      <c r="AK212" s="179"/>
      <c r="AL212" s="179"/>
      <c r="AM212" s="179"/>
      <c r="AN212" s="179"/>
      <c r="AO212" s="179"/>
      <c r="AP212" s="179"/>
      <c r="AQ212" s="179"/>
      <c r="AR212" s="179"/>
      <c r="AS212" s="179"/>
      <c r="AT212" s="179"/>
      <c r="AU212" s="179"/>
      <c r="AV212" s="179"/>
      <c r="AW212" s="179"/>
      <c r="AX212" s="179"/>
      <c r="AY212" s="179"/>
      <c r="AZ212" s="179"/>
      <c r="BA212" s="179"/>
      <c r="BB212" s="179"/>
      <c r="BC212" s="179"/>
      <c r="BD212" s="179"/>
      <c r="BE212" s="179"/>
      <c r="BF212" s="179"/>
      <c r="BG212" s="179"/>
      <c r="BH212" s="179"/>
    </row>
    <row r="213" spans="16:60" s="20" customFormat="1" x14ac:dyDescent="0.25">
      <c r="P213" s="179"/>
      <c r="Q213" s="179"/>
      <c r="R213" s="179"/>
      <c r="S213" s="179"/>
      <c r="T213" s="179"/>
      <c r="U213" s="179"/>
      <c r="V213" s="179"/>
      <c r="W213" s="179"/>
      <c r="X213" s="179"/>
      <c r="Y213" s="179"/>
      <c r="Z213" s="179"/>
      <c r="AA213" s="179"/>
      <c r="AB213" s="179"/>
      <c r="AC213" s="179"/>
      <c r="AD213" s="179"/>
      <c r="AE213" s="179"/>
      <c r="AF213" s="179"/>
      <c r="AG213" s="179"/>
      <c r="AH213" s="179"/>
      <c r="AI213" s="179"/>
      <c r="AJ213" s="179"/>
      <c r="AK213" s="179"/>
      <c r="AL213" s="179"/>
      <c r="AM213" s="179"/>
      <c r="AN213" s="179"/>
      <c r="AO213" s="179"/>
      <c r="AP213" s="179"/>
      <c r="AQ213" s="179"/>
      <c r="AR213" s="179"/>
      <c r="AS213" s="179"/>
      <c r="AT213" s="179"/>
      <c r="AU213" s="179"/>
      <c r="AV213" s="179"/>
      <c r="AW213" s="179"/>
      <c r="AX213" s="179"/>
      <c r="AY213" s="179"/>
      <c r="AZ213" s="179"/>
      <c r="BA213" s="179"/>
      <c r="BB213" s="179"/>
      <c r="BC213" s="179"/>
      <c r="BD213" s="179"/>
      <c r="BE213" s="179"/>
      <c r="BF213" s="179"/>
      <c r="BG213" s="179"/>
      <c r="BH213" s="179"/>
    </row>
    <row r="214" spans="16:60" s="20" customFormat="1" x14ac:dyDescent="0.25">
      <c r="P214" s="179"/>
      <c r="Q214" s="179"/>
      <c r="R214" s="179"/>
      <c r="S214" s="179"/>
      <c r="T214" s="179"/>
      <c r="U214" s="179"/>
      <c r="V214" s="179"/>
      <c r="W214" s="179"/>
      <c r="X214" s="179"/>
      <c r="Y214" s="179"/>
      <c r="Z214" s="179"/>
      <c r="AA214" s="179"/>
      <c r="AB214" s="179"/>
      <c r="AC214" s="179"/>
      <c r="AD214" s="179"/>
      <c r="AE214" s="179"/>
      <c r="AF214" s="179"/>
      <c r="AG214" s="179"/>
      <c r="AH214" s="179"/>
      <c r="AI214" s="179"/>
      <c r="AJ214" s="179"/>
      <c r="AK214" s="179"/>
      <c r="AL214" s="179"/>
      <c r="AM214" s="179"/>
      <c r="AN214" s="179"/>
      <c r="AO214" s="179"/>
      <c r="AP214" s="179"/>
      <c r="AQ214" s="179"/>
      <c r="AR214" s="179"/>
      <c r="AS214" s="179"/>
      <c r="AT214" s="179"/>
      <c r="AU214" s="179"/>
      <c r="AV214" s="179"/>
      <c r="AW214" s="179"/>
      <c r="AX214" s="179"/>
      <c r="AY214" s="179"/>
      <c r="AZ214" s="179"/>
      <c r="BA214" s="179"/>
      <c r="BB214" s="179"/>
      <c r="BC214" s="179"/>
      <c r="BD214" s="179"/>
      <c r="BE214" s="179"/>
      <c r="BF214" s="179"/>
      <c r="BG214" s="179"/>
      <c r="BH214" s="179"/>
    </row>
    <row r="215" spans="16:60" s="20" customFormat="1" x14ac:dyDescent="0.25">
      <c r="P215" s="179"/>
      <c r="Q215" s="179"/>
      <c r="R215" s="179"/>
      <c r="S215" s="179"/>
      <c r="T215" s="179"/>
      <c r="U215" s="179"/>
      <c r="V215" s="179"/>
      <c r="W215" s="179"/>
      <c r="X215" s="179"/>
      <c r="Y215" s="179"/>
      <c r="Z215" s="179"/>
      <c r="AA215" s="179"/>
      <c r="AB215" s="179"/>
      <c r="AC215" s="179"/>
      <c r="AD215" s="179"/>
      <c r="AE215" s="179"/>
      <c r="AF215" s="179"/>
      <c r="AG215" s="179"/>
      <c r="AH215" s="179"/>
      <c r="AI215" s="179"/>
      <c r="AJ215" s="179"/>
      <c r="AK215" s="179"/>
      <c r="AL215" s="179"/>
      <c r="AM215" s="179"/>
      <c r="AN215" s="179"/>
      <c r="AO215" s="179"/>
      <c r="AP215" s="179"/>
      <c r="AQ215" s="179"/>
      <c r="AR215" s="179"/>
      <c r="AS215" s="179"/>
      <c r="AT215" s="179"/>
      <c r="AU215" s="179"/>
      <c r="AV215" s="179"/>
      <c r="AW215" s="179"/>
      <c r="AX215" s="179"/>
      <c r="AY215" s="179"/>
      <c r="AZ215" s="179"/>
      <c r="BA215" s="179"/>
      <c r="BB215" s="179"/>
      <c r="BC215" s="179"/>
      <c r="BD215" s="179"/>
      <c r="BE215" s="179"/>
      <c r="BF215" s="179"/>
      <c r="BG215" s="179"/>
      <c r="BH215" s="179"/>
    </row>
    <row r="216" spans="16:60" s="20" customFormat="1" x14ac:dyDescent="0.25">
      <c r="P216" s="179"/>
      <c r="Q216" s="179"/>
      <c r="R216" s="179"/>
      <c r="S216" s="179"/>
      <c r="T216" s="179"/>
      <c r="U216" s="179"/>
      <c r="V216" s="179"/>
      <c r="W216" s="179"/>
      <c r="X216" s="179"/>
      <c r="Y216" s="179"/>
      <c r="Z216" s="179"/>
      <c r="AA216" s="179"/>
      <c r="AB216" s="179"/>
      <c r="AC216" s="179"/>
      <c r="AD216" s="179"/>
      <c r="AE216" s="179"/>
      <c r="AF216" s="179"/>
      <c r="AG216" s="179"/>
      <c r="AH216" s="179"/>
      <c r="AI216" s="179"/>
      <c r="AJ216" s="179"/>
      <c r="AK216" s="179"/>
      <c r="AL216" s="179"/>
      <c r="AM216" s="179"/>
      <c r="AN216" s="179"/>
      <c r="AO216" s="179"/>
      <c r="AP216" s="179"/>
      <c r="AQ216" s="179"/>
      <c r="AR216" s="179"/>
      <c r="AS216" s="179"/>
      <c r="AT216" s="179"/>
      <c r="AU216" s="179"/>
      <c r="AV216" s="179"/>
      <c r="AW216" s="179"/>
      <c r="AX216" s="179"/>
      <c r="AY216" s="179"/>
      <c r="AZ216" s="179"/>
      <c r="BA216" s="179"/>
      <c r="BB216" s="179"/>
      <c r="BC216" s="179"/>
      <c r="BD216" s="179"/>
      <c r="BE216" s="179"/>
      <c r="BF216" s="179"/>
      <c r="BG216" s="179"/>
      <c r="BH216" s="179"/>
    </row>
    <row r="217" spans="16:60" s="20" customFormat="1" x14ac:dyDescent="0.25">
      <c r="P217" s="179"/>
      <c r="Q217" s="179"/>
      <c r="R217" s="179"/>
      <c r="S217" s="179"/>
      <c r="T217" s="179"/>
      <c r="U217" s="179"/>
      <c r="V217" s="179"/>
      <c r="W217" s="179"/>
      <c r="X217" s="179"/>
      <c r="Y217" s="179"/>
      <c r="Z217" s="179"/>
      <c r="AA217" s="179"/>
      <c r="AB217" s="179"/>
      <c r="AC217" s="179"/>
      <c r="AD217" s="179"/>
      <c r="AE217" s="179"/>
      <c r="AF217" s="179"/>
      <c r="AG217" s="179"/>
      <c r="AH217" s="179"/>
      <c r="AI217" s="179"/>
      <c r="AJ217" s="179"/>
      <c r="AK217" s="179"/>
      <c r="AL217" s="179"/>
      <c r="AM217" s="179"/>
      <c r="AN217" s="179"/>
      <c r="AO217" s="179"/>
      <c r="AP217" s="179"/>
      <c r="AQ217" s="179"/>
      <c r="AR217" s="179"/>
      <c r="AS217" s="179"/>
      <c r="AT217" s="179"/>
      <c r="AU217" s="179"/>
      <c r="AV217" s="179"/>
      <c r="AW217" s="179"/>
      <c r="AX217" s="179"/>
      <c r="AY217" s="179"/>
      <c r="AZ217" s="179"/>
      <c r="BA217" s="179"/>
      <c r="BB217" s="179"/>
      <c r="BC217" s="179"/>
      <c r="BD217" s="179"/>
      <c r="BE217" s="179"/>
      <c r="BF217" s="179"/>
      <c r="BG217" s="179"/>
      <c r="BH217" s="179"/>
    </row>
    <row r="218" spans="16:60" s="20" customFormat="1" x14ac:dyDescent="0.25">
      <c r="P218" s="179"/>
      <c r="Q218" s="179"/>
      <c r="R218" s="179"/>
      <c r="S218" s="179"/>
      <c r="T218" s="179"/>
      <c r="U218" s="179"/>
      <c r="V218" s="179"/>
      <c r="W218" s="179"/>
      <c r="X218" s="179"/>
      <c r="Y218" s="179"/>
      <c r="Z218" s="179"/>
      <c r="AA218" s="179"/>
      <c r="AB218" s="179"/>
      <c r="AC218" s="179"/>
      <c r="AD218" s="179"/>
      <c r="AE218" s="179"/>
      <c r="AF218" s="179"/>
      <c r="AG218" s="179"/>
      <c r="AH218" s="179"/>
      <c r="AI218" s="179"/>
      <c r="AJ218" s="179"/>
      <c r="AK218" s="179"/>
      <c r="AL218" s="179"/>
      <c r="AM218" s="179"/>
      <c r="AN218" s="179"/>
      <c r="AO218" s="179"/>
      <c r="AP218" s="179"/>
      <c r="AQ218" s="179"/>
      <c r="AR218" s="179"/>
      <c r="AS218" s="179"/>
      <c r="AT218" s="179"/>
      <c r="AU218" s="179"/>
      <c r="AV218" s="179"/>
      <c r="AW218" s="179"/>
      <c r="AX218" s="179"/>
      <c r="AY218" s="179"/>
      <c r="AZ218" s="179"/>
      <c r="BA218" s="179"/>
      <c r="BB218" s="179"/>
      <c r="BC218" s="179"/>
      <c r="BD218" s="179"/>
      <c r="BE218" s="179"/>
      <c r="BF218" s="179"/>
      <c r="BG218" s="179"/>
      <c r="BH218" s="179"/>
    </row>
    <row r="219" spans="16:60" s="20" customFormat="1" x14ac:dyDescent="0.25">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79"/>
      <c r="AK219" s="179"/>
      <c r="AL219" s="179"/>
      <c r="AM219" s="179"/>
      <c r="AN219" s="179"/>
      <c r="AO219" s="179"/>
      <c r="AP219" s="179"/>
      <c r="AQ219" s="179"/>
      <c r="AR219" s="179"/>
      <c r="AS219" s="179"/>
      <c r="AT219" s="179"/>
      <c r="AU219" s="179"/>
      <c r="AV219" s="179"/>
      <c r="AW219" s="179"/>
      <c r="AX219" s="179"/>
      <c r="AY219" s="179"/>
      <c r="AZ219" s="179"/>
      <c r="BA219" s="179"/>
      <c r="BB219" s="179"/>
      <c r="BC219" s="179"/>
      <c r="BD219" s="179"/>
      <c r="BE219" s="179"/>
      <c r="BF219" s="179"/>
      <c r="BG219" s="179"/>
      <c r="BH219" s="179"/>
    </row>
    <row r="220" spans="16:60" s="20" customFormat="1" x14ac:dyDescent="0.25">
      <c r="P220" s="179"/>
      <c r="Q220" s="179"/>
      <c r="R220" s="179"/>
      <c r="S220" s="179"/>
      <c r="T220" s="179"/>
      <c r="U220" s="179"/>
      <c r="V220" s="179"/>
      <c r="W220" s="179"/>
      <c r="X220" s="179"/>
      <c r="Y220" s="179"/>
      <c r="Z220" s="179"/>
      <c r="AA220" s="179"/>
      <c r="AB220" s="179"/>
      <c r="AC220" s="179"/>
      <c r="AD220" s="179"/>
      <c r="AE220" s="179"/>
      <c r="AF220" s="179"/>
      <c r="AG220" s="179"/>
      <c r="AH220" s="179"/>
      <c r="AI220" s="179"/>
      <c r="AJ220" s="179"/>
      <c r="AK220" s="179"/>
      <c r="AL220" s="179"/>
      <c r="AM220" s="179"/>
      <c r="AN220" s="179"/>
      <c r="AO220" s="179"/>
      <c r="AP220" s="179"/>
      <c r="AQ220" s="179"/>
      <c r="AR220" s="179"/>
      <c r="AS220" s="179"/>
      <c r="AT220" s="179"/>
      <c r="AU220" s="179"/>
      <c r="AV220" s="179"/>
      <c r="AW220" s="179"/>
      <c r="AX220" s="179"/>
      <c r="AY220" s="179"/>
      <c r="AZ220" s="179"/>
      <c r="BA220" s="179"/>
      <c r="BB220" s="179"/>
      <c r="BC220" s="179"/>
      <c r="BD220" s="179"/>
      <c r="BE220" s="179"/>
      <c r="BF220" s="179"/>
      <c r="BG220" s="179"/>
      <c r="BH220" s="179"/>
    </row>
    <row r="221" spans="16:60" s="20" customFormat="1" x14ac:dyDescent="0.25">
      <c r="P221" s="179"/>
      <c r="Q221" s="179"/>
      <c r="R221" s="179"/>
      <c r="S221" s="179"/>
      <c r="T221" s="179"/>
      <c r="U221" s="179"/>
      <c r="V221" s="179"/>
      <c r="W221" s="179"/>
      <c r="X221" s="179"/>
      <c r="Y221" s="179"/>
      <c r="Z221" s="179"/>
      <c r="AA221" s="179"/>
      <c r="AB221" s="179"/>
      <c r="AC221" s="179"/>
      <c r="AD221" s="179"/>
      <c r="AE221" s="179"/>
      <c r="AF221" s="179"/>
      <c r="AG221" s="179"/>
      <c r="AH221" s="179"/>
      <c r="AI221" s="179"/>
      <c r="AJ221" s="179"/>
      <c r="AK221" s="179"/>
      <c r="AL221" s="179"/>
      <c r="AM221" s="179"/>
      <c r="AN221" s="179"/>
      <c r="AO221" s="179"/>
      <c r="AP221" s="179"/>
      <c r="AQ221" s="179"/>
      <c r="AR221" s="179"/>
      <c r="AS221" s="179"/>
      <c r="AT221" s="179"/>
      <c r="AU221" s="179"/>
      <c r="AV221" s="179"/>
      <c r="AW221" s="179"/>
      <c r="AX221" s="179"/>
      <c r="AY221" s="179"/>
      <c r="AZ221" s="179"/>
      <c r="BA221" s="179"/>
      <c r="BB221" s="179"/>
      <c r="BC221" s="179"/>
      <c r="BD221" s="179"/>
      <c r="BE221" s="179"/>
      <c r="BF221" s="179"/>
      <c r="BG221" s="179"/>
      <c r="BH221" s="179"/>
    </row>
    <row r="222" spans="16:60" s="20" customFormat="1" x14ac:dyDescent="0.25">
      <c r="P222" s="179"/>
      <c r="Q222" s="179"/>
      <c r="R222" s="179"/>
      <c r="S222" s="179"/>
      <c r="T222" s="179"/>
      <c r="U222" s="179"/>
      <c r="V222" s="179"/>
      <c r="W222" s="179"/>
      <c r="X222" s="179"/>
      <c r="Y222" s="179"/>
      <c r="Z222" s="179"/>
      <c r="AA222" s="179"/>
      <c r="AB222" s="179"/>
      <c r="AC222" s="179"/>
      <c r="AD222" s="179"/>
      <c r="AE222" s="179"/>
      <c r="AF222" s="179"/>
      <c r="AG222" s="179"/>
      <c r="AH222" s="179"/>
      <c r="AI222" s="179"/>
      <c r="AJ222" s="179"/>
      <c r="AK222" s="179"/>
      <c r="AL222" s="179"/>
      <c r="AM222" s="179"/>
      <c r="AN222" s="179"/>
      <c r="AO222" s="179"/>
      <c r="AP222" s="179"/>
      <c r="AQ222" s="179"/>
      <c r="AR222" s="179"/>
      <c r="AS222" s="179"/>
      <c r="AT222" s="179"/>
      <c r="AU222" s="179"/>
      <c r="AV222" s="179"/>
      <c r="AW222" s="179"/>
      <c r="AX222" s="179"/>
      <c r="AY222" s="179"/>
      <c r="AZ222" s="179"/>
      <c r="BA222" s="179"/>
      <c r="BB222" s="179"/>
      <c r="BC222" s="179"/>
      <c r="BD222" s="179"/>
      <c r="BE222" s="179"/>
      <c r="BF222" s="179"/>
      <c r="BG222" s="179"/>
      <c r="BH222" s="179"/>
    </row>
    <row r="223" spans="16:60" s="20" customFormat="1" x14ac:dyDescent="0.25">
      <c r="P223" s="179"/>
      <c r="Q223" s="179"/>
      <c r="R223" s="179"/>
      <c r="S223" s="179"/>
      <c r="T223" s="179"/>
      <c r="U223" s="179"/>
      <c r="V223" s="179"/>
      <c r="W223" s="179"/>
      <c r="X223" s="179"/>
      <c r="Y223" s="179"/>
      <c r="Z223" s="179"/>
      <c r="AA223" s="179"/>
      <c r="AB223" s="179"/>
      <c r="AC223" s="179"/>
      <c r="AD223" s="179"/>
      <c r="AE223" s="179"/>
      <c r="AF223" s="179"/>
      <c r="AG223" s="179"/>
      <c r="AH223" s="179"/>
      <c r="AI223" s="179"/>
      <c r="AJ223" s="179"/>
      <c r="AK223" s="179"/>
      <c r="AL223" s="179"/>
      <c r="AM223" s="179"/>
      <c r="AN223" s="179"/>
      <c r="AO223" s="179"/>
      <c r="AP223" s="179"/>
      <c r="AQ223" s="179"/>
      <c r="AR223" s="179"/>
      <c r="AS223" s="179"/>
      <c r="AT223" s="179"/>
      <c r="AU223" s="179"/>
      <c r="AV223" s="179"/>
      <c r="AW223" s="179"/>
      <c r="AX223" s="179"/>
      <c r="AY223" s="179"/>
      <c r="AZ223" s="179"/>
      <c r="BA223" s="179"/>
      <c r="BB223" s="179"/>
      <c r="BC223" s="179"/>
      <c r="BD223" s="179"/>
      <c r="BE223" s="179"/>
      <c r="BF223" s="179"/>
      <c r="BG223" s="179"/>
      <c r="BH223" s="179"/>
    </row>
    <row r="224" spans="16:60" s="20" customFormat="1" x14ac:dyDescent="0.25">
      <c r="P224" s="179"/>
      <c r="Q224" s="179"/>
      <c r="R224" s="179"/>
      <c r="S224" s="179"/>
      <c r="T224" s="179"/>
      <c r="U224" s="179"/>
      <c r="V224" s="179"/>
      <c r="W224" s="179"/>
      <c r="X224" s="179"/>
      <c r="Y224" s="179"/>
      <c r="Z224" s="179"/>
      <c r="AA224" s="179"/>
      <c r="AB224" s="179"/>
      <c r="AC224" s="179"/>
      <c r="AD224" s="179"/>
      <c r="AE224" s="179"/>
      <c r="AF224" s="179"/>
      <c r="AG224" s="179"/>
      <c r="AH224" s="179"/>
      <c r="AI224" s="179"/>
      <c r="AJ224" s="179"/>
      <c r="AK224" s="179"/>
      <c r="AL224" s="179"/>
      <c r="AM224" s="179"/>
      <c r="AN224" s="179"/>
      <c r="AO224" s="179"/>
      <c r="AP224" s="179"/>
      <c r="AQ224" s="179"/>
      <c r="AR224" s="179"/>
      <c r="AS224" s="179"/>
      <c r="AT224" s="179"/>
      <c r="AU224" s="179"/>
      <c r="AV224" s="179"/>
      <c r="AW224" s="179"/>
      <c r="AX224" s="179"/>
      <c r="AY224" s="179"/>
      <c r="AZ224" s="179"/>
      <c r="BA224" s="179"/>
      <c r="BB224" s="179"/>
      <c r="BC224" s="179"/>
      <c r="BD224" s="179"/>
      <c r="BE224" s="179"/>
      <c r="BF224" s="179"/>
      <c r="BG224" s="179"/>
      <c r="BH224" s="179"/>
    </row>
    <row r="225" spans="16:64" s="20" customFormat="1" x14ac:dyDescent="0.25">
      <c r="P225" s="179"/>
      <c r="Q225" s="179"/>
      <c r="R225" s="179"/>
      <c r="S225" s="179"/>
      <c r="T225" s="179"/>
      <c r="U225" s="179"/>
      <c r="V225" s="179"/>
      <c r="W225" s="179"/>
      <c r="X225" s="179"/>
      <c r="Y225" s="179"/>
      <c r="Z225" s="179"/>
      <c r="AA225" s="179"/>
      <c r="AB225" s="179"/>
      <c r="AC225" s="179"/>
      <c r="AD225" s="179"/>
      <c r="AE225" s="179"/>
      <c r="AF225" s="179"/>
      <c r="AG225" s="179"/>
      <c r="AH225" s="179"/>
      <c r="AI225" s="179"/>
      <c r="AJ225" s="179"/>
      <c r="AK225" s="179"/>
      <c r="AL225" s="179"/>
      <c r="AM225" s="179"/>
      <c r="AN225" s="179"/>
      <c r="AO225" s="179"/>
      <c r="AP225" s="179"/>
      <c r="AQ225" s="179"/>
      <c r="AR225" s="179"/>
      <c r="AS225" s="179"/>
      <c r="AT225" s="179"/>
      <c r="AU225" s="179"/>
      <c r="AV225" s="179"/>
      <c r="AW225" s="179"/>
      <c r="AX225" s="179"/>
      <c r="AY225" s="179"/>
      <c r="AZ225" s="179"/>
      <c r="BA225" s="179"/>
      <c r="BB225" s="179"/>
      <c r="BC225" s="179"/>
      <c r="BD225" s="179"/>
      <c r="BE225" s="179"/>
      <c r="BF225" s="179"/>
      <c r="BG225" s="179"/>
      <c r="BH225" s="179"/>
    </row>
    <row r="226" spans="16:64" s="20" customFormat="1" x14ac:dyDescent="0.25">
      <c r="P226" s="179"/>
      <c r="Q226" s="179"/>
      <c r="R226" s="179"/>
      <c r="S226" s="179"/>
      <c r="T226" s="179"/>
      <c r="U226" s="179"/>
      <c r="V226" s="179"/>
      <c r="W226" s="179"/>
      <c r="X226" s="179"/>
      <c r="Y226" s="179"/>
      <c r="Z226" s="179"/>
      <c r="AA226" s="179"/>
      <c r="AB226" s="179"/>
      <c r="AC226" s="179"/>
      <c r="AD226" s="179"/>
      <c r="AE226" s="179"/>
      <c r="AF226" s="179"/>
      <c r="AG226" s="179"/>
      <c r="AH226" s="179"/>
      <c r="AI226" s="179"/>
      <c r="AJ226" s="179"/>
      <c r="AK226" s="179"/>
      <c r="AL226" s="179"/>
      <c r="AM226" s="179"/>
      <c r="AN226" s="179"/>
      <c r="AO226" s="179"/>
      <c r="AP226" s="179"/>
      <c r="AQ226" s="179"/>
      <c r="AR226" s="179"/>
      <c r="AS226" s="179"/>
      <c r="AT226" s="179"/>
      <c r="AU226" s="179"/>
      <c r="AV226" s="179"/>
      <c r="AW226" s="179"/>
      <c r="AX226" s="179"/>
      <c r="AY226" s="179"/>
      <c r="AZ226" s="179"/>
      <c r="BA226" s="179"/>
      <c r="BB226" s="179"/>
      <c r="BC226" s="179"/>
      <c r="BD226" s="179"/>
      <c r="BE226" s="179"/>
      <c r="BF226" s="179"/>
      <c r="BG226" s="179"/>
      <c r="BH226" s="179"/>
    </row>
    <row r="227" spans="16:64" s="20" customFormat="1" x14ac:dyDescent="0.25">
      <c r="P227" s="179"/>
      <c r="Q227" s="179"/>
      <c r="R227" s="179"/>
      <c r="S227" s="179"/>
      <c r="T227" s="179"/>
      <c r="U227" s="179"/>
      <c r="V227" s="179"/>
      <c r="W227" s="179"/>
      <c r="X227" s="179"/>
      <c r="Y227" s="179"/>
      <c r="Z227" s="179"/>
      <c r="AA227" s="179"/>
      <c r="AB227" s="179"/>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c r="BC227" s="179"/>
      <c r="BD227" s="179"/>
      <c r="BE227" s="179"/>
      <c r="BF227" s="179"/>
      <c r="BG227" s="179"/>
      <c r="BH227" s="179"/>
    </row>
    <row r="228" spans="16:64" s="20" customFormat="1" x14ac:dyDescent="0.25">
      <c r="P228" s="179"/>
      <c r="Q228" s="179"/>
      <c r="R228" s="179"/>
      <c r="S228" s="179"/>
      <c r="T228" s="179"/>
      <c r="U228" s="179"/>
      <c r="V228" s="179"/>
      <c r="W228" s="179"/>
      <c r="X228" s="179"/>
      <c r="Y228" s="179"/>
      <c r="Z228" s="179"/>
      <c r="AA228" s="179"/>
      <c r="AB228" s="179"/>
      <c r="AC228" s="179"/>
      <c r="AD228" s="179"/>
      <c r="AE228" s="179"/>
      <c r="AF228" s="179"/>
      <c r="AG228" s="179"/>
      <c r="AH228" s="179"/>
      <c r="AI228" s="179"/>
      <c r="AJ228" s="179"/>
      <c r="AK228" s="179"/>
      <c r="AL228" s="179"/>
      <c r="AM228" s="179"/>
      <c r="AN228" s="179"/>
      <c r="AO228" s="179"/>
      <c r="AP228" s="179"/>
      <c r="AQ228" s="179"/>
      <c r="AR228" s="179"/>
      <c r="AS228" s="179"/>
      <c r="AT228" s="179"/>
      <c r="AU228" s="179"/>
      <c r="AV228" s="179"/>
      <c r="AW228" s="179"/>
      <c r="AX228" s="179"/>
      <c r="AY228" s="179"/>
      <c r="AZ228" s="179"/>
      <c r="BA228" s="179"/>
      <c r="BB228" s="179"/>
      <c r="BC228" s="179"/>
      <c r="BD228" s="179"/>
      <c r="BE228" s="179"/>
      <c r="BF228" s="179"/>
      <c r="BG228" s="179"/>
      <c r="BH228" s="179"/>
    </row>
    <row r="229" spans="16:64" s="20" customFormat="1" x14ac:dyDescent="0.25">
      <c r="P229" s="179"/>
      <c r="Q229" s="179"/>
      <c r="R229" s="179"/>
      <c r="S229" s="179"/>
      <c r="T229" s="179"/>
      <c r="U229" s="179"/>
      <c r="V229" s="179"/>
      <c r="W229" s="179"/>
      <c r="X229" s="179"/>
      <c r="Y229" s="179"/>
      <c r="Z229" s="179"/>
      <c r="AA229" s="179"/>
      <c r="AB229" s="179"/>
      <c r="AC229" s="179"/>
      <c r="AD229" s="179"/>
      <c r="AE229" s="179"/>
      <c r="AF229" s="179"/>
      <c r="AG229" s="179"/>
      <c r="AH229" s="179"/>
      <c r="AI229" s="179"/>
      <c r="AJ229" s="179"/>
      <c r="AK229" s="179"/>
      <c r="AL229" s="179"/>
      <c r="AM229" s="179"/>
      <c r="AN229" s="179"/>
      <c r="AO229" s="179"/>
      <c r="AP229" s="179"/>
      <c r="AQ229" s="179"/>
      <c r="AR229" s="179"/>
      <c r="AS229" s="179"/>
      <c r="AT229" s="179"/>
      <c r="AU229" s="179"/>
      <c r="AV229" s="179"/>
      <c r="AW229" s="179"/>
      <c r="AX229" s="179"/>
      <c r="AY229" s="179"/>
      <c r="AZ229" s="179"/>
      <c r="BA229" s="179"/>
      <c r="BB229" s="179"/>
      <c r="BC229" s="179"/>
      <c r="BD229" s="179"/>
      <c r="BE229" s="179"/>
      <c r="BF229" s="179"/>
      <c r="BG229" s="179"/>
      <c r="BH229" s="179"/>
    </row>
    <row r="230" spans="16:64" s="20" customFormat="1" x14ac:dyDescent="0.25">
      <c r="P230" s="179"/>
      <c r="Q230" s="179"/>
      <c r="R230" s="179"/>
      <c r="S230" s="179"/>
      <c r="T230" s="179"/>
      <c r="U230" s="179"/>
      <c r="V230" s="179"/>
      <c r="W230" s="179"/>
      <c r="X230" s="179"/>
      <c r="Y230" s="179"/>
      <c r="Z230" s="179"/>
      <c r="AA230" s="179"/>
      <c r="AB230" s="179"/>
      <c r="AC230" s="179"/>
      <c r="AD230" s="179"/>
      <c r="AE230" s="179"/>
      <c r="AF230" s="179"/>
      <c r="AG230" s="179"/>
      <c r="AH230" s="179"/>
      <c r="AI230" s="179"/>
      <c r="AJ230" s="179"/>
      <c r="AK230" s="179"/>
      <c r="AL230" s="179"/>
      <c r="AM230" s="179"/>
      <c r="AN230" s="179"/>
      <c r="AO230" s="179"/>
      <c r="AP230" s="179"/>
      <c r="AQ230" s="179"/>
      <c r="AR230" s="179"/>
      <c r="AS230" s="179"/>
      <c r="AT230" s="179"/>
      <c r="AU230" s="179"/>
      <c r="AV230" s="179"/>
      <c r="AW230" s="179"/>
      <c r="AX230" s="179"/>
      <c r="AY230" s="179"/>
      <c r="AZ230" s="179"/>
      <c r="BA230" s="179"/>
      <c r="BB230" s="179"/>
      <c r="BC230" s="179"/>
      <c r="BD230" s="179"/>
      <c r="BE230" s="179"/>
      <c r="BF230" s="179"/>
      <c r="BG230" s="179"/>
      <c r="BH230" s="179"/>
    </row>
    <row r="231" spans="16:64" s="20" customFormat="1" x14ac:dyDescent="0.25">
      <c r="P231" s="179"/>
      <c r="Q231" s="179"/>
      <c r="R231" s="179"/>
      <c r="S231" s="179"/>
      <c r="T231" s="179"/>
      <c r="U231" s="179"/>
      <c r="V231" s="179"/>
      <c r="W231" s="179"/>
      <c r="X231" s="179"/>
      <c r="Y231" s="179"/>
      <c r="Z231" s="179"/>
      <c r="AA231" s="179"/>
      <c r="AB231" s="179"/>
      <c r="AC231" s="179"/>
      <c r="AD231" s="179"/>
      <c r="AE231" s="179"/>
      <c r="AF231" s="179"/>
      <c r="AG231" s="179"/>
      <c r="AH231" s="179"/>
      <c r="AI231" s="179"/>
      <c r="AJ231" s="179"/>
      <c r="AK231" s="179"/>
      <c r="AL231" s="179"/>
      <c r="AM231" s="179"/>
      <c r="AN231" s="179"/>
      <c r="AO231" s="179"/>
      <c r="AP231" s="179"/>
      <c r="AQ231" s="179"/>
      <c r="AR231" s="179"/>
      <c r="AS231" s="179"/>
      <c r="AT231" s="179"/>
      <c r="AU231" s="179"/>
      <c r="AV231" s="179"/>
      <c r="AW231" s="179"/>
      <c r="AX231" s="179"/>
      <c r="AY231" s="179"/>
      <c r="AZ231" s="179"/>
      <c r="BA231" s="179"/>
      <c r="BB231" s="179"/>
      <c r="BC231" s="179"/>
      <c r="BD231" s="179"/>
      <c r="BE231" s="179"/>
      <c r="BF231" s="179"/>
      <c r="BG231" s="179"/>
      <c r="BH231" s="179"/>
    </row>
    <row r="232" spans="16:64" s="20" customFormat="1" x14ac:dyDescent="0.25">
      <c r="P232" s="179"/>
      <c r="Q232" s="179"/>
      <c r="R232" s="179"/>
      <c r="S232" s="179"/>
      <c r="T232" s="179"/>
      <c r="U232" s="179"/>
      <c r="V232" s="179"/>
      <c r="W232" s="179"/>
      <c r="X232" s="179"/>
      <c r="Y232" s="179"/>
      <c r="Z232" s="179"/>
      <c r="AA232" s="179"/>
      <c r="AB232" s="179"/>
      <c r="AC232" s="179"/>
      <c r="AD232" s="179"/>
      <c r="AE232" s="179"/>
      <c r="AF232" s="179"/>
      <c r="AG232" s="179"/>
      <c r="AH232" s="179"/>
      <c r="AI232" s="179"/>
      <c r="AJ232" s="179"/>
      <c r="AK232" s="179"/>
      <c r="AL232" s="179"/>
      <c r="AM232" s="179"/>
      <c r="AN232" s="179"/>
      <c r="AO232" s="179"/>
      <c r="AP232" s="179"/>
      <c r="AQ232" s="179"/>
      <c r="AR232" s="179"/>
      <c r="AS232" s="179"/>
      <c r="AT232" s="179"/>
      <c r="AU232" s="179"/>
      <c r="AV232" s="179"/>
      <c r="AW232" s="179"/>
      <c r="AX232" s="179"/>
      <c r="AY232" s="179"/>
      <c r="AZ232" s="179"/>
      <c r="BA232" s="179"/>
      <c r="BB232" s="179"/>
      <c r="BC232" s="179"/>
      <c r="BD232" s="179"/>
      <c r="BE232" s="179"/>
      <c r="BF232" s="179"/>
      <c r="BG232" s="179"/>
      <c r="BH232" s="179"/>
    </row>
    <row r="233" spans="16:64" s="20" customFormat="1" x14ac:dyDescent="0.25">
      <c r="P233" s="179"/>
      <c r="Q233" s="179"/>
      <c r="R233" s="179"/>
      <c r="S233" s="179"/>
      <c r="T233" s="179"/>
      <c r="U233" s="179"/>
      <c r="V233" s="179"/>
      <c r="W233" s="179"/>
      <c r="X233" s="179"/>
      <c r="Y233" s="179"/>
      <c r="Z233" s="179"/>
      <c r="AA233" s="179"/>
      <c r="AB233" s="179"/>
      <c r="AC233" s="179"/>
      <c r="AD233" s="179"/>
      <c r="AE233" s="179"/>
      <c r="AF233" s="179"/>
      <c r="AG233" s="179"/>
      <c r="AH233" s="179"/>
      <c r="AI233" s="179"/>
      <c r="AJ233" s="179"/>
      <c r="AK233" s="179"/>
      <c r="AL233" s="179"/>
      <c r="AM233" s="179"/>
      <c r="AN233" s="179"/>
      <c r="AO233" s="179"/>
      <c r="AP233" s="179"/>
      <c r="AQ233" s="179"/>
      <c r="AR233" s="179"/>
      <c r="AS233" s="179"/>
      <c r="AT233" s="179"/>
      <c r="AU233" s="179"/>
      <c r="AV233" s="179"/>
      <c r="AW233" s="179"/>
      <c r="AX233" s="179"/>
      <c r="AY233" s="179"/>
      <c r="AZ233" s="179"/>
      <c r="BA233" s="179"/>
      <c r="BB233" s="179"/>
      <c r="BC233" s="179"/>
      <c r="BD233" s="179"/>
      <c r="BE233" s="179"/>
      <c r="BF233" s="179"/>
      <c r="BG233" s="179"/>
      <c r="BH233" s="179"/>
    </row>
    <row r="234" spans="16:64" s="20" customFormat="1" x14ac:dyDescent="0.25">
      <c r="P234" s="179"/>
      <c r="Q234" s="179"/>
      <c r="R234" s="179"/>
      <c r="S234" s="179"/>
      <c r="T234" s="179"/>
      <c r="U234" s="179"/>
      <c r="V234" s="179"/>
      <c r="W234" s="179"/>
      <c r="X234" s="179"/>
      <c r="Y234" s="179"/>
      <c r="Z234" s="179"/>
      <c r="AA234" s="179"/>
      <c r="AB234" s="179"/>
      <c r="AC234" s="179"/>
      <c r="AD234" s="179"/>
      <c r="AE234" s="179"/>
      <c r="AF234" s="179"/>
      <c r="AG234" s="179"/>
      <c r="AH234" s="179"/>
      <c r="AI234" s="179"/>
      <c r="AJ234" s="179"/>
      <c r="AK234" s="179"/>
      <c r="AL234" s="179"/>
      <c r="AM234" s="179"/>
      <c r="AN234" s="179"/>
      <c r="AO234" s="179"/>
      <c r="AP234" s="179"/>
      <c r="AQ234" s="179"/>
      <c r="AR234" s="179"/>
      <c r="AS234" s="179"/>
      <c r="AT234" s="179"/>
      <c r="AU234" s="179"/>
      <c r="AV234" s="179"/>
      <c r="AW234" s="179"/>
      <c r="AX234" s="179"/>
      <c r="AY234" s="179"/>
      <c r="AZ234" s="179"/>
      <c r="BA234" s="179"/>
      <c r="BB234" s="179"/>
      <c r="BC234" s="179"/>
      <c r="BD234" s="179"/>
      <c r="BE234" s="179"/>
      <c r="BF234" s="179"/>
      <c r="BG234" s="179"/>
      <c r="BH234" s="179"/>
    </row>
    <row r="235" spans="16:64" s="20" customFormat="1" x14ac:dyDescent="0.25">
      <c r="P235" s="179"/>
      <c r="Q235" s="179"/>
      <c r="R235" s="179"/>
      <c r="S235" s="179"/>
      <c r="T235" s="179"/>
      <c r="U235" s="179"/>
      <c r="V235" s="179"/>
      <c r="W235" s="179"/>
      <c r="X235" s="179"/>
      <c r="Y235" s="179"/>
      <c r="Z235" s="179"/>
      <c r="AA235" s="179"/>
      <c r="AB235" s="179"/>
      <c r="AC235" s="179"/>
      <c r="AD235" s="179"/>
      <c r="AE235" s="179"/>
      <c r="AF235" s="179"/>
      <c r="AG235" s="179"/>
      <c r="AH235" s="179"/>
      <c r="AI235" s="179"/>
      <c r="AJ235" s="179"/>
      <c r="AK235" s="179"/>
      <c r="AL235" s="179"/>
      <c r="AM235" s="179"/>
      <c r="AN235" s="179"/>
      <c r="AO235" s="179"/>
      <c r="AP235" s="179"/>
      <c r="AQ235" s="179"/>
      <c r="AR235" s="179"/>
      <c r="AS235" s="179"/>
      <c r="AT235" s="179"/>
      <c r="AU235" s="179"/>
      <c r="AV235" s="179"/>
      <c r="AW235" s="179"/>
      <c r="AX235" s="179"/>
      <c r="AY235" s="179"/>
      <c r="AZ235" s="179"/>
      <c r="BA235" s="179"/>
      <c r="BB235" s="179"/>
      <c r="BC235" s="179"/>
      <c r="BD235" s="179"/>
      <c r="BE235" s="179"/>
      <c r="BF235" s="179"/>
      <c r="BG235" s="179"/>
      <c r="BH235" s="179"/>
      <c r="BL235" s="17"/>
    </row>
    <row r="236" spans="16:64" s="20" customFormat="1" x14ac:dyDescent="0.25">
      <c r="P236" s="179"/>
      <c r="Q236" s="179"/>
      <c r="R236" s="179"/>
      <c r="S236" s="179"/>
      <c r="T236" s="179"/>
      <c r="U236" s="179"/>
      <c r="V236" s="179"/>
      <c r="W236" s="179"/>
      <c r="X236" s="179"/>
      <c r="Y236" s="179"/>
      <c r="Z236" s="179"/>
      <c r="AA236" s="179"/>
      <c r="AB236" s="179"/>
      <c r="AC236" s="179"/>
      <c r="AD236" s="179"/>
      <c r="AE236" s="179"/>
      <c r="AF236" s="179"/>
      <c r="AG236" s="179"/>
      <c r="AH236" s="179"/>
      <c r="AI236" s="179"/>
      <c r="AJ236" s="179"/>
      <c r="AK236" s="179"/>
      <c r="AL236" s="179"/>
      <c r="AM236" s="179"/>
      <c r="AN236" s="179"/>
      <c r="AO236" s="179"/>
      <c r="AP236" s="179"/>
      <c r="AQ236" s="179"/>
      <c r="AR236" s="179"/>
      <c r="AS236" s="179"/>
      <c r="AT236" s="179"/>
      <c r="AU236" s="179"/>
      <c r="AV236" s="179"/>
      <c r="AW236" s="179"/>
      <c r="AX236" s="179"/>
      <c r="AY236" s="179"/>
      <c r="AZ236" s="179"/>
      <c r="BA236" s="179"/>
      <c r="BB236" s="179"/>
      <c r="BC236" s="179"/>
      <c r="BD236" s="179"/>
      <c r="BE236" s="179"/>
      <c r="BF236" s="179"/>
      <c r="BG236" s="179"/>
      <c r="BH236" s="179"/>
      <c r="BL236" s="17"/>
    </row>
    <row r="237" spans="16:64" s="20" customFormat="1" x14ac:dyDescent="0.25">
      <c r="P237" s="179"/>
      <c r="Q237" s="179"/>
      <c r="R237" s="179"/>
      <c r="S237" s="179"/>
      <c r="T237" s="179"/>
      <c r="U237" s="179"/>
      <c r="V237" s="179"/>
      <c r="W237" s="179"/>
      <c r="X237" s="179"/>
      <c r="Y237" s="179"/>
      <c r="Z237" s="179"/>
      <c r="AA237" s="179"/>
      <c r="AB237" s="179"/>
      <c r="AC237" s="179"/>
      <c r="AD237" s="179"/>
      <c r="AE237" s="179"/>
      <c r="AF237" s="179"/>
      <c r="AG237" s="179"/>
      <c r="AH237" s="179"/>
      <c r="AI237" s="179"/>
      <c r="AJ237" s="179"/>
      <c r="AK237" s="179"/>
      <c r="AL237" s="179"/>
      <c r="AM237" s="179"/>
      <c r="AN237" s="179"/>
      <c r="AO237" s="179"/>
      <c r="AP237" s="179"/>
      <c r="AQ237" s="179"/>
      <c r="AR237" s="179"/>
      <c r="AS237" s="179"/>
      <c r="AT237" s="179"/>
      <c r="AU237" s="179"/>
      <c r="AV237" s="179"/>
      <c r="AW237" s="179"/>
      <c r="AX237" s="179"/>
      <c r="AY237" s="179"/>
      <c r="AZ237" s="179"/>
      <c r="BA237" s="179"/>
      <c r="BB237" s="179"/>
      <c r="BC237" s="179"/>
      <c r="BD237" s="179"/>
      <c r="BE237" s="179"/>
      <c r="BF237" s="179"/>
      <c r="BG237" s="179"/>
      <c r="BH237" s="179"/>
      <c r="BL237" s="17"/>
    </row>
    <row r="238" spans="16:64" s="20" customFormat="1" x14ac:dyDescent="0.25">
      <c r="P238" s="179"/>
      <c r="Q238" s="179"/>
      <c r="R238" s="179"/>
      <c r="S238" s="179"/>
      <c r="T238" s="179"/>
      <c r="U238" s="179"/>
      <c r="V238" s="179"/>
      <c r="W238" s="179"/>
      <c r="X238" s="179"/>
      <c r="Y238" s="179"/>
      <c r="Z238" s="179"/>
      <c r="AA238" s="179"/>
      <c r="AB238" s="179"/>
      <c r="AC238" s="179"/>
      <c r="AD238" s="179"/>
      <c r="AE238" s="179"/>
      <c r="AF238" s="179"/>
      <c r="AG238" s="179"/>
      <c r="AH238" s="179"/>
      <c r="AI238" s="179"/>
      <c r="AJ238" s="179"/>
      <c r="AK238" s="179"/>
      <c r="AL238" s="179"/>
      <c r="AM238" s="179"/>
      <c r="AN238" s="179"/>
      <c r="AO238" s="179"/>
      <c r="AP238" s="179"/>
      <c r="AQ238" s="179"/>
      <c r="AR238" s="179"/>
      <c r="AS238" s="179"/>
      <c r="AT238" s="179"/>
      <c r="AU238" s="179"/>
      <c r="AV238" s="179"/>
      <c r="AW238" s="179"/>
      <c r="AX238" s="179"/>
      <c r="AY238" s="179"/>
      <c r="AZ238" s="179"/>
      <c r="BA238" s="179"/>
      <c r="BB238" s="179"/>
      <c r="BC238" s="179"/>
      <c r="BD238" s="179"/>
      <c r="BE238" s="179"/>
      <c r="BF238" s="179"/>
      <c r="BG238" s="179"/>
      <c r="BH238" s="179"/>
      <c r="BL238" s="17"/>
    </row>
  </sheetData>
  <mergeCells count="15">
    <mergeCell ref="B24:M24"/>
    <mergeCell ref="AN23:AQ23"/>
    <mergeCell ref="AR23:AU23"/>
    <mergeCell ref="AV23:AY23"/>
    <mergeCell ref="AZ23:BC23"/>
    <mergeCell ref="BM23:BO23"/>
    <mergeCell ref="BP23:BQ23"/>
    <mergeCell ref="BD23:BG23"/>
    <mergeCell ref="BH23:BK23"/>
    <mergeCell ref="P23:S23"/>
    <mergeCell ref="T23:W23"/>
    <mergeCell ref="X23:AA23"/>
    <mergeCell ref="AB23:AE23"/>
    <mergeCell ref="AF23:AI23"/>
    <mergeCell ref="AJ23:AM2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D52C-EAAE-4272-A2A1-272781C8542B}">
  <dimension ref="A1:CH1218"/>
  <sheetViews>
    <sheetView showGridLines="0" zoomScaleNormal="100" workbookViewId="0"/>
  </sheetViews>
  <sheetFormatPr baseColWidth="10" defaultColWidth="11.42578125" defaultRowHeight="12.75" x14ac:dyDescent="0.2"/>
  <cols>
    <col min="1" max="1" width="13" style="85" bestFit="1" customWidth="1"/>
    <col min="2" max="7" width="11.42578125" style="2"/>
    <col min="8" max="14" width="11.42578125" style="11" customWidth="1"/>
    <col min="15" max="15" width="12.85546875" style="85" bestFit="1" customWidth="1"/>
    <col min="16" max="23" width="11.42578125" style="2"/>
    <col min="24" max="32" width="11.42578125" style="11"/>
    <col min="33" max="33" width="12.85546875" style="2" bestFit="1" customWidth="1"/>
    <col min="34" max="39" width="11.42578125" style="2"/>
    <col min="40" max="46" width="11.42578125" style="11"/>
    <col min="47" max="47" width="13.85546875" style="2" bestFit="1" customWidth="1"/>
    <col min="48" max="61" width="11.5703125" style="2" bestFit="1" customWidth="1"/>
    <col min="62" max="71" width="11.42578125" style="11"/>
    <col min="72" max="72" width="13.85546875" style="2" bestFit="1" customWidth="1"/>
    <col min="73" max="73" width="12.28515625" style="2" customWidth="1"/>
    <col min="74" max="75" width="11.42578125" style="2"/>
    <col min="76" max="86" width="11.42578125" style="11"/>
    <col min="87" max="16384" width="11.42578125" style="2"/>
  </cols>
  <sheetData>
    <row r="1" spans="1:75" s="11" customFormat="1" ht="15.75" x14ac:dyDescent="0.2">
      <c r="A1" s="31" t="s">
        <v>118</v>
      </c>
      <c r="O1" s="61"/>
    </row>
    <row r="2" spans="1:75" s="11" customFormat="1" x14ac:dyDescent="0.2">
      <c r="A2" s="62" t="s">
        <v>155</v>
      </c>
      <c r="O2" s="61"/>
    </row>
    <row r="3" spans="1:75" s="11" customFormat="1" x14ac:dyDescent="0.2">
      <c r="A3" s="61"/>
      <c r="O3" s="61"/>
    </row>
    <row r="4" spans="1:75" s="11" customFormat="1" x14ac:dyDescent="0.2">
      <c r="A4" s="291" t="s">
        <v>154</v>
      </c>
      <c r="O4" s="61"/>
    </row>
    <row r="5" spans="1:75" s="11" customFormat="1" x14ac:dyDescent="0.2">
      <c r="A5" s="61"/>
      <c r="O5" s="61"/>
    </row>
    <row r="6" spans="1:75" s="11" customFormat="1" ht="15" customHeight="1" x14ac:dyDescent="0.2">
      <c r="A6" s="389" t="s">
        <v>119</v>
      </c>
      <c r="B6" s="396" t="s">
        <v>152</v>
      </c>
      <c r="C6" s="397"/>
      <c r="D6" s="397"/>
      <c r="E6" s="397"/>
      <c r="F6" s="397"/>
      <c r="G6" s="397"/>
      <c r="H6" s="397"/>
      <c r="I6" s="397"/>
      <c r="J6" s="397"/>
      <c r="K6" s="397"/>
      <c r="L6" s="397"/>
      <c r="M6" s="398"/>
      <c r="O6" s="399" t="s">
        <v>119</v>
      </c>
      <c r="P6" s="400" t="s">
        <v>120</v>
      </c>
      <c r="Q6" s="401"/>
      <c r="R6" s="401"/>
      <c r="S6" s="401"/>
      <c r="T6" s="401"/>
      <c r="U6" s="401"/>
      <c r="V6" s="401"/>
      <c r="W6" s="401"/>
      <c r="X6" s="401"/>
      <c r="Y6" s="401"/>
      <c r="Z6" s="401"/>
      <c r="AA6" s="401"/>
      <c r="AB6" s="401"/>
      <c r="AC6" s="401"/>
      <c r="AD6" s="401"/>
      <c r="AE6" s="402"/>
      <c r="AG6" s="389" t="s">
        <v>119</v>
      </c>
      <c r="AH6" s="406" t="s">
        <v>136</v>
      </c>
      <c r="AI6" s="407"/>
      <c r="AJ6" s="407"/>
      <c r="AK6" s="407"/>
      <c r="AL6" s="407"/>
      <c r="AM6" s="407"/>
      <c r="AN6" s="407"/>
      <c r="AO6" s="407"/>
      <c r="AP6" s="407"/>
      <c r="AQ6" s="407"/>
      <c r="AR6" s="407"/>
      <c r="AS6" s="408"/>
      <c r="AU6" s="389" t="s">
        <v>119</v>
      </c>
      <c r="AV6" s="392" t="s">
        <v>121</v>
      </c>
      <c r="AW6" s="393"/>
      <c r="AX6" s="393"/>
      <c r="AY6" s="393"/>
      <c r="AZ6" s="393"/>
      <c r="BA6" s="393"/>
      <c r="BB6" s="393"/>
      <c r="BC6" s="393"/>
      <c r="BD6" s="393"/>
      <c r="BE6" s="393"/>
      <c r="BF6" s="393"/>
      <c r="BG6" s="393"/>
      <c r="BH6" s="393"/>
      <c r="BI6" s="393"/>
      <c r="BJ6" s="393"/>
      <c r="BK6" s="393"/>
      <c r="BL6" s="393"/>
      <c r="BM6" s="393"/>
      <c r="BN6" s="393"/>
      <c r="BO6" s="393"/>
      <c r="BP6" s="393"/>
      <c r="BQ6" s="393"/>
      <c r="BR6" s="394"/>
      <c r="BT6" s="389" t="s">
        <v>119</v>
      </c>
      <c r="BU6" s="380" t="s">
        <v>122</v>
      </c>
      <c r="BV6" s="380"/>
      <c r="BW6" s="381"/>
    </row>
    <row r="7" spans="1:75" s="11" customFormat="1" ht="22.5" customHeight="1" x14ac:dyDescent="0.2">
      <c r="A7" s="390"/>
      <c r="B7" s="403" t="s">
        <v>123</v>
      </c>
      <c r="C7" s="403"/>
      <c r="D7" s="403"/>
      <c r="E7" s="403"/>
      <c r="F7" s="403"/>
      <c r="G7" s="388" t="s">
        <v>124</v>
      </c>
      <c r="H7" s="403" t="s">
        <v>125</v>
      </c>
      <c r="I7" s="403"/>
      <c r="J7" s="403"/>
      <c r="K7" s="403"/>
      <c r="L7" s="403"/>
      <c r="M7" s="388" t="s">
        <v>126</v>
      </c>
      <c r="O7" s="390"/>
      <c r="P7" s="404" t="s">
        <v>123</v>
      </c>
      <c r="Q7" s="384"/>
      <c r="R7" s="384"/>
      <c r="S7" s="384"/>
      <c r="T7" s="384"/>
      <c r="U7" s="384"/>
      <c r="V7" s="405"/>
      <c r="W7" s="395" t="s">
        <v>124</v>
      </c>
      <c r="X7" s="404" t="s">
        <v>125</v>
      </c>
      <c r="Y7" s="384"/>
      <c r="Z7" s="384"/>
      <c r="AA7" s="384"/>
      <c r="AB7" s="384"/>
      <c r="AC7" s="384"/>
      <c r="AD7" s="405"/>
      <c r="AE7" s="395" t="s">
        <v>126</v>
      </c>
      <c r="AG7" s="390"/>
      <c r="AH7" s="384" t="s">
        <v>123</v>
      </c>
      <c r="AI7" s="384"/>
      <c r="AJ7" s="384"/>
      <c r="AK7" s="384"/>
      <c r="AL7" s="384"/>
      <c r="AM7" s="385" t="s">
        <v>124</v>
      </c>
      <c r="AN7" s="384" t="s">
        <v>125</v>
      </c>
      <c r="AO7" s="384"/>
      <c r="AP7" s="384"/>
      <c r="AQ7" s="384"/>
      <c r="AR7" s="384"/>
      <c r="AS7" s="385" t="s">
        <v>126</v>
      </c>
      <c r="AU7" s="390"/>
      <c r="AV7" s="387" t="s">
        <v>123</v>
      </c>
      <c r="AW7" s="382"/>
      <c r="AX7" s="382"/>
      <c r="AY7" s="382"/>
      <c r="AZ7" s="382"/>
      <c r="BA7" s="382"/>
      <c r="BB7" s="382"/>
      <c r="BC7" s="382"/>
      <c r="BD7" s="382"/>
      <c r="BE7" s="382"/>
      <c r="BF7" s="382"/>
      <c r="BG7" s="382"/>
      <c r="BH7" s="383"/>
      <c r="BI7" s="388" t="s">
        <v>124</v>
      </c>
      <c r="BJ7" s="387" t="s">
        <v>125</v>
      </c>
      <c r="BK7" s="382"/>
      <c r="BL7" s="382"/>
      <c r="BM7" s="382"/>
      <c r="BN7" s="382"/>
      <c r="BO7" s="382"/>
      <c r="BP7" s="382"/>
      <c r="BQ7" s="382"/>
      <c r="BR7" s="388" t="s">
        <v>126</v>
      </c>
      <c r="BT7" s="390"/>
      <c r="BU7" s="382" t="s">
        <v>123</v>
      </c>
      <c r="BV7" s="382"/>
      <c r="BW7" s="383"/>
    </row>
    <row r="8" spans="1:75" s="11" customFormat="1" x14ac:dyDescent="0.2">
      <c r="A8" s="391"/>
      <c r="B8" s="63">
        <v>2030</v>
      </c>
      <c r="C8" s="63">
        <v>2035</v>
      </c>
      <c r="D8" s="63">
        <v>2038</v>
      </c>
      <c r="E8" s="63">
        <v>2041</v>
      </c>
      <c r="F8" s="63">
        <v>2046</v>
      </c>
      <c r="G8" s="386"/>
      <c r="H8" s="64">
        <v>2030</v>
      </c>
      <c r="I8" s="278">
        <v>2035</v>
      </c>
      <c r="J8" s="278">
        <v>2038</v>
      </c>
      <c r="K8" s="278">
        <v>2041</v>
      </c>
      <c r="L8" s="65">
        <v>2046</v>
      </c>
      <c r="M8" s="386"/>
      <c r="O8" s="391"/>
      <c r="P8" s="64">
        <v>2027</v>
      </c>
      <c r="Q8" s="278">
        <v>2030</v>
      </c>
      <c r="R8" s="278">
        <v>2033</v>
      </c>
      <c r="S8" s="278">
        <v>2036</v>
      </c>
      <c r="T8" s="278">
        <v>2037</v>
      </c>
      <c r="U8" s="278">
        <v>2042</v>
      </c>
      <c r="V8" s="65">
        <v>2045</v>
      </c>
      <c r="W8" s="386"/>
      <c r="X8" s="64">
        <v>2027</v>
      </c>
      <c r="Y8" s="278">
        <v>2030</v>
      </c>
      <c r="Z8" s="278">
        <v>2033</v>
      </c>
      <c r="AA8" s="278">
        <v>2036</v>
      </c>
      <c r="AB8" s="278">
        <v>2037</v>
      </c>
      <c r="AC8" s="278">
        <v>2042</v>
      </c>
      <c r="AD8" s="65">
        <v>2045</v>
      </c>
      <c r="AE8" s="386"/>
      <c r="AG8" s="391"/>
      <c r="AH8" s="64">
        <v>2030</v>
      </c>
      <c r="AI8" s="278">
        <v>2035</v>
      </c>
      <c r="AJ8" s="278">
        <v>2038</v>
      </c>
      <c r="AK8" s="278">
        <v>2041</v>
      </c>
      <c r="AL8" s="278">
        <v>2046</v>
      </c>
      <c r="AM8" s="386"/>
      <c r="AN8" s="64">
        <v>2030</v>
      </c>
      <c r="AO8" s="278">
        <v>2035</v>
      </c>
      <c r="AP8" s="278">
        <v>2038</v>
      </c>
      <c r="AQ8" s="278">
        <v>2041</v>
      </c>
      <c r="AR8" s="278">
        <v>2046</v>
      </c>
      <c r="AS8" s="386"/>
      <c r="AU8" s="391"/>
      <c r="AV8" s="66">
        <v>2021</v>
      </c>
      <c r="AW8" s="67">
        <v>2022</v>
      </c>
      <c r="AX8" s="67">
        <v>2023</v>
      </c>
      <c r="AY8" s="67">
        <v>2026</v>
      </c>
      <c r="AZ8" s="67">
        <v>2027</v>
      </c>
      <c r="BA8" s="67">
        <v>2028</v>
      </c>
      <c r="BB8" s="67">
        <v>2028</v>
      </c>
      <c r="BC8" s="67">
        <v>2036</v>
      </c>
      <c r="BD8" s="67">
        <v>2046</v>
      </c>
      <c r="BE8" s="67">
        <v>2048</v>
      </c>
      <c r="BF8" s="67">
        <v>2117</v>
      </c>
      <c r="BG8" s="67" t="s">
        <v>127</v>
      </c>
      <c r="BH8" s="68" t="s">
        <v>128</v>
      </c>
      <c r="BI8" s="385"/>
      <c r="BJ8" s="69">
        <v>2020</v>
      </c>
      <c r="BK8" s="69">
        <v>2022</v>
      </c>
      <c r="BL8" s="69">
        <v>2023</v>
      </c>
      <c r="BM8" s="69">
        <v>2027</v>
      </c>
      <c r="BN8" s="69">
        <v>2028</v>
      </c>
      <c r="BO8" s="69">
        <v>2047</v>
      </c>
      <c r="BP8" s="69" t="s">
        <v>127</v>
      </c>
      <c r="BQ8" s="69" t="s">
        <v>128</v>
      </c>
      <c r="BR8" s="385"/>
      <c r="BT8" s="391"/>
      <c r="BU8" s="69" t="s">
        <v>120</v>
      </c>
      <c r="BV8" s="69" t="s">
        <v>153</v>
      </c>
      <c r="BW8" s="69" t="s">
        <v>152</v>
      </c>
    </row>
    <row r="9" spans="1:75" s="11" customFormat="1" x14ac:dyDescent="0.2">
      <c r="A9" s="281">
        <v>44078</v>
      </c>
      <c r="B9" s="70">
        <v>0</v>
      </c>
      <c r="C9" s="70">
        <v>0</v>
      </c>
      <c r="D9" s="70">
        <v>0</v>
      </c>
      <c r="E9" s="70">
        <v>0</v>
      </c>
      <c r="F9" s="71">
        <v>0</v>
      </c>
      <c r="G9" s="72">
        <f t="shared" ref="G9:G40" si="0">+AVERAGE(B9:F9)</f>
        <v>0</v>
      </c>
      <c r="H9" s="70">
        <v>0</v>
      </c>
      <c r="I9" s="70">
        <v>0</v>
      </c>
      <c r="J9" s="70">
        <v>0</v>
      </c>
      <c r="K9" s="70">
        <v>0</v>
      </c>
      <c r="L9" s="71">
        <v>0</v>
      </c>
      <c r="M9" s="72">
        <f t="shared" ref="M9:M40" si="1">+AVERAGE(H9:L9)</f>
        <v>0</v>
      </c>
      <c r="O9" s="281">
        <v>44027</v>
      </c>
      <c r="P9" s="73">
        <v>0</v>
      </c>
      <c r="Q9" s="70">
        <v>0</v>
      </c>
      <c r="R9" s="70">
        <v>0</v>
      </c>
      <c r="S9" s="70">
        <v>0</v>
      </c>
      <c r="T9" s="70">
        <v>0</v>
      </c>
      <c r="U9" s="70">
        <v>0</v>
      </c>
      <c r="V9" s="71">
        <v>0</v>
      </c>
      <c r="W9" s="74">
        <f t="shared" ref="W9:W40" si="2">+AVERAGE(P9:V9)</f>
        <v>0</v>
      </c>
      <c r="X9" s="73">
        <v>0</v>
      </c>
      <c r="Y9" s="70">
        <v>0</v>
      </c>
      <c r="Z9" s="70">
        <v>0</v>
      </c>
      <c r="AA9" s="70">
        <v>0</v>
      </c>
      <c r="AB9" s="70">
        <v>0</v>
      </c>
      <c r="AC9" s="70">
        <v>0</v>
      </c>
      <c r="AD9" s="71">
        <v>0</v>
      </c>
      <c r="AE9" s="74">
        <f t="shared" ref="AE9:AE40" si="3">+AVERAGE(X9:AD9)</f>
        <v>0</v>
      </c>
      <c r="AG9" s="281">
        <v>44041</v>
      </c>
      <c r="AH9" s="73">
        <v>0</v>
      </c>
      <c r="AI9" s="70">
        <v>0</v>
      </c>
      <c r="AJ9" s="70">
        <v>0</v>
      </c>
      <c r="AK9" s="70">
        <v>0</v>
      </c>
      <c r="AL9" s="71">
        <v>0</v>
      </c>
      <c r="AM9" s="74">
        <f t="shared" ref="AM9:AM40" si="4">+AVERAGE(AH9:AL9)</f>
        <v>0</v>
      </c>
      <c r="AN9" s="73">
        <v>0</v>
      </c>
      <c r="AO9" s="70">
        <v>0</v>
      </c>
      <c r="AP9" s="70">
        <v>0</v>
      </c>
      <c r="AQ9" s="70">
        <v>0</v>
      </c>
      <c r="AR9" s="71">
        <v>0</v>
      </c>
      <c r="AS9" s="74">
        <f t="shared" ref="AS9:AS40" si="5">+AVERAGE(AN9:AR9)</f>
        <v>0</v>
      </c>
      <c r="AU9" s="281">
        <v>43966</v>
      </c>
      <c r="AV9" s="75">
        <v>6.8750000000000006E-2</v>
      </c>
      <c r="AW9" s="75">
        <v>5.6250000000000001E-2</v>
      </c>
      <c r="AX9" s="75">
        <v>4.6249999999999999E-2</v>
      </c>
      <c r="AY9" s="75">
        <v>7.4999999999999997E-2</v>
      </c>
      <c r="AZ9" s="75">
        <v>6.8750000000000006E-2</v>
      </c>
      <c r="BA9" s="75">
        <v>5.8749999999999997E-2</v>
      </c>
      <c r="BB9" s="75">
        <v>6.6250000000000003E-2</v>
      </c>
      <c r="BC9" s="75">
        <v>7.1249999999999994E-2</v>
      </c>
      <c r="BD9" s="75">
        <v>7.6249999999999998E-2</v>
      </c>
      <c r="BE9" s="75">
        <v>6.8750000000000006E-2</v>
      </c>
      <c r="BF9" s="75">
        <v>7.1249999999999994E-2</v>
      </c>
      <c r="BG9" s="75">
        <v>3.7499999999999999E-2</v>
      </c>
      <c r="BH9" s="75">
        <v>8.2799999999999999E-2</v>
      </c>
      <c r="BI9" s="72">
        <f t="shared" ref="BI9:BI72" si="6">+AVERAGE(AV9:BH9)</f>
        <v>6.521538461538462E-2</v>
      </c>
      <c r="BJ9" s="73">
        <v>3.3750000000000002E-2</v>
      </c>
      <c r="BK9" s="70">
        <v>3.875E-2</v>
      </c>
      <c r="BL9" s="70">
        <v>3.3750000000000002E-2</v>
      </c>
      <c r="BM9" s="70">
        <v>0.05</v>
      </c>
      <c r="BN9" s="70">
        <v>5.2499999999999998E-2</v>
      </c>
      <c r="BO9" s="70">
        <v>6.25E-2</v>
      </c>
      <c r="BP9" s="70">
        <v>3.3750000000000002E-2</v>
      </c>
      <c r="BQ9" s="71">
        <v>7.8200000000000006E-2</v>
      </c>
      <c r="BR9" s="76">
        <f t="shared" ref="BR9:BR72" si="7">+AVERAGE(BJ9:BQ9)</f>
        <v>4.7899999999999998E-2</v>
      </c>
      <c r="BT9" s="281">
        <v>43952</v>
      </c>
      <c r="BU9" s="70">
        <v>0</v>
      </c>
      <c r="BV9" s="70">
        <v>0</v>
      </c>
      <c r="BW9" s="71">
        <v>0</v>
      </c>
    </row>
    <row r="10" spans="1:75" s="11" customFormat="1" x14ac:dyDescent="0.2">
      <c r="A10" s="281">
        <v>44259</v>
      </c>
      <c r="B10" s="289">
        <v>0</v>
      </c>
      <c r="C10" s="289">
        <v>0</v>
      </c>
      <c r="D10" s="289">
        <v>0</v>
      </c>
      <c r="E10" s="289">
        <v>0</v>
      </c>
      <c r="F10" s="288">
        <v>0</v>
      </c>
      <c r="G10" s="74">
        <f t="shared" si="0"/>
        <v>0</v>
      </c>
      <c r="H10" s="289">
        <v>0</v>
      </c>
      <c r="I10" s="289">
        <v>0</v>
      </c>
      <c r="J10" s="289">
        <v>0</v>
      </c>
      <c r="K10" s="289">
        <v>0</v>
      </c>
      <c r="L10" s="288">
        <v>0</v>
      </c>
      <c r="M10" s="74">
        <f t="shared" si="1"/>
        <v>0</v>
      </c>
      <c r="O10" s="281">
        <v>44211</v>
      </c>
      <c r="P10" s="78">
        <v>7.4999999999999997E-3</v>
      </c>
      <c r="Q10" s="75">
        <v>7.4999999999999997E-3</v>
      </c>
      <c r="R10" s="75">
        <v>7.4999999999999997E-3</v>
      </c>
      <c r="S10" s="75">
        <v>7.4999999999999997E-3</v>
      </c>
      <c r="T10" s="75">
        <v>5.0000000000000001E-3</v>
      </c>
      <c r="U10" s="75">
        <v>1.25E-3</v>
      </c>
      <c r="V10" s="77">
        <v>7.4999999999999997E-3</v>
      </c>
      <c r="W10" s="74">
        <f t="shared" si="2"/>
        <v>6.2499999999999995E-3</v>
      </c>
      <c r="X10" s="78">
        <v>1.25E-3</v>
      </c>
      <c r="Y10" s="75">
        <v>2.5000000000000001E-3</v>
      </c>
      <c r="Z10" s="75">
        <v>2.5000000000000001E-3</v>
      </c>
      <c r="AA10" s="75">
        <v>2.5000000000000001E-3</v>
      </c>
      <c r="AB10" s="75">
        <v>4.0000000000000001E-3</v>
      </c>
      <c r="AC10" s="75">
        <v>1.25E-3</v>
      </c>
      <c r="AD10" s="77">
        <v>2.5000000000000001E-3</v>
      </c>
      <c r="AE10" s="74">
        <f t="shared" si="3"/>
        <v>2.3571428571428571E-3</v>
      </c>
      <c r="AG10" s="281">
        <v>44225</v>
      </c>
      <c r="AH10" s="290">
        <v>0</v>
      </c>
      <c r="AI10" s="289">
        <v>0</v>
      </c>
      <c r="AJ10" s="289">
        <v>0</v>
      </c>
      <c r="AK10" s="289">
        <v>0</v>
      </c>
      <c r="AL10" s="288">
        <v>0</v>
      </c>
      <c r="AM10" s="74">
        <f t="shared" si="4"/>
        <v>0</v>
      </c>
      <c r="AN10" s="290">
        <v>0</v>
      </c>
      <c r="AO10" s="289">
        <v>0</v>
      </c>
      <c r="AP10" s="289">
        <v>0</v>
      </c>
      <c r="AQ10" s="289">
        <v>0</v>
      </c>
      <c r="AR10" s="288">
        <v>0</v>
      </c>
      <c r="AS10" s="74">
        <f t="shared" si="5"/>
        <v>0</v>
      </c>
      <c r="AU10" s="281">
        <v>43997</v>
      </c>
      <c r="AV10" s="75">
        <v>6.8750000000000006E-2</v>
      </c>
      <c r="AW10" s="75">
        <v>5.6250000000000001E-2</v>
      </c>
      <c r="AX10" s="75">
        <v>4.6249999999999999E-2</v>
      </c>
      <c r="AY10" s="75">
        <v>7.4999999999999997E-2</v>
      </c>
      <c r="AZ10" s="75">
        <v>6.8750000000000006E-2</v>
      </c>
      <c r="BA10" s="75">
        <v>5.8749999999999997E-2</v>
      </c>
      <c r="BB10" s="75">
        <v>6.6250000000000003E-2</v>
      </c>
      <c r="BC10" s="75">
        <v>7.1249999999999994E-2</v>
      </c>
      <c r="BD10" s="75">
        <v>7.6249999999999998E-2</v>
      </c>
      <c r="BE10" s="75">
        <v>6.8750000000000006E-2</v>
      </c>
      <c r="BF10" s="75">
        <v>7.1249999999999994E-2</v>
      </c>
      <c r="BG10" s="75">
        <v>3.7499999999999999E-2</v>
      </c>
      <c r="BH10" s="75">
        <v>8.2799999999999999E-2</v>
      </c>
      <c r="BI10" s="74">
        <f t="shared" si="6"/>
        <v>6.521538461538462E-2</v>
      </c>
      <c r="BJ10" s="78">
        <v>3.3750000000000002E-2</v>
      </c>
      <c r="BK10" s="75">
        <v>3.875E-2</v>
      </c>
      <c r="BL10" s="75">
        <v>3.3750000000000002E-2</v>
      </c>
      <c r="BM10" s="75">
        <v>0.05</v>
      </c>
      <c r="BN10" s="75">
        <v>5.2499999999999998E-2</v>
      </c>
      <c r="BO10" s="75">
        <v>6.25E-2</v>
      </c>
      <c r="BP10" s="75">
        <v>3.3750000000000002E-2</v>
      </c>
      <c r="BQ10" s="77">
        <v>7.8200000000000006E-2</v>
      </c>
      <c r="BR10" s="79">
        <f t="shared" si="7"/>
        <v>4.7899999999999998E-2</v>
      </c>
      <c r="BT10" s="281">
        <v>43983</v>
      </c>
      <c r="BU10" s="75">
        <v>0</v>
      </c>
      <c r="BV10" s="75">
        <v>0</v>
      </c>
      <c r="BW10" s="77">
        <v>0</v>
      </c>
    </row>
    <row r="11" spans="1:75" s="11" customFormat="1" x14ac:dyDescent="0.2">
      <c r="A11" s="281">
        <v>44443</v>
      </c>
      <c r="B11" s="289">
        <v>2.5000000000000001E-3</v>
      </c>
      <c r="C11" s="289">
        <v>2.5000000000000001E-3</v>
      </c>
      <c r="D11" s="289">
        <v>2.5000000000000001E-3</v>
      </c>
      <c r="E11" s="289">
        <v>2.5000000000000001E-3</v>
      </c>
      <c r="F11" s="288">
        <v>2.5000000000000001E-3</v>
      </c>
      <c r="G11" s="74">
        <f t="shared" si="0"/>
        <v>2.5000000000000001E-3</v>
      </c>
      <c r="H11" s="289">
        <v>2.5000000000000001E-3</v>
      </c>
      <c r="I11" s="289">
        <v>2.5000000000000001E-3</v>
      </c>
      <c r="J11" s="289">
        <v>2.5000000000000001E-3</v>
      </c>
      <c r="K11" s="289">
        <v>2.5000000000000001E-3</v>
      </c>
      <c r="L11" s="288">
        <v>2.5000000000000001E-3</v>
      </c>
      <c r="M11" s="74">
        <f t="shared" si="1"/>
        <v>2.5000000000000001E-3</v>
      </c>
      <c r="O11" s="281">
        <v>44392</v>
      </c>
      <c r="P11" s="78">
        <v>7.4999999999999997E-3</v>
      </c>
      <c r="Q11" s="75">
        <v>7.4999999999999997E-3</v>
      </c>
      <c r="R11" s="75">
        <v>7.4999999999999997E-3</v>
      </c>
      <c r="S11" s="75">
        <v>7.4999999999999997E-3</v>
      </c>
      <c r="T11" s="75">
        <v>5.0000000000000001E-3</v>
      </c>
      <c r="U11" s="75">
        <v>1.25E-3</v>
      </c>
      <c r="V11" s="77">
        <v>7.4999999999999997E-3</v>
      </c>
      <c r="W11" s="74">
        <f t="shared" si="2"/>
        <v>6.2499999999999995E-3</v>
      </c>
      <c r="X11" s="78">
        <v>1.25E-3</v>
      </c>
      <c r="Y11" s="75">
        <v>2.5000000000000001E-3</v>
      </c>
      <c r="Z11" s="75">
        <v>2.5000000000000001E-3</v>
      </c>
      <c r="AA11" s="75">
        <v>2.5000000000000001E-3</v>
      </c>
      <c r="AB11" s="75">
        <v>4.0000000000000001E-3</v>
      </c>
      <c r="AC11" s="75">
        <v>1.25E-3</v>
      </c>
      <c r="AD11" s="77">
        <v>2.5000000000000001E-3</v>
      </c>
      <c r="AE11" s="74">
        <f t="shared" si="3"/>
        <v>2.3571428571428571E-3</v>
      </c>
      <c r="AG11" s="281">
        <v>44406</v>
      </c>
      <c r="AH11" s="290">
        <v>2.5000000000000001E-3</v>
      </c>
      <c r="AI11" s="289">
        <v>2.5000000000000001E-3</v>
      </c>
      <c r="AJ11" s="289">
        <v>2.5000000000000001E-3</v>
      </c>
      <c r="AK11" s="289">
        <v>2.5000000000000001E-3</v>
      </c>
      <c r="AL11" s="288">
        <v>2.5000000000000001E-3</v>
      </c>
      <c r="AM11" s="74">
        <f t="shared" si="4"/>
        <v>2.5000000000000001E-3</v>
      </c>
      <c r="AN11" s="290">
        <v>2.5000000000000001E-3</v>
      </c>
      <c r="AO11" s="289">
        <v>2.5000000000000001E-3</v>
      </c>
      <c r="AP11" s="289">
        <v>2.5000000000000001E-3</v>
      </c>
      <c r="AQ11" s="289">
        <v>2.5000000000000001E-3</v>
      </c>
      <c r="AR11" s="288">
        <v>2.5000000000000001E-3</v>
      </c>
      <c r="AS11" s="74">
        <f t="shared" si="5"/>
        <v>2.5000000000000001E-3</v>
      </c>
      <c r="AU11" s="281">
        <v>44027</v>
      </c>
      <c r="AV11" s="75">
        <v>6.8750000000000006E-2</v>
      </c>
      <c r="AW11" s="75">
        <v>5.6250000000000001E-2</v>
      </c>
      <c r="AX11" s="75">
        <v>4.6249999999999999E-2</v>
      </c>
      <c r="AY11" s="75">
        <v>7.4999999999999997E-2</v>
      </c>
      <c r="AZ11" s="75">
        <v>6.8750000000000006E-2</v>
      </c>
      <c r="BA11" s="75">
        <v>5.8749999999999997E-2</v>
      </c>
      <c r="BB11" s="75">
        <v>6.6250000000000003E-2</v>
      </c>
      <c r="BC11" s="75">
        <v>7.1249999999999994E-2</v>
      </c>
      <c r="BD11" s="75">
        <v>7.6249999999999998E-2</v>
      </c>
      <c r="BE11" s="75">
        <v>6.8750000000000006E-2</v>
      </c>
      <c r="BF11" s="75">
        <v>7.1249999999999994E-2</v>
      </c>
      <c r="BG11" s="75">
        <v>3.7499999999999999E-2</v>
      </c>
      <c r="BH11" s="75">
        <v>8.2799999999999999E-2</v>
      </c>
      <c r="BI11" s="74">
        <f t="shared" si="6"/>
        <v>6.521538461538462E-2</v>
      </c>
      <c r="BJ11" s="78">
        <v>3.3750000000000002E-2</v>
      </c>
      <c r="BK11" s="75">
        <v>3.875E-2</v>
      </c>
      <c r="BL11" s="75">
        <v>3.3750000000000002E-2</v>
      </c>
      <c r="BM11" s="75">
        <v>0.05</v>
      </c>
      <c r="BN11" s="75">
        <v>5.2499999999999998E-2</v>
      </c>
      <c r="BO11" s="75">
        <v>6.25E-2</v>
      </c>
      <c r="BP11" s="75">
        <v>3.3750000000000002E-2</v>
      </c>
      <c r="BQ11" s="77">
        <v>7.8200000000000006E-2</v>
      </c>
      <c r="BR11" s="79">
        <f t="shared" si="7"/>
        <v>4.7899999999999998E-2</v>
      </c>
      <c r="BT11" s="281">
        <v>44013</v>
      </c>
      <c r="BU11" s="75">
        <v>0</v>
      </c>
      <c r="BV11" s="75">
        <v>0</v>
      </c>
      <c r="BW11" s="77">
        <v>0</v>
      </c>
    </row>
    <row r="12" spans="1:75" s="11" customFormat="1" x14ac:dyDescent="0.2">
      <c r="A12" s="281">
        <v>44624</v>
      </c>
      <c r="B12" s="75">
        <v>5.0000000000000001E-3</v>
      </c>
      <c r="C12" s="75">
        <v>1.125E-2</v>
      </c>
      <c r="D12" s="75">
        <v>0.02</v>
      </c>
      <c r="E12" s="75">
        <v>2.5000000000000001E-2</v>
      </c>
      <c r="F12" s="77">
        <v>1.125E-2</v>
      </c>
      <c r="G12" s="74">
        <f t="shared" si="0"/>
        <v>1.4500000000000002E-2</v>
      </c>
      <c r="H12" s="75">
        <v>1.25E-3</v>
      </c>
      <c r="I12" s="75">
        <v>7.4999999999999997E-3</v>
      </c>
      <c r="J12" s="75">
        <v>1.4999999999999999E-2</v>
      </c>
      <c r="K12" s="75">
        <v>1.4999999999999999E-2</v>
      </c>
      <c r="L12" s="77">
        <v>7.4999999999999997E-3</v>
      </c>
      <c r="M12" s="74">
        <f t="shared" si="1"/>
        <v>9.2499999999999995E-3</v>
      </c>
      <c r="O12" s="281">
        <v>44576</v>
      </c>
      <c r="P12" s="78">
        <v>7.4999999999999997E-3</v>
      </c>
      <c r="Q12" s="75">
        <v>1.7500000000000002E-2</v>
      </c>
      <c r="R12" s="75">
        <v>1.7500000000000002E-2</v>
      </c>
      <c r="S12" s="75">
        <v>1.7500000000000002E-2</v>
      </c>
      <c r="T12" s="75">
        <v>2.2499999999999999E-2</v>
      </c>
      <c r="U12" s="75">
        <v>1.6250000000000001E-2</v>
      </c>
      <c r="V12" s="77">
        <v>1.7500000000000002E-2</v>
      </c>
      <c r="W12" s="74">
        <f t="shared" si="2"/>
        <v>1.6607142857142859E-2</v>
      </c>
      <c r="X12" s="78">
        <v>1.25E-3</v>
      </c>
      <c r="Y12" s="75">
        <v>9.4999999999999998E-3</v>
      </c>
      <c r="Z12" s="75">
        <v>9.4999999999999998E-3</v>
      </c>
      <c r="AA12" s="75">
        <v>9.4999999999999998E-3</v>
      </c>
      <c r="AB12" s="75">
        <v>1.7999999999999999E-2</v>
      </c>
      <c r="AC12" s="75">
        <v>1.125E-2</v>
      </c>
      <c r="AD12" s="77">
        <v>9.4999999999999998E-3</v>
      </c>
      <c r="AE12" s="74">
        <f t="shared" si="3"/>
        <v>9.7857142857142847E-3</v>
      </c>
      <c r="AG12" s="281">
        <v>44590</v>
      </c>
      <c r="AH12" s="78">
        <v>0.01</v>
      </c>
      <c r="AI12" s="75">
        <v>1.2500000000000001E-2</v>
      </c>
      <c r="AJ12" s="75">
        <v>1.7500000000000002E-2</v>
      </c>
      <c r="AK12" s="75">
        <v>8.7500000000000008E-3</v>
      </c>
      <c r="AL12" s="77">
        <v>1.4999999999999999E-2</v>
      </c>
      <c r="AM12" s="74">
        <f t="shared" si="4"/>
        <v>1.2750000000000001E-2</v>
      </c>
      <c r="AN12" s="78">
        <v>2.5000000000000001E-3</v>
      </c>
      <c r="AO12" s="75">
        <v>0.01</v>
      </c>
      <c r="AP12" s="75">
        <v>1.2500000000000001E-2</v>
      </c>
      <c r="AQ12" s="75">
        <v>2.5000000000000001E-3</v>
      </c>
      <c r="AR12" s="77">
        <v>0.01</v>
      </c>
      <c r="AS12" s="74">
        <f t="shared" si="5"/>
        <v>7.4999999999999997E-3</v>
      </c>
      <c r="AU12" s="281">
        <v>44058</v>
      </c>
      <c r="AV12" s="75">
        <v>6.8750000000000006E-2</v>
      </c>
      <c r="AW12" s="75">
        <v>5.6250000000000001E-2</v>
      </c>
      <c r="AX12" s="75">
        <v>4.6249999999999999E-2</v>
      </c>
      <c r="AY12" s="75">
        <v>7.4999999999999997E-2</v>
      </c>
      <c r="AZ12" s="75">
        <v>6.8750000000000006E-2</v>
      </c>
      <c r="BA12" s="75">
        <v>5.8749999999999997E-2</v>
      </c>
      <c r="BB12" s="75">
        <v>6.6250000000000003E-2</v>
      </c>
      <c r="BC12" s="75">
        <v>7.1249999999999994E-2</v>
      </c>
      <c r="BD12" s="75">
        <v>7.6249999999999998E-2</v>
      </c>
      <c r="BE12" s="75">
        <v>6.8750000000000006E-2</v>
      </c>
      <c r="BF12" s="75">
        <v>7.1249999999999994E-2</v>
      </c>
      <c r="BG12" s="75">
        <v>3.7499999999999999E-2</v>
      </c>
      <c r="BH12" s="75">
        <v>8.2799999999999999E-2</v>
      </c>
      <c r="BI12" s="74">
        <f t="shared" si="6"/>
        <v>6.521538461538462E-2</v>
      </c>
      <c r="BJ12" s="78">
        <v>3.3750000000000002E-2</v>
      </c>
      <c r="BK12" s="75">
        <v>3.875E-2</v>
      </c>
      <c r="BL12" s="75">
        <v>3.3750000000000002E-2</v>
      </c>
      <c r="BM12" s="75">
        <v>0.05</v>
      </c>
      <c r="BN12" s="75">
        <v>5.2499999999999998E-2</v>
      </c>
      <c r="BO12" s="75">
        <v>6.25E-2</v>
      </c>
      <c r="BP12" s="75">
        <v>3.3750000000000002E-2</v>
      </c>
      <c r="BQ12" s="77">
        <v>7.8200000000000006E-2</v>
      </c>
      <c r="BR12" s="79">
        <f t="shared" si="7"/>
        <v>4.7899999999999998E-2</v>
      </c>
      <c r="BT12" s="281">
        <v>44044</v>
      </c>
      <c r="BU12" s="75">
        <v>0</v>
      </c>
      <c r="BV12" s="75">
        <v>0</v>
      </c>
      <c r="BW12" s="77">
        <v>0</v>
      </c>
    </row>
    <row r="13" spans="1:75" s="11" customFormat="1" x14ac:dyDescent="0.2">
      <c r="A13" s="281">
        <v>44808</v>
      </c>
      <c r="B13" s="75">
        <v>5.0000000000000001E-3</v>
      </c>
      <c r="C13" s="75">
        <v>1.125E-2</v>
      </c>
      <c r="D13" s="75">
        <v>0.02</v>
      </c>
      <c r="E13" s="75">
        <v>2.5000000000000001E-2</v>
      </c>
      <c r="F13" s="77">
        <v>1.125E-2</v>
      </c>
      <c r="G13" s="74">
        <f t="shared" si="0"/>
        <v>1.4500000000000002E-2</v>
      </c>
      <c r="H13" s="75">
        <v>1.25E-3</v>
      </c>
      <c r="I13" s="75">
        <v>7.4999999999999997E-3</v>
      </c>
      <c r="J13" s="75">
        <v>1.4999999999999999E-2</v>
      </c>
      <c r="K13" s="75">
        <v>1.4999999999999999E-2</v>
      </c>
      <c r="L13" s="77">
        <v>7.4999999999999997E-3</v>
      </c>
      <c r="M13" s="74">
        <f t="shared" si="1"/>
        <v>9.2499999999999995E-3</v>
      </c>
      <c r="O13" s="281">
        <v>44757</v>
      </c>
      <c r="P13" s="78">
        <v>7.4999999999999997E-3</v>
      </c>
      <c r="Q13" s="75">
        <v>1.7500000000000002E-2</v>
      </c>
      <c r="R13" s="75">
        <v>1.7500000000000002E-2</v>
      </c>
      <c r="S13" s="75">
        <v>1.7500000000000002E-2</v>
      </c>
      <c r="T13" s="75">
        <v>2.2499999999999999E-2</v>
      </c>
      <c r="U13" s="75">
        <v>1.6250000000000001E-2</v>
      </c>
      <c r="V13" s="77">
        <v>1.7500000000000002E-2</v>
      </c>
      <c r="W13" s="74">
        <f t="shared" si="2"/>
        <v>1.6607142857142859E-2</v>
      </c>
      <c r="X13" s="78">
        <v>1.25E-3</v>
      </c>
      <c r="Y13" s="75">
        <v>9.4999999999999998E-3</v>
      </c>
      <c r="Z13" s="75">
        <v>9.4999999999999998E-3</v>
      </c>
      <c r="AA13" s="75">
        <v>9.4999999999999998E-3</v>
      </c>
      <c r="AB13" s="75">
        <v>1.7999999999999999E-2</v>
      </c>
      <c r="AC13" s="75">
        <v>1.125E-2</v>
      </c>
      <c r="AD13" s="77">
        <v>9.4999999999999998E-3</v>
      </c>
      <c r="AE13" s="74">
        <f t="shared" si="3"/>
        <v>9.7857142857142847E-3</v>
      </c>
      <c r="AG13" s="281">
        <v>44771</v>
      </c>
      <c r="AH13" s="78">
        <v>0.01</v>
      </c>
      <c r="AI13" s="75">
        <v>1.2500000000000001E-2</v>
      </c>
      <c r="AJ13" s="75">
        <v>1.7500000000000002E-2</v>
      </c>
      <c r="AK13" s="75">
        <v>8.7500000000000008E-3</v>
      </c>
      <c r="AL13" s="77">
        <v>1.4999999999999999E-2</v>
      </c>
      <c r="AM13" s="74">
        <f t="shared" si="4"/>
        <v>1.2750000000000001E-2</v>
      </c>
      <c r="AN13" s="78">
        <v>2.5000000000000001E-3</v>
      </c>
      <c r="AO13" s="75">
        <v>0.01</v>
      </c>
      <c r="AP13" s="75">
        <v>1.2500000000000001E-2</v>
      </c>
      <c r="AQ13" s="75">
        <v>2.5000000000000001E-3</v>
      </c>
      <c r="AR13" s="77">
        <v>0.01</v>
      </c>
      <c r="AS13" s="74">
        <f t="shared" si="5"/>
        <v>7.4999999999999997E-3</v>
      </c>
      <c r="AU13" s="281">
        <v>44089</v>
      </c>
      <c r="AV13" s="75">
        <v>6.8750000000000006E-2</v>
      </c>
      <c r="AW13" s="75">
        <v>5.6250000000000001E-2</v>
      </c>
      <c r="AX13" s="75">
        <v>4.6249999999999999E-2</v>
      </c>
      <c r="AY13" s="75">
        <v>7.4999999999999997E-2</v>
      </c>
      <c r="AZ13" s="75">
        <v>6.8750000000000006E-2</v>
      </c>
      <c r="BA13" s="75">
        <v>5.8749999999999997E-2</v>
      </c>
      <c r="BB13" s="75">
        <v>6.6250000000000003E-2</v>
      </c>
      <c r="BC13" s="75">
        <v>7.1249999999999994E-2</v>
      </c>
      <c r="BD13" s="75">
        <v>7.6249999999999998E-2</v>
      </c>
      <c r="BE13" s="75">
        <v>6.8750000000000006E-2</v>
      </c>
      <c r="BF13" s="75">
        <v>7.1249999999999994E-2</v>
      </c>
      <c r="BG13" s="75">
        <v>3.7499999999999999E-2</v>
      </c>
      <c r="BH13" s="75">
        <v>8.2799999999999999E-2</v>
      </c>
      <c r="BI13" s="74">
        <f t="shared" si="6"/>
        <v>6.521538461538462E-2</v>
      </c>
      <c r="BJ13" s="78">
        <v>3.3750000000000002E-2</v>
      </c>
      <c r="BK13" s="75">
        <v>3.875E-2</v>
      </c>
      <c r="BL13" s="75">
        <v>3.3750000000000002E-2</v>
      </c>
      <c r="BM13" s="75">
        <v>0.05</v>
      </c>
      <c r="BN13" s="75">
        <v>5.2499999999999998E-2</v>
      </c>
      <c r="BO13" s="75">
        <v>6.25E-2</v>
      </c>
      <c r="BP13" s="75">
        <v>3.3750000000000002E-2</v>
      </c>
      <c r="BQ13" s="77">
        <v>7.8200000000000006E-2</v>
      </c>
      <c r="BR13" s="79">
        <f t="shared" si="7"/>
        <v>4.7899999999999998E-2</v>
      </c>
      <c r="BT13" s="281">
        <v>44075</v>
      </c>
      <c r="BU13" s="75">
        <v>0</v>
      </c>
      <c r="BV13" s="75">
        <v>0</v>
      </c>
      <c r="BW13" s="77">
        <v>0</v>
      </c>
    </row>
    <row r="14" spans="1:75" s="11" customFormat="1" x14ac:dyDescent="0.2">
      <c r="A14" s="281">
        <v>44989</v>
      </c>
      <c r="B14" s="75">
        <v>5.0000000000000001E-3</v>
      </c>
      <c r="C14" s="75">
        <v>1.4999999999999999E-2</v>
      </c>
      <c r="D14" s="75">
        <v>3.875E-2</v>
      </c>
      <c r="E14" s="75">
        <v>3.5000000000000003E-2</v>
      </c>
      <c r="F14" s="77">
        <v>1.4999999999999999E-2</v>
      </c>
      <c r="G14" s="74">
        <f t="shared" si="0"/>
        <v>2.1749999999999999E-2</v>
      </c>
      <c r="H14" s="75">
        <v>1.25E-3</v>
      </c>
      <c r="I14" s="75">
        <v>8.7500000000000008E-3</v>
      </c>
      <c r="J14" s="75">
        <v>0.03</v>
      </c>
      <c r="K14" s="75">
        <v>2.75E-2</v>
      </c>
      <c r="L14" s="77">
        <v>8.7500000000000008E-3</v>
      </c>
      <c r="M14" s="74">
        <f t="shared" si="1"/>
        <v>1.5250000000000003E-2</v>
      </c>
      <c r="O14" s="281">
        <v>44941</v>
      </c>
      <c r="P14" s="78">
        <v>0.01</v>
      </c>
      <c r="Q14" s="75">
        <v>2.2499999999999999E-2</v>
      </c>
      <c r="R14" s="75">
        <v>2.4E-2</v>
      </c>
      <c r="S14" s="75">
        <v>2.8500000000000001E-2</v>
      </c>
      <c r="T14" s="75">
        <v>3.7499999999999999E-2</v>
      </c>
      <c r="U14" s="75">
        <v>0.03</v>
      </c>
      <c r="V14" s="77">
        <v>0.03</v>
      </c>
      <c r="W14" s="74">
        <f t="shared" si="2"/>
        <v>2.6071428571428572E-2</v>
      </c>
      <c r="X14" s="78">
        <v>1.25E-3</v>
      </c>
      <c r="Y14" s="75">
        <v>1.4999999999999999E-2</v>
      </c>
      <c r="Z14" s="75">
        <v>1.35E-2</v>
      </c>
      <c r="AA14" s="75">
        <v>1.8749999999999999E-2</v>
      </c>
      <c r="AB14" s="75">
        <v>2.9499999999999998E-2</v>
      </c>
      <c r="AC14" s="75">
        <v>0.02</v>
      </c>
      <c r="AD14" s="77">
        <v>0.02</v>
      </c>
      <c r="AE14" s="74">
        <f t="shared" si="3"/>
        <v>1.6857142857142859E-2</v>
      </c>
      <c r="AG14" s="281">
        <v>44955</v>
      </c>
      <c r="AH14" s="78">
        <v>1.6250000000000001E-2</v>
      </c>
      <c r="AI14" s="75">
        <v>2.2499999999999999E-2</v>
      </c>
      <c r="AJ14" s="75">
        <v>0.03</v>
      </c>
      <c r="AK14" s="75">
        <v>0.01</v>
      </c>
      <c r="AL14" s="77">
        <v>2.6499999999999999E-2</v>
      </c>
      <c r="AM14" s="74">
        <f t="shared" si="4"/>
        <v>2.1049999999999999E-2</v>
      </c>
      <c r="AN14" s="78">
        <v>8.7500000000000008E-3</v>
      </c>
      <c r="AO14" s="75">
        <v>1.7500000000000002E-2</v>
      </c>
      <c r="AP14" s="75">
        <v>2.5000000000000001E-2</v>
      </c>
      <c r="AQ14" s="75">
        <v>7.4999999999999997E-3</v>
      </c>
      <c r="AR14" s="77">
        <v>2.1499999999999998E-2</v>
      </c>
      <c r="AS14" s="74">
        <f t="shared" si="5"/>
        <v>1.6050000000000002E-2</v>
      </c>
      <c r="AU14" s="281">
        <v>44119</v>
      </c>
      <c r="AV14" s="75">
        <v>6.8750000000000006E-2</v>
      </c>
      <c r="AW14" s="75">
        <v>5.6250000000000001E-2</v>
      </c>
      <c r="AX14" s="75">
        <v>4.6249999999999999E-2</v>
      </c>
      <c r="AY14" s="75">
        <v>7.4999999999999997E-2</v>
      </c>
      <c r="AZ14" s="75">
        <v>6.8750000000000006E-2</v>
      </c>
      <c r="BA14" s="75">
        <v>5.8749999999999997E-2</v>
      </c>
      <c r="BB14" s="75">
        <v>6.6250000000000003E-2</v>
      </c>
      <c r="BC14" s="75">
        <v>7.1249999999999994E-2</v>
      </c>
      <c r="BD14" s="75">
        <v>7.6249999999999998E-2</v>
      </c>
      <c r="BE14" s="75">
        <v>6.8750000000000006E-2</v>
      </c>
      <c r="BF14" s="75">
        <v>7.1249999999999994E-2</v>
      </c>
      <c r="BG14" s="75">
        <v>3.7499999999999999E-2</v>
      </c>
      <c r="BH14" s="75">
        <v>8.2799999999999999E-2</v>
      </c>
      <c r="BI14" s="74">
        <f t="shared" si="6"/>
        <v>6.521538461538462E-2</v>
      </c>
      <c r="BJ14" s="78"/>
      <c r="BK14" s="75">
        <v>3.875E-2</v>
      </c>
      <c r="BL14" s="75">
        <v>3.3750000000000002E-2</v>
      </c>
      <c r="BM14" s="75">
        <v>0.05</v>
      </c>
      <c r="BN14" s="75">
        <v>5.2499999999999998E-2</v>
      </c>
      <c r="BO14" s="75">
        <v>6.25E-2</v>
      </c>
      <c r="BP14" s="75">
        <v>3.3750000000000002E-2</v>
      </c>
      <c r="BQ14" s="77">
        <v>7.8200000000000006E-2</v>
      </c>
      <c r="BR14" s="79">
        <f t="shared" si="7"/>
        <v>4.9921428571428568E-2</v>
      </c>
      <c r="BT14" s="281">
        <v>44105</v>
      </c>
      <c r="BU14" s="75">
        <v>0</v>
      </c>
      <c r="BV14" s="75">
        <v>0</v>
      </c>
      <c r="BW14" s="77">
        <v>0</v>
      </c>
    </row>
    <row r="15" spans="1:75" s="11" customFormat="1" x14ac:dyDescent="0.2">
      <c r="A15" s="281">
        <v>45173</v>
      </c>
      <c r="B15" s="75">
        <v>5.0000000000000001E-3</v>
      </c>
      <c r="C15" s="75">
        <v>1.4999999999999999E-2</v>
      </c>
      <c r="D15" s="75">
        <v>3.875E-2</v>
      </c>
      <c r="E15" s="75">
        <v>3.5000000000000003E-2</v>
      </c>
      <c r="F15" s="77">
        <v>1.4999999999999999E-2</v>
      </c>
      <c r="G15" s="74">
        <f t="shared" si="0"/>
        <v>2.1749999999999999E-2</v>
      </c>
      <c r="H15" s="75">
        <v>1.25E-3</v>
      </c>
      <c r="I15" s="75">
        <v>8.7500000000000008E-3</v>
      </c>
      <c r="J15" s="75">
        <v>0.03</v>
      </c>
      <c r="K15" s="75">
        <v>2.75E-2</v>
      </c>
      <c r="L15" s="77">
        <v>8.7500000000000008E-3</v>
      </c>
      <c r="M15" s="74">
        <f t="shared" si="1"/>
        <v>1.5250000000000003E-2</v>
      </c>
      <c r="O15" s="281">
        <v>45122</v>
      </c>
      <c r="P15" s="78">
        <v>0.01</v>
      </c>
      <c r="Q15" s="75">
        <v>2.2499999999999999E-2</v>
      </c>
      <c r="R15" s="75">
        <v>2.4E-2</v>
      </c>
      <c r="S15" s="75">
        <v>2.8500000000000001E-2</v>
      </c>
      <c r="T15" s="75">
        <v>3.7499999999999999E-2</v>
      </c>
      <c r="U15" s="75">
        <v>0.03</v>
      </c>
      <c r="V15" s="77">
        <v>0.03</v>
      </c>
      <c r="W15" s="74">
        <f t="shared" si="2"/>
        <v>2.6071428571428572E-2</v>
      </c>
      <c r="X15" s="78">
        <v>1.25E-3</v>
      </c>
      <c r="Y15" s="75">
        <v>1.4999999999999999E-2</v>
      </c>
      <c r="Z15" s="75">
        <v>1.35E-2</v>
      </c>
      <c r="AA15" s="75">
        <v>1.8749999999999999E-2</v>
      </c>
      <c r="AB15" s="75">
        <v>2.9499999999999998E-2</v>
      </c>
      <c r="AC15" s="75">
        <v>0.02</v>
      </c>
      <c r="AD15" s="77">
        <v>0.02</v>
      </c>
      <c r="AE15" s="74">
        <f t="shared" si="3"/>
        <v>1.6857142857142859E-2</v>
      </c>
      <c r="AG15" s="281">
        <v>45136</v>
      </c>
      <c r="AH15" s="78">
        <v>1.6250000000000001E-2</v>
      </c>
      <c r="AI15" s="75">
        <v>2.2499999999999999E-2</v>
      </c>
      <c r="AJ15" s="75">
        <v>0.03</v>
      </c>
      <c r="AK15" s="75">
        <v>0.01</v>
      </c>
      <c r="AL15" s="77">
        <v>2.6499999999999999E-2</v>
      </c>
      <c r="AM15" s="74">
        <f t="shared" si="4"/>
        <v>2.1049999999999999E-2</v>
      </c>
      <c r="AN15" s="78">
        <v>8.7500000000000008E-3</v>
      </c>
      <c r="AO15" s="75">
        <v>1.7500000000000002E-2</v>
      </c>
      <c r="AP15" s="75">
        <v>2.5000000000000001E-2</v>
      </c>
      <c r="AQ15" s="75">
        <v>7.4999999999999997E-3</v>
      </c>
      <c r="AR15" s="77">
        <v>2.1499999999999998E-2</v>
      </c>
      <c r="AS15" s="74">
        <f t="shared" si="5"/>
        <v>1.6050000000000002E-2</v>
      </c>
      <c r="AU15" s="281">
        <v>44150</v>
      </c>
      <c r="AV15" s="75">
        <v>6.8750000000000006E-2</v>
      </c>
      <c r="AW15" s="75">
        <v>5.6250000000000001E-2</v>
      </c>
      <c r="AX15" s="75">
        <v>4.6249999999999999E-2</v>
      </c>
      <c r="AY15" s="75">
        <v>7.4999999999999997E-2</v>
      </c>
      <c r="AZ15" s="75">
        <v>6.8750000000000006E-2</v>
      </c>
      <c r="BA15" s="75">
        <v>5.8749999999999997E-2</v>
      </c>
      <c r="BB15" s="75">
        <v>6.6250000000000003E-2</v>
      </c>
      <c r="BC15" s="75">
        <v>7.1249999999999994E-2</v>
      </c>
      <c r="BD15" s="75">
        <v>7.6249999999999998E-2</v>
      </c>
      <c r="BE15" s="75">
        <v>6.8750000000000006E-2</v>
      </c>
      <c r="BF15" s="75">
        <v>7.1249999999999994E-2</v>
      </c>
      <c r="BG15" s="75">
        <v>3.7499999999999999E-2</v>
      </c>
      <c r="BH15" s="75">
        <v>8.2799999999999999E-2</v>
      </c>
      <c r="BI15" s="74">
        <f t="shared" si="6"/>
        <v>6.521538461538462E-2</v>
      </c>
      <c r="BJ15" s="78"/>
      <c r="BK15" s="75">
        <v>3.875E-2</v>
      </c>
      <c r="BL15" s="75">
        <v>3.3750000000000002E-2</v>
      </c>
      <c r="BM15" s="75">
        <v>0.05</v>
      </c>
      <c r="BN15" s="75">
        <v>5.2499999999999998E-2</v>
      </c>
      <c r="BO15" s="75">
        <v>6.25E-2</v>
      </c>
      <c r="BP15" s="75">
        <v>3.3750000000000002E-2</v>
      </c>
      <c r="BQ15" s="77">
        <v>7.8200000000000006E-2</v>
      </c>
      <c r="BR15" s="79">
        <f t="shared" si="7"/>
        <v>4.9921428571428568E-2</v>
      </c>
      <c r="BT15" s="281">
        <v>44136</v>
      </c>
      <c r="BU15" s="75">
        <v>0</v>
      </c>
      <c r="BV15" s="75">
        <v>0</v>
      </c>
      <c r="BW15" s="77">
        <v>0</v>
      </c>
    </row>
    <row r="16" spans="1:75" s="11" customFormat="1" x14ac:dyDescent="0.2">
      <c r="A16" s="281">
        <v>45355</v>
      </c>
      <c r="B16" s="75">
        <v>7.4999999999999997E-3</v>
      </c>
      <c r="C16" s="75">
        <v>3.6249999999999998E-2</v>
      </c>
      <c r="D16" s="75">
        <v>4.2500000000000003E-2</v>
      </c>
      <c r="E16" s="75">
        <v>3.5000000000000003E-2</v>
      </c>
      <c r="F16" s="77">
        <v>3.6249999999999998E-2</v>
      </c>
      <c r="G16" s="74">
        <f t="shared" si="0"/>
        <v>3.15E-2</v>
      </c>
      <c r="H16" s="75">
        <v>1.25E-3</v>
      </c>
      <c r="I16" s="75">
        <v>2.5000000000000001E-2</v>
      </c>
      <c r="J16" s="75">
        <v>3.7499999999999999E-2</v>
      </c>
      <c r="K16" s="75">
        <v>0.03</v>
      </c>
      <c r="L16" s="77">
        <v>2.5000000000000001E-2</v>
      </c>
      <c r="M16" s="74">
        <f t="shared" si="1"/>
        <v>2.375E-2</v>
      </c>
      <c r="O16" s="281">
        <v>45306</v>
      </c>
      <c r="P16" s="78">
        <v>1.2500000000000001E-2</v>
      </c>
      <c r="Q16" s="75">
        <v>2.75E-2</v>
      </c>
      <c r="R16" s="75">
        <v>0.03</v>
      </c>
      <c r="S16" s="75">
        <v>3.5000000000000003E-2</v>
      </c>
      <c r="T16" s="75">
        <v>4.2500000000000003E-2</v>
      </c>
      <c r="U16" s="75">
        <v>3.5000000000000003E-2</v>
      </c>
      <c r="V16" s="77">
        <v>3.2500000000000001E-2</v>
      </c>
      <c r="W16" s="74">
        <f t="shared" si="2"/>
        <v>3.0714285714285718E-2</v>
      </c>
      <c r="X16" s="78">
        <v>1.25E-3</v>
      </c>
      <c r="Y16" s="75">
        <v>1.7500000000000002E-2</v>
      </c>
      <c r="Z16" s="75">
        <v>0.02</v>
      </c>
      <c r="AA16" s="75">
        <v>2.5000000000000001E-2</v>
      </c>
      <c r="AB16" s="75">
        <v>3.3500000000000002E-2</v>
      </c>
      <c r="AC16" s="75">
        <v>2.6249999999999999E-2</v>
      </c>
      <c r="AD16" s="77">
        <v>2.2499999999999999E-2</v>
      </c>
      <c r="AE16" s="74">
        <f t="shared" si="3"/>
        <v>2.0857142857142855E-2</v>
      </c>
      <c r="AG16" s="281">
        <v>45320</v>
      </c>
      <c r="AH16" s="78">
        <v>1.6250000000000001E-2</v>
      </c>
      <c r="AI16" s="75">
        <v>0.04</v>
      </c>
      <c r="AJ16" s="75">
        <v>4.4999999999999998E-2</v>
      </c>
      <c r="AK16" s="75">
        <v>2.75E-2</v>
      </c>
      <c r="AL16" s="77">
        <v>3.5000000000000003E-2</v>
      </c>
      <c r="AM16" s="74">
        <f t="shared" si="4"/>
        <v>3.2750000000000001E-2</v>
      </c>
      <c r="AN16" s="78">
        <v>8.7500000000000008E-3</v>
      </c>
      <c r="AO16" s="75">
        <v>3.5000000000000003E-2</v>
      </c>
      <c r="AP16" s="75">
        <v>3.7499999999999999E-2</v>
      </c>
      <c r="AQ16" s="75">
        <v>0.02</v>
      </c>
      <c r="AR16" s="77">
        <v>0.03</v>
      </c>
      <c r="AS16" s="74">
        <f t="shared" si="5"/>
        <v>2.6250000000000002E-2</v>
      </c>
      <c r="AU16" s="281">
        <v>44180</v>
      </c>
      <c r="AV16" s="75">
        <v>6.8750000000000006E-2</v>
      </c>
      <c r="AW16" s="75">
        <v>5.6250000000000001E-2</v>
      </c>
      <c r="AX16" s="75">
        <v>4.6249999999999999E-2</v>
      </c>
      <c r="AY16" s="75">
        <v>7.4999999999999997E-2</v>
      </c>
      <c r="AZ16" s="75">
        <v>6.8750000000000006E-2</v>
      </c>
      <c r="BA16" s="75">
        <v>5.8749999999999997E-2</v>
      </c>
      <c r="BB16" s="75">
        <v>6.6250000000000003E-2</v>
      </c>
      <c r="BC16" s="75">
        <v>7.1249999999999994E-2</v>
      </c>
      <c r="BD16" s="75">
        <v>7.6249999999999998E-2</v>
      </c>
      <c r="BE16" s="75">
        <v>6.8750000000000006E-2</v>
      </c>
      <c r="BF16" s="75">
        <v>7.1249999999999994E-2</v>
      </c>
      <c r="BG16" s="75">
        <v>3.7499999999999999E-2</v>
      </c>
      <c r="BH16" s="75">
        <v>8.2799999999999999E-2</v>
      </c>
      <c r="BI16" s="74">
        <f t="shared" si="6"/>
        <v>6.521538461538462E-2</v>
      </c>
      <c r="BJ16" s="78"/>
      <c r="BK16" s="75">
        <v>3.875E-2</v>
      </c>
      <c r="BL16" s="75">
        <v>3.3750000000000002E-2</v>
      </c>
      <c r="BM16" s="75">
        <v>0.05</v>
      </c>
      <c r="BN16" s="75">
        <v>5.2499999999999998E-2</v>
      </c>
      <c r="BO16" s="75">
        <v>6.25E-2</v>
      </c>
      <c r="BP16" s="75">
        <v>3.3750000000000002E-2</v>
      </c>
      <c r="BQ16" s="77">
        <v>7.8200000000000006E-2</v>
      </c>
      <c r="BR16" s="79">
        <f t="shared" si="7"/>
        <v>4.9921428571428568E-2</v>
      </c>
      <c r="BT16" s="281">
        <v>44166</v>
      </c>
      <c r="BU16" s="75">
        <v>0</v>
      </c>
      <c r="BV16" s="75">
        <v>0</v>
      </c>
      <c r="BW16" s="77">
        <v>0</v>
      </c>
    </row>
    <row r="17" spans="1:75" s="11" customFormat="1" x14ac:dyDescent="0.2">
      <c r="A17" s="281">
        <v>45539</v>
      </c>
      <c r="B17" s="75">
        <v>7.4999999999999997E-3</v>
      </c>
      <c r="C17" s="75">
        <v>3.6249999999999998E-2</v>
      </c>
      <c r="D17" s="75">
        <v>4.2500000000000003E-2</v>
      </c>
      <c r="E17" s="75">
        <v>3.5000000000000003E-2</v>
      </c>
      <c r="F17" s="77">
        <v>3.6249999999999998E-2</v>
      </c>
      <c r="G17" s="74">
        <f t="shared" si="0"/>
        <v>3.15E-2</v>
      </c>
      <c r="H17" s="75">
        <v>1.25E-3</v>
      </c>
      <c r="I17" s="75">
        <v>2.5000000000000001E-2</v>
      </c>
      <c r="J17" s="75">
        <v>3.7499999999999999E-2</v>
      </c>
      <c r="K17" s="75">
        <v>0.03</v>
      </c>
      <c r="L17" s="77">
        <v>2.5000000000000001E-2</v>
      </c>
      <c r="M17" s="74">
        <f t="shared" si="1"/>
        <v>2.375E-2</v>
      </c>
      <c r="O17" s="281">
        <v>45488</v>
      </c>
      <c r="P17" s="78">
        <v>1.2500000000000001E-2</v>
      </c>
      <c r="Q17" s="75">
        <v>2.75E-2</v>
      </c>
      <c r="R17" s="75">
        <v>0.03</v>
      </c>
      <c r="S17" s="75">
        <v>3.5000000000000003E-2</v>
      </c>
      <c r="T17" s="75">
        <v>4.2500000000000003E-2</v>
      </c>
      <c r="U17" s="75">
        <v>3.5000000000000003E-2</v>
      </c>
      <c r="V17" s="77">
        <v>3.2500000000000001E-2</v>
      </c>
      <c r="W17" s="74">
        <f t="shared" si="2"/>
        <v>3.0714285714285718E-2</v>
      </c>
      <c r="X17" s="78">
        <v>1.25E-3</v>
      </c>
      <c r="Y17" s="75">
        <v>1.7500000000000002E-2</v>
      </c>
      <c r="Z17" s="75">
        <v>0.02</v>
      </c>
      <c r="AA17" s="75">
        <v>2.5000000000000001E-2</v>
      </c>
      <c r="AB17" s="75">
        <v>3.3500000000000002E-2</v>
      </c>
      <c r="AC17" s="75">
        <v>2.6249999999999999E-2</v>
      </c>
      <c r="AD17" s="77">
        <v>2.2499999999999999E-2</v>
      </c>
      <c r="AE17" s="74">
        <f t="shared" si="3"/>
        <v>2.0857142857142855E-2</v>
      </c>
      <c r="AG17" s="281">
        <v>45502</v>
      </c>
      <c r="AH17" s="78">
        <v>1.6250000000000001E-2</v>
      </c>
      <c r="AI17" s="75">
        <v>0.04</v>
      </c>
      <c r="AJ17" s="75">
        <v>4.4999999999999998E-2</v>
      </c>
      <c r="AK17" s="75">
        <v>2.75E-2</v>
      </c>
      <c r="AL17" s="77">
        <v>3.5000000000000003E-2</v>
      </c>
      <c r="AM17" s="74">
        <f t="shared" si="4"/>
        <v>3.2750000000000001E-2</v>
      </c>
      <c r="AN17" s="78">
        <v>8.7500000000000008E-3</v>
      </c>
      <c r="AO17" s="75">
        <v>3.5000000000000003E-2</v>
      </c>
      <c r="AP17" s="75">
        <v>3.7499999999999999E-2</v>
      </c>
      <c r="AQ17" s="75">
        <v>0.02</v>
      </c>
      <c r="AR17" s="77">
        <v>0.03</v>
      </c>
      <c r="AS17" s="74">
        <f t="shared" si="5"/>
        <v>2.6250000000000002E-2</v>
      </c>
      <c r="AU17" s="281">
        <v>44211</v>
      </c>
      <c r="AV17" s="75">
        <v>6.8750000000000006E-2</v>
      </c>
      <c r="AW17" s="75">
        <v>5.6250000000000001E-2</v>
      </c>
      <c r="AX17" s="75">
        <v>4.6249999999999999E-2</v>
      </c>
      <c r="AY17" s="75">
        <v>7.4999999999999997E-2</v>
      </c>
      <c r="AZ17" s="75">
        <v>6.8750000000000006E-2</v>
      </c>
      <c r="BA17" s="75">
        <v>5.8749999999999997E-2</v>
      </c>
      <c r="BB17" s="75">
        <v>6.6250000000000003E-2</v>
      </c>
      <c r="BC17" s="75">
        <v>7.1249999999999994E-2</v>
      </c>
      <c r="BD17" s="75">
        <v>7.6249999999999998E-2</v>
      </c>
      <c r="BE17" s="75">
        <v>6.8750000000000006E-2</v>
      </c>
      <c r="BF17" s="75">
        <v>7.1249999999999994E-2</v>
      </c>
      <c r="BG17" s="75">
        <v>3.7499999999999999E-2</v>
      </c>
      <c r="BH17" s="75">
        <v>8.2799999999999999E-2</v>
      </c>
      <c r="BI17" s="74">
        <f t="shared" si="6"/>
        <v>6.521538461538462E-2</v>
      </c>
      <c r="BJ17" s="78"/>
      <c r="BK17" s="75">
        <v>3.875E-2</v>
      </c>
      <c r="BL17" s="75">
        <v>3.3750000000000002E-2</v>
      </c>
      <c r="BM17" s="75">
        <v>0.05</v>
      </c>
      <c r="BN17" s="75">
        <v>5.2499999999999998E-2</v>
      </c>
      <c r="BO17" s="75">
        <v>6.25E-2</v>
      </c>
      <c r="BP17" s="75">
        <v>3.3750000000000002E-2</v>
      </c>
      <c r="BQ17" s="77">
        <v>7.8200000000000006E-2</v>
      </c>
      <c r="BR17" s="79">
        <f t="shared" si="7"/>
        <v>4.9921428571428568E-2</v>
      </c>
      <c r="BT17" s="281">
        <v>44197</v>
      </c>
      <c r="BU17" s="75">
        <v>6.2499999999999995E-3</v>
      </c>
      <c r="BV17" s="75">
        <v>0</v>
      </c>
      <c r="BW17" s="77">
        <v>0</v>
      </c>
    </row>
    <row r="18" spans="1:75" s="11" customFormat="1" x14ac:dyDescent="0.2">
      <c r="A18" s="281">
        <v>45720</v>
      </c>
      <c r="B18" s="75">
        <v>7.4999999999999997E-3</v>
      </c>
      <c r="C18" s="75">
        <v>4.1250000000000002E-2</v>
      </c>
      <c r="D18" s="75">
        <v>0.05</v>
      </c>
      <c r="E18" s="75">
        <v>3.5000000000000003E-2</v>
      </c>
      <c r="F18" s="77">
        <v>4.1250000000000002E-2</v>
      </c>
      <c r="G18" s="74">
        <f t="shared" si="0"/>
        <v>3.5000000000000003E-2</v>
      </c>
      <c r="H18" s="75">
        <v>1.25E-3</v>
      </c>
      <c r="I18" s="75">
        <v>3.875E-2</v>
      </c>
      <c r="J18" s="75">
        <v>4.2500000000000003E-2</v>
      </c>
      <c r="K18" s="75">
        <v>0.03</v>
      </c>
      <c r="L18" s="77">
        <v>3.7499999999999999E-2</v>
      </c>
      <c r="M18" s="74">
        <f t="shared" si="1"/>
        <v>0.03</v>
      </c>
      <c r="O18" s="281">
        <v>45672</v>
      </c>
      <c r="P18" s="78">
        <v>1.4999999999999999E-2</v>
      </c>
      <c r="Q18" s="75">
        <v>3.3500000000000002E-2</v>
      </c>
      <c r="R18" s="75">
        <v>3.4000000000000002E-2</v>
      </c>
      <c r="S18" s="75">
        <v>4.2500000000000003E-2</v>
      </c>
      <c r="T18" s="75">
        <v>0.05</v>
      </c>
      <c r="U18" s="75">
        <v>3.5000000000000003E-2</v>
      </c>
      <c r="V18" s="77">
        <v>4.2500000000000003E-2</v>
      </c>
      <c r="W18" s="74">
        <f t="shared" si="2"/>
        <v>3.6071428571428574E-2</v>
      </c>
      <c r="X18" s="78">
        <v>2.5000000000000001E-3</v>
      </c>
      <c r="Y18" s="75">
        <v>0.02</v>
      </c>
      <c r="Z18" s="75">
        <v>2.2499999999999999E-2</v>
      </c>
      <c r="AA18" s="75">
        <v>0.03</v>
      </c>
      <c r="AB18" s="75">
        <v>3.95E-2</v>
      </c>
      <c r="AC18" s="75">
        <v>2.6249999999999999E-2</v>
      </c>
      <c r="AD18" s="77">
        <v>0.03</v>
      </c>
      <c r="AE18" s="74">
        <f t="shared" si="3"/>
        <v>2.439285714285714E-2</v>
      </c>
      <c r="AG18" s="281">
        <v>45686</v>
      </c>
      <c r="AH18" s="78">
        <v>1.7500000000000002E-2</v>
      </c>
      <c r="AI18" s="75">
        <v>4.4999999999999998E-2</v>
      </c>
      <c r="AJ18" s="75">
        <v>4.7500000000000001E-2</v>
      </c>
      <c r="AK18" s="75">
        <v>3.7499999999999999E-2</v>
      </c>
      <c r="AL18" s="77">
        <v>4.4999999999999998E-2</v>
      </c>
      <c r="AM18" s="74">
        <f t="shared" si="4"/>
        <v>3.85E-2</v>
      </c>
      <c r="AN18" s="78">
        <v>0.01</v>
      </c>
      <c r="AO18" s="75">
        <v>3.7499999999999999E-2</v>
      </c>
      <c r="AP18" s="75">
        <v>0.04</v>
      </c>
      <c r="AQ18" s="75">
        <v>0.03</v>
      </c>
      <c r="AR18" s="77">
        <v>0.04</v>
      </c>
      <c r="AS18" s="74">
        <f t="shared" si="5"/>
        <v>3.15E-2</v>
      </c>
      <c r="AU18" s="281">
        <v>44242</v>
      </c>
      <c r="AV18" s="75">
        <v>6.8750000000000006E-2</v>
      </c>
      <c r="AW18" s="75">
        <v>5.6250000000000001E-2</v>
      </c>
      <c r="AX18" s="75">
        <v>4.6249999999999999E-2</v>
      </c>
      <c r="AY18" s="75">
        <v>7.4999999999999997E-2</v>
      </c>
      <c r="AZ18" s="75">
        <v>6.8750000000000006E-2</v>
      </c>
      <c r="BA18" s="75">
        <v>5.8749999999999997E-2</v>
      </c>
      <c r="BB18" s="75">
        <v>6.6250000000000003E-2</v>
      </c>
      <c r="BC18" s="75">
        <v>7.1249999999999994E-2</v>
      </c>
      <c r="BD18" s="75">
        <v>7.6249999999999998E-2</v>
      </c>
      <c r="BE18" s="75">
        <v>6.8750000000000006E-2</v>
      </c>
      <c r="BF18" s="75">
        <v>7.1249999999999994E-2</v>
      </c>
      <c r="BG18" s="75">
        <v>3.7499999999999999E-2</v>
      </c>
      <c r="BH18" s="75">
        <v>8.2799999999999999E-2</v>
      </c>
      <c r="BI18" s="74">
        <f t="shared" si="6"/>
        <v>6.521538461538462E-2</v>
      </c>
      <c r="BJ18" s="78"/>
      <c r="BK18" s="75">
        <v>3.875E-2</v>
      </c>
      <c r="BL18" s="75">
        <v>3.3750000000000002E-2</v>
      </c>
      <c r="BM18" s="75">
        <v>0.05</v>
      </c>
      <c r="BN18" s="75">
        <v>5.2499999999999998E-2</v>
      </c>
      <c r="BO18" s="75">
        <v>6.25E-2</v>
      </c>
      <c r="BP18" s="75">
        <v>3.3750000000000002E-2</v>
      </c>
      <c r="BQ18" s="77">
        <v>7.8200000000000006E-2</v>
      </c>
      <c r="BR18" s="79">
        <f t="shared" si="7"/>
        <v>4.9921428571428568E-2</v>
      </c>
      <c r="BT18" s="281">
        <v>44228</v>
      </c>
      <c r="BU18" s="75">
        <v>6.2499999999999995E-3</v>
      </c>
      <c r="BV18" s="75">
        <v>0</v>
      </c>
      <c r="BW18" s="77">
        <v>0</v>
      </c>
    </row>
    <row r="19" spans="1:75" s="11" customFormat="1" x14ac:dyDescent="0.2">
      <c r="A19" s="281">
        <v>45904</v>
      </c>
      <c r="B19" s="75">
        <v>7.4999999999999997E-3</v>
      </c>
      <c r="C19" s="75">
        <v>4.1250000000000002E-2</v>
      </c>
      <c r="D19" s="75">
        <v>0.05</v>
      </c>
      <c r="E19" s="75">
        <v>3.5000000000000003E-2</v>
      </c>
      <c r="F19" s="77">
        <v>4.1250000000000002E-2</v>
      </c>
      <c r="G19" s="74">
        <f t="shared" si="0"/>
        <v>3.5000000000000003E-2</v>
      </c>
      <c r="H19" s="75">
        <v>1.25E-3</v>
      </c>
      <c r="I19" s="75">
        <v>3.875E-2</v>
      </c>
      <c r="J19" s="75">
        <v>4.2500000000000003E-2</v>
      </c>
      <c r="K19" s="75">
        <v>0.03</v>
      </c>
      <c r="L19" s="77">
        <v>3.7499999999999999E-2</v>
      </c>
      <c r="M19" s="74">
        <f t="shared" si="1"/>
        <v>0.03</v>
      </c>
      <c r="O19" s="281">
        <v>45853</v>
      </c>
      <c r="P19" s="78">
        <v>1.4999999999999999E-2</v>
      </c>
      <c r="Q19" s="75">
        <v>3.3500000000000002E-2</v>
      </c>
      <c r="R19" s="75">
        <v>3.4000000000000002E-2</v>
      </c>
      <c r="S19" s="75">
        <v>4.2500000000000003E-2</v>
      </c>
      <c r="T19" s="75">
        <v>0.05</v>
      </c>
      <c r="U19" s="75">
        <v>3.5000000000000003E-2</v>
      </c>
      <c r="V19" s="77">
        <v>4.2500000000000003E-2</v>
      </c>
      <c r="W19" s="74">
        <f t="shared" si="2"/>
        <v>3.6071428571428574E-2</v>
      </c>
      <c r="X19" s="78">
        <v>2.5000000000000001E-3</v>
      </c>
      <c r="Y19" s="75">
        <v>0.02</v>
      </c>
      <c r="Z19" s="75">
        <v>2.2499999999999999E-2</v>
      </c>
      <c r="AA19" s="75">
        <v>0.03</v>
      </c>
      <c r="AB19" s="75">
        <v>3.95E-2</v>
      </c>
      <c r="AC19" s="75">
        <v>2.6249999999999999E-2</v>
      </c>
      <c r="AD19" s="77">
        <v>0.03</v>
      </c>
      <c r="AE19" s="74">
        <f t="shared" si="3"/>
        <v>2.439285714285714E-2</v>
      </c>
      <c r="AG19" s="281">
        <v>45867</v>
      </c>
      <c r="AH19" s="78">
        <v>1.7500000000000002E-2</v>
      </c>
      <c r="AI19" s="75">
        <v>4.4999999999999998E-2</v>
      </c>
      <c r="AJ19" s="75">
        <v>4.7500000000000001E-2</v>
      </c>
      <c r="AK19" s="75">
        <v>3.7499999999999999E-2</v>
      </c>
      <c r="AL19" s="77">
        <v>4.4999999999999998E-2</v>
      </c>
      <c r="AM19" s="74">
        <f t="shared" si="4"/>
        <v>3.85E-2</v>
      </c>
      <c r="AN19" s="78">
        <v>0.01</v>
      </c>
      <c r="AO19" s="75">
        <v>3.7499999999999999E-2</v>
      </c>
      <c r="AP19" s="75">
        <v>0.04</v>
      </c>
      <c r="AQ19" s="75">
        <v>0.03</v>
      </c>
      <c r="AR19" s="77">
        <v>0.04</v>
      </c>
      <c r="AS19" s="74">
        <f t="shared" si="5"/>
        <v>3.15E-2</v>
      </c>
      <c r="AU19" s="281">
        <v>44270</v>
      </c>
      <c r="AV19" s="75">
        <v>6.8750000000000006E-2</v>
      </c>
      <c r="AW19" s="75">
        <v>5.6250000000000001E-2</v>
      </c>
      <c r="AX19" s="75">
        <v>4.6249999999999999E-2</v>
      </c>
      <c r="AY19" s="75">
        <v>7.4999999999999997E-2</v>
      </c>
      <c r="AZ19" s="75">
        <v>6.8750000000000006E-2</v>
      </c>
      <c r="BA19" s="75">
        <v>5.8749999999999997E-2</v>
      </c>
      <c r="BB19" s="75">
        <v>6.6250000000000003E-2</v>
      </c>
      <c r="BC19" s="75">
        <v>7.1249999999999994E-2</v>
      </c>
      <c r="BD19" s="75">
        <v>7.6249999999999998E-2</v>
      </c>
      <c r="BE19" s="75">
        <v>6.8750000000000006E-2</v>
      </c>
      <c r="BF19" s="75">
        <v>7.1249999999999994E-2</v>
      </c>
      <c r="BG19" s="75">
        <v>3.7499999999999999E-2</v>
      </c>
      <c r="BH19" s="75">
        <v>8.2799999999999999E-2</v>
      </c>
      <c r="BI19" s="74">
        <f t="shared" si="6"/>
        <v>6.521538461538462E-2</v>
      </c>
      <c r="BJ19" s="78"/>
      <c r="BK19" s="75">
        <v>3.875E-2</v>
      </c>
      <c r="BL19" s="75">
        <v>3.3750000000000002E-2</v>
      </c>
      <c r="BM19" s="75">
        <v>0.05</v>
      </c>
      <c r="BN19" s="75">
        <v>5.2499999999999998E-2</v>
      </c>
      <c r="BO19" s="75">
        <v>6.25E-2</v>
      </c>
      <c r="BP19" s="75">
        <v>3.3750000000000002E-2</v>
      </c>
      <c r="BQ19" s="77">
        <v>7.8200000000000006E-2</v>
      </c>
      <c r="BR19" s="79">
        <f t="shared" si="7"/>
        <v>4.9921428571428568E-2</v>
      </c>
      <c r="BT19" s="281">
        <v>44256</v>
      </c>
      <c r="BU19" s="75">
        <v>6.2499999999999995E-3</v>
      </c>
      <c r="BV19" s="75">
        <v>0</v>
      </c>
      <c r="BW19" s="77">
        <v>0</v>
      </c>
    </row>
    <row r="20" spans="1:75" s="11" customFormat="1" x14ac:dyDescent="0.2">
      <c r="A20" s="281">
        <v>46085</v>
      </c>
      <c r="B20" s="75">
        <v>7.4999999999999997E-3</v>
      </c>
      <c r="C20" s="75">
        <v>4.1250000000000002E-2</v>
      </c>
      <c r="D20" s="75">
        <v>0.05</v>
      </c>
      <c r="E20" s="75">
        <v>3.5000000000000003E-2</v>
      </c>
      <c r="F20" s="77">
        <v>4.1250000000000002E-2</v>
      </c>
      <c r="G20" s="74">
        <f t="shared" si="0"/>
        <v>3.5000000000000003E-2</v>
      </c>
      <c r="H20" s="75">
        <v>1.25E-3</v>
      </c>
      <c r="I20" s="75">
        <v>3.875E-2</v>
      </c>
      <c r="J20" s="75">
        <v>4.2500000000000003E-2</v>
      </c>
      <c r="K20" s="75">
        <v>0.03</v>
      </c>
      <c r="L20" s="77">
        <v>0.04</v>
      </c>
      <c r="M20" s="74">
        <f t="shared" si="1"/>
        <v>3.0499999999999999E-2</v>
      </c>
      <c r="O20" s="281">
        <v>46037</v>
      </c>
      <c r="P20" s="78">
        <v>1.4999999999999999E-2</v>
      </c>
      <c r="Q20" s="75">
        <v>3.7499999999999999E-2</v>
      </c>
      <c r="R20" s="75">
        <v>0.04</v>
      </c>
      <c r="S20" s="75">
        <v>0.05</v>
      </c>
      <c r="T20" s="75">
        <v>5.7500000000000002E-2</v>
      </c>
      <c r="U20" s="75">
        <v>3.5000000000000003E-2</v>
      </c>
      <c r="V20" s="77">
        <v>5.3499999999999999E-2</v>
      </c>
      <c r="W20" s="74">
        <f t="shared" si="2"/>
        <v>4.1214285714285717E-2</v>
      </c>
      <c r="X20" s="78">
        <v>2.5000000000000001E-3</v>
      </c>
      <c r="Y20" s="75">
        <v>2.4E-2</v>
      </c>
      <c r="Z20" s="75">
        <v>2.75E-2</v>
      </c>
      <c r="AA20" s="75">
        <v>3.85E-2</v>
      </c>
      <c r="AB20" s="75">
        <v>4.5499999999999999E-2</v>
      </c>
      <c r="AC20" s="75">
        <v>2.6249999999999999E-2</v>
      </c>
      <c r="AD20" s="77">
        <v>4.4999999999999998E-2</v>
      </c>
      <c r="AE20" s="74">
        <f t="shared" si="3"/>
        <v>2.9892857142857141E-2</v>
      </c>
      <c r="AG20" s="281">
        <v>46051</v>
      </c>
      <c r="AH20" s="78">
        <v>1.7500000000000002E-2</v>
      </c>
      <c r="AI20" s="75">
        <v>4.4999999999999998E-2</v>
      </c>
      <c r="AJ20" s="75">
        <v>4.7500000000000001E-2</v>
      </c>
      <c r="AK20" s="75">
        <v>4.6249999999999999E-2</v>
      </c>
      <c r="AL20" s="77">
        <v>4.4999999999999998E-2</v>
      </c>
      <c r="AM20" s="74">
        <f t="shared" si="4"/>
        <v>4.0249999999999994E-2</v>
      </c>
      <c r="AN20" s="78">
        <v>0.01</v>
      </c>
      <c r="AO20" s="75">
        <v>3.7499999999999999E-2</v>
      </c>
      <c r="AP20" s="75">
        <v>0.04</v>
      </c>
      <c r="AQ20" s="75">
        <v>3.875E-2</v>
      </c>
      <c r="AR20" s="77">
        <v>0.04</v>
      </c>
      <c r="AS20" s="74">
        <f t="shared" si="5"/>
        <v>3.3250000000000002E-2</v>
      </c>
      <c r="AU20" s="281">
        <v>44301</v>
      </c>
      <c r="AV20" s="75">
        <v>6.8750000000000006E-2</v>
      </c>
      <c r="AW20" s="75">
        <v>5.6250000000000001E-2</v>
      </c>
      <c r="AX20" s="75">
        <v>4.6249999999999999E-2</v>
      </c>
      <c r="AY20" s="75">
        <v>7.4999999999999997E-2</v>
      </c>
      <c r="AZ20" s="75">
        <v>6.8750000000000006E-2</v>
      </c>
      <c r="BA20" s="75">
        <v>5.8749999999999997E-2</v>
      </c>
      <c r="BB20" s="75">
        <v>6.6250000000000003E-2</v>
      </c>
      <c r="BC20" s="75">
        <v>7.1249999999999994E-2</v>
      </c>
      <c r="BD20" s="75">
        <v>7.6249999999999998E-2</v>
      </c>
      <c r="BE20" s="75">
        <v>6.8750000000000006E-2</v>
      </c>
      <c r="BF20" s="75">
        <v>7.1249999999999994E-2</v>
      </c>
      <c r="BG20" s="75">
        <v>3.7499999999999999E-2</v>
      </c>
      <c r="BH20" s="75">
        <v>8.2799999999999999E-2</v>
      </c>
      <c r="BI20" s="74">
        <f t="shared" si="6"/>
        <v>6.521538461538462E-2</v>
      </c>
      <c r="BJ20" s="78"/>
      <c r="BK20" s="75">
        <v>3.875E-2</v>
      </c>
      <c r="BL20" s="75">
        <v>3.3750000000000002E-2</v>
      </c>
      <c r="BM20" s="75">
        <v>0.05</v>
      </c>
      <c r="BN20" s="75">
        <v>5.2499999999999998E-2</v>
      </c>
      <c r="BO20" s="75">
        <v>6.25E-2</v>
      </c>
      <c r="BP20" s="75">
        <v>3.3750000000000002E-2</v>
      </c>
      <c r="BQ20" s="77">
        <v>7.8200000000000006E-2</v>
      </c>
      <c r="BR20" s="79">
        <f t="shared" si="7"/>
        <v>4.9921428571428568E-2</v>
      </c>
      <c r="BT20" s="281">
        <v>44287</v>
      </c>
      <c r="BU20" s="75">
        <v>6.2499999999999995E-3</v>
      </c>
      <c r="BV20" s="75">
        <v>0</v>
      </c>
      <c r="BW20" s="77">
        <v>0</v>
      </c>
    </row>
    <row r="21" spans="1:75" s="11" customFormat="1" x14ac:dyDescent="0.2">
      <c r="A21" s="281">
        <v>46269</v>
      </c>
      <c r="B21" s="75">
        <v>7.4999999999999997E-3</v>
      </c>
      <c r="C21" s="75">
        <v>4.1250000000000002E-2</v>
      </c>
      <c r="D21" s="75">
        <v>0.05</v>
      </c>
      <c r="E21" s="75">
        <v>3.5000000000000003E-2</v>
      </c>
      <c r="F21" s="77">
        <v>4.1250000000000002E-2</v>
      </c>
      <c r="G21" s="74">
        <f t="shared" si="0"/>
        <v>3.5000000000000003E-2</v>
      </c>
      <c r="H21" s="75">
        <v>1.25E-3</v>
      </c>
      <c r="I21" s="75">
        <v>3.875E-2</v>
      </c>
      <c r="J21" s="75">
        <v>4.2500000000000003E-2</v>
      </c>
      <c r="K21" s="75">
        <v>0.03</v>
      </c>
      <c r="L21" s="77">
        <v>0.04</v>
      </c>
      <c r="M21" s="74">
        <f t="shared" si="1"/>
        <v>3.0499999999999999E-2</v>
      </c>
      <c r="O21" s="281">
        <v>46218</v>
      </c>
      <c r="P21" s="78">
        <v>1.4999999999999999E-2</v>
      </c>
      <c r="Q21" s="75">
        <v>3.7499999999999999E-2</v>
      </c>
      <c r="R21" s="75">
        <v>0.04</v>
      </c>
      <c r="S21" s="75">
        <v>0.05</v>
      </c>
      <c r="T21" s="75">
        <v>5.7500000000000002E-2</v>
      </c>
      <c r="U21" s="75">
        <v>3.5000000000000003E-2</v>
      </c>
      <c r="V21" s="77">
        <v>5.3499999999999999E-2</v>
      </c>
      <c r="W21" s="74">
        <f t="shared" si="2"/>
        <v>4.1214285714285717E-2</v>
      </c>
      <c r="X21" s="78">
        <v>2.5000000000000001E-3</v>
      </c>
      <c r="Y21" s="75">
        <v>2.4E-2</v>
      </c>
      <c r="Z21" s="75">
        <v>2.75E-2</v>
      </c>
      <c r="AA21" s="75">
        <v>3.85E-2</v>
      </c>
      <c r="AB21" s="75">
        <v>4.5499999999999999E-2</v>
      </c>
      <c r="AC21" s="75">
        <v>2.6249999999999999E-2</v>
      </c>
      <c r="AD21" s="77">
        <v>4.4999999999999998E-2</v>
      </c>
      <c r="AE21" s="74">
        <f t="shared" si="3"/>
        <v>2.9892857142857141E-2</v>
      </c>
      <c r="AG21" s="281">
        <v>46232</v>
      </c>
      <c r="AH21" s="78">
        <v>1.7500000000000002E-2</v>
      </c>
      <c r="AI21" s="75">
        <v>4.4999999999999998E-2</v>
      </c>
      <c r="AJ21" s="75">
        <v>4.7500000000000001E-2</v>
      </c>
      <c r="AK21" s="75">
        <v>4.6249999999999999E-2</v>
      </c>
      <c r="AL21" s="77">
        <v>4.4999999999999998E-2</v>
      </c>
      <c r="AM21" s="74">
        <f t="shared" si="4"/>
        <v>4.0249999999999994E-2</v>
      </c>
      <c r="AN21" s="78">
        <v>0.01</v>
      </c>
      <c r="AO21" s="75">
        <v>3.7499999999999999E-2</v>
      </c>
      <c r="AP21" s="75">
        <v>0.04</v>
      </c>
      <c r="AQ21" s="75">
        <v>3.875E-2</v>
      </c>
      <c r="AR21" s="77">
        <v>0.04</v>
      </c>
      <c r="AS21" s="74">
        <f t="shared" si="5"/>
        <v>3.3250000000000002E-2</v>
      </c>
      <c r="AU21" s="281">
        <v>44331</v>
      </c>
      <c r="AV21" s="75"/>
      <c r="AW21" s="75">
        <v>5.6250000000000001E-2</v>
      </c>
      <c r="AX21" s="75">
        <v>4.6249999999999999E-2</v>
      </c>
      <c r="AY21" s="75">
        <v>7.4999999999999997E-2</v>
      </c>
      <c r="AZ21" s="75">
        <v>6.8750000000000006E-2</v>
      </c>
      <c r="BA21" s="75">
        <v>5.8749999999999997E-2</v>
      </c>
      <c r="BB21" s="75">
        <v>6.6250000000000003E-2</v>
      </c>
      <c r="BC21" s="75">
        <v>7.1249999999999994E-2</v>
      </c>
      <c r="BD21" s="75">
        <v>7.6249999999999998E-2</v>
      </c>
      <c r="BE21" s="75">
        <v>6.8750000000000006E-2</v>
      </c>
      <c r="BF21" s="75">
        <v>7.1249999999999994E-2</v>
      </c>
      <c r="BG21" s="75">
        <v>3.7499999999999999E-2</v>
      </c>
      <c r="BH21" s="75">
        <v>8.2799999999999999E-2</v>
      </c>
      <c r="BI21" s="74">
        <f t="shared" si="6"/>
        <v>6.492083333333333E-2</v>
      </c>
      <c r="BJ21" s="78"/>
      <c r="BK21" s="75">
        <v>3.875E-2</v>
      </c>
      <c r="BL21" s="75">
        <v>3.3750000000000002E-2</v>
      </c>
      <c r="BM21" s="75">
        <v>0.05</v>
      </c>
      <c r="BN21" s="75">
        <v>5.2499999999999998E-2</v>
      </c>
      <c r="BO21" s="75">
        <v>6.25E-2</v>
      </c>
      <c r="BP21" s="75">
        <v>3.3750000000000002E-2</v>
      </c>
      <c r="BQ21" s="77">
        <v>7.8200000000000006E-2</v>
      </c>
      <c r="BR21" s="79">
        <f t="shared" si="7"/>
        <v>4.9921428571428568E-2</v>
      </c>
      <c r="BT21" s="281">
        <v>44317</v>
      </c>
      <c r="BU21" s="75">
        <v>6.2499999999999995E-3</v>
      </c>
      <c r="BV21" s="75">
        <v>0</v>
      </c>
      <c r="BW21" s="77">
        <v>0</v>
      </c>
    </row>
    <row r="22" spans="1:75" s="11" customFormat="1" x14ac:dyDescent="0.2">
      <c r="A22" s="281">
        <v>46450</v>
      </c>
      <c r="B22" s="75">
        <v>7.4999999999999997E-3</v>
      </c>
      <c r="C22" s="75">
        <v>4.1250000000000002E-2</v>
      </c>
      <c r="D22" s="75">
        <v>0.05</v>
      </c>
      <c r="E22" s="75">
        <v>3.5000000000000003E-2</v>
      </c>
      <c r="F22" s="77">
        <v>4.1250000000000002E-2</v>
      </c>
      <c r="G22" s="74">
        <f t="shared" si="0"/>
        <v>3.5000000000000003E-2</v>
      </c>
      <c r="H22" s="75">
        <v>1.25E-3</v>
      </c>
      <c r="I22" s="75">
        <v>3.875E-2</v>
      </c>
      <c r="J22" s="75">
        <v>4.2500000000000003E-2</v>
      </c>
      <c r="K22" s="75">
        <v>0.03</v>
      </c>
      <c r="L22" s="77">
        <v>4.1250000000000002E-2</v>
      </c>
      <c r="M22" s="74">
        <f t="shared" si="1"/>
        <v>3.075E-2</v>
      </c>
      <c r="O22" s="281">
        <v>46402</v>
      </c>
      <c r="P22" s="78">
        <v>1.4999999999999999E-2</v>
      </c>
      <c r="Q22" s="75">
        <v>0.04</v>
      </c>
      <c r="R22" s="75">
        <v>5.6500000000000002E-2</v>
      </c>
      <c r="S22" s="75">
        <v>5.7500000000000002E-2</v>
      </c>
      <c r="T22" s="75">
        <v>5.7500000000000002E-2</v>
      </c>
      <c r="U22" s="75">
        <v>3.5000000000000003E-2</v>
      </c>
      <c r="V22" s="77">
        <v>5.7500000000000002E-2</v>
      </c>
      <c r="W22" s="74">
        <f t="shared" si="2"/>
        <v>4.5571428571428575E-2</v>
      </c>
      <c r="X22" s="78">
        <v>2.5000000000000001E-3</v>
      </c>
      <c r="Y22" s="75">
        <v>0.03</v>
      </c>
      <c r="Z22" s="75">
        <v>4.65E-2</v>
      </c>
      <c r="AA22" s="75">
        <v>4.7500000000000001E-2</v>
      </c>
      <c r="AB22" s="75">
        <v>4.5499999999999999E-2</v>
      </c>
      <c r="AC22" s="75">
        <v>2.6249999999999999E-2</v>
      </c>
      <c r="AD22" s="77">
        <v>4.7500000000000001E-2</v>
      </c>
      <c r="AE22" s="74">
        <f t="shared" si="3"/>
        <v>3.5107142857142851E-2</v>
      </c>
      <c r="AG22" s="281">
        <v>46416</v>
      </c>
      <c r="AH22" s="78">
        <v>2.1250000000000002E-2</v>
      </c>
      <c r="AI22" s="75">
        <v>4.7500000000000001E-2</v>
      </c>
      <c r="AJ22" s="75">
        <v>0.05</v>
      </c>
      <c r="AK22" s="75">
        <v>4.8750000000000002E-2</v>
      </c>
      <c r="AL22" s="77">
        <v>4.4999999999999998E-2</v>
      </c>
      <c r="AM22" s="74">
        <f t="shared" si="4"/>
        <v>4.2500000000000003E-2</v>
      </c>
      <c r="AN22" s="78">
        <v>1.375E-2</v>
      </c>
      <c r="AO22" s="75">
        <v>0.04</v>
      </c>
      <c r="AP22" s="75">
        <v>4.2500000000000003E-2</v>
      </c>
      <c r="AQ22" s="75">
        <v>4.1250000000000002E-2</v>
      </c>
      <c r="AR22" s="77">
        <v>0.04</v>
      </c>
      <c r="AS22" s="74">
        <f t="shared" si="5"/>
        <v>3.5500000000000004E-2</v>
      </c>
      <c r="AU22" s="281">
        <v>44362</v>
      </c>
      <c r="AV22" s="75"/>
      <c r="AW22" s="75">
        <v>5.6250000000000001E-2</v>
      </c>
      <c r="AX22" s="75">
        <v>4.6249999999999999E-2</v>
      </c>
      <c r="AY22" s="75">
        <v>7.4999999999999997E-2</v>
      </c>
      <c r="AZ22" s="75">
        <v>6.8750000000000006E-2</v>
      </c>
      <c r="BA22" s="75">
        <v>5.8749999999999997E-2</v>
      </c>
      <c r="BB22" s="75">
        <v>6.6250000000000003E-2</v>
      </c>
      <c r="BC22" s="75">
        <v>7.1249999999999994E-2</v>
      </c>
      <c r="BD22" s="75">
        <v>7.6249999999999998E-2</v>
      </c>
      <c r="BE22" s="75">
        <v>6.8750000000000006E-2</v>
      </c>
      <c r="BF22" s="75">
        <v>7.1249999999999994E-2</v>
      </c>
      <c r="BG22" s="75">
        <v>3.7499999999999999E-2</v>
      </c>
      <c r="BH22" s="75">
        <v>8.2799999999999999E-2</v>
      </c>
      <c r="BI22" s="74">
        <f t="shared" si="6"/>
        <v>6.492083333333333E-2</v>
      </c>
      <c r="BJ22" s="78"/>
      <c r="BK22" s="75">
        <v>3.875E-2</v>
      </c>
      <c r="BL22" s="75">
        <v>3.3750000000000002E-2</v>
      </c>
      <c r="BM22" s="75">
        <v>0.05</v>
      </c>
      <c r="BN22" s="75">
        <v>5.2499999999999998E-2</v>
      </c>
      <c r="BO22" s="75">
        <v>6.25E-2</v>
      </c>
      <c r="BP22" s="75">
        <v>3.3750000000000002E-2</v>
      </c>
      <c r="BQ22" s="77">
        <v>7.8200000000000006E-2</v>
      </c>
      <c r="BR22" s="79">
        <f t="shared" si="7"/>
        <v>4.9921428571428568E-2</v>
      </c>
      <c r="BT22" s="281">
        <v>44348</v>
      </c>
      <c r="BU22" s="75">
        <v>6.2499999999999995E-3</v>
      </c>
      <c r="BV22" s="75">
        <v>0</v>
      </c>
      <c r="BW22" s="77">
        <v>0</v>
      </c>
    </row>
    <row r="23" spans="1:75" s="11" customFormat="1" x14ac:dyDescent="0.2">
      <c r="A23" s="281">
        <v>46634</v>
      </c>
      <c r="B23" s="75">
        <v>7.4999999999999997E-3</v>
      </c>
      <c r="C23" s="75">
        <v>4.1250000000000002E-2</v>
      </c>
      <c r="D23" s="75">
        <v>0.05</v>
      </c>
      <c r="E23" s="75">
        <v>3.5000000000000003E-2</v>
      </c>
      <c r="F23" s="77">
        <v>4.1250000000000002E-2</v>
      </c>
      <c r="G23" s="74">
        <f t="shared" si="0"/>
        <v>3.5000000000000003E-2</v>
      </c>
      <c r="H23" s="75">
        <v>1.25E-3</v>
      </c>
      <c r="I23" s="75">
        <v>3.875E-2</v>
      </c>
      <c r="J23" s="75">
        <v>4.2500000000000003E-2</v>
      </c>
      <c r="K23" s="75">
        <v>0.03</v>
      </c>
      <c r="L23" s="77">
        <v>4.1250000000000002E-2</v>
      </c>
      <c r="M23" s="74">
        <f t="shared" si="1"/>
        <v>3.075E-2</v>
      </c>
      <c r="O23" s="281">
        <v>46583</v>
      </c>
      <c r="P23" s="78">
        <v>1.4999999999999999E-2</v>
      </c>
      <c r="Q23" s="75">
        <v>0.04</v>
      </c>
      <c r="R23" s="75">
        <v>5.6500000000000002E-2</v>
      </c>
      <c r="S23" s="75">
        <v>5.7500000000000002E-2</v>
      </c>
      <c r="T23" s="75">
        <v>5.7500000000000002E-2</v>
      </c>
      <c r="U23" s="75">
        <v>3.5000000000000003E-2</v>
      </c>
      <c r="V23" s="77">
        <v>5.7500000000000002E-2</v>
      </c>
      <c r="W23" s="74">
        <f t="shared" si="2"/>
        <v>4.5571428571428575E-2</v>
      </c>
      <c r="X23" s="78">
        <v>2.5000000000000001E-3</v>
      </c>
      <c r="Y23" s="75">
        <v>0.03</v>
      </c>
      <c r="Z23" s="75">
        <v>4.65E-2</v>
      </c>
      <c r="AA23" s="75">
        <v>4.7500000000000001E-2</v>
      </c>
      <c r="AB23" s="75">
        <v>4.5499999999999999E-2</v>
      </c>
      <c r="AC23" s="75">
        <v>2.6249999999999999E-2</v>
      </c>
      <c r="AD23" s="77">
        <v>4.7500000000000001E-2</v>
      </c>
      <c r="AE23" s="74">
        <f t="shared" si="3"/>
        <v>3.5107142857142851E-2</v>
      </c>
      <c r="AG23" s="281">
        <v>46597</v>
      </c>
      <c r="AH23" s="78">
        <v>2.1250000000000002E-2</v>
      </c>
      <c r="AI23" s="75">
        <v>4.7500000000000001E-2</v>
      </c>
      <c r="AJ23" s="75">
        <v>0.05</v>
      </c>
      <c r="AK23" s="75">
        <v>4.8750000000000002E-2</v>
      </c>
      <c r="AL23" s="77">
        <v>4.4999999999999998E-2</v>
      </c>
      <c r="AM23" s="74">
        <f t="shared" si="4"/>
        <v>4.2500000000000003E-2</v>
      </c>
      <c r="AN23" s="78">
        <v>1.375E-2</v>
      </c>
      <c r="AO23" s="75">
        <v>0.04</v>
      </c>
      <c r="AP23" s="75">
        <v>4.2500000000000003E-2</v>
      </c>
      <c r="AQ23" s="75">
        <v>4.1250000000000002E-2</v>
      </c>
      <c r="AR23" s="77">
        <v>0.04</v>
      </c>
      <c r="AS23" s="74">
        <f t="shared" si="5"/>
        <v>3.5500000000000004E-2</v>
      </c>
      <c r="AU23" s="281">
        <v>44392</v>
      </c>
      <c r="AV23" s="75"/>
      <c r="AW23" s="75">
        <v>5.6250000000000001E-2</v>
      </c>
      <c r="AX23" s="75">
        <v>4.6249999999999999E-2</v>
      </c>
      <c r="AY23" s="75">
        <v>7.4999999999999997E-2</v>
      </c>
      <c r="AZ23" s="75">
        <v>6.8750000000000006E-2</v>
      </c>
      <c r="BA23" s="75">
        <v>5.8749999999999997E-2</v>
      </c>
      <c r="BB23" s="75">
        <v>6.6250000000000003E-2</v>
      </c>
      <c r="BC23" s="75">
        <v>7.1249999999999994E-2</v>
      </c>
      <c r="BD23" s="75">
        <v>7.6249999999999998E-2</v>
      </c>
      <c r="BE23" s="75">
        <v>6.8750000000000006E-2</v>
      </c>
      <c r="BF23" s="75">
        <v>7.1249999999999994E-2</v>
      </c>
      <c r="BG23" s="75">
        <v>3.7499999999999999E-2</v>
      </c>
      <c r="BH23" s="75">
        <v>8.2799999999999999E-2</v>
      </c>
      <c r="BI23" s="74">
        <f t="shared" si="6"/>
        <v>6.492083333333333E-2</v>
      </c>
      <c r="BJ23" s="78"/>
      <c r="BK23" s="75">
        <v>3.875E-2</v>
      </c>
      <c r="BL23" s="75">
        <v>3.3750000000000002E-2</v>
      </c>
      <c r="BM23" s="75">
        <v>0.05</v>
      </c>
      <c r="BN23" s="75">
        <v>5.2499999999999998E-2</v>
      </c>
      <c r="BO23" s="75">
        <v>6.25E-2</v>
      </c>
      <c r="BP23" s="75">
        <v>3.3750000000000002E-2</v>
      </c>
      <c r="BQ23" s="77">
        <v>7.8200000000000006E-2</v>
      </c>
      <c r="BR23" s="79">
        <f t="shared" si="7"/>
        <v>4.9921428571428568E-2</v>
      </c>
      <c r="BT23" s="281">
        <v>44378</v>
      </c>
      <c r="BU23" s="75">
        <v>6.2499999999999995E-3</v>
      </c>
      <c r="BV23" s="75">
        <v>2.5000000000000001E-3</v>
      </c>
      <c r="BW23" s="77">
        <v>0</v>
      </c>
    </row>
    <row r="24" spans="1:75" s="11" customFormat="1" x14ac:dyDescent="0.2">
      <c r="A24" s="281">
        <v>46816</v>
      </c>
      <c r="B24" s="75">
        <v>1.7500000000000002E-2</v>
      </c>
      <c r="C24" s="75">
        <v>4.7500000000000001E-2</v>
      </c>
      <c r="D24" s="75">
        <v>0.05</v>
      </c>
      <c r="E24" s="75">
        <v>3.5000000000000003E-2</v>
      </c>
      <c r="F24" s="77">
        <v>4.3749999999999997E-2</v>
      </c>
      <c r="G24" s="74">
        <f t="shared" si="0"/>
        <v>3.8750000000000007E-2</v>
      </c>
      <c r="H24" s="75">
        <v>1.25E-3</v>
      </c>
      <c r="I24" s="75">
        <v>0.04</v>
      </c>
      <c r="J24" s="75">
        <v>4.2500000000000003E-2</v>
      </c>
      <c r="K24" s="75">
        <v>0.03</v>
      </c>
      <c r="L24" s="77">
        <v>4.1250000000000002E-2</v>
      </c>
      <c r="M24" s="74">
        <f t="shared" si="1"/>
        <v>3.1E-2</v>
      </c>
      <c r="O24" s="281">
        <v>46767</v>
      </c>
      <c r="P24" s="78"/>
      <c r="Q24" s="75">
        <v>0.04</v>
      </c>
      <c r="R24" s="75">
        <v>5.6500000000000002E-2</v>
      </c>
      <c r="S24" s="75">
        <v>5.7500000000000002E-2</v>
      </c>
      <c r="T24" s="75">
        <v>5.7500000000000002E-2</v>
      </c>
      <c r="U24" s="75">
        <v>3.5000000000000003E-2</v>
      </c>
      <c r="V24" s="77">
        <v>5.7500000000000002E-2</v>
      </c>
      <c r="W24" s="74">
        <f t="shared" si="2"/>
        <v>5.0666666666666665E-2</v>
      </c>
      <c r="X24" s="78"/>
      <c r="Y24" s="75">
        <v>0.03</v>
      </c>
      <c r="Z24" s="75">
        <v>4.65E-2</v>
      </c>
      <c r="AA24" s="75">
        <v>4.7500000000000001E-2</v>
      </c>
      <c r="AB24" s="75">
        <v>4.5499999999999999E-2</v>
      </c>
      <c r="AC24" s="75">
        <v>2.6249999999999999E-2</v>
      </c>
      <c r="AD24" s="77">
        <v>4.7500000000000001E-2</v>
      </c>
      <c r="AE24" s="74">
        <f t="shared" si="3"/>
        <v>4.0541666666666663E-2</v>
      </c>
      <c r="AG24" s="281">
        <v>46781</v>
      </c>
      <c r="AH24" s="78">
        <v>2.1250000000000002E-2</v>
      </c>
      <c r="AI24" s="75">
        <v>4.7500000000000001E-2</v>
      </c>
      <c r="AJ24" s="75">
        <v>0.05</v>
      </c>
      <c r="AK24" s="75">
        <v>4.8750000000000002E-2</v>
      </c>
      <c r="AL24" s="77">
        <v>4.4999999999999998E-2</v>
      </c>
      <c r="AM24" s="74">
        <f t="shared" si="4"/>
        <v>4.2500000000000003E-2</v>
      </c>
      <c r="AN24" s="78">
        <v>1.375E-2</v>
      </c>
      <c r="AO24" s="75">
        <v>0.04</v>
      </c>
      <c r="AP24" s="75">
        <v>4.2500000000000003E-2</v>
      </c>
      <c r="AQ24" s="75">
        <v>4.1250000000000002E-2</v>
      </c>
      <c r="AR24" s="77">
        <v>0.04</v>
      </c>
      <c r="AS24" s="74">
        <f t="shared" si="5"/>
        <v>3.5500000000000004E-2</v>
      </c>
      <c r="AU24" s="281">
        <v>44423</v>
      </c>
      <c r="AV24" s="75"/>
      <c r="AW24" s="75">
        <v>5.6250000000000001E-2</v>
      </c>
      <c r="AX24" s="75">
        <v>4.6249999999999999E-2</v>
      </c>
      <c r="AY24" s="75">
        <v>7.4999999999999997E-2</v>
      </c>
      <c r="AZ24" s="75">
        <v>6.8750000000000006E-2</v>
      </c>
      <c r="BA24" s="75">
        <v>5.8749999999999997E-2</v>
      </c>
      <c r="BB24" s="75">
        <v>6.6250000000000003E-2</v>
      </c>
      <c r="BC24" s="75">
        <v>7.1249999999999994E-2</v>
      </c>
      <c r="BD24" s="75">
        <v>7.6249999999999998E-2</v>
      </c>
      <c r="BE24" s="75">
        <v>6.8750000000000006E-2</v>
      </c>
      <c r="BF24" s="75">
        <v>7.1249999999999994E-2</v>
      </c>
      <c r="BG24" s="75">
        <v>3.7499999999999999E-2</v>
      </c>
      <c r="BH24" s="75">
        <v>8.2799999999999999E-2</v>
      </c>
      <c r="BI24" s="74">
        <f t="shared" si="6"/>
        <v>6.492083333333333E-2</v>
      </c>
      <c r="BJ24" s="78"/>
      <c r="BK24" s="75">
        <v>3.875E-2</v>
      </c>
      <c r="BL24" s="75">
        <v>3.3750000000000002E-2</v>
      </c>
      <c r="BM24" s="75">
        <v>0.05</v>
      </c>
      <c r="BN24" s="75">
        <v>5.2499999999999998E-2</v>
      </c>
      <c r="BO24" s="75">
        <v>6.25E-2</v>
      </c>
      <c r="BP24" s="75">
        <v>3.3750000000000002E-2</v>
      </c>
      <c r="BQ24" s="77">
        <v>7.8200000000000006E-2</v>
      </c>
      <c r="BR24" s="79">
        <f t="shared" si="7"/>
        <v>4.9921428571428568E-2</v>
      </c>
      <c r="BT24" s="281">
        <v>44409</v>
      </c>
      <c r="BU24" s="75">
        <v>6.2499999999999995E-3</v>
      </c>
      <c r="BV24" s="75">
        <v>2.5000000000000001E-3</v>
      </c>
      <c r="BW24" s="77">
        <v>0</v>
      </c>
    </row>
    <row r="25" spans="1:75" s="11" customFormat="1" x14ac:dyDescent="0.2">
      <c r="A25" s="281">
        <v>47000</v>
      </c>
      <c r="B25" s="75">
        <v>1.7500000000000002E-2</v>
      </c>
      <c r="C25" s="75">
        <v>4.7500000000000001E-2</v>
      </c>
      <c r="D25" s="75">
        <v>0.05</v>
      </c>
      <c r="E25" s="75">
        <v>3.5000000000000003E-2</v>
      </c>
      <c r="F25" s="77">
        <v>4.3749999999999997E-2</v>
      </c>
      <c r="G25" s="74">
        <f t="shared" si="0"/>
        <v>3.8750000000000007E-2</v>
      </c>
      <c r="H25" s="75">
        <v>1.25E-3</v>
      </c>
      <c r="I25" s="75">
        <v>0.04</v>
      </c>
      <c r="J25" s="75">
        <v>4.2500000000000003E-2</v>
      </c>
      <c r="K25" s="75">
        <v>0.03</v>
      </c>
      <c r="L25" s="77">
        <v>4.1250000000000002E-2</v>
      </c>
      <c r="M25" s="74">
        <f t="shared" si="1"/>
        <v>3.1E-2</v>
      </c>
      <c r="O25" s="281">
        <v>46949</v>
      </c>
      <c r="P25" s="78"/>
      <c r="Q25" s="75">
        <v>0.04</v>
      </c>
      <c r="R25" s="75">
        <v>5.6500000000000002E-2</v>
      </c>
      <c r="S25" s="75">
        <v>5.7500000000000002E-2</v>
      </c>
      <c r="T25" s="75">
        <v>5.7500000000000002E-2</v>
      </c>
      <c r="U25" s="75">
        <v>3.5000000000000003E-2</v>
      </c>
      <c r="V25" s="77">
        <v>5.7500000000000002E-2</v>
      </c>
      <c r="W25" s="74">
        <f t="shared" si="2"/>
        <v>5.0666666666666665E-2</v>
      </c>
      <c r="X25" s="78"/>
      <c r="Y25" s="75">
        <v>0.03</v>
      </c>
      <c r="Z25" s="75">
        <v>4.65E-2</v>
      </c>
      <c r="AA25" s="75">
        <v>4.7500000000000001E-2</v>
      </c>
      <c r="AB25" s="75">
        <v>4.5499999999999999E-2</v>
      </c>
      <c r="AC25" s="75">
        <v>2.6249999999999999E-2</v>
      </c>
      <c r="AD25" s="77">
        <v>4.7500000000000001E-2</v>
      </c>
      <c r="AE25" s="74">
        <f t="shared" si="3"/>
        <v>4.0541666666666663E-2</v>
      </c>
      <c r="AG25" s="281">
        <v>46963</v>
      </c>
      <c r="AH25" s="78">
        <v>2.1250000000000002E-2</v>
      </c>
      <c r="AI25" s="75">
        <v>4.7500000000000001E-2</v>
      </c>
      <c r="AJ25" s="75">
        <v>0.05</v>
      </c>
      <c r="AK25" s="75">
        <v>4.8750000000000002E-2</v>
      </c>
      <c r="AL25" s="77">
        <v>4.4999999999999998E-2</v>
      </c>
      <c r="AM25" s="74">
        <f t="shared" si="4"/>
        <v>4.2500000000000003E-2</v>
      </c>
      <c r="AN25" s="78">
        <v>1.375E-2</v>
      </c>
      <c r="AO25" s="75">
        <v>0.04</v>
      </c>
      <c r="AP25" s="75">
        <v>4.2500000000000003E-2</v>
      </c>
      <c r="AQ25" s="75">
        <v>4.1250000000000002E-2</v>
      </c>
      <c r="AR25" s="77">
        <v>0.04</v>
      </c>
      <c r="AS25" s="74">
        <f t="shared" si="5"/>
        <v>3.5500000000000004E-2</v>
      </c>
      <c r="AU25" s="281">
        <v>44454</v>
      </c>
      <c r="AV25" s="75"/>
      <c r="AW25" s="75">
        <v>5.6250000000000001E-2</v>
      </c>
      <c r="AX25" s="75">
        <v>4.6249999999999999E-2</v>
      </c>
      <c r="AY25" s="75">
        <v>7.4999999999999997E-2</v>
      </c>
      <c r="AZ25" s="75">
        <v>6.8750000000000006E-2</v>
      </c>
      <c r="BA25" s="75">
        <v>5.8749999999999997E-2</v>
      </c>
      <c r="BB25" s="75">
        <v>6.6250000000000003E-2</v>
      </c>
      <c r="BC25" s="75">
        <v>7.1249999999999994E-2</v>
      </c>
      <c r="BD25" s="75">
        <v>7.6249999999999998E-2</v>
      </c>
      <c r="BE25" s="75">
        <v>6.8750000000000006E-2</v>
      </c>
      <c r="BF25" s="75">
        <v>7.1249999999999994E-2</v>
      </c>
      <c r="BG25" s="75">
        <v>3.7499999999999999E-2</v>
      </c>
      <c r="BH25" s="75">
        <v>8.2799999999999999E-2</v>
      </c>
      <c r="BI25" s="74">
        <f t="shared" si="6"/>
        <v>6.492083333333333E-2</v>
      </c>
      <c r="BJ25" s="78"/>
      <c r="BK25" s="75">
        <v>3.875E-2</v>
      </c>
      <c r="BL25" s="75">
        <v>3.3750000000000002E-2</v>
      </c>
      <c r="BM25" s="75">
        <v>0.05</v>
      </c>
      <c r="BN25" s="75">
        <v>5.2499999999999998E-2</v>
      </c>
      <c r="BO25" s="75">
        <v>6.25E-2</v>
      </c>
      <c r="BP25" s="75">
        <v>3.3750000000000002E-2</v>
      </c>
      <c r="BQ25" s="77">
        <v>7.8200000000000006E-2</v>
      </c>
      <c r="BR25" s="79">
        <f t="shared" si="7"/>
        <v>4.9921428571428568E-2</v>
      </c>
      <c r="BT25" s="281">
        <v>44440</v>
      </c>
      <c r="BU25" s="75">
        <v>6.2499999999999995E-3</v>
      </c>
      <c r="BV25" s="75">
        <v>2.5000000000000001E-3</v>
      </c>
      <c r="BW25" s="77">
        <v>2.5000000000000001E-3</v>
      </c>
    </row>
    <row r="26" spans="1:75" s="11" customFormat="1" x14ac:dyDescent="0.2">
      <c r="A26" s="281">
        <v>47181</v>
      </c>
      <c r="B26" s="75">
        <v>1.7500000000000002E-2</v>
      </c>
      <c r="C26" s="75">
        <v>0.05</v>
      </c>
      <c r="D26" s="75">
        <v>0.05</v>
      </c>
      <c r="E26" s="75">
        <v>3.5000000000000003E-2</v>
      </c>
      <c r="F26" s="77">
        <v>0.05</v>
      </c>
      <c r="G26" s="74">
        <f t="shared" si="0"/>
        <v>4.0500000000000001E-2</v>
      </c>
      <c r="H26" s="75">
        <v>1.25E-3</v>
      </c>
      <c r="I26" s="75">
        <v>0.04</v>
      </c>
      <c r="J26" s="75">
        <v>4.2500000000000003E-2</v>
      </c>
      <c r="K26" s="75">
        <v>0.03</v>
      </c>
      <c r="L26" s="77">
        <v>4.1250000000000002E-2</v>
      </c>
      <c r="M26" s="74">
        <f t="shared" si="1"/>
        <v>3.1E-2</v>
      </c>
      <c r="O26" s="281">
        <v>47133</v>
      </c>
      <c r="P26" s="78"/>
      <c r="Q26" s="75">
        <v>0.04</v>
      </c>
      <c r="R26" s="75">
        <v>5.6500000000000002E-2</v>
      </c>
      <c r="S26" s="75">
        <v>5.7500000000000002E-2</v>
      </c>
      <c r="T26" s="75">
        <v>5.7500000000000002E-2</v>
      </c>
      <c r="U26" s="75">
        <v>3.5000000000000003E-2</v>
      </c>
      <c r="V26" s="77">
        <v>5.7500000000000002E-2</v>
      </c>
      <c r="W26" s="74">
        <f t="shared" si="2"/>
        <v>5.0666666666666665E-2</v>
      </c>
      <c r="X26" s="78"/>
      <c r="Y26" s="75">
        <v>0.03</v>
      </c>
      <c r="Z26" s="75">
        <v>4.65E-2</v>
      </c>
      <c r="AA26" s="75">
        <v>4.7500000000000001E-2</v>
      </c>
      <c r="AB26" s="75">
        <v>4.5499999999999999E-2</v>
      </c>
      <c r="AC26" s="75">
        <v>2.6249999999999999E-2</v>
      </c>
      <c r="AD26" s="77">
        <v>4.7500000000000001E-2</v>
      </c>
      <c r="AE26" s="74">
        <f t="shared" si="3"/>
        <v>4.0541666666666663E-2</v>
      </c>
      <c r="AG26" s="281">
        <v>47147</v>
      </c>
      <c r="AH26" s="78">
        <v>2.1250000000000002E-2</v>
      </c>
      <c r="AI26" s="75">
        <v>0.05</v>
      </c>
      <c r="AJ26" s="75">
        <v>0.05</v>
      </c>
      <c r="AK26" s="75">
        <v>4.8750000000000002E-2</v>
      </c>
      <c r="AL26" s="77">
        <v>0.05</v>
      </c>
      <c r="AM26" s="74">
        <f t="shared" si="4"/>
        <v>4.4000000000000004E-2</v>
      </c>
      <c r="AN26" s="78">
        <v>1.375E-2</v>
      </c>
      <c r="AO26" s="75">
        <v>4.2500000000000003E-2</v>
      </c>
      <c r="AP26" s="75">
        <v>4.2500000000000003E-2</v>
      </c>
      <c r="AQ26" s="75">
        <v>4.1250000000000002E-2</v>
      </c>
      <c r="AR26" s="77">
        <v>4.2500000000000003E-2</v>
      </c>
      <c r="AS26" s="74">
        <f t="shared" si="5"/>
        <v>3.6500000000000005E-2</v>
      </c>
      <c r="AU26" s="281">
        <v>44484</v>
      </c>
      <c r="AV26" s="75"/>
      <c r="AW26" s="75">
        <v>5.6250000000000001E-2</v>
      </c>
      <c r="AX26" s="75">
        <v>4.6249999999999999E-2</v>
      </c>
      <c r="AY26" s="75">
        <v>7.4999999999999997E-2</v>
      </c>
      <c r="AZ26" s="75">
        <v>6.8750000000000006E-2</v>
      </c>
      <c r="BA26" s="75">
        <v>5.8749999999999997E-2</v>
      </c>
      <c r="BB26" s="75">
        <v>6.6250000000000003E-2</v>
      </c>
      <c r="BC26" s="75">
        <v>7.1249999999999994E-2</v>
      </c>
      <c r="BD26" s="75">
        <v>7.6249999999999998E-2</v>
      </c>
      <c r="BE26" s="75">
        <v>6.8750000000000006E-2</v>
      </c>
      <c r="BF26" s="75">
        <v>7.1249999999999994E-2</v>
      </c>
      <c r="BG26" s="75">
        <v>3.7499999999999999E-2</v>
      </c>
      <c r="BH26" s="75">
        <v>8.2799999999999999E-2</v>
      </c>
      <c r="BI26" s="74">
        <f t="shared" si="6"/>
        <v>6.492083333333333E-2</v>
      </c>
      <c r="BJ26" s="78"/>
      <c r="BK26" s="75">
        <v>3.875E-2</v>
      </c>
      <c r="BL26" s="75">
        <v>3.3750000000000002E-2</v>
      </c>
      <c r="BM26" s="75">
        <v>0.05</v>
      </c>
      <c r="BN26" s="75">
        <v>5.2499999999999998E-2</v>
      </c>
      <c r="BO26" s="75">
        <v>6.25E-2</v>
      </c>
      <c r="BP26" s="75">
        <v>3.3750000000000002E-2</v>
      </c>
      <c r="BQ26" s="77">
        <v>7.8200000000000006E-2</v>
      </c>
      <c r="BR26" s="79">
        <f t="shared" si="7"/>
        <v>4.9921428571428568E-2</v>
      </c>
      <c r="BT26" s="281">
        <v>44470</v>
      </c>
      <c r="BU26" s="75">
        <v>6.2499999999999995E-3</v>
      </c>
      <c r="BV26" s="75">
        <v>2.5000000000000001E-3</v>
      </c>
      <c r="BW26" s="77">
        <v>2.5000000000000001E-3</v>
      </c>
    </row>
    <row r="27" spans="1:75" s="11" customFormat="1" x14ac:dyDescent="0.2">
      <c r="A27" s="281">
        <v>47365</v>
      </c>
      <c r="B27" s="75">
        <v>1.7500000000000002E-2</v>
      </c>
      <c r="C27" s="75">
        <v>0.05</v>
      </c>
      <c r="D27" s="75">
        <v>0.05</v>
      </c>
      <c r="E27" s="75">
        <v>3.5000000000000003E-2</v>
      </c>
      <c r="F27" s="77">
        <v>0.05</v>
      </c>
      <c r="G27" s="74">
        <f t="shared" si="0"/>
        <v>4.0500000000000001E-2</v>
      </c>
      <c r="H27" s="75">
        <v>1.25E-3</v>
      </c>
      <c r="I27" s="75">
        <v>0.04</v>
      </c>
      <c r="J27" s="75">
        <v>4.2500000000000003E-2</v>
      </c>
      <c r="K27" s="75">
        <v>0.03</v>
      </c>
      <c r="L27" s="77">
        <v>4.1250000000000002E-2</v>
      </c>
      <c r="M27" s="74">
        <f t="shared" si="1"/>
        <v>3.1E-2</v>
      </c>
      <c r="O27" s="281">
        <v>47314</v>
      </c>
      <c r="P27" s="78"/>
      <c r="Q27" s="75">
        <v>0.04</v>
      </c>
      <c r="R27" s="75">
        <v>5.6500000000000002E-2</v>
      </c>
      <c r="S27" s="75">
        <v>5.7500000000000002E-2</v>
      </c>
      <c r="T27" s="75">
        <v>5.7500000000000002E-2</v>
      </c>
      <c r="U27" s="75">
        <v>4.7500000000000001E-2</v>
      </c>
      <c r="V27" s="77">
        <v>5.7500000000000002E-2</v>
      </c>
      <c r="W27" s="74">
        <f t="shared" si="2"/>
        <v>5.2749999999999998E-2</v>
      </c>
      <c r="X27" s="78"/>
      <c r="Y27" s="75">
        <v>0.03</v>
      </c>
      <c r="Z27" s="75">
        <v>4.65E-2</v>
      </c>
      <c r="AA27" s="75">
        <v>4.7500000000000001E-2</v>
      </c>
      <c r="AB27" s="75">
        <v>4.5499999999999999E-2</v>
      </c>
      <c r="AC27" s="75">
        <v>4.2500000000000003E-2</v>
      </c>
      <c r="AD27" s="77">
        <v>4.7500000000000001E-2</v>
      </c>
      <c r="AE27" s="74">
        <f t="shared" si="3"/>
        <v>4.3250000000000004E-2</v>
      </c>
      <c r="AG27" s="281">
        <v>47328</v>
      </c>
      <c r="AH27" s="78">
        <v>2.1250000000000002E-2</v>
      </c>
      <c r="AI27" s="75">
        <v>0.05</v>
      </c>
      <c r="AJ27" s="75">
        <v>0.05</v>
      </c>
      <c r="AK27" s="75">
        <v>4.8750000000000002E-2</v>
      </c>
      <c r="AL27" s="77">
        <v>0.05</v>
      </c>
      <c r="AM27" s="74">
        <f t="shared" si="4"/>
        <v>4.4000000000000004E-2</v>
      </c>
      <c r="AN27" s="78">
        <v>1.375E-2</v>
      </c>
      <c r="AO27" s="75">
        <v>4.2500000000000003E-2</v>
      </c>
      <c r="AP27" s="75">
        <v>4.2500000000000003E-2</v>
      </c>
      <c r="AQ27" s="75">
        <v>4.1250000000000002E-2</v>
      </c>
      <c r="AR27" s="77">
        <v>4.2500000000000003E-2</v>
      </c>
      <c r="AS27" s="74">
        <f t="shared" si="5"/>
        <v>3.6500000000000005E-2</v>
      </c>
      <c r="AU27" s="281">
        <v>44515</v>
      </c>
      <c r="AV27" s="75"/>
      <c r="AW27" s="75">
        <v>5.6250000000000001E-2</v>
      </c>
      <c r="AX27" s="75">
        <v>4.6249999999999999E-2</v>
      </c>
      <c r="AY27" s="75">
        <v>7.4999999999999997E-2</v>
      </c>
      <c r="AZ27" s="75">
        <v>6.8750000000000006E-2</v>
      </c>
      <c r="BA27" s="75">
        <v>5.8749999999999997E-2</v>
      </c>
      <c r="BB27" s="75">
        <v>6.6250000000000003E-2</v>
      </c>
      <c r="BC27" s="75">
        <v>7.1249999999999994E-2</v>
      </c>
      <c r="BD27" s="75">
        <v>7.6249999999999998E-2</v>
      </c>
      <c r="BE27" s="75">
        <v>6.8750000000000006E-2</v>
      </c>
      <c r="BF27" s="75">
        <v>7.1249999999999994E-2</v>
      </c>
      <c r="BG27" s="75">
        <v>3.7499999999999999E-2</v>
      </c>
      <c r="BH27" s="75">
        <v>8.2799999999999999E-2</v>
      </c>
      <c r="BI27" s="74">
        <f t="shared" si="6"/>
        <v>6.492083333333333E-2</v>
      </c>
      <c r="BJ27" s="78"/>
      <c r="BK27" s="75">
        <v>3.875E-2</v>
      </c>
      <c r="BL27" s="75">
        <v>3.3750000000000002E-2</v>
      </c>
      <c r="BM27" s="75">
        <v>0.05</v>
      </c>
      <c r="BN27" s="75">
        <v>5.2499999999999998E-2</v>
      </c>
      <c r="BO27" s="75">
        <v>6.25E-2</v>
      </c>
      <c r="BP27" s="75">
        <v>3.3750000000000002E-2</v>
      </c>
      <c r="BQ27" s="77">
        <v>7.8200000000000006E-2</v>
      </c>
      <c r="BR27" s="79">
        <f t="shared" si="7"/>
        <v>4.9921428571428568E-2</v>
      </c>
      <c r="BT27" s="281">
        <v>44501</v>
      </c>
      <c r="BU27" s="75">
        <v>6.2499999999999995E-3</v>
      </c>
      <c r="BV27" s="75">
        <v>2.5000000000000001E-3</v>
      </c>
      <c r="BW27" s="77">
        <v>2.5000000000000001E-3</v>
      </c>
    </row>
    <row r="28" spans="1:75" s="11" customFormat="1" x14ac:dyDescent="0.2">
      <c r="A28" s="281">
        <v>47546</v>
      </c>
      <c r="B28" s="75">
        <v>1.7500000000000002E-2</v>
      </c>
      <c r="C28" s="75">
        <v>0.05</v>
      </c>
      <c r="D28" s="75">
        <v>0.05</v>
      </c>
      <c r="E28" s="75">
        <v>4.8750000000000002E-2</v>
      </c>
      <c r="F28" s="77">
        <v>0.05</v>
      </c>
      <c r="G28" s="74">
        <f t="shared" si="0"/>
        <v>4.3249999999999997E-2</v>
      </c>
      <c r="H28" s="75">
        <v>1.25E-3</v>
      </c>
      <c r="I28" s="75">
        <v>0.04</v>
      </c>
      <c r="J28" s="75">
        <v>4.2500000000000003E-2</v>
      </c>
      <c r="K28" s="75">
        <v>4.4999999999999998E-2</v>
      </c>
      <c r="L28" s="77">
        <v>4.1250000000000002E-2</v>
      </c>
      <c r="M28" s="74">
        <f t="shared" si="1"/>
        <v>3.4000000000000002E-2</v>
      </c>
      <c r="O28" s="281">
        <v>47498</v>
      </c>
      <c r="P28" s="78"/>
      <c r="Q28" s="75">
        <v>0.04</v>
      </c>
      <c r="R28" s="75">
        <v>5.6500000000000002E-2</v>
      </c>
      <c r="S28" s="75">
        <v>5.7500000000000002E-2</v>
      </c>
      <c r="T28" s="75">
        <v>5.7500000000000002E-2</v>
      </c>
      <c r="U28" s="75">
        <v>4.7500000000000001E-2</v>
      </c>
      <c r="V28" s="77">
        <v>5.7500000000000002E-2</v>
      </c>
      <c r="W28" s="74">
        <f t="shared" si="2"/>
        <v>5.2749999999999998E-2</v>
      </c>
      <c r="X28" s="78"/>
      <c r="Y28" s="75">
        <v>0.03</v>
      </c>
      <c r="Z28" s="75">
        <v>4.65E-2</v>
      </c>
      <c r="AA28" s="75">
        <v>4.7500000000000001E-2</v>
      </c>
      <c r="AB28" s="75">
        <v>4.5499999999999999E-2</v>
      </c>
      <c r="AC28" s="75">
        <v>4.2500000000000003E-2</v>
      </c>
      <c r="AD28" s="77">
        <v>4.7500000000000001E-2</v>
      </c>
      <c r="AE28" s="74">
        <f t="shared" si="3"/>
        <v>4.3250000000000004E-2</v>
      </c>
      <c r="AG28" s="281">
        <v>47512</v>
      </c>
      <c r="AH28" s="78">
        <v>2.1250000000000002E-2</v>
      </c>
      <c r="AI28" s="75">
        <v>0.05</v>
      </c>
      <c r="AJ28" s="75">
        <v>0.05</v>
      </c>
      <c r="AK28" s="75">
        <v>4.8750000000000002E-2</v>
      </c>
      <c r="AL28" s="77">
        <v>0.05</v>
      </c>
      <c r="AM28" s="74">
        <f t="shared" si="4"/>
        <v>4.4000000000000004E-2</v>
      </c>
      <c r="AN28" s="78">
        <v>1.375E-2</v>
      </c>
      <c r="AO28" s="75">
        <v>4.2500000000000003E-2</v>
      </c>
      <c r="AP28" s="75">
        <v>4.2500000000000003E-2</v>
      </c>
      <c r="AQ28" s="75">
        <v>4.4999999999999998E-2</v>
      </c>
      <c r="AR28" s="77">
        <v>4.2500000000000003E-2</v>
      </c>
      <c r="AS28" s="74">
        <f t="shared" si="5"/>
        <v>3.7249999999999998E-2</v>
      </c>
      <c r="AU28" s="281">
        <v>44545</v>
      </c>
      <c r="AV28" s="75"/>
      <c r="AW28" s="75">
        <v>5.6250000000000001E-2</v>
      </c>
      <c r="AX28" s="75">
        <v>4.6249999999999999E-2</v>
      </c>
      <c r="AY28" s="75">
        <v>7.4999999999999997E-2</v>
      </c>
      <c r="AZ28" s="75">
        <v>6.8750000000000006E-2</v>
      </c>
      <c r="BA28" s="75">
        <v>5.8749999999999997E-2</v>
      </c>
      <c r="BB28" s="75">
        <v>6.6250000000000003E-2</v>
      </c>
      <c r="BC28" s="75">
        <v>7.1249999999999994E-2</v>
      </c>
      <c r="BD28" s="75">
        <v>7.6249999999999998E-2</v>
      </c>
      <c r="BE28" s="75">
        <v>6.8750000000000006E-2</v>
      </c>
      <c r="BF28" s="75">
        <v>7.1249999999999994E-2</v>
      </c>
      <c r="BG28" s="75">
        <v>3.7499999999999999E-2</v>
      </c>
      <c r="BH28" s="75">
        <v>8.2799999999999999E-2</v>
      </c>
      <c r="BI28" s="74">
        <f t="shared" si="6"/>
        <v>6.492083333333333E-2</v>
      </c>
      <c r="BJ28" s="78"/>
      <c r="BK28" s="75">
        <v>3.875E-2</v>
      </c>
      <c r="BL28" s="75">
        <v>3.3750000000000002E-2</v>
      </c>
      <c r="BM28" s="75">
        <v>0.05</v>
      </c>
      <c r="BN28" s="75">
        <v>5.2499999999999998E-2</v>
      </c>
      <c r="BO28" s="75">
        <v>6.25E-2</v>
      </c>
      <c r="BP28" s="75">
        <v>3.3750000000000002E-2</v>
      </c>
      <c r="BQ28" s="77">
        <v>7.8200000000000006E-2</v>
      </c>
      <c r="BR28" s="79">
        <f t="shared" si="7"/>
        <v>4.9921428571428568E-2</v>
      </c>
      <c r="BT28" s="281">
        <v>44531</v>
      </c>
      <c r="BU28" s="75">
        <v>6.2499999999999995E-3</v>
      </c>
      <c r="BV28" s="75">
        <v>2.5000000000000001E-3</v>
      </c>
      <c r="BW28" s="77">
        <v>2.5000000000000001E-3</v>
      </c>
    </row>
    <row r="29" spans="1:75" s="11" customFormat="1" x14ac:dyDescent="0.2">
      <c r="A29" s="281">
        <v>47730</v>
      </c>
      <c r="B29" s="75">
        <v>1.7500000000000002E-2</v>
      </c>
      <c r="C29" s="75">
        <v>0.05</v>
      </c>
      <c r="D29" s="75">
        <v>0.05</v>
      </c>
      <c r="E29" s="75">
        <v>4.8750000000000002E-2</v>
      </c>
      <c r="F29" s="77">
        <v>0.05</v>
      </c>
      <c r="G29" s="74">
        <f t="shared" si="0"/>
        <v>4.3249999999999997E-2</v>
      </c>
      <c r="H29" s="75">
        <v>1.25E-3</v>
      </c>
      <c r="I29" s="75">
        <v>0.04</v>
      </c>
      <c r="J29" s="75">
        <v>4.2500000000000003E-2</v>
      </c>
      <c r="K29" s="75">
        <v>4.4999999999999998E-2</v>
      </c>
      <c r="L29" s="77">
        <v>4.1250000000000002E-2</v>
      </c>
      <c r="M29" s="74">
        <f t="shared" si="1"/>
        <v>3.4000000000000002E-2</v>
      </c>
      <c r="O29" s="281">
        <v>47679</v>
      </c>
      <c r="P29" s="78"/>
      <c r="Q29" s="75">
        <v>0.04</v>
      </c>
      <c r="R29" s="75">
        <v>5.6500000000000002E-2</v>
      </c>
      <c r="S29" s="75">
        <v>5.7500000000000002E-2</v>
      </c>
      <c r="T29" s="75">
        <v>5.7500000000000002E-2</v>
      </c>
      <c r="U29" s="75">
        <v>4.7500000000000001E-2</v>
      </c>
      <c r="V29" s="77">
        <v>5.7500000000000002E-2</v>
      </c>
      <c r="W29" s="74">
        <f t="shared" si="2"/>
        <v>5.2749999999999998E-2</v>
      </c>
      <c r="X29" s="78"/>
      <c r="Y29" s="75">
        <v>0.03</v>
      </c>
      <c r="Z29" s="75">
        <v>4.65E-2</v>
      </c>
      <c r="AA29" s="75">
        <v>4.7500000000000001E-2</v>
      </c>
      <c r="AB29" s="75">
        <v>4.5499999999999999E-2</v>
      </c>
      <c r="AC29" s="75">
        <v>4.2500000000000003E-2</v>
      </c>
      <c r="AD29" s="77">
        <v>4.7500000000000001E-2</v>
      </c>
      <c r="AE29" s="74">
        <f t="shared" si="3"/>
        <v>4.3250000000000004E-2</v>
      </c>
      <c r="AG29" s="281">
        <v>47693</v>
      </c>
      <c r="AH29" s="78">
        <v>2.1250000000000002E-2</v>
      </c>
      <c r="AI29" s="75">
        <v>0.05</v>
      </c>
      <c r="AJ29" s="75">
        <v>0.05</v>
      </c>
      <c r="AK29" s="75">
        <v>4.8750000000000002E-2</v>
      </c>
      <c r="AL29" s="77">
        <v>0.05</v>
      </c>
      <c r="AM29" s="74">
        <f t="shared" si="4"/>
        <v>4.4000000000000004E-2</v>
      </c>
      <c r="AN29" s="78">
        <v>1.375E-2</v>
      </c>
      <c r="AO29" s="75">
        <v>4.2500000000000003E-2</v>
      </c>
      <c r="AP29" s="75">
        <v>4.2500000000000003E-2</v>
      </c>
      <c r="AQ29" s="75">
        <v>4.4999999999999998E-2</v>
      </c>
      <c r="AR29" s="77">
        <v>4.2500000000000003E-2</v>
      </c>
      <c r="AS29" s="74">
        <f t="shared" si="5"/>
        <v>3.7249999999999998E-2</v>
      </c>
      <c r="AU29" s="281">
        <v>44576</v>
      </c>
      <c r="AV29" s="75"/>
      <c r="AW29" s="75">
        <v>5.6250000000000001E-2</v>
      </c>
      <c r="AX29" s="75">
        <v>4.6249999999999999E-2</v>
      </c>
      <c r="AY29" s="75">
        <v>7.4999999999999997E-2</v>
      </c>
      <c r="AZ29" s="75">
        <v>6.8750000000000006E-2</v>
      </c>
      <c r="BA29" s="75">
        <v>5.8749999999999997E-2</v>
      </c>
      <c r="BB29" s="75">
        <v>6.6250000000000003E-2</v>
      </c>
      <c r="BC29" s="75">
        <v>7.1249999999999994E-2</v>
      </c>
      <c r="BD29" s="75">
        <v>7.6249999999999998E-2</v>
      </c>
      <c r="BE29" s="75">
        <v>6.8750000000000006E-2</v>
      </c>
      <c r="BF29" s="75">
        <v>7.1249999999999994E-2</v>
      </c>
      <c r="BG29" s="75">
        <v>3.7499999999999999E-2</v>
      </c>
      <c r="BH29" s="75">
        <v>8.2799999999999999E-2</v>
      </c>
      <c r="BI29" s="74">
        <f t="shared" si="6"/>
        <v>6.492083333333333E-2</v>
      </c>
      <c r="BJ29" s="78"/>
      <c r="BK29" s="75">
        <v>3.875E-2</v>
      </c>
      <c r="BL29" s="75">
        <v>3.3750000000000002E-2</v>
      </c>
      <c r="BM29" s="75">
        <v>0.05</v>
      </c>
      <c r="BN29" s="75">
        <v>5.2499999999999998E-2</v>
      </c>
      <c r="BO29" s="75">
        <v>6.25E-2</v>
      </c>
      <c r="BP29" s="75">
        <v>3.3750000000000002E-2</v>
      </c>
      <c r="BQ29" s="77">
        <v>7.8200000000000006E-2</v>
      </c>
      <c r="BR29" s="79">
        <f t="shared" si="7"/>
        <v>4.9921428571428568E-2</v>
      </c>
      <c r="BT29" s="281">
        <v>44562</v>
      </c>
      <c r="BU29" s="75">
        <v>1.6607142857142859E-2</v>
      </c>
      <c r="BV29" s="75">
        <v>1.2750000000000001E-2</v>
      </c>
      <c r="BW29" s="77">
        <v>2.5000000000000001E-3</v>
      </c>
    </row>
    <row r="30" spans="1:75" s="11" customFormat="1" x14ac:dyDescent="0.2">
      <c r="A30" s="281">
        <v>47911</v>
      </c>
      <c r="B30" s="75"/>
      <c r="C30" s="75">
        <v>0.05</v>
      </c>
      <c r="D30" s="75">
        <v>0.05</v>
      </c>
      <c r="E30" s="75">
        <v>4.8750000000000002E-2</v>
      </c>
      <c r="F30" s="77">
        <v>0.05</v>
      </c>
      <c r="G30" s="74">
        <f t="shared" si="0"/>
        <v>4.9687499999999996E-2</v>
      </c>
      <c r="H30" s="75"/>
      <c r="I30" s="75">
        <v>0.04</v>
      </c>
      <c r="J30" s="75">
        <v>4.2500000000000003E-2</v>
      </c>
      <c r="K30" s="75">
        <v>4.4999999999999998E-2</v>
      </c>
      <c r="L30" s="77">
        <v>4.1250000000000002E-2</v>
      </c>
      <c r="M30" s="74">
        <f t="shared" si="1"/>
        <v>4.2187500000000003E-2</v>
      </c>
      <c r="O30" s="281">
        <v>47863</v>
      </c>
      <c r="P30" s="78"/>
      <c r="Q30" s="75"/>
      <c r="R30" s="75">
        <v>5.6500000000000002E-2</v>
      </c>
      <c r="S30" s="75">
        <v>5.7500000000000002E-2</v>
      </c>
      <c r="T30" s="75">
        <v>5.7500000000000002E-2</v>
      </c>
      <c r="U30" s="75">
        <v>4.7500000000000001E-2</v>
      </c>
      <c r="V30" s="77">
        <v>5.7500000000000002E-2</v>
      </c>
      <c r="W30" s="74">
        <f t="shared" si="2"/>
        <v>5.5300000000000002E-2</v>
      </c>
      <c r="X30" s="78"/>
      <c r="Y30" s="75"/>
      <c r="Z30" s="75">
        <v>4.65E-2</v>
      </c>
      <c r="AA30" s="75">
        <v>4.7500000000000001E-2</v>
      </c>
      <c r="AB30" s="75">
        <v>4.5499999999999999E-2</v>
      </c>
      <c r="AC30" s="75">
        <v>4.2500000000000003E-2</v>
      </c>
      <c r="AD30" s="77">
        <v>4.7500000000000001E-2</v>
      </c>
      <c r="AE30" s="74">
        <f t="shared" si="3"/>
        <v>4.590000000000001E-2</v>
      </c>
      <c r="AG30" s="281">
        <v>47877</v>
      </c>
      <c r="AH30" s="78"/>
      <c r="AI30" s="75">
        <v>0.05</v>
      </c>
      <c r="AJ30" s="75">
        <v>0.05</v>
      </c>
      <c r="AK30" s="75">
        <v>4.8750000000000002E-2</v>
      </c>
      <c r="AL30" s="77">
        <v>0.05</v>
      </c>
      <c r="AM30" s="74">
        <f t="shared" si="4"/>
        <v>4.9687499999999996E-2</v>
      </c>
      <c r="AN30" s="78"/>
      <c r="AO30" s="75">
        <v>4.2500000000000003E-2</v>
      </c>
      <c r="AP30" s="75">
        <v>4.2500000000000003E-2</v>
      </c>
      <c r="AQ30" s="75">
        <v>4.4999999999999998E-2</v>
      </c>
      <c r="AR30" s="77">
        <v>4.2500000000000003E-2</v>
      </c>
      <c r="AS30" s="74">
        <f t="shared" si="5"/>
        <v>4.3125000000000004E-2</v>
      </c>
      <c r="AU30" s="281">
        <v>44607</v>
      </c>
      <c r="AV30" s="75"/>
      <c r="AW30" s="75"/>
      <c r="AX30" s="75">
        <v>4.6249999999999999E-2</v>
      </c>
      <c r="AY30" s="75">
        <v>7.4999999999999997E-2</v>
      </c>
      <c r="AZ30" s="75">
        <v>6.8750000000000006E-2</v>
      </c>
      <c r="BA30" s="75">
        <v>5.8749999999999997E-2</v>
      </c>
      <c r="BB30" s="75">
        <v>6.6250000000000003E-2</v>
      </c>
      <c r="BC30" s="75">
        <v>7.1249999999999994E-2</v>
      </c>
      <c r="BD30" s="75">
        <v>7.6249999999999998E-2</v>
      </c>
      <c r="BE30" s="75">
        <v>6.8750000000000006E-2</v>
      </c>
      <c r="BF30" s="75">
        <v>7.1249999999999994E-2</v>
      </c>
      <c r="BG30" s="75">
        <v>3.7499999999999999E-2</v>
      </c>
      <c r="BH30" s="75">
        <v>8.2799999999999999E-2</v>
      </c>
      <c r="BI30" s="74">
        <f t="shared" si="6"/>
        <v>6.5709090909090911E-2</v>
      </c>
      <c r="BJ30" s="78"/>
      <c r="BK30" s="75"/>
      <c r="BL30" s="75">
        <v>3.3750000000000002E-2</v>
      </c>
      <c r="BM30" s="75">
        <v>0.05</v>
      </c>
      <c r="BN30" s="75">
        <v>5.2499999999999998E-2</v>
      </c>
      <c r="BO30" s="75">
        <v>6.25E-2</v>
      </c>
      <c r="BP30" s="75">
        <v>3.3750000000000002E-2</v>
      </c>
      <c r="BQ30" s="77">
        <v>7.8200000000000006E-2</v>
      </c>
      <c r="BR30" s="79">
        <f t="shared" si="7"/>
        <v>5.1783333333333341E-2</v>
      </c>
      <c r="BT30" s="281">
        <v>44593</v>
      </c>
      <c r="BU30" s="75">
        <v>1.6607142857142859E-2</v>
      </c>
      <c r="BV30" s="75">
        <v>1.2750000000000001E-2</v>
      </c>
      <c r="BW30" s="77">
        <v>2.5000000000000001E-3</v>
      </c>
    </row>
    <row r="31" spans="1:75" s="11" customFormat="1" x14ac:dyDescent="0.2">
      <c r="A31" s="281">
        <v>48095</v>
      </c>
      <c r="B31" s="75"/>
      <c r="C31" s="75">
        <v>0.05</v>
      </c>
      <c r="D31" s="75">
        <v>0.05</v>
      </c>
      <c r="E31" s="75">
        <v>4.8750000000000002E-2</v>
      </c>
      <c r="F31" s="77">
        <v>0.05</v>
      </c>
      <c r="G31" s="74">
        <f t="shared" si="0"/>
        <v>4.9687499999999996E-2</v>
      </c>
      <c r="H31" s="75"/>
      <c r="I31" s="75">
        <v>0.04</v>
      </c>
      <c r="J31" s="75">
        <v>4.2500000000000003E-2</v>
      </c>
      <c r="K31" s="75">
        <v>4.4999999999999998E-2</v>
      </c>
      <c r="L31" s="77">
        <v>4.1250000000000002E-2</v>
      </c>
      <c r="M31" s="74">
        <f t="shared" si="1"/>
        <v>4.2187500000000003E-2</v>
      </c>
      <c r="O31" s="281">
        <v>48044</v>
      </c>
      <c r="P31" s="78"/>
      <c r="Q31" s="75"/>
      <c r="R31" s="75">
        <v>5.6500000000000002E-2</v>
      </c>
      <c r="S31" s="75">
        <v>5.7500000000000002E-2</v>
      </c>
      <c r="T31" s="75">
        <v>5.7500000000000002E-2</v>
      </c>
      <c r="U31" s="75">
        <v>4.7500000000000001E-2</v>
      </c>
      <c r="V31" s="77">
        <v>5.7500000000000002E-2</v>
      </c>
      <c r="W31" s="74">
        <f t="shared" si="2"/>
        <v>5.5300000000000002E-2</v>
      </c>
      <c r="X31" s="78"/>
      <c r="Y31" s="75"/>
      <c r="Z31" s="75">
        <v>4.65E-2</v>
      </c>
      <c r="AA31" s="75">
        <v>4.7500000000000001E-2</v>
      </c>
      <c r="AB31" s="75">
        <v>4.5499999999999999E-2</v>
      </c>
      <c r="AC31" s="75">
        <v>4.2500000000000003E-2</v>
      </c>
      <c r="AD31" s="77">
        <v>4.7500000000000001E-2</v>
      </c>
      <c r="AE31" s="74">
        <f t="shared" si="3"/>
        <v>4.590000000000001E-2</v>
      </c>
      <c r="AG31" s="281">
        <v>48058</v>
      </c>
      <c r="AH31" s="78"/>
      <c r="AI31" s="75">
        <v>0.05</v>
      </c>
      <c r="AJ31" s="75">
        <v>0.05</v>
      </c>
      <c r="AK31" s="75">
        <v>4.8750000000000002E-2</v>
      </c>
      <c r="AL31" s="77">
        <v>0.05</v>
      </c>
      <c r="AM31" s="74">
        <f t="shared" si="4"/>
        <v>4.9687499999999996E-2</v>
      </c>
      <c r="AN31" s="78"/>
      <c r="AO31" s="75">
        <v>4.2500000000000003E-2</v>
      </c>
      <c r="AP31" s="75">
        <v>4.2500000000000003E-2</v>
      </c>
      <c r="AQ31" s="75">
        <v>4.4999999999999998E-2</v>
      </c>
      <c r="AR31" s="77">
        <v>4.2500000000000003E-2</v>
      </c>
      <c r="AS31" s="74">
        <f t="shared" si="5"/>
        <v>4.3125000000000004E-2</v>
      </c>
      <c r="AU31" s="281">
        <v>44635</v>
      </c>
      <c r="AV31" s="75"/>
      <c r="AW31" s="75"/>
      <c r="AX31" s="75">
        <v>4.6249999999999999E-2</v>
      </c>
      <c r="AY31" s="75">
        <v>7.4999999999999997E-2</v>
      </c>
      <c r="AZ31" s="75">
        <v>6.8750000000000006E-2</v>
      </c>
      <c r="BA31" s="75">
        <v>5.8749999999999997E-2</v>
      </c>
      <c r="BB31" s="75">
        <v>6.6250000000000003E-2</v>
      </c>
      <c r="BC31" s="75">
        <v>7.1249999999999994E-2</v>
      </c>
      <c r="BD31" s="75">
        <v>7.6249999999999998E-2</v>
      </c>
      <c r="BE31" s="75">
        <v>6.8750000000000006E-2</v>
      </c>
      <c r="BF31" s="75">
        <v>7.1249999999999994E-2</v>
      </c>
      <c r="BG31" s="75">
        <v>3.7499999999999999E-2</v>
      </c>
      <c r="BH31" s="75">
        <v>8.2799999999999999E-2</v>
      </c>
      <c r="BI31" s="74">
        <f t="shared" si="6"/>
        <v>6.5709090909090911E-2</v>
      </c>
      <c r="BJ31" s="78"/>
      <c r="BK31" s="75"/>
      <c r="BL31" s="75">
        <v>3.3750000000000002E-2</v>
      </c>
      <c r="BM31" s="75">
        <v>0.05</v>
      </c>
      <c r="BN31" s="75">
        <v>5.2499999999999998E-2</v>
      </c>
      <c r="BO31" s="75">
        <v>6.25E-2</v>
      </c>
      <c r="BP31" s="75">
        <v>3.3750000000000002E-2</v>
      </c>
      <c r="BQ31" s="77">
        <v>7.8200000000000006E-2</v>
      </c>
      <c r="BR31" s="79">
        <f t="shared" si="7"/>
        <v>5.1783333333333341E-2</v>
      </c>
      <c r="BT31" s="281">
        <v>44621</v>
      </c>
      <c r="BU31" s="75">
        <v>1.6607142857142859E-2</v>
      </c>
      <c r="BV31" s="75">
        <v>1.2750000000000001E-2</v>
      </c>
      <c r="BW31" s="77">
        <v>1.4500000000000002E-2</v>
      </c>
    </row>
    <row r="32" spans="1:75" s="11" customFormat="1" x14ac:dyDescent="0.2">
      <c r="A32" s="281">
        <v>48277</v>
      </c>
      <c r="B32" s="75"/>
      <c r="C32" s="75">
        <v>0.05</v>
      </c>
      <c r="D32" s="75">
        <v>0.05</v>
      </c>
      <c r="E32" s="75">
        <v>4.8750000000000002E-2</v>
      </c>
      <c r="F32" s="77">
        <v>0.05</v>
      </c>
      <c r="G32" s="74">
        <f t="shared" si="0"/>
        <v>4.9687499999999996E-2</v>
      </c>
      <c r="H32" s="75"/>
      <c r="I32" s="75">
        <v>0.04</v>
      </c>
      <c r="J32" s="75">
        <v>4.2500000000000003E-2</v>
      </c>
      <c r="K32" s="75">
        <v>4.4999999999999998E-2</v>
      </c>
      <c r="L32" s="77">
        <v>4.1250000000000002E-2</v>
      </c>
      <c r="M32" s="74">
        <f t="shared" si="1"/>
        <v>4.2187500000000003E-2</v>
      </c>
      <c r="O32" s="281">
        <v>48228</v>
      </c>
      <c r="P32" s="78"/>
      <c r="Q32" s="75"/>
      <c r="R32" s="75">
        <v>5.6500000000000002E-2</v>
      </c>
      <c r="S32" s="75">
        <v>5.7500000000000002E-2</v>
      </c>
      <c r="T32" s="75">
        <v>5.7500000000000002E-2</v>
      </c>
      <c r="U32" s="75">
        <v>4.7500000000000001E-2</v>
      </c>
      <c r="V32" s="77">
        <v>5.7500000000000002E-2</v>
      </c>
      <c r="W32" s="74">
        <f t="shared" si="2"/>
        <v>5.5300000000000002E-2</v>
      </c>
      <c r="X32" s="78"/>
      <c r="Y32" s="75"/>
      <c r="Z32" s="75">
        <v>4.65E-2</v>
      </c>
      <c r="AA32" s="75">
        <v>4.7500000000000001E-2</v>
      </c>
      <c r="AB32" s="75">
        <v>4.5499999999999999E-2</v>
      </c>
      <c r="AC32" s="75">
        <v>4.2500000000000003E-2</v>
      </c>
      <c r="AD32" s="77">
        <v>4.7500000000000001E-2</v>
      </c>
      <c r="AE32" s="74">
        <f t="shared" si="3"/>
        <v>4.590000000000001E-2</v>
      </c>
      <c r="AG32" s="281">
        <v>48242</v>
      </c>
      <c r="AH32" s="78"/>
      <c r="AI32" s="75">
        <v>0.05</v>
      </c>
      <c r="AJ32" s="75">
        <v>0.05</v>
      </c>
      <c r="AK32" s="75">
        <v>4.8750000000000002E-2</v>
      </c>
      <c r="AL32" s="77">
        <v>0.05</v>
      </c>
      <c r="AM32" s="74">
        <f t="shared" si="4"/>
        <v>4.9687499999999996E-2</v>
      </c>
      <c r="AN32" s="78"/>
      <c r="AO32" s="75">
        <v>4.2500000000000003E-2</v>
      </c>
      <c r="AP32" s="75">
        <v>4.2500000000000003E-2</v>
      </c>
      <c r="AQ32" s="75">
        <v>4.4999999999999998E-2</v>
      </c>
      <c r="AR32" s="77">
        <v>4.2500000000000003E-2</v>
      </c>
      <c r="AS32" s="74">
        <f t="shared" si="5"/>
        <v>4.3125000000000004E-2</v>
      </c>
      <c r="AU32" s="281">
        <v>44666</v>
      </c>
      <c r="AV32" s="75"/>
      <c r="AW32" s="75"/>
      <c r="AX32" s="75">
        <v>4.6249999999999999E-2</v>
      </c>
      <c r="AY32" s="75">
        <v>7.4999999999999997E-2</v>
      </c>
      <c r="AZ32" s="75">
        <v>6.8750000000000006E-2</v>
      </c>
      <c r="BA32" s="75">
        <v>5.8749999999999997E-2</v>
      </c>
      <c r="BB32" s="75">
        <v>6.6250000000000003E-2</v>
      </c>
      <c r="BC32" s="75">
        <v>7.1249999999999994E-2</v>
      </c>
      <c r="BD32" s="75">
        <v>7.6249999999999998E-2</v>
      </c>
      <c r="BE32" s="75">
        <v>6.8750000000000006E-2</v>
      </c>
      <c r="BF32" s="75">
        <v>7.1249999999999994E-2</v>
      </c>
      <c r="BG32" s="75">
        <v>3.7499999999999999E-2</v>
      </c>
      <c r="BH32" s="75">
        <v>8.2799999999999999E-2</v>
      </c>
      <c r="BI32" s="74">
        <f t="shared" si="6"/>
        <v>6.5709090909090911E-2</v>
      </c>
      <c r="BJ32" s="78"/>
      <c r="BK32" s="75"/>
      <c r="BL32" s="75">
        <v>3.3750000000000002E-2</v>
      </c>
      <c r="BM32" s="75">
        <v>0.05</v>
      </c>
      <c r="BN32" s="75">
        <v>5.2499999999999998E-2</v>
      </c>
      <c r="BO32" s="75">
        <v>6.25E-2</v>
      </c>
      <c r="BP32" s="75">
        <v>3.3750000000000002E-2</v>
      </c>
      <c r="BQ32" s="77">
        <v>7.8200000000000006E-2</v>
      </c>
      <c r="BR32" s="79">
        <f t="shared" si="7"/>
        <v>5.1783333333333341E-2</v>
      </c>
      <c r="BT32" s="281">
        <v>44652</v>
      </c>
      <c r="BU32" s="75">
        <v>1.6607142857142859E-2</v>
      </c>
      <c r="BV32" s="75">
        <v>1.2750000000000001E-2</v>
      </c>
      <c r="BW32" s="77">
        <v>1.4500000000000002E-2</v>
      </c>
    </row>
    <row r="33" spans="1:75" s="11" customFormat="1" x14ac:dyDescent="0.2">
      <c r="A33" s="281">
        <v>48461</v>
      </c>
      <c r="B33" s="75"/>
      <c r="C33" s="75">
        <v>0.05</v>
      </c>
      <c r="D33" s="75">
        <v>0.05</v>
      </c>
      <c r="E33" s="75">
        <v>4.8750000000000002E-2</v>
      </c>
      <c r="F33" s="77">
        <v>0.05</v>
      </c>
      <c r="G33" s="74">
        <f t="shared" si="0"/>
        <v>4.9687499999999996E-2</v>
      </c>
      <c r="H33" s="75"/>
      <c r="I33" s="75">
        <v>0.04</v>
      </c>
      <c r="J33" s="75">
        <v>4.2500000000000003E-2</v>
      </c>
      <c r="K33" s="75">
        <v>4.4999999999999998E-2</v>
      </c>
      <c r="L33" s="77">
        <v>4.1250000000000002E-2</v>
      </c>
      <c r="M33" s="74">
        <f t="shared" si="1"/>
        <v>4.2187500000000003E-2</v>
      </c>
      <c r="O33" s="281">
        <v>48410</v>
      </c>
      <c r="P33" s="78"/>
      <c r="Q33" s="75"/>
      <c r="R33" s="75">
        <v>5.6500000000000002E-2</v>
      </c>
      <c r="S33" s="75">
        <v>5.7500000000000002E-2</v>
      </c>
      <c r="T33" s="75">
        <v>5.7500000000000002E-2</v>
      </c>
      <c r="U33" s="75">
        <v>4.7500000000000001E-2</v>
      </c>
      <c r="V33" s="77">
        <v>5.7500000000000002E-2</v>
      </c>
      <c r="W33" s="74">
        <f t="shared" si="2"/>
        <v>5.5300000000000002E-2</v>
      </c>
      <c r="X33" s="78"/>
      <c r="Y33" s="75"/>
      <c r="Z33" s="75">
        <v>4.65E-2</v>
      </c>
      <c r="AA33" s="75">
        <v>4.7500000000000001E-2</v>
      </c>
      <c r="AB33" s="75">
        <v>4.5499999999999999E-2</v>
      </c>
      <c r="AC33" s="75">
        <v>4.2500000000000003E-2</v>
      </c>
      <c r="AD33" s="77">
        <v>4.7500000000000001E-2</v>
      </c>
      <c r="AE33" s="74">
        <f t="shared" si="3"/>
        <v>4.590000000000001E-2</v>
      </c>
      <c r="AG33" s="281">
        <v>48424</v>
      </c>
      <c r="AH33" s="78"/>
      <c r="AI33" s="75">
        <v>0.05</v>
      </c>
      <c r="AJ33" s="75">
        <v>0.05</v>
      </c>
      <c r="AK33" s="75">
        <v>4.8750000000000002E-2</v>
      </c>
      <c r="AL33" s="77">
        <v>0.05</v>
      </c>
      <c r="AM33" s="74">
        <f t="shared" si="4"/>
        <v>4.9687499999999996E-2</v>
      </c>
      <c r="AN33" s="78"/>
      <c r="AO33" s="75">
        <v>4.2500000000000003E-2</v>
      </c>
      <c r="AP33" s="75">
        <v>4.2500000000000003E-2</v>
      </c>
      <c r="AQ33" s="75">
        <v>4.4999999999999998E-2</v>
      </c>
      <c r="AR33" s="77">
        <v>4.2500000000000003E-2</v>
      </c>
      <c r="AS33" s="74">
        <f t="shared" si="5"/>
        <v>4.3125000000000004E-2</v>
      </c>
      <c r="AU33" s="281">
        <v>44696</v>
      </c>
      <c r="AV33" s="75"/>
      <c r="AW33" s="75"/>
      <c r="AX33" s="75">
        <v>4.6249999999999999E-2</v>
      </c>
      <c r="AY33" s="75">
        <v>7.4999999999999997E-2</v>
      </c>
      <c r="AZ33" s="75">
        <v>6.8750000000000006E-2</v>
      </c>
      <c r="BA33" s="75">
        <v>5.8749999999999997E-2</v>
      </c>
      <c r="BB33" s="75">
        <v>6.6250000000000003E-2</v>
      </c>
      <c r="BC33" s="75">
        <v>7.1249999999999994E-2</v>
      </c>
      <c r="BD33" s="75">
        <v>7.6249999999999998E-2</v>
      </c>
      <c r="BE33" s="75">
        <v>6.8750000000000006E-2</v>
      </c>
      <c r="BF33" s="75">
        <v>7.1249999999999994E-2</v>
      </c>
      <c r="BG33" s="75">
        <v>3.7499999999999999E-2</v>
      </c>
      <c r="BH33" s="75">
        <v>8.2799999999999999E-2</v>
      </c>
      <c r="BI33" s="74">
        <f t="shared" si="6"/>
        <v>6.5709090909090911E-2</v>
      </c>
      <c r="BJ33" s="78"/>
      <c r="BK33" s="75"/>
      <c r="BL33" s="75">
        <v>3.3750000000000002E-2</v>
      </c>
      <c r="BM33" s="75">
        <v>0.05</v>
      </c>
      <c r="BN33" s="75">
        <v>5.2499999999999998E-2</v>
      </c>
      <c r="BO33" s="75">
        <v>6.25E-2</v>
      </c>
      <c r="BP33" s="75">
        <v>3.3750000000000002E-2</v>
      </c>
      <c r="BQ33" s="77">
        <v>7.8200000000000006E-2</v>
      </c>
      <c r="BR33" s="79">
        <f t="shared" si="7"/>
        <v>5.1783333333333341E-2</v>
      </c>
      <c r="BT33" s="281">
        <v>44682</v>
      </c>
      <c r="BU33" s="75">
        <v>1.6607142857142859E-2</v>
      </c>
      <c r="BV33" s="75">
        <v>1.2750000000000001E-2</v>
      </c>
      <c r="BW33" s="77">
        <v>1.4500000000000002E-2</v>
      </c>
    </row>
    <row r="34" spans="1:75" s="11" customFormat="1" x14ac:dyDescent="0.2">
      <c r="A34" s="281">
        <v>48642</v>
      </c>
      <c r="B34" s="75"/>
      <c r="C34" s="75">
        <v>0.05</v>
      </c>
      <c r="D34" s="75">
        <v>0.05</v>
      </c>
      <c r="E34" s="75">
        <v>4.8750000000000002E-2</v>
      </c>
      <c r="F34" s="77">
        <v>0.05</v>
      </c>
      <c r="G34" s="74">
        <f t="shared" si="0"/>
        <v>4.9687499999999996E-2</v>
      </c>
      <c r="H34" s="75"/>
      <c r="I34" s="75">
        <v>0.04</v>
      </c>
      <c r="J34" s="75">
        <v>4.2500000000000003E-2</v>
      </c>
      <c r="K34" s="75">
        <v>4.4999999999999998E-2</v>
      </c>
      <c r="L34" s="77">
        <v>4.1250000000000002E-2</v>
      </c>
      <c r="M34" s="74">
        <f t="shared" si="1"/>
        <v>4.2187500000000003E-2</v>
      </c>
      <c r="O34" s="281">
        <v>48594</v>
      </c>
      <c r="P34" s="78"/>
      <c r="Q34" s="75"/>
      <c r="R34" s="75">
        <v>5.6500000000000002E-2</v>
      </c>
      <c r="S34" s="75">
        <v>5.7500000000000002E-2</v>
      </c>
      <c r="T34" s="75">
        <v>5.7500000000000002E-2</v>
      </c>
      <c r="U34" s="75">
        <v>4.7500000000000001E-2</v>
      </c>
      <c r="V34" s="77">
        <v>5.7500000000000002E-2</v>
      </c>
      <c r="W34" s="74">
        <f t="shared" si="2"/>
        <v>5.5300000000000002E-2</v>
      </c>
      <c r="X34" s="78"/>
      <c r="Y34" s="75"/>
      <c r="Z34" s="75">
        <v>4.65E-2</v>
      </c>
      <c r="AA34" s="75">
        <v>4.7500000000000001E-2</v>
      </c>
      <c r="AB34" s="75">
        <v>4.5499999999999999E-2</v>
      </c>
      <c r="AC34" s="75">
        <v>4.2500000000000003E-2</v>
      </c>
      <c r="AD34" s="77">
        <v>4.7500000000000001E-2</v>
      </c>
      <c r="AE34" s="74">
        <f t="shared" si="3"/>
        <v>4.590000000000001E-2</v>
      </c>
      <c r="AG34" s="281">
        <v>48608</v>
      </c>
      <c r="AH34" s="78"/>
      <c r="AI34" s="75">
        <v>0.05</v>
      </c>
      <c r="AJ34" s="75">
        <v>0.05</v>
      </c>
      <c r="AK34" s="75">
        <v>4.8750000000000002E-2</v>
      </c>
      <c r="AL34" s="77">
        <v>0.05</v>
      </c>
      <c r="AM34" s="74">
        <f t="shared" si="4"/>
        <v>4.9687499999999996E-2</v>
      </c>
      <c r="AN34" s="78"/>
      <c r="AO34" s="75">
        <v>4.2500000000000003E-2</v>
      </c>
      <c r="AP34" s="75">
        <v>4.2500000000000003E-2</v>
      </c>
      <c r="AQ34" s="75">
        <v>4.4999999999999998E-2</v>
      </c>
      <c r="AR34" s="77">
        <v>4.2500000000000003E-2</v>
      </c>
      <c r="AS34" s="74">
        <f t="shared" si="5"/>
        <v>4.3125000000000004E-2</v>
      </c>
      <c r="AU34" s="281">
        <v>44727</v>
      </c>
      <c r="AV34" s="75"/>
      <c r="AW34" s="75"/>
      <c r="AX34" s="75">
        <v>4.6249999999999999E-2</v>
      </c>
      <c r="AY34" s="75">
        <v>7.4999999999999997E-2</v>
      </c>
      <c r="AZ34" s="75">
        <v>6.8750000000000006E-2</v>
      </c>
      <c r="BA34" s="75">
        <v>5.8749999999999997E-2</v>
      </c>
      <c r="BB34" s="75">
        <v>6.6250000000000003E-2</v>
      </c>
      <c r="BC34" s="75">
        <v>7.1249999999999994E-2</v>
      </c>
      <c r="BD34" s="75">
        <v>7.6249999999999998E-2</v>
      </c>
      <c r="BE34" s="75">
        <v>6.8750000000000006E-2</v>
      </c>
      <c r="BF34" s="75">
        <v>7.1249999999999994E-2</v>
      </c>
      <c r="BG34" s="75">
        <v>3.7499999999999999E-2</v>
      </c>
      <c r="BH34" s="75">
        <v>8.2799999999999999E-2</v>
      </c>
      <c r="BI34" s="74">
        <f t="shared" si="6"/>
        <v>6.5709090909090911E-2</v>
      </c>
      <c r="BJ34" s="78"/>
      <c r="BK34" s="75"/>
      <c r="BL34" s="75">
        <v>3.3750000000000002E-2</v>
      </c>
      <c r="BM34" s="75">
        <v>0.05</v>
      </c>
      <c r="BN34" s="75">
        <v>5.2499999999999998E-2</v>
      </c>
      <c r="BO34" s="75">
        <v>6.25E-2</v>
      </c>
      <c r="BP34" s="75">
        <v>3.3750000000000002E-2</v>
      </c>
      <c r="BQ34" s="77">
        <v>7.8200000000000006E-2</v>
      </c>
      <c r="BR34" s="79">
        <f t="shared" si="7"/>
        <v>5.1783333333333341E-2</v>
      </c>
      <c r="BT34" s="281">
        <v>44713</v>
      </c>
      <c r="BU34" s="75">
        <v>1.6607142857142859E-2</v>
      </c>
      <c r="BV34" s="75">
        <v>1.2750000000000001E-2</v>
      </c>
      <c r="BW34" s="77">
        <v>1.4500000000000002E-2</v>
      </c>
    </row>
    <row r="35" spans="1:75" s="11" customFormat="1" x14ac:dyDescent="0.2">
      <c r="A35" s="281">
        <v>48826</v>
      </c>
      <c r="B35" s="75"/>
      <c r="C35" s="75">
        <v>0.05</v>
      </c>
      <c r="D35" s="75">
        <v>0.05</v>
      </c>
      <c r="E35" s="75">
        <v>4.8750000000000002E-2</v>
      </c>
      <c r="F35" s="77">
        <v>0.05</v>
      </c>
      <c r="G35" s="74">
        <f t="shared" si="0"/>
        <v>4.9687499999999996E-2</v>
      </c>
      <c r="H35" s="75"/>
      <c r="I35" s="75">
        <v>0.04</v>
      </c>
      <c r="J35" s="75">
        <v>4.2500000000000003E-2</v>
      </c>
      <c r="K35" s="75">
        <v>4.4999999999999998E-2</v>
      </c>
      <c r="L35" s="77">
        <v>4.1250000000000002E-2</v>
      </c>
      <c r="M35" s="74">
        <f t="shared" si="1"/>
        <v>4.2187500000000003E-2</v>
      </c>
      <c r="O35" s="281">
        <v>48775</v>
      </c>
      <c r="P35" s="78"/>
      <c r="Q35" s="75"/>
      <c r="R35" s="75">
        <v>5.6500000000000002E-2</v>
      </c>
      <c r="S35" s="75">
        <v>5.7500000000000002E-2</v>
      </c>
      <c r="T35" s="75">
        <v>5.7500000000000002E-2</v>
      </c>
      <c r="U35" s="75">
        <v>4.7500000000000001E-2</v>
      </c>
      <c r="V35" s="77">
        <v>5.7500000000000002E-2</v>
      </c>
      <c r="W35" s="74">
        <f t="shared" si="2"/>
        <v>5.5300000000000002E-2</v>
      </c>
      <c r="X35" s="78"/>
      <c r="Y35" s="75"/>
      <c r="Z35" s="75">
        <v>4.65E-2</v>
      </c>
      <c r="AA35" s="75">
        <v>4.7500000000000001E-2</v>
      </c>
      <c r="AB35" s="75">
        <v>4.5499999999999999E-2</v>
      </c>
      <c r="AC35" s="75">
        <v>4.2500000000000003E-2</v>
      </c>
      <c r="AD35" s="77">
        <v>4.7500000000000001E-2</v>
      </c>
      <c r="AE35" s="74">
        <f t="shared" si="3"/>
        <v>4.590000000000001E-2</v>
      </c>
      <c r="AG35" s="281">
        <v>48789</v>
      </c>
      <c r="AH35" s="78"/>
      <c r="AI35" s="75">
        <v>0.05</v>
      </c>
      <c r="AJ35" s="75">
        <v>0.05</v>
      </c>
      <c r="AK35" s="75">
        <v>4.8750000000000002E-2</v>
      </c>
      <c r="AL35" s="77">
        <v>0.05</v>
      </c>
      <c r="AM35" s="74">
        <f t="shared" si="4"/>
        <v>4.9687499999999996E-2</v>
      </c>
      <c r="AN35" s="78"/>
      <c r="AO35" s="75">
        <v>4.2500000000000003E-2</v>
      </c>
      <c r="AP35" s="75">
        <v>4.2500000000000003E-2</v>
      </c>
      <c r="AQ35" s="75">
        <v>4.4999999999999998E-2</v>
      </c>
      <c r="AR35" s="77">
        <v>4.2500000000000003E-2</v>
      </c>
      <c r="AS35" s="74">
        <f t="shared" si="5"/>
        <v>4.3125000000000004E-2</v>
      </c>
      <c r="AU35" s="281">
        <v>44757</v>
      </c>
      <c r="AV35" s="75"/>
      <c r="AW35" s="75"/>
      <c r="AX35" s="75">
        <v>4.6249999999999999E-2</v>
      </c>
      <c r="AY35" s="75">
        <v>7.4999999999999997E-2</v>
      </c>
      <c r="AZ35" s="75">
        <v>6.8750000000000006E-2</v>
      </c>
      <c r="BA35" s="75">
        <v>5.8749999999999997E-2</v>
      </c>
      <c r="BB35" s="75">
        <v>6.6250000000000003E-2</v>
      </c>
      <c r="BC35" s="75">
        <v>7.1249999999999994E-2</v>
      </c>
      <c r="BD35" s="75">
        <v>7.6249999999999998E-2</v>
      </c>
      <c r="BE35" s="75">
        <v>6.8750000000000006E-2</v>
      </c>
      <c r="BF35" s="75">
        <v>7.1249999999999994E-2</v>
      </c>
      <c r="BG35" s="75">
        <v>3.7499999999999999E-2</v>
      </c>
      <c r="BH35" s="75">
        <v>8.2799999999999999E-2</v>
      </c>
      <c r="BI35" s="74">
        <f t="shared" si="6"/>
        <v>6.5709090909090911E-2</v>
      </c>
      <c r="BJ35" s="78"/>
      <c r="BK35" s="75"/>
      <c r="BL35" s="75">
        <v>3.3750000000000002E-2</v>
      </c>
      <c r="BM35" s="75">
        <v>0.05</v>
      </c>
      <c r="BN35" s="75">
        <v>5.2499999999999998E-2</v>
      </c>
      <c r="BO35" s="75">
        <v>6.25E-2</v>
      </c>
      <c r="BP35" s="75">
        <v>3.3750000000000002E-2</v>
      </c>
      <c r="BQ35" s="77">
        <v>7.8200000000000006E-2</v>
      </c>
      <c r="BR35" s="79">
        <f t="shared" si="7"/>
        <v>5.1783333333333341E-2</v>
      </c>
      <c r="BT35" s="281">
        <v>44743</v>
      </c>
      <c r="BU35" s="75">
        <v>1.6607142857142859E-2</v>
      </c>
      <c r="BV35" s="75">
        <v>1.2750000000000001E-2</v>
      </c>
      <c r="BW35" s="77">
        <v>1.4500000000000002E-2</v>
      </c>
    </row>
    <row r="36" spans="1:75" s="11" customFormat="1" x14ac:dyDescent="0.2">
      <c r="A36" s="281">
        <v>49007</v>
      </c>
      <c r="B36" s="75"/>
      <c r="C36" s="75">
        <v>0.05</v>
      </c>
      <c r="D36" s="75">
        <v>0.05</v>
      </c>
      <c r="E36" s="75">
        <v>4.8750000000000002E-2</v>
      </c>
      <c r="F36" s="77">
        <v>0.05</v>
      </c>
      <c r="G36" s="74">
        <f t="shared" si="0"/>
        <v>4.9687499999999996E-2</v>
      </c>
      <c r="H36" s="75"/>
      <c r="I36" s="75">
        <v>0.04</v>
      </c>
      <c r="J36" s="75">
        <v>4.2500000000000003E-2</v>
      </c>
      <c r="K36" s="75">
        <v>4.4999999999999998E-2</v>
      </c>
      <c r="L36" s="77">
        <v>4.1250000000000002E-2</v>
      </c>
      <c r="M36" s="74">
        <f t="shared" si="1"/>
        <v>4.2187500000000003E-2</v>
      </c>
      <c r="O36" s="281">
        <v>48959</v>
      </c>
      <c r="P36" s="78"/>
      <c r="Q36" s="75"/>
      <c r="R36" s="75"/>
      <c r="S36" s="75">
        <v>5.7500000000000002E-2</v>
      </c>
      <c r="T36" s="75">
        <v>5.7500000000000002E-2</v>
      </c>
      <c r="U36" s="75">
        <v>4.7500000000000001E-2</v>
      </c>
      <c r="V36" s="77">
        <v>5.7500000000000002E-2</v>
      </c>
      <c r="W36" s="74">
        <f t="shared" si="2"/>
        <v>5.5E-2</v>
      </c>
      <c r="X36" s="78"/>
      <c r="Y36" s="75"/>
      <c r="Z36" s="75"/>
      <c r="AA36" s="75">
        <v>4.7500000000000001E-2</v>
      </c>
      <c r="AB36" s="75">
        <v>4.5499999999999999E-2</v>
      </c>
      <c r="AC36" s="75">
        <v>4.2500000000000003E-2</v>
      </c>
      <c r="AD36" s="77">
        <v>4.7500000000000001E-2</v>
      </c>
      <c r="AE36" s="74">
        <f t="shared" si="3"/>
        <v>4.5749999999999999E-2</v>
      </c>
      <c r="AG36" s="281">
        <v>48973</v>
      </c>
      <c r="AH36" s="78"/>
      <c r="AI36" s="75">
        <v>0.05</v>
      </c>
      <c r="AJ36" s="75">
        <v>0.05</v>
      </c>
      <c r="AK36" s="75">
        <v>4.8750000000000002E-2</v>
      </c>
      <c r="AL36" s="77">
        <v>0.05</v>
      </c>
      <c r="AM36" s="74">
        <f t="shared" si="4"/>
        <v>4.9687499999999996E-2</v>
      </c>
      <c r="AN36" s="78"/>
      <c r="AO36" s="75">
        <v>4.2500000000000003E-2</v>
      </c>
      <c r="AP36" s="75">
        <v>4.2500000000000003E-2</v>
      </c>
      <c r="AQ36" s="75">
        <v>4.4999999999999998E-2</v>
      </c>
      <c r="AR36" s="77">
        <v>4.2500000000000003E-2</v>
      </c>
      <c r="AS36" s="74">
        <f t="shared" si="5"/>
        <v>4.3125000000000004E-2</v>
      </c>
      <c r="AU36" s="281">
        <v>44788</v>
      </c>
      <c r="AV36" s="75"/>
      <c r="AW36" s="75"/>
      <c r="AX36" s="75">
        <v>4.6249999999999999E-2</v>
      </c>
      <c r="AY36" s="75">
        <v>7.4999999999999997E-2</v>
      </c>
      <c r="AZ36" s="75">
        <v>6.8750000000000006E-2</v>
      </c>
      <c r="BA36" s="75">
        <v>5.8749999999999997E-2</v>
      </c>
      <c r="BB36" s="75">
        <v>6.6250000000000003E-2</v>
      </c>
      <c r="BC36" s="75">
        <v>7.1249999999999994E-2</v>
      </c>
      <c r="BD36" s="75">
        <v>7.6249999999999998E-2</v>
      </c>
      <c r="BE36" s="75">
        <v>6.8750000000000006E-2</v>
      </c>
      <c r="BF36" s="75">
        <v>7.1249999999999994E-2</v>
      </c>
      <c r="BG36" s="75">
        <v>3.7499999999999999E-2</v>
      </c>
      <c r="BH36" s="75">
        <v>8.2799999999999999E-2</v>
      </c>
      <c r="BI36" s="74">
        <f t="shared" si="6"/>
        <v>6.5709090909090911E-2</v>
      </c>
      <c r="BJ36" s="78"/>
      <c r="BK36" s="75"/>
      <c r="BL36" s="75">
        <v>3.3750000000000002E-2</v>
      </c>
      <c r="BM36" s="75">
        <v>0.05</v>
      </c>
      <c r="BN36" s="75">
        <v>5.2499999999999998E-2</v>
      </c>
      <c r="BO36" s="75">
        <v>6.25E-2</v>
      </c>
      <c r="BP36" s="75">
        <v>3.3750000000000002E-2</v>
      </c>
      <c r="BQ36" s="77">
        <v>7.8200000000000006E-2</v>
      </c>
      <c r="BR36" s="79">
        <f t="shared" si="7"/>
        <v>5.1783333333333341E-2</v>
      </c>
      <c r="BT36" s="281">
        <v>44774</v>
      </c>
      <c r="BU36" s="75">
        <v>1.6607142857142859E-2</v>
      </c>
      <c r="BV36" s="75">
        <v>1.2750000000000001E-2</v>
      </c>
      <c r="BW36" s="77">
        <v>1.4500000000000002E-2</v>
      </c>
    </row>
    <row r="37" spans="1:75" s="11" customFormat="1" x14ac:dyDescent="0.2">
      <c r="A37" s="281">
        <v>49191</v>
      </c>
      <c r="B37" s="75"/>
      <c r="C37" s="75">
        <v>0.05</v>
      </c>
      <c r="D37" s="75">
        <v>0.05</v>
      </c>
      <c r="E37" s="75">
        <v>4.8750000000000002E-2</v>
      </c>
      <c r="F37" s="77">
        <v>0.05</v>
      </c>
      <c r="G37" s="74">
        <f t="shared" si="0"/>
        <v>4.9687499999999996E-2</v>
      </c>
      <c r="H37" s="75"/>
      <c r="I37" s="75">
        <v>0.04</v>
      </c>
      <c r="J37" s="75">
        <v>4.2500000000000003E-2</v>
      </c>
      <c r="K37" s="75">
        <v>4.4999999999999998E-2</v>
      </c>
      <c r="L37" s="77">
        <v>4.1250000000000002E-2</v>
      </c>
      <c r="M37" s="74">
        <f t="shared" si="1"/>
        <v>4.2187500000000003E-2</v>
      </c>
      <c r="O37" s="281">
        <v>49140</v>
      </c>
      <c r="P37" s="78"/>
      <c r="Q37" s="75"/>
      <c r="R37" s="75"/>
      <c r="S37" s="75">
        <v>5.7500000000000002E-2</v>
      </c>
      <c r="T37" s="75">
        <v>5.7500000000000002E-2</v>
      </c>
      <c r="U37" s="75">
        <v>4.7500000000000001E-2</v>
      </c>
      <c r="V37" s="77">
        <v>5.7500000000000002E-2</v>
      </c>
      <c r="W37" s="74">
        <f t="shared" si="2"/>
        <v>5.5E-2</v>
      </c>
      <c r="X37" s="78"/>
      <c r="Y37" s="75"/>
      <c r="Z37" s="75"/>
      <c r="AA37" s="75">
        <v>4.7500000000000001E-2</v>
      </c>
      <c r="AB37" s="75">
        <v>4.5499999999999999E-2</v>
      </c>
      <c r="AC37" s="75">
        <v>4.2500000000000003E-2</v>
      </c>
      <c r="AD37" s="77">
        <v>4.7500000000000001E-2</v>
      </c>
      <c r="AE37" s="74">
        <f t="shared" si="3"/>
        <v>4.5749999999999999E-2</v>
      </c>
      <c r="AG37" s="281">
        <v>49154</v>
      </c>
      <c r="AH37" s="78"/>
      <c r="AI37" s="75">
        <v>0.05</v>
      </c>
      <c r="AJ37" s="75">
        <v>0.05</v>
      </c>
      <c r="AK37" s="75">
        <v>4.8750000000000002E-2</v>
      </c>
      <c r="AL37" s="77">
        <v>0.05</v>
      </c>
      <c r="AM37" s="74">
        <f t="shared" si="4"/>
        <v>4.9687499999999996E-2</v>
      </c>
      <c r="AN37" s="78"/>
      <c r="AO37" s="75">
        <v>4.2500000000000003E-2</v>
      </c>
      <c r="AP37" s="75">
        <v>4.2500000000000003E-2</v>
      </c>
      <c r="AQ37" s="75">
        <v>4.4999999999999998E-2</v>
      </c>
      <c r="AR37" s="77">
        <v>4.2500000000000003E-2</v>
      </c>
      <c r="AS37" s="74">
        <f t="shared" si="5"/>
        <v>4.3125000000000004E-2</v>
      </c>
      <c r="AU37" s="281">
        <v>44819</v>
      </c>
      <c r="AV37" s="75"/>
      <c r="AW37" s="75"/>
      <c r="AX37" s="75">
        <v>4.6249999999999999E-2</v>
      </c>
      <c r="AY37" s="75">
        <v>7.4999999999999997E-2</v>
      </c>
      <c r="AZ37" s="75">
        <v>6.8750000000000006E-2</v>
      </c>
      <c r="BA37" s="75">
        <v>5.8749999999999997E-2</v>
      </c>
      <c r="BB37" s="75">
        <v>6.6250000000000003E-2</v>
      </c>
      <c r="BC37" s="75">
        <v>7.1249999999999994E-2</v>
      </c>
      <c r="BD37" s="75">
        <v>7.6249999999999998E-2</v>
      </c>
      <c r="BE37" s="75">
        <v>6.8750000000000006E-2</v>
      </c>
      <c r="BF37" s="75">
        <v>7.1249999999999994E-2</v>
      </c>
      <c r="BG37" s="75">
        <v>3.7499999999999999E-2</v>
      </c>
      <c r="BH37" s="75">
        <v>8.2799999999999999E-2</v>
      </c>
      <c r="BI37" s="74">
        <f t="shared" si="6"/>
        <v>6.5709090909090911E-2</v>
      </c>
      <c r="BJ37" s="78"/>
      <c r="BK37" s="75"/>
      <c r="BL37" s="75">
        <v>3.3750000000000002E-2</v>
      </c>
      <c r="BM37" s="75">
        <v>0.05</v>
      </c>
      <c r="BN37" s="75">
        <v>5.2499999999999998E-2</v>
      </c>
      <c r="BO37" s="75">
        <v>6.25E-2</v>
      </c>
      <c r="BP37" s="75">
        <v>3.3750000000000002E-2</v>
      </c>
      <c r="BQ37" s="77">
        <v>7.8200000000000006E-2</v>
      </c>
      <c r="BR37" s="79">
        <f t="shared" si="7"/>
        <v>5.1783333333333341E-2</v>
      </c>
      <c r="BT37" s="281">
        <v>44805</v>
      </c>
      <c r="BU37" s="75">
        <v>1.6607142857142859E-2</v>
      </c>
      <c r="BV37" s="75">
        <v>1.2750000000000001E-2</v>
      </c>
      <c r="BW37" s="77">
        <v>1.4500000000000002E-2</v>
      </c>
    </row>
    <row r="38" spans="1:75" s="11" customFormat="1" x14ac:dyDescent="0.2">
      <c r="A38" s="281">
        <v>49372</v>
      </c>
      <c r="B38" s="75"/>
      <c r="C38" s="75">
        <v>0.05</v>
      </c>
      <c r="D38" s="75">
        <v>0.05</v>
      </c>
      <c r="E38" s="75">
        <v>4.8750000000000002E-2</v>
      </c>
      <c r="F38" s="77">
        <v>0.05</v>
      </c>
      <c r="G38" s="74">
        <f t="shared" si="0"/>
        <v>4.9687499999999996E-2</v>
      </c>
      <c r="H38" s="75"/>
      <c r="I38" s="75">
        <v>0.04</v>
      </c>
      <c r="J38" s="75">
        <v>4.2500000000000003E-2</v>
      </c>
      <c r="K38" s="75">
        <v>4.4999999999999998E-2</v>
      </c>
      <c r="L38" s="77">
        <v>4.1250000000000002E-2</v>
      </c>
      <c r="M38" s="74">
        <f t="shared" si="1"/>
        <v>4.2187500000000003E-2</v>
      </c>
      <c r="O38" s="281">
        <v>49324</v>
      </c>
      <c r="P38" s="78"/>
      <c r="Q38" s="75"/>
      <c r="R38" s="75"/>
      <c r="S38" s="75">
        <v>5.7500000000000002E-2</v>
      </c>
      <c r="T38" s="75">
        <v>5.7500000000000002E-2</v>
      </c>
      <c r="U38" s="75">
        <v>4.7500000000000001E-2</v>
      </c>
      <c r="V38" s="77">
        <v>5.7500000000000002E-2</v>
      </c>
      <c r="W38" s="74">
        <f t="shared" si="2"/>
        <v>5.5E-2</v>
      </c>
      <c r="X38" s="78"/>
      <c r="Y38" s="75"/>
      <c r="Z38" s="75"/>
      <c r="AA38" s="75">
        <v>4.7500000000000001E-2</v>
      </c>
      <c r="AB38" s="75">
        <v>4.5499999999999999E-2</v>
      </c>
      <c r="AC38" s="75">
        <v>4.2500000000000003E-2</v>
      </c>
      <c r="AD38" s="77">
        <v>4.7500000000000001E-2</v>
      </c>
      <c r="AE38" s="74">
        <f t="shared" si="3"/>
        <v>4.5749999999999999E-2</v>
      </c>
      <c r="AG38" s="281">
        <v>49338</v>
      </c>
      <c r="AH38" s="78"/>
      <c r="AI38" s="75">
        <v>0.05</v>
      </c>
      <c r="AJ38" s="75">
        <v>0.05</v>
      </c>
      <c r="AK38" s="75">
        <v>4.8750000000000002E-2</v>
      </c>
      <c r="AL38" s="77">
        <v>0.05</v>
      </c>
      <c r="AM38" s="74">
        <f t="shared" si="4"/>
        <v>4.9687499999999996E-2</v>
      </c>
      <c r="AN38" s="78"/>
      <c r="AO38" s="75">
        <v>4.2500000000000003E-2</v>
      </c>
      <c r="AP38" s="75">
        <v>4.2500000000000003E-2</v>
      </c>
      <c r="AQ38" s="75">
        <v>4.4999999999999998E-2</v>
      </c>
      <c r="AR38" s="77">
        <v>4.2500000000000003E-2</v>
      </c>
      <c r="AS38" s="74">
        <f t="shared" si="5"/>
        <v>4.3125000000000004E-2</v>
      </c>
      <c r="AU38" s="281">
        <v>44849</v>
      </c>
      <c r="AV38" s="75"/>
      <c r="AW38" s="75"/>
      <c r="AX38" s="75">
        <v>4.6249999999999999E-2</v>
      </c>
      <c r="AY38" s="75">
        <v>7.4999999999999997E-2</v>
      </c>
      <c r="AZ38" s="75">
        <v>6.8750000000000006E-2</v>
      </c>
      <c r="BA38" s="75">
        <v>5.8749999999999997E-2</v>
      </c>
      <c r="BB38" s="75">
        <v>6.6250000000000003E-2</v>
      </c>
      <c r="BC38" s="75">
        <v>7.1249999999999994E-2</v>
      </c>
      <c r="BD38" s="75">
        <v>7.6249999999999998E-2</v>
      </c>
      <c r="BE38" s="75">
        <v>6.8750000000000006E-2</v>
      </c>
      <c r="BF38" s="75">
        <v>7.1249999999999994E-2</v>
      </c>
      <c r="BG38" s="75">
        <v>3.7499999999999999E-2</v>
      </c>
      <c r="BH38" s="75">
        <v>8.2799999999999999E-2</v>
      </c>
      <c r="BI38" s="74">
        <f t="shared" si="6"/>
        <v>6.5709090909090911E-2</v>
      </c>
      <c r="BJ38" s="78"/>
      <c r="BK38" s="75"/>
      <c r="BL38" s="75">
        <v>3.3750000000000002E-2</v>
      </c>
      <c r="BM38" s="75">
        <v>0.05</v>
      </c>
      <c r="BN38" s="75">
        <v>5.2499999999999998E-2</v>
      </c>
      <c r="BO38" s="75">
        <v>6.25E-2</v>
      </c>
      <c r="BP38" s="75">
        <v>3.3750000000000002E-2</v>
      </c>
      <c r="BQ38" s="77">
        <v>7.8200000000000006E-2</v>
      </c>
      <c r="BR38" s="79">
        <f t="shared" si="7"/>
        <v>5.1783333333333341E-2</v>
      </c>
      <c r="BT38" s="281">
        <v>44835</v>
      </c>
      <c r="BU38" s="75">
        <v>1.6607142857142859E-2</v>
      </c>
      <c r="BV38" s="75">
        <v>1.2750000000000001E-2</v>
      </c>
      <c r="BW38" s="77">
        <v>1.4500000000000002E-2</v>
      </c>
    </row>
    <row r="39" spans="1:75" s="11" customFormat="1" x14ac:dyDescent="0.2">
      <c r="A39" s="281">
        <v>49556</v>
      </c>
      <c r="B39" s="75"/>
      <c r="C39" s="75">
        <v>0.05</v>
      </c>
      <c r="D39" s="75">
        <v>0.05</v>
      </c>
      <c r="E39" s="75">
        <v>4.8750000000000002E-2</v>
      </c>
      <c r="F39" s="77">
        <v>0.05</v>
      </c>
      <c r="G39" s="74">
        <f t="shared" si="0"/>
        <v>4.9687499999999996E-2</v>
      </c>
      <c r="H39" s="75"/>
      <c r="I39" s="75">
        <v>0.04</v>
      </c>
      <c r="J39" s="75">
        <v>4.2500000000000003E-2</v>
      </c>
      <c r="K39" s="75">
        <v>4.4999999999999998E-2</v>
      </c>
      <c r="L39" s="77">
        <v>4.1250000000000002E-2</v>
      </c>
      <c r="M39" s="74">
        <f t="shared" si="1"/>
        <v>4.2187500000000003E-2</v>
      </c>
      <c r="O39" s="281">
        <v>49505</v>
      </c>
      <c r="P39" s="78"/>
      <c r="Q39" s="75"/>
      <c r="R39" s="75"/>
      <c r="S39" s="75">
        <v>5.7500000000000002E-2</v>
      </c>
      <c r="T39" s="75">
        <v>5.7500000000000002E-2</v>
      </c>
      <c r="U39" s="75">
        <v>4.7500000000000001E-2</v>
      </c>
      <c r="V39" s="77">
        <v>5.7500000000000002E-2</v>
      </c>
      <c r="W39" s="74">
        <f t="shared" si="2"/>
        <v>5.5E-2</v>
      </c>
      <c r="X39" s="78"/>
      <c r="Y39" s="75"/>
      <c r="Z39" s="75"/>
      <c r="AA39" s="75">
        <v>4.7500000000000001E-2</v>
      </c>
      <c r="AB39" s="75">
        <v>4.5499999999999999E-2</v>
      </c>
      <c r="AC39" s="75">
        <v>4.2500000000000003E-2</v>
      </c>
      <c r="AD39" s="77">
        <v>4.7500000000000001E-2</v>
      </c>
      <c r="AE39" s="74">
        <f t="shared" si="3"/>
        <v>4.5749999999999999E-2</v>
      </c>
      <c r="AG39" s="281">
        <v>49519</v>
      </c>
      <c r="AH39" s="78"/>
      <c r="AI39" s="75">
        <v>0.05</v>
      </c>
      <c r="AJ39" s="75">
        <v>0.05</v>
      </c>
      <c r="AK39" s="75">
        <v>4.8750000000000002E-2</v>
      </c>
      <c r="AL39" s="77">
        <v>0.05</v>
      </c>
      <c r="AM39" s="74">
        <f t="shared" si="4"/>
        <v>4.9687499999999996E-2</v>
      </c>
      <c r="AN39" s="78"/>
      <c r="AO39" s="75">
        <v>4.2500000000000003E-2</v>
      </c>
      <c r="AP39" s="75">
        <v>4.2500000000000003E-2</v>
      </c>
      <c r="AQ39" s="75">
        <v>4.4999999999999998E-2</v>
      </c>
      <c r="AR39" s="77">
        <v>4.2500000000000003E-2</v>
      </c>
      <c r="AS39" s="74">
        <f t="shared" si="5"/>
        <v>4.3125000000000004E-2</v>
      </c>
      <c r="AU39" s="281">
        <v>44880</v>
      </c>
      <c r="AV39" s="75"/>
      <c r="AW39" s="75"/>
      <c r="AX39" s="75">
        <v>4.6249999999999999E-2</v>
      </c>
      <c r="AY39" s="75">
        <v>7.4999999999999997E-2</v>
      </c>
      <c r="AZ39" s="75">
        <v>6.8750000000000006E-2</v>
      </c>
      <c r="BA39" s="75">
        <v>5.8749999999999997E-2</v>
      </c>
      <c r="BB39" s="75">
        <v>6.6250000000000003E-2</v>
      </c>
      <c r="BC39" s="75">
        <v>7.1249999999999994E-2</v>
      </c>
      <c r="BD39" s="75">
        <v>7.6249999999999998E-2</v>
      </c>
      <c r="BE39" s="75">
        <v>6.8750000000000006E-2</v>
      </c>
      <c r="BF39" s="75">
        <v>7.1249999999999994E-2</v>
      </c>
      <c r="BG39" s="75">
        <v>3.7499999999999999E-2</v>
      </c>
      <c r="BH39" s="75">
        <v>8.2799999999999999E-2</v>
      </c>
      <c r="BI39" s="74">
        <f t="shared" si="6"/>
        <v>6.5709090909090911E-2</v>
      </c>
      <c r="BJ39" s="78"/>
      <c r="BK39" s="75"/>
      <c r="BL39" s="75">
        <v>3.3750000000000002E-2</v>
      </c>
      <c r="BM39" s="75">
        <v>0.05</v>
      </c>
      <c r="BN39" s="75">
        <v>5.2499999999999998E-2</v>
      </c>
      <c r="BO39" s="75">
        <v>6.25E-2</v>
      </c>
      <c r="BP39" s="75">
        <v>3.3750000000000002E-2</v>
      </c>
      <c r="BQ39" s="77">
        <v>7.8200000000000006E-2</v>
      </c>
      <c r="BR39" s="79">
        <f t="shared" si="7"/>
        <v>5.1783333333333341E-2</v>
      </c>
      <c r="BT39" s="281">
        <v>44866</v>
      </c>
      <c r="BU39" s="75">
        <v>1.6607142857142859E-2</v>
      </c>
      <c r="BV39" s="75">
        <v>1.2750000000000001E-2</v>
      </c>
      <c r="BW39" s="77">
        <v>1.4500000000000002E-2</v>
      </c>
    </row>
    <row r="40" spans="1:75" s="11" customFormat="1" x14ac:dyDescent="0.2">
      <c r="A40" s="281">
        <v>49738</v>
      </c>
      <c r="B40" s="75"/>
      <c r="C40" s="75"/>
      <c r="D40" s="75">
        <v>0.05</v>
      </c>
      <c r="E40" s="75">
        <v>4.8750000000000002E-2</v>
      </c>
      <c r="F40" s="77">
        <v>0.05</v>
      </c>
      <c r="G40" s="74">
        <f t="shared" si="0"/>
        <v>4.9583333333333333E-2</v>
      </c>
      <c r="H40" s="75"/>
      <c r="I40" s="75"/>
      <c r="J40" s="75">
        <v>4.2500000000000003E-2</v>
      </c>
      <c r="K40" s="75">
        <v>4.4999999999999998E-2</v>
      </c>
      <c r="L40" s="77">
        <v>4.1250000000000002E-2</v>
      </c>
      <c r="M40" s="74">
        <f t="shared" si="1"/>
        <v>4.2916666666666665E-2</v>
      </c>
      <c r="O40" s="281">
        <v>49689</v>
      </c>
      <c r="P40" s="78"/>
      <c r="Q40" s="75"/>
      <c r="R40" s="75"/>
      <c r="S40" s="75">
        <v>5.7500000000000002E-2</v>
      </c>
      <c r="T40" s="75">
        <v>5.7500000000000002E-2</v>
      </c>
      <c r="U40" s="75">
        <v>4.7500000000000001E-2</v>
      </c>
      <c r="V40" s="77">
        <v>5.7500000000000002E-2</v>
      </c>
      <c r="W40" s="74">
        <f t="shared" si="2"/>
        <v>5.5E-2</v>
      </c>
      <c r="X40" s="78"/>
      <c r="Y40" s="75"/>
      <c r="Z40" s="75"/>
      <c r="AA40" s="75">
        <v>4.7500000000000001E-2</v>
      </c>
      <c r="AB40" s="75">
        <v>4.5499999999999999E-2</v>
      </c>
      <c r="AC40" s="75">
        <v>4.2500000000000003E-2</v>
      </c>
      <c r="AD40" s="77">
        <v>4.7500000000000001E-2</v>
      </c>
      <c r="AE40" s="74">
        <f t="shared" si="3"/>
        <v>4.5749999999999999E-2</v>
      </c>
      <c r="AG40" s="281">
        <v>49703</v>
      </c>
      <c r="AH40" s="78"/>
      <c r="AI40" s="75"/>
      <c r="AJ40" s="75">
        <v>0.05</v>
      </c>
      <c r="AK40" s="75">
        <v>4.8750000000000002E-2</v>
      </c>
      <c r="AL40" s="77">
        <v>0.05</v>
      </c>
      <c r="AM40" s="74">
        <f t="shared" si="4"/>
        <v>4.9583333333333333E-2</v>
      </c>
      <c r="AN40" s="78"/>
      <c r="AO40" s="75"/>
      <c r="AP40" s="75">
        <v>4.2500000000000003E-2</v>
      </c>
      <c r="AQ40" s="75">
        <v>4.4999999999999998E-2</v>
      </c>
      <c r="AR40" s="77">
        <v>4.2500000000000003E-2</v>
      </c>
      <c r="AS40" s="74">
        <f t="shared" si="5"/>
        <v>4.3333333333333335E-2</v>
      </c>
      <c r="AU40" s="281">
        <v>44910</v>
      </c>
      <c r="AV40" s="75"/>
      <c r="AW40" s="75"/>
      <c r="AX40" s="75">
        <v>4.6249999999999999E-2</v>
      </c>
      <c r="AY40" s="75">
        <v>7.4999999999999997E-2</v>
      </c>
      <c r="AZ40" s="75">
        <v>6.8750000000000006E-2</v>
      </c>
      <c r="BA40" s="75">
        <v>5.8749999999999997E-2</v>
      </c>
      <c r="BB40" s="75">
        <v>6.6250000000000003E-2</v>
      </c>
      <c r="BC40" s="75">
        <v>7.1249999999999994E-2</v>
      </c>
      <c r="BD40" s="75">
        <v>7.6249999999999998E-2</v>
      </c>
      <c r="BE40" s="75">
        <v>6.8750000000000006E-2</v>
      </c>
      <c r="BF40" s="75">
        <v>7.1249999999999994E-2</v>
      </c>
      <c r="BG40" s="75">
        <v>3.7499999999999999E-2</v>
      </c>
      <c r="BH40" s="75">
        <v>8.2799999999999999E-2</v>
      </c>
      <c r="BI40" s="74">
        <f t="shared" si="6"/>
        <v>6.5709090909090911E-2</v>
      </c>
      <c r="BJ40" s="78"/>
      <c r="BK40" s="75"/>
      <c r="BL40" s="75">
        <v>3.3750000000000002E-2</v>
      </c>
      <c r="BM40" s="75">
        <v>0.05</v>
      </c>
      <c r="BN40" s="75">
        <v>5.2499999999999998E-2</v>
      </c>
      <c r="BO40" s="75">
        <v>6.25E-2</v>
      </c>
      <c r="BP40" s="75">
        <v>3.3750000000000002E-2</v>
      </c>
      <c r="BQ40" s="77">
        <v>7.8200000000000006E-2</v>
      </c>
      <c r="BR40" s="79">
        <f t="shared" si="7"/>
        <v>5.1783333333333341E-2</v>
      </c>
      <c r="BT40" s="281">
        <v>44896</v>
      </c>
      <c r="BU40" s="75">
        <v>1.6607142857142859E-2</v>
      </c>
      <c r="BV40" s="75">
        <v>1.2750000000000001E-2</v>
      </c>
      <c r="BW40" s="77">
        <v>1.4500000000000002E-2</v>
      </c>
    </row>
    <row r="41" spans="1:75" s="11" customFormat="1" x14ac:dyDescent="0.2">
      <c r="A41" s="281">
        <v>49922</v>
      </c>
      <c r="B41" s="75"/>
      <c r="C41" s="75"/>
      <c r="D41" s="75">
        <v>0.05</v>
      </c>
      <c r="E41" s="75">
        <v>4.8750000000000002E-2</v>
      </c>
      <c r="F41" s="77">
        <v>0.05</v>
      </c>
      <c r="G41" s="74">
        <f t="shared" ref="G41:G61" si="8">+AVERAGE(B41:F41)</f>
        <v>4.9583333333333333E-2</v>
      </c>
      <c r="H41" s="75"/>
      <c r="I41" s="75"/>
      <c r="J41" s="75">
        <v>4.2500000000000003E-2</v>
      </c>
      <c r="K41" s="75">
        <v>4.4999999999999998E-2</v>
      </c>
      <c r="L41" s="77">
        <v>4.1250000000000002E-2</v>
      </c>
      <c r="M41" s="74">
        <f t="shared" ref="M41:M61" si="9">+AVERAGE(H41:L41)</f>
        <v>4.2916666666666665E-2</v>
      </c>
      <c r="O41" s="281">
        <v>49871</v>
      </c>
      <c r="P41" s="78"/>
      <c r="Q41" s="75"/>
      <c r="R41" s="75"/>
      <c r="S41" s="75">
        <v>5.7500000000000002E-2</v>
      </c>
      <c r="T41" s="75">
        <v>5.7500000000000002E-2</v>
      </c>
      <c r="U41" s="75">
        <v>4.7500000000000001E-2</v>
      </c>
      <c r="V41" s="77">
        <v>5.7500000000000002E-2</v>
      </c>
      <c r="W41" s="74">
        <f t="shared" ref="W41:W59" si="10">+AVERAGE(P41:V41)</f>
        <v>5.5E-2</v>
      </c>
      <c r="X41" s="78"/>
      <c r="Y41" s="75"/>
      <c r="Z41" s="75"/>
      <c r="AA41" s="75">
        <v>4.7500000000000001E-2</v>
      </c>
      <c r="AB41" s="75">
        <v>4.5499999999999999E-2</v>
      </c>
      <c r="AC41" s="75">
        <v>4.2500000000000003E-2</v>
      </c>
      <c r="AD41" s="77">
        <v>4.7500000000000001E-2</v>
      </c>
      <c r="AE41" s="74">
        <f t="shared" ref="AE41:AE59" si="11">+AVERAGE(X41:AD41)</f>
        <v>4.5749999999999999E-2</v>
      </c>
      <c r="AG41" s="281">
        <v>49885</v>
      </c>
      <c r="AH41" s="78"/>
      <c r="AI41" s="75"/>
      <c r="AJ41" s="75">
        <v>0.05</v>
      </c>
      <c r="AK41" s="75">
        <v>4.8750000000000002E-2</v>
      </c>
      <c r="AL41" s="77">
        <v>0.05</v>
      </c>
      <c r="AM41" s="74">
        <f t="shared" ref="AM41:AM61" si="12">+AVERAGE(AH41:AL41)</f>
        <v>4.9583333333333333E-2</v>
      </c>
      <c r="AN41" s="78"/>
      <c r="AO41" s="75"/>
      <c r="AP41" s="75">
        <v>4.2500000000000003E-2</v>
      </c>
      <c r="AQ41" s="75">
        <v>4.4999999999999998E-2</v>
      </c>
      <c r="AR41" s="77">
        <v>4.2500000000000003E-2</v>
      </c>
      <c r="AS41" s="74">
        <f t="shared" ref="AS41:AS61" si="13">+AVERAGE(AN41:AR41)</f>
        <v>4.3333333333333335E-2</v>
      </c>
      <c r="AU41" s="281">
        <v>44941</v>
      </c>
      <c r="AV41" s="75"/>
      <c r="AW41" s="75"/>
      <c r="AX41" s="75"/>
      <c r="AY41" s="75">
        <v>7.4999999999999997E-2</v>
      </c>
      <c r="AZ41" s="75">
        <v>6.8750000000000006E-2</v>
      </c>
      <c r="BA41" s="75">
        <v>5.8749999999999997E-2</v>
      </c>
      <c r="BB41" s="75">
        <v>6.6250000000000003E-2</v>
      </c>
      <c r="BC41" s="75">
        <v>7.1249999999999994E-2</v>
      </c>
      <c r="BD41" s="75">
        <v>7.6249999999999998E-2</v>
      </c>
      <c r="BE41" s="75">
        <v>6.8750000000000006E-2</v>
      </c>
      <c r="BF41" s="75">
        <v>7.1249999999999994E-2</v>
      </c>
      <c r="BG41" s="75">
        <v>3.7499999999999999E-2</v>
      </c>
      <c r="BH41" s="75">
        <v>8.2799999999999999E-2</v>
      </c>
      <c r="BI41" s="74">
        <f t="shared" si="6"/>
        <v>6.7654999999999993E-2</v>
      </c>
      <c r="BJ41" s="78"/>
      <c r="BK41" s="75"/>
      <c r="BL41" s="75">
        <v>3.3750000000000002E-2</v>
      </c>
      <c r="BM41" s="75">
        <v>0.05</v>
      </c>
      <c r="BN41" s="75">
        <v>5.2499999999999998E-2</v>
      </c>
      <c r="BO41" s="75">
        <v>6.25E-2</v>
      </c>
      <c r="BP41" s="75">
        <v>3.3750000000000002E-2</v>
      </c>
      <c r="BQ41" s="77">
        <v>7.8200000000000006E-2</v>
      </c>
      <c r="BR41" s="79">
        <f t="shared" si="7"/>
        <v>5.1783333333333341E-2</v>
      </c>
      <c r="BT41" s="281">
        <v>44927</v>
      </c>
      <c r="BU41" s="75">
        <v>2.6071428571428572E-2</v>
      </c>
      <c r="BV41" s="75">
        <v>2.1049999999999999E-2</v>
      </c>
      <c r="BW41" s="77">
        <v>1.4500000000000002E-2</v>
      </c>
    </row>
    <row r="42" spans="1:75" s="11" customFormat="1" x14ac:dyDescent="0.2">
      <c r="A42" s="281">
        <v>50103</v>
      </c>
      <c r="B42" s="75"/>
      <c r="C42" s="75"/>
      <c r="D42" s="75">
        <v>0.05</v>
      </c>
      <c r="E42" s="75">
        <v>4.8750000000000002E-2</v>
      </c>
      <c r="F42" s="77">
        <v>0.05</v>
      </c>
      <c r="G42" s="74">
        <f t="shared" si="8"/>
        <v>4.9583333333333333E-2</v>
      </c>
      <c r="H42" s="75"/>
      <c r="I42" s="75"/>
      <c r="J42" s="75">
        <v>4.2500000000000003E-2</v>
      </c>
      <c r="K42" s="75">
        <v>4.4999999999999998E-2</v>
      </c>
      <c r="L42" s="77">
        <v>4.1250000000000002E-2</v>
      </c>
      <c r="M42" s="74">
        <f t="shared" si="9"/>
        <v>4.2916666666666665E-2</v>
      </c>
      <c r="O42" s="281">
        <v>50055</v>
      </c>
      <c r="P42" s="78"/>
      <c r="Q42" s="75"/>
      <c r="R42" s="75"/>
      <c r="S42" s="75"/>
      <c r="T42" s="75">
        <v>5.7500000000000002E-2</v>
      </c>
      <c r="U42" s="75">
        <v>4.7500000000000001E-2</v>
      </c>
      <c r="V42" s="77">
        <v>5.7500000000000002E-2</v>
      </c>
      <c r="W42" s="74">
        <f t="shared" si="10"/>
        <v>5.4166666666666669E-2</v>
      </c>
      <c r="X42" s="78"/>
      <c r="Y42" s="75"/>
      <c r="Z42" s="75"/>
      <c r="AA42" s="75"/>
      <c r="AB42" s="75">
        <v>4.5499999999999999E-2</v>
      </c>
      <c r="AC42" s="75">
        <v>4.2500000000000003E-2</v>
      </c>
      <c r="AD42" s="77">
        <v>4.7500000000000001E-2</v>
      </c>
      <c r="AE42" s="74">
        <f t="shared" si="11"/>
        <v>4.5166666666666667E-2</v>
      </c>
      <c r="AG42" s="281">
        <v>50069</v>
      </c>
      <c r="AH42" s="78"/>
      <c r="AI42" s="75"/>
      <c r="AJ42" s="75">
        <v>0.05</v>
      </c>
      <c r="AK42" s="75">
        <v>4.8750000000000002E-2</v>
      </c>
      <c r="AL42" s="77">
        <v>0.05</v>
      </c>
      <c r="AM42" s="74">
        <f t="shared" si="12"/>
        <v>4.9583333333333333E-2</v>
      </c>
      <c r="AN42" s="78"/>
      <c r="AO42" s="75"/>
      <c r="AP42" s="75">
        <v>4.2500000000000003E-2</v>
      </c>
      <c r="AQ42" s="75">
        <v>4.4999999999999998E-2</v>
      </c>
      <c r="AR42" s="77">
        <v>4.2500000000000003E-2</v>
      </c>
      <c r="AS42" s="74">
        <f t="shared" si="13"/>
        <v>4.3333333333333335E-2</v>
      </c>
      <c r="AU42" s="281">
        <v>44972</v>
      </c>
      <c r="AV42" s="75"/>
      <c r="AW42" s="75"/>
      <c r="AX42" s="75"/>
      <c r="AY42" s="75">
        <v>7.4999999999999997E-2</v>
      </c>
      <c r="AZ42" s="75">
        <v>6.8750000000000006E-2</v>
      </c>
      <c r="BA42" s="75">
        <v>5.8749999999999997E-2</v>
      </c>
      <c r="BB42" s="75">
        <v>6.6250000000000003E-2</v>
      </c>
      <c r="BC42" s="75">
        <v>7.1249999999999994E-2</v>
      </c>
      <c r="BD42" s="75">
        <v>7.6249999999999998E-2</v>
      </c>
      <c r="BE42" s="75">
        <v>6.8750000000000006E-2</v>
      </c>
      <c r="BF42" s="75">
        <v>7.1249999999999994E-2</v>
      </c>
      <c r="BG42" s="75">
        <v>3.7499999999999999E-2</v>
      </c>
      <c r="BH42" s="75">
        <v>8.2799999999999999E-2</v>
      </c>
      <c r="BI42" s="74">
        <f t="shared" si="6"/>
        <v>6.7654999999999993E-2</v>
      </c>
      <c r="BJ42" s="78"/>
      <c r="BK42" s="75"/>
      <c r="BL42" s="75"/>
      <c r="BM42" s="75">
        <v>0.05</v>
      </c>
      <c r="BN42" s="75">
        <v>5.2499999999999998E-2</v>
      </c>
      <c r="BO42" s="75">
        <v>6.25E-2</v>
      </c>
      <c r="BP42" s="75">
        <v>3.3750000000000002E-2</v>
      </c>
      <c r="BQ42" s="77">
        <v>7.8200000000000006E-2</v>
      </c>
      <c r="BR42" s="79">
        <f t="shared" si="7"/>
        <v>5.5390000000000009E-2</v>
      </c>
      <c r="BT42" s="281">
        <v>44958</v>
      </c>
      <c r="BU42" s="75">
        <v>2.6071428571428572E-2</v>
      </c>
      <c r="BV42" s="75">
        <v>2.1049999999999999E-2</v>
      </c>
      <c r="BW42" s="77">
        <v>1.4500000000000002E-2</v>
      </c>
    </row>
    <row r="43" spans="1:75" s="11" customFormat="1" x14ac:dyDescent="0.2">
      <c r="A43" s="281">
        <v>50287</v>
      </c>
      <c r="B43" s="75"/>
      <c r="C43" s="75"/>
      <c r="D43" s="75">
        <v>0.05</v>
      </c>
      <c r="E43" s="75">
        <v>4.8750000000000002E-2</v>
      </c>
      <c r="F43" s="77">
        <v>0.05</v>
      </c>
      <c r="G43" s="74">
        <f t="shared" si="8"/>
        <v>4.9583333333333333E-2</v>
      </c>
      <c r="H43" s="75"/>
      <c r="I43" s="75"/>
      <c r="J43" s="75">
        <v>4.2500000000000003E-2</v>
      </c>
      <c r="K43" s="75">
        <v>4.4999999999999998E-2</v>
      </c>
      <c r="L43" s="77">
        <v>4.1250000000000002E-2</v>
      </c>
      <c r="M43" s="74">
        <f t="shared" si="9"/>
        <v>4.2916666666666665E-2</v>
      </c>
      <c r="O43" s="281">
        <v>50236</v>
      </c>
      <c r="P43" s="78"/>
      <c r="Q43" s="75"/>
      <c r="R43" s="75"/>
      <c r="S43" s="75"/>
      <c r="T43" s="75">
        <v>5.7500000000000002E-2</v>
      </c>
      <c r="U43" s="75">
        <v>4.7500000000000001E-2</v>
      </c>
      <c r="V43" s="77">
        <v>5.7500000000000002E-2</v>
      </c>
      <c r="W43" s="74">
        <f t="shared" si="10"/>
        <v>5.4166666666666669E-2</v>
      </c>
      <c r="X43" s="78"/>
      <c r="Y43" s="75"/>
      <c r="Z43" s="75"/>
      <c r="AA43" s="75"/>
      <c r="AB43" s="75">
        <v>4.5499999999999999E-2</v>
      </c>
      <c r="AC43" s="75">
        <v>4.2500000000000003E-2</v>
      </c>
      <c r="AD43" s="77">
        <v>4.7500000000000001E-2</v>
      </c>
      <c r="AE43" s="74">
        <f t="shared" si="11"/>
        <v>4.5166666666666667E-2</v>
      </c>
      <c r="AG43" s="281">
        <v>50250</v>
      </c>
      <c r="AH43" s="78"/>
      <c r="AI43" s="75"/>
      <c r="AJ43" s="75">
        <v>0.05</v>
      </c>
      <c r="AK43" s="75">
        <v>4.8750000000000002E-2</v>
      </c>
      <c r="AL43" s="77">
        <v>0.05</v>
      </c>
      <c r="AM43" s="74">
        <f t="shared" si="12"/>
        <v>4.9583333333333333E-2</v>
      </c>
      <c r="AN43" s="78"/>
      <c r="AO43" s="75"/>
      <c r="AP43" s="75">
        <v>4.2500000000000003E-2</v>
      </c>
      <c r="AQ43" s="75">
        <v>4.4999999999999998E-2</v>
      </c>
      <c r="AR43" s="77">
        <v>4.2500000000000003E-2</v>
      </c>
      <c r="AS43" s="74">
        <f t="shared" si="13"/>
        <v>4.3333333333333335E-2</v>
      </c>
      <c r="AU43" s="281">
        <v>45000</v>
      </c>
      <c r="AV43" s="75"/>
      <c r="AW43" s="75"/>
      <c r="AX43" s="75"/>
      <c r="AY43" s="75">
        <v>7.4999999999999997E-2</v>
      </c>
      <c r="AZ43" s="75">
        <v>6.8750000000000006E-2</v>
      </c>
      <c r="BA43" s="75">
        <v>5.8749999999999997E-2</v>
      </c>
      <c r="BB43" s="75">
        <v>6.6250000000000003E-2</v>
      </c>
      <c r="BC43" s="75">
        <v>7.1249999999999994E-2</v>
      </c>
      <c r="BD43" s="75">
        <v>7.6249999999999998E-2</v>
      </c>
      <c r="BE43" s="75">
        <v>6.8750000000000006E-2</v>
      </c>
      <c r="BF43" s="75">
        <v>7.1249999999999994E-2</v>
      </c>
      <c r="BG43" s="75">
        <v>3.7499999999999999E-2</v>
      </c>
      <c r="BH43" s="75">
        <v>8.2799999999999999E-2</v>
      </c>
      <c r="BI43" s="74">
        <f t="shared" si="6"/>
        <v>6.7654999999999993E-2</v>
      </c>
      <c r="BJ43" s="78"/>
      <c r="BK43" s="75"/>
      <c r="BL43" s="75"/>
      <c r="BM43" s="75">
        <v>0.05</v>
      </c>
      <c r="BN43" s="75">
        <v>5.2499999999999998E-2</v>
      </c>
      <c r="BO43" s="75">
        <v>6.25E-2</v>
      </c>
      <c r="BP43" s="75">
        <v>3.3750000000000002E-2</v>
      </c>
      <c r="BQ43" s="77">
        <v>7.8200000000000006E-2</v>
      </c>
      <c r="BR43" s="79">
        <f t="shared" si="7"/>
        <v>5.5390000000000009E-2</v>
      </c>
      <c r="BT43" s="281">
        <v>44986</v>
      </c>
      <c r="BU43" s="75">
        <v>2.6071428571428572E-2</v>
      </c>
      <c r="BV43" s="75">
        <v>2.1049999999999999E-2</v>
      </c>
      <c r="BW43" s="77">
        <v>2.1749999999999999E-2</v>
      </c>
    </row>
    <row r="44" spans="1:75" s="11" customFormat="1" x14ac:dyDescent="0.2">
      <c r="A44" s="281">
        <v>50468</v>
      </c>
      <c r="B44" s="75"/>
      <c r="C44" s="75"/>
      <c r="D44" s="75">
        <v>0.05</v>
      </c>
      <c r="E44" s="75">
        <v>4.8750000000000002E-2</v>
      </c>
      <c r="F44" s="77">
        <v>0.05</v>
      </c>
      <c r="G44" s="74">
        <f t="shared" si="8"/>
        <v>4.9583333333333333E-2</v>
      </c>
      <c r="H44" s="75"/>
      <c r="I44" s="75"/>
      <c r="J44" s="75">
        <v>4.2500000000000003E-2</v>
      </c>
      <c r="K44" s="75">
        <v>4.4999999999999998E-2</v>
      </c>
      <c r="L44" s="77">
        <v>4.1250000000000002E-2</v>
      </c>
      <c r="M44" s="74">
        <f t="shared" si="9"/>
        <v>4.2916666666666665E-2</v>
      </c>
      <c r="O44" s="281">
        <v>50420</v>
      </c>
      <c r="P44" s="78"/>
      <c r="Q44" s="75"/>
      <c r="R44" s="75"/>
      <c r="S44" s="75"/>
      <c r="T44" s="75">
        <v>5.7500000000000002E-2</v>
      </c>
      <c r="U44" s="75">
        <v>4.7500000000000001E-2</v>
      </c>
      <c r="V44" s="77">
        <v>5.7500000000000002E-2</v>
      </c>
      <c r="W44" s="74">
        <f t="shared" si="10"/>
        <v>5.4166666666666669E-2</v>
      </c>
      <c r="X44" s="78"/>
      <c r="Y44" s="75"/>
      <c r="Z44" s="75"/>
      <c r="AA44" s="75"/>
      <c r="AB44" s="75">
        <v>4.5499999999999999E-2</v>
      </c>
      <c r="AC44" s="75">
        <v>4.2500000000000003E-2</v>
      </c>
      <c r="AD44" s="77">
        <v>4.7500000000000001E-2</v>
      </c>
      <c r="AE44" s="74">
        <f t="shared" si="11"/>
        <v>4.5166666666666667E-2</v>
      </c>
      <c r="AG44" s="281">
        <v>50434</v>
      </c>
      <c r="AH44" s="78"/>
      <c r="AI44" s="75"/>
      <c r="AJ44" s="75">
        <v>0.05</v>
      </c>
      <c r="AK44" s="75">
        <v>4.8750000000000002E-2</v>
      </c>
      <c r="AL44" s="77">
        <v>0.05</v>
      </c>
      <c r="AM44" s="74">
        <f t="shared" si="12"/>
        <v>4.9583333333333333E-2</v>
      </c>
      <c r="AN44" s="78"/>
      <c r="AO44" s="75"/>
      <c r="AP44" s="75">
        <v>4.2500000000000003E-2</v>
      </c>
      <c r="AQ44" s="75">
        <v>4.4999999999999998E-2</v>
      </c>
      <c r="AR44" s="77">
        <v>4.2500000000000003E-2</v>
      </c>
      <c r="AS44" s="74">
        <f t="shared" si="13"/>
        <v>4.3333333333333335E-2</v>
      </c>
      <c r="AU44" s="281">
        <v>45031</v>
      </c>
      <c r="AV44" s="75"/>
      <c r="AW44" s="75"/>
      <c r="AX44" s="75"/>
      <c r="AY44" s="75">
        <v>7.4999999999999997E-2</v>
      </c>
      <c r="AZ44" s="75">
        <v>6.8750000000000006E-2</v>
      </c>
      <c r="BA44" s="75">
        <v>5.8749999999999997E-2</v>
      </c>
      <c r="BB44" s="75">
        <v>6.6250000000000003E-2</v>
      </c>
      <c r="BC44" s="75">
        <v>7.1249999999999994E-2</v>
      </c>
      <c r="BD44" s="75">
        <v>7.6249999999999998E-2</v>
      </c>
      <c r="BE44" s="75">
        <v>6.8750000000000006E-2</v>
      </c>
      <c r="BF44" s="75">
        <v>7.1249999999999994E-2</v>
      </c>
      <c r="BG44" s="75">
        <v>3.7499999999999999E-2</v>
      </c>
      <c r="BH44" s="75">
        <v>8.2799999999999999E-2</v>
      </c>
      <c r="BI44" s="74">
        <f t="shared" si="6"/>
        <v>6.7654999999999993E-2</v>
      </c>
      <c r="BJ44" s="78"/>
      <c r="BK44" s="75"/>
      <c r="BL44" s="75"/>
      <c r="BM44" s="75">
        <v>0.05</v>
      </c>
      <c r="BN44" s="75">
        <v>5.2499999999999998E-2</v>
      </c>
      <c r="BO44" s="75">
        <v>6.25E-2</v>
      </c>
      <c r="BP44" s="75">
        <v>3.3750000000000002E-2</v>
      </c>
      <c r="BQ44" s="77">
        <v>7.8200000000000006E-2</v>
      </c>
      <c r="BR44" s="79">
        <f t="shared" si="7"/>
        <v>5.5390000000000009E-2</v>
      </c>
      <c r="BT44" s="281">
        <v>45017</v>
      </c>
      <c r="BU44" s="75">
        <v>2.6071428571428572E-2</v>
      </c>
      <c r="BV44" s="75">
        <v>2.1049999999999999E-2</v>
      </c>
      <c r="BW44" s="77">
        <v>2.1749999999999999E-2</v>
      </c>
    </row>
    <row r="45" spans="1:75" s="11" customFormat="1" x14ac:dyDescent="0.2">
      <c r="A45" s="281">
        <v>50652</v>
      </c>
      <c r="B45" s="75"/>
      <c r="C45" s="75"/>
      <c r="D45" s="75">
        <v>0.05</v>
      </c>
      <c r="E45" s="75">
        <v>4.8750000000000002E-2</v>
      </c>
      <c r="F45" s="77">
        <v>0.05</v>
      </c>
      <c r="G45" s="74">
        <f t="shared" si="8"/>
        <v>4.9583333333333333E-2</v>
      </c>
      <c r="H45" s="75"/>
      <c r="I45" s="75"/>
      <c r="J45" s="75">
        <v>4.2500000000000003E-2</v>
      </c>
      <c r="K45" s="75">
        <v>4.4999999999999998E-2</v>
      </c>
      <c r="L45" s="77">
        <v>4.1250000000000002E-2</v>
      </c>
      <c r="M45" s="74">
        <f t="shared" si="9"/>
        <v>4.2916666666666665E-2</v>
      </c>
      <c r="O45" s="281">
        <v>50601</v>
      </c>
      <c r="P45" s="78"/>
      <c r="Q45" s="75"/>
      <c r="R45" s="75"/>
      <c r="S45" s="75"/>
      <c r="T45" s="75">
        <v>5.7500000000000002E-2</v>
      </c>
      <c r="U45" s="75">
        <v>4.7500000000000001E-2</v>
      </c>
      <c r="V45" s="77">
        <v>5.7500000000000002E-2</v>
      </c>
      <c r="W45" s="74">
        <f t="shared" si="10"/>
        <v>5.4166666666666669E-2</v>
      </c>
      <c r="X45" s="78"/>
      <c r="Y45" s="75"/>
      <c r="Z45" s="75"/>
      <c r="AA45" s="75"/>
      <c r="AB45" s="75">
        <v>4.5499999999999999E-2</v>
      </c>
      <c r="AC45" s="75">
        <v>4.2500000000000003E-2</v>
      </c>
      <c r="AD45" s="77">
        <v>4.7500000000000001E-2</v>
      </c>
      <c r="AE45" s="74">
        <f t="shared" si="11"/>
        <v>4.5166666666666667E-2</v>
      </c>
      <c r="AG45" s="281">
        <v>50615</v>
      </c>
      <c r="AH45" s="78"/>
      <c r="AI45" s="75"/>
      <c r="AJ45" s="75">
        <v>0.05</v>
      </c>
      <c r="AK45" s="75">
        <v>4.8750000000000002E-2</v>
      </c>
      <c r="AL45" s="77">
        <v>0.05</v>
      </c>
      <c r="AM45" s="74">
        <f t="shared" si="12"/>
        <v>4.9583333333333333E-2</v>
      </c>
      <c r="AN45" s="78"/>
      <c r="AO45" s="75"/>
      <c r="AP45" s="75">
        <v>4.2500000000000003E-2</v>
      </c>
      <c r="AQ45" s="75">
        <v>4.4999999999999998E-2</v>
      </c>
      <c r="AR45" s="77">
        <v>4.2500000000000003E-2</v>
      </c>
      <c r="AS45" s="74">
        <f t="shared" si="13"/>
        <v>4.3333333333333335E-2</v>
      </c>
      <c r="AU45" s="281">
        <v>45061</v>
      </c>
      <c r="AV45" s="75"/>
      <c r="AW45" s="75"/>
      <c r="AX45" s="75"/>
      <c r="AY45" s="75">
        <v>7.4999999999999997E-2</v>
      </c>
      <c r="AZ45" s="75">
        <v>6.8750000000000006E-2</v>
      </c>
      <c r="BA45" s="75">
        <v>5.8749999999999997E-2</v>
      </c>
      <c r="BB45" s="75">
        <v>6.6250000000000003E-2</v>
      </c>
      <c r="BC45" s="75">
        <v>7.1249999999999994E-2</v>
      </c>
      <c r="BD45" s="75">
        <v>7.6249999999999998E-2</v>
      </c>
      <c r="BE45" s="75">
        <v>6.8750000000000006E-2</v>
      </c>
      <c r="BF45" s="75">
        <v>7.1249999999999994E-2</v>
      </c>
      <c r="BG45" s="75">
        <v>3.7499999999999999E-2</v>
      </c>
      <c r="BH45" s="75">
        <v>8.2799999999999999E-2</v>
      </c>
      <c r="BI45" s="74">
        <f t="shared" si="6"/>
        <v>6.7654999999999993E-2</v>
      </c>
      <c r="BJ45" s="78"/>
      <c r="BK45" s="75"/>
      <c r="BL45" s="75"/>
      <c r="BM45" s="75">
        <v>0.05</v>
      </c>
      <c r="BN45" s="75">
        <v>5.2499999999999998E-2</v>
      </c>
      <c r="BO45" s="75">
        <v>6.25E-2</v>
      </c>
      <c r="BP45" s="75">
        <v>3.3750000000000002E-2</v>
      </c>
      <c r="BQ45" s="77">
        <v>7.8200000000000006E-2</v>
      </c>
      <c r="BR45" s="79">
        <f t="shared" si="7"/>
        <v>5.5390000000000009E-2</v>
      </c>
      <c r="BT45" s="281">
        <v>45047</v>
      </c>
      <c r="BU45" s="75">
        <v>2.6071428571428572E-2</v>
      </c>
      <c r="BV45" s="75">
        <v>2.1049999999999999E-2</v>
      </c>
      <c r="BW45" s="77">
        <v>2.1749999999999999E-2</v>
      </c>
    </row>
    <row r="46" spans="1:75" s="11" customFormat="1" x14ac:dyDescent="0.2">
      <c r="A46" s="281">
        <v>50833</v>
      </c>
      <c r="B46" s="75"/>
      <c r="C46" s="75"/>
      <c r="D46" s="75"/>
      <c r="E46" s="75">
        <v>4.8750000000000002E-2</v>
      </c>
      <c r="F46" s="77">
        <v>0.05</v>
      </c>
      <c r="G46" s="74">
        <f t="shared" si="8"/>
        <v>4.9375000000000002E-2</v>
      </c>
      <c r="H46" s="75"/>
      <c r="I46" s="75"/>
      <c r="J46" s="75"/>
      <c r="K46" s="75">
        <v>4.4999999999999998E-2</v>
      </c>
      <c r="L46" s="77">
        <v>4.1250000000000002E-2</v>
      </c>
      <c r="M46" s="74">
        <f t="shared" si="9"/>
        <v>4.3124999999999997E-2</v>
      </c>
      <c r="O46" s="281">
        <v>50785</v>
      </c>
      <c r="P46" s="78"/>
      <c r="Q46" s="75"/>
      <c r="R46" s="75"/>
      <c r="S46" s="75"/>
      <c r="T46" s="75"/>
      <c r="U46" s="75">
        <v>4.7500000000000001E-2</v>
      </c>
      <c r="V46" s="77">
        <v>5.7500000000000002E-2</v>
      </c>
      <c r="W46" s="74">
        <f t="shared" si="10"/>
        <v>5.2500000000000005E-2</v>
      </c>
      <c r="X46" s="78"/>
      <c r="Y46" s="75"/>
      <c r="Z46" s="75"/>
      <c r="AA46" s="75"/>
      <c r="AB46" s="75"/>
      <c r="AC46" s="75">
        <v>4.2500000000000003E-2</v>
      </c>
      <c r="AD46" s="77">
        <v>4.7500000000000001E-2</v>
      </c>
      <c r="AE46" s="74">
        <f t="shared" si="11"/>
        <v>4.4999999999999998E-2</v>
      </c>
      <c r="AG46" s="281">
        <v>50799</v>
      </c>
      <c r="AH46" s="78"/>
      <c r="AI46" s="75"/>
      <c r="AJ46" s="75"/>
      <c r="AK46" s="75">
        <v>4.8750000000000002E-2</v>
      </c>
      <c r="AL46" s="77">
        <v>0.05</v>
      </c>
      <c r="AM46" s="74">
        <f t="shared" si="12"/>
        <v>4.9375000000000002E-2</v>
      </c>
      <c r="AN46" s="78"/>
      <c r="AO46" s="75"/>
      <c r="AP46" s="75"/>
      <c r="AQ46" s="75">
        <v>4.4999999999999998E-2</v>
      </c>
      <c r="AR46" s="77">
        <v>4.2500000000000003E-2</v>
      </c>
      <c r="AS46" s="74">
        <f t="shared" si="13"/>
        <v>4.3749999999999997E-2</v>
      </c>
      <c r="AU46" s="281">
        <v>45092</v>
      </c>
      <c r="AV46" s="75"/>
      <c r="AW46" s="75"/>
      <c r="AX46" s="75"/>
      <c r="AY46" s="75">
        <v>7.4999999999999997E-2</v>
      </c>
      <c r="AZ46" s="75">
        <v>6.8750000000000006E-2</v>
      </c>
      <c r="BA46" s="75">
        <v>5.8749999999999997E-2</v>
      </c>
      <c r="BB46" s="75">
        <v>6.6250000000000003E-2</v>
      </c>
      <c r="BC46" s="75">
        <v>7.1249999999999994E-2</v>
      </c>
      <c r="BD46" s="75">
        <v>7.6249999999999998E-2</v>
      </c>
      <c r="BE46" s="75">
        <v>6.8750000000000006E-2</v>
      </c>
      <c r="BF46" s="75">
        <v>7.1249999999999994E-2</v>
      </c>
      <c r="BG46" s="75">
        <v>3.7499999999999999E-2</v>
      </c>
      <c r="BH46" s="75">
        <v>8.2799999999999999E-2</v>
      </c>
      <c r="BI46" s="74">
        <f t="shared" si="6"/>
        <v>6.7654999999999993E-2</v>
      </c>
      <c r="BJ46" s="78"/>
      <c r="BK46" s="75"/>
      <c r="BL46" s="75"/>
      <c r="BM46" s="75">
        <v>0.05</v>
      </c>
      <c r="BN46" s="75">
        <v>5.2499999999999998E-2</v>
      </c>
      <c r="BO46" s="75">
        <v>6.25E-2</v>
      </c>
      <c r="BP46" s="75">
        <v>3.3750000000000002E-2</v>
      </c>
      <c r="BQ46" s="77">
        <v>7.8200000000000006E-2</v>
      </c>
      <c r="BR46" s="79">
        <f t="shared" si="7"/>
        <v>5.5390000000000009E-2</v>
      </c>
      <c r="BT46" s="281">
        <v>45078</v>
      </c>
      <c r="BU46" s="75">
        <v>2.6071428571428572E-2</v>
      </c>
      <c r="BV46" s="75">
        <v>2.1049999999999999E-2</v>
      </c>
      <c r="BW46" s="77">
        <v>2.1749999999999999E-2</v>
      </c>
    </row>
    <row r="47" spans="1:75" s="11" customFormat="1" x14ac:dyDescent="0.2">
      <c r="A47" s="281">
        <v>51017</v>
      </c>
      <c r="B47" s="75"/>
      <c r="C47" s="75"/>
      <c r="D47" s="75"/>
      <c r="E47" s="75">
        <v>4.8750000000000002E-2</v>
      </c>
      <c r="F47" s="77">
        <v>0.05</v>
      </c>
      <c r="G47" s="74">
        <f t="shared" si="8"/>
        <v>4.9375000000000002E-2</v>
      </c>
      <c r="H47" s="75"/>
      <c r="I47" s="75"/>
      <c r="J47" s="75"/>
      <c r="K47" s="75">
        <v>4.4999999999999998E-2</v>
      </c>
      <c r="L47" s="77">
        <v>4.1250000000000002E-2</v>
      </c>
      <c r="M47" s="74">
        <f t="shared" si="9"/>
        <v>4.3124999999999997E-2</v>
      </c>
      <c r="O47" s="281">
        <v>50966</v>
      </c>
      <c r="P47" s="78"/>
      <c r="Q47" s="75"/>
      <c r="R47" s="75"/>
      <c r="S47" s="75"/>
      <c r="T47" s="75"/>
      <c r="U47" s="75">
        <v>4.7500000000000001E-2</v>
      </c>
      <c r="V47" s="77">
        <v>5.7500000000000002E-2</v>
      </c>
      <c r="W47" s="74">
        <f t="shared" si="10"/>
        <v>5.2500000000000005E-2</v>
      </c>
      <c r="X47" s="78"/>
      <c r="Y47" s="75"/>
      <c r="Z47" s="75"/>
      <c r="AA47" s="75"/>
      <c r="AB47" s="75"/>
      <c r="AC47" s="75">
        <v>4.2500000000000003E-2</v>
      </c>
      <c r="AD47" s="77">
        <v>4.7500000000000001E-2</v>
      </c>
      <c r="AE47" s="74">
        <f t="shared" si="11"/>
        <v>4.4999999999999998E-2</v>
      </c>
      <c r="AG47" s="281">
        <v>50980</v>
      </c>
      <c r="AH47" s="78"/>
      <c r="AI47" s="75"/>
      <c r="AJ47" s="75"/>
      <c r="AK47" s="75">
        <v>4.8750000000000002E-2</v>
      </c>
      <c r="AL47" s="77">
        <v>0.05</v>
      </c>
      <c r="AM47" s="74">
        <f t="shared" si="12"/>
        <v>4.9375000000000002E-2</v>
      </c>
      <c r="AN47" s="78"/>
      <c r="AO47" s="75"/>
      <c r="AP47" s="75"/>
      <c r="AQ47" s="75">
        <v>4.4999999999999998E-2</v>
      </c>
      <c r="AR47" s="77">
        <v>4.2500000000000003E-2</v>
      </c>
      <c r="AS47" s="74">
        <f t="shared" si="13"/>
        <v>4.3749999999999997E-2</v>
      </c>
      <c r="AU47" s="281">
        <v>45122</v>
      </c>
      <c r="AV47" s="75"/>
      <c r="AW47" s="75"/>
      <c r="AX47" s="75"/>
      <c r="AY47" s="75">
        <v>7.4999999999999997E-2</v>
      </c>
      <c r="AZ47" s="75">
        <v>6.8750000000000006E-2</v>
      </c>
      <c r="BA47" s="75">
        <v>5.8749999999999997E-2</v>
      </c>
      <c r="BB47" s="75">
        <v>6.6250000000000003E-2</v>
      </c>
      <c r="BC47" s="75">
        <v>7.1249999999999994E-2</v>
      </c>
      <c r="BD47" s="75">
        <v>7.6249999999999998E-2</v>
      </c>
      <c r="BE47" s="75">
        <v>6.8750000000000006E-2</v>
      </c>
      <c r="BF47" s="75">
        <v>7.1249999999999994E-2</v>
      </c>
      <c r="BG47" s="75">
        <v>3.7499999999999999E-2</v>
      </c>
      <c r="BH47" s="75">
        <v>8.2799999999999999E-2</v>
      </c>
      <c r="BI47" s="74">
        <f t="shared" si="6"/>
        <v>6.7654999999999993E-2</v>
      </c>
      <c r="BJ47" s="78"/>
      <c r="BK47" s="75"/>
      <c r="BL47" s="75"/>
      <c r="BM47" s="75">
        <v>0.05</v>
      </c>
      <c r="BN47" s="75">
        <v>5.2499999999999998E-2</v>
      </c>
      <c r="BO47" s="75">
        <v>6.25E-2</v>
      </c>
      <c r="BP47" s="75">
        <v>3.3750000000000002E-2</v>
      </c>
      <c r="BQ47" s="77">
        <v>7.8200000000000006E-2</v>
      </c>
      <c r="BR47" s="79">
        <f t="shared" si="7"/>
        <v>5.5390000000000009E-2</v>
      </c>
      <c r="BT47" s="281">
        <v>45108</v>
      </c>
      <c r="BU47" s="75">
        <v>2.6071428571428572E-2</v>
      </c>
      <c r="BV47" s="75">
        <v>2.1049999999999999E-2</v>
      </c>
      <c r="BW47" s="77">
        <v>2.1749999999999999E-2</v>
      </c>
    </row>
    <row r="48" spans="1:75" s="11" customFormat="1" x14ac:dyDescent="0.2">
      <c r="A48" s="281">
        <v>51199</v>
      </c>
      <c r="B48" s="75"/>
      <c r="C48" s="75"/>
      <c r="D48" s="75"/>
      <c r="E48" s="75">
        <v>4.8750000000000002E-2</v>
      </c>
      <c r="F48" s="77">
        <v>0.05</v>
      </c>
      <c r="G48" s="74">
        <f t="shared" si="8"/>
        <v>4.9375000000000002E-2</v>
      </c>
      <c r="H48" s="75"/>
      <c r="I48" s="75"/>
      <c r="J48" s="75"/>
      <c r="K48" s="75">
        <v>4.4999999999999998E-2</v>
      </c>
      <c r="L48" s="77">
        <v>4.1250000000000002E-2</v>
      </c>
      <c r="M48" s="74">
        <f t="shared" si="9"/>
        <v>4.3124999999999997E-2</v>
      </c>
      <c r="O48" s="281">
        <v>51150</v>
      </c>
      <c r="P48" s="78"/>
      <c r="Q48" s="75"/>
      <c r="R48" s="75"/>
      <c r="S48" s="75"/>
      <c r="T48" s="75"/>
      <c r="U48" s="75">
        <v>4.7500000000000001E-2</v>
      </c>
      <c r="V48" s="77">
        <v>5.7500000000000002E-2</v>
      </c>
      <c r="W48" s="74">
        <f t="shared" si="10"/>
        <v>5.2500000000000005E-2</v>
      </c>
      <c r="X48" s="78"/>
      <c r="Y48" s="75"/>
      <c r="Z48" s="75"/>
      <c r="AA48" s="75"/>
      <c r="AB48" s="75"/>
      <c r="AC48" s="75">
        <v>4.2500000000000003E-2</v>
      </c>
      <c r="AD48" s="77">
        <v>4.7500000000000001E-2</v>
      </c>
      <c r="AE48" s="74">
        <f t="shared" si="11"/>
        <v>4.4999999999999998E-2</v>
      </c>
      <c r="AG48" s="281">
        <v>51164</v>
      </c>
      <c r="AH48" s="78"/>
      <c r="AI48" s="75"/>
      <c r="AJ48" s="75"/>
      <c r="AK48" s="75">
        <v>4.8750000000000002E-2</v>
      </c>
      <c r="AL48" s="77">
        <v>0.05</v>
      </c>
      <c r="AM48" s="74">
        <f t="shared" si="12"/>
        <v>4.9375000000000002E-2</v>
      </c>
      <c r="AN48" s="78"/>
      <c r="AO48" s="75"/>
      <c r="AP48" s="75"/>
      <c r="AQ48" s="75">
        <v>4.4999999999999998E-2</v>
      </c>
      <c r="AR48" s="77">
        <v>4.2500000000000003E-2</v>
      </c>
      <c r="AS48" s="74">
        <f t="shared" si="13"/>
        <v>4.3749999999999997E-2</v>
      </c>
      <c r="AU48" s="281">
        <v>45153</v>
      </c>
      <c r="AV48" s="75"/>
      <c r="AW48" s="75"/>
      <c r="AX48" s="75"/>
      <c r="AY48" s="75">
        <v>7.4999999999999997E-2</v>
      </c>
      <c r="AZ48" s="75">
        <v>6.8750000000000006E-2</v>
      </c>
      <c r="BA48" s="75">
        <v>5.8749999999999997E-2</v>
      </c>
      <c r="BB48" s="75">
        <v>6.6250000000000003E-2</v>
      </c>
      <c r="BC48" s="75">
        <v>7.1249999999999994E-2</v>
      </c>
      <c r="BD48" s="75">
        <v>7.6249999999999998E-2</v>
      </c>
      <c r="BE48" s="75">
        <v>6.8750000000000006E-2</v>
      </c>
      <c r="BF48" s="75">
        <v>7.1249999999999994E-2</v>
      </c>
      <c r="BG48" s="75">
        <v>3.7499999999999999E-2</v>
      </c>
      <c r="BH48" s="75">
        <v>8.2799999999999999E-2</v>
      </c>
      <c r="BI48" s="74">
        <f t="shared" si="6"/>
        <v>6.7654999999999993E-2</v>
      </c>
      <c r="BJ48" s="78"/>
      <c r="BK48" s="75"/>
      <c r="BL48" s="75"/>
      <c r="BM48" s="75">
        <v>0.05</v>
      </c>
      <c r="BN48" s="75">
        <v>5.2499999999999998E-2</v>
      </c>
      <c r="BO48" s="75">
        <v>6.25E-2</v>
      </c>
      <c r="BP48" s="75">
        <v>3.3750000000000002E-2</v>
      </c>
      <c r="BQ48" s="77">
        <v>7.8200000000000006E-2</v>
      </c>
      <c r="BR48" s="79">
        <f t="shared" si="7"/>
        <v>5.5390000000000009E-2</v>
      </c>
      <c r="BT48" s="281">
        <v>45139</v>
      </c>
      <c r="BU48" s="75">
        <v>2.6071428571428572E-2</v>
      </c>
      <c r="BV48" s="75">
        <v>2.1049999999999999E-2</v>
      </c>
      <c r="BW48" s="77">
        <v>2.1749999999999999E-2</v>
      </c>
    </row>
    <row r="49" spans="1:75" s="11" customFormat="1" x14ac:dyDescent="0.2">
      <c r="A49" s="281">
        <v>51383</v>
      </c>
      <c r="B49" s="75"/>
      <c r="C49" s="75"/>
      <c r="D49" s="75"/>
      <c r="E49" s="75">
        <v>4.8750000000000002E-2</v>
      </c>
      <c r="F49" s="77">
        <v>0.05</v>
      </c>
      <c r="G49" s="74">
        <f t="shared" si="8"/>
        <v>4.9375000000000002E-2</v>
      </c>
      <c r="H49" s="75"/>
      <c r="I49" s="75"/>
      <c r="J49" s="75"/>
      <c r="K49" s="75">
        <v>4.4999999999999998E-2</v>
      </c>
      <c r="L49" s="77">
        <v>4.1250000000000002E-2</v>
      </c>
      <c r="M49" s="74">
        <f t="shared" si="9"/>
        <v>4.3124999999999997E-2</v>
      </c>
      <c r="O49" s="281">
        <v>51332</v>
      </c>
      <c r="P49" s="78"/>
      <c r="Q49" s="75"/>
      <c r="R49" s="75"/>
      <c r="S49" s="75"/>
      <c r="T49" s="75"/>
      <c r="U49" s="75">
        <v>4.7500000000000001E-2</v>
      </c>
      <c r="V49" s="77">
        <v>5.7500000000000002E-2</v>
      </c>
      <c r="W49" s="74">
        <f t="shared" si="10"/>
        <v>5.2500000000000005E-2</v>
      </c>
      <c r="X49" s="78"/>
      <c r="Y49" s="75"/>
      <c r="Z49" s="75"/>
      <c r="AA49" s="75"/>
      <c r="AB49" s="75"/>
      <c r="AC49" s="75">
        <v>4.2500000000000003E-2</v>
      </c>
      <c r="AD49" s="77">
        <v>4.7500000000000001E-2</v>
      </c>
      <c r="AE49" s="74">
        <f t="shared" si="11"/>
        <v>4.4999999999999998E-2</v>
      </c>
      <c r="AG49" s="281">
        <v>51346</v>
      </c>
      <c r="AH49" s="78"/>
      <c r="AI49" s="75"/>
      <c r="AJ49" s="75"/>
      <c r="AK49" s="75">
        <v>4.8750000000000002E-2</v>
      </c>
      <c r="AL49" s="77">
        <v>0.05</v>
      </c>
      <c r="AM49" s="74">
        <f t="shared" si="12"/>
        <v>4.9375000000000002E-2</v>
      </c>
      <c r="AN49" s="78"/>
      <c r="AO49" s="75"/>
      <c r="AP49" s="75"/>
      <c r="AQ49" s="75">
        <v>4.4999999999999998E-2</v>
      </c>
      <c r="AR49" s="77">
        <v>4.2500000000000003E-2</v>
      </c>
      <c r="AS49" s="74">
        <f t="shared" si="13"/>
        <v>4.3749999999999997E-2</v>
      </c>
      <c r="AU49" s="281">
        <v>45184</v>
      </c>
      <c r="AV49" s="75"/>
      <c r="AW49" s="75"/>
      <c r="AX49" s="75"/>
      <c r="AY49" s="75">
        <v>7.4999999999999997E-2</v>
      </c>
      <c r="AZ49" s="75">
        <v>6.8750000000000006E-2</v>
      </c>
      <c r="BA49" s="75">
        <v>5.8749999999999997E-2</v>
      </c>
      <c r="BB49" s="75">
        <v>6.6250000000000003E-2</v>
      </c>
      <c r="BC49" s="75">
        <v>7.1249999999999994E-2</v>
      </c>
      <c r="BD49" s="75">
        <v>7.6249999999999998E-2</v>
      </c>
      <c r="BE49" s="75">
        <v>6.8750000000000006E-2</v>
      </c>
      <c r="BF49" s="75">
        <v>7.1249999999999994E-2</v>
      </c>
      <c r="BG49" s="75">
        <v>3.7499999999999999E-2</v>
      </c>
      <c r="BH49" s="75">
        <v>8.2799999999999999E-2</v>
      </c>
      <c r="BI49" s="74">
        <f t="shared" si="6"/>
        <v>6.7654999999999993E-2</v>
      </c>
      <c r="BJ49" s="78"/>
      <c r="BK49" s="75"/>
      <c r="BL49" s="75"/>
      <c r="BM49" s="75">
        <v>0.05</v>
      </c>
      <c r="BN49" s="75">
        <v>5.2499999999999998E-2</v>
      </c>
      <c r="BO49" s="75">
        <v>6.25E-2</v>
      </c>
      <c r="BP49" s="75">
        <v>3.3750000000000002E-2</v>
      </c>
      <c r="BQ49" s="77">
        <v>7.8200000000000006E-2</v>
      </c>
      <c r="BR49" s="79">
        <f t="shared" si="7"/>
        <v>5.5390000000000009E-2</v>
      </c>
      <c r="BT49" s="281">
        <v>45170</v>
      </c>
      <c r="BU49" s="75">
        <v>2.6071428571428572E-2</v>
      </c>
      <c r="BV49" s="75">
        <v>2.1049999999999999E-2</v>
      </c>
      <c r="BW49" s="77">
        <v>2.1749999999999999E-2</v>
      </c>
    </row>
    <row r="50" spans="1:75" s="11" customFormat="1" x14ac:dyDescent="0.2">
      <c r="A50" s="281">
        <v>51564</v>
      </c>
      <c r="B50" s="75"/>
      <c r="C50" s="75"/>
      <c r="D50" s="75"/>
      <c r="E50" s="75">
        <v>4.8750000000000002E-2</v>
      </c>
      <c r="F50" s="77">
        <v>0.05</v>
      </c>
      <c r="G50" s="74">
        <f t="shared" si="8"/>
        <v>4.9375000000000002E-2</v>
      </c>
      <c r="H50" s="75"/>
      <c r="I50" s="75"/>
      <c r="J50" s="75"/>
      <c r="K50" s="75">
        <v>4.4999999999999998E-2</v>
      </c>
      <c r="L50" s="77">
        <v>4.1250000000000002E-2</v>
      </c>
      <c r="M50" s="74">
        <f t="shared" si="9"/>
        <v>4.3124999999999997E-2</v>
      </c>
      <c r="O50" s="281">
        <v>51516</v>
      </c>
      <c r="P50" s="78"/>
      <c r="Q50" s="75"/>
      <c r="R50" s="75"/>
      <c r="S50" s="75"/>
      <c r="T50" s="75"/>
      <c r="U50" s="75">
        <v>4.7500000000000001E-2</v>
      </c>
      <c r="V50" s="77">
        <v>5.7500000000000002E-2</v>
      </c>
      <c r="W50" s="74">
        <f t="shared" si="10"/>
        <v>5.2500000000000005E-2</v>
      </c>
      <c r="X50" s="78"/>
      <c r="Y50" s="75"/>
      <c r="Z50" s="75"/>
      <c r="AA50" s="75"/>
      <c r="AB50" s="75"/>
      <c r="AC50" s="75">
        <v>4.2500000000000003E-2</v>
      </c>
      <c r="AD50" s="77">
        <v>4.7500000000000001E-2</v>
      </c>
      <c r="AE50" s="74">
        <f t="shared" si="11"/>
        <v>4.4999999999999998E-2</v>
      </c>
      <c r="AG50" s="281">
        <v>51530</v>
      </c>
      <c r="AH50" s="78"/>
      <c r="AI50" s="75"/>
      <c r="AJ50" s="75"/>
      <c r="AK50" s="75">
        <v>4.8750000000000002E-2</v>
      </c>
      <c r="AL50" s="77">
        <v>0.05</v>
      </c>
      <c r="AM50" s="74">
        <f t="shared" si="12"/>
        <v>4.9375000000000002E-2</v>
      </c>
      <c r="AN50" s="78"/>
      <c r="AO50" s="75"/>
      <c r="AP50" s="75"/>
      <c r="AQ50" s="75">
        <v>4.4999999999999998E-2</v>
      </c>
      <c r="AR50" s="77">
        <v>4.2500000000000003E-2</v>
      </c>
      <c r="AS50" s="74">
        <f t="shared" si="13"/>
        <v>4.3749999999999997E-2</v>
      </c>
      <c r="AU50" s="281">
        <v>45214</v>
      </c>
      <c r="AV50" s="75"/>
      <c r="AW50" s="75"/>
      <c r="AX50" s="75"/>
      <c r="AY50" s="75">
        <v>7.4999999999999997E-2</v>
      </c>
      <c r="AZ50" s="75">
        <v>6.8750000000000006E-2</v>
      </c>
      <c r="BA50" s="75">
        <v>5.8749999999999997E-2</v>
      </c>
      <c r="BB50" s="75">
        <v>6.6250000000000003E-2</v>
      </c>
      <c r="BC50" s="75">
        <v>7.1249999999999994E-2</v>
      </c>
      <c r="BD50" s="75">
        <v>7.6249999999999998E-2</v>
      </c>
      <c r="BE50" s="75">
        <v>6.8750000000000006E-2</v>
      </c>
      <c r="BF50" s="75">
        <v>7.1249999999999994E-2</v>
      </c>
      <c r="BG50" s="75">
        <v>3.7499999999999999E-2</v>
      </c>
      <c r="BH50" s="75">
        <v>8.2799999999999999E-2</v>
      </c>
      <c r="BI50" s="74">
        <f t="shared" si="6"/>
        <v>6.7654999999999993E-2</v>
      </c>
      <c r="BJ50" s="78"/>
      <c r="BK50" s="75"/>
      <c r="BL50" s="75"/>
      <c r="BM50" s="75">
        <v>0.05</v>
      </c>
      <c r="BN50" s="75">
        <v>5.2499999999999998E-2</v>
      </c>
      <c r="BO50" s="75">
        <v>6.25E-2</v>
      </c>
      <c r="BP50" s="75">
        <v>3.3750000000000002E-2</v>
      </c>
      <c r="BQ50" s="77">
        <v>7.8200000000000006E-2</v>
      </c>
      <c r="BR50" s="79">
        <f t="shared" si="7"/>
        <v>5.5390000000000009E-2</v>
      </c>
      <c r="BT50" s="281">
        <v>45200</v>
      </c>
      <c r="BU50" s="75">
        <v>2.6071428571428572E-2</v>
      </c>
      <c r="BV50" s="75">
        <v>2.1049999999999999E-2</v>
      </c>
      <c r="BW50" s="77">
        <v>2.1749999999999999E-2</v>
      </c>
    </row>
    <row r="51" spans="1:75" s="11" customFormat="1" x14ac:dyDescent="0.2">
      <c r="A51" s="281">
        <v>51748</v>
      </c>
      <c r="B51" s="75"/>
      <c r="C51" s="75"/>
      <c r="D51" s="75"/>
      <c r="E51" s="75">
        <v>4.8750000000000002E-2</v>
      </c>
      <c r="F51" s="77">
        <v>0.05</v>
      </c>
      <c r="G51" s="74">
        <f t="shared" si="8"/>
        <v>4.9375000000000002E-2</v>
      </c>
      <c r="H51" s="75"/>
      <c r="I51" s="75"/>
      <c r="J51" s="75"/>
      <c r="K51" s="75">
        <v>4.4999999999999998E-2</v>
      </c>
      <c r="L51" s="77">
        <v>4.1250000000000002E-2</v>
      </c>
      <c r="M51" s="74">
        <f t="shared" si="9"/>
        <v>4.3124999999999997E-2</v>
      </c>
      <c r="O51" s="281">
        <v>51697</v>
      </c>
      <c r="P51" s="78"/>
      <c r="Q51" s="75"/>
      <c r="R51" s="75"/>
      <c r="S51" s="75"/>
      <c r="T51" s="75"/>
      <c r="U51" s="75">
        <v>4.7500000000000001E-2</v>
      </c>
      <c r="V51" s="77">
        <v>5.7500000000000002E-2</v>
      </c>
      <c r="W51" s="74">
        <f t="shared" si="10"/>
        <v>5.2500000000000005E-2</v>
      </c>
      <c r="X51" s="78"/>
      <c r="Y51" s="75"/>
      <c r="Z51" s="75"/>
      <c r="AA51" s="75"/>
      <c r="AB51" s="75"/>
      <c r="AC51" s="75">
        <v>4.2500000000000003E-2</v>
      </c>
      <c r="AD51" s="77">
        <v>4.7500000000000001E-2</v>
      </c>
      <c r="AE51" s="74">
        <f t="shared" si="11"/>
        <v>4.4999999999999998E-2</v>
      </c>
      <c r="AG51" s="281">
        <v>51711</v>
      </c>
      <c r="AH51" s="78"/>
      <c r="AI51" s="75"/>
      <c r="AJ51" s="75"/>
      <c r="AK51" s="75">
        <v>4.8750000000000002E-2</v>
      </c>
      <c r="AL51" s="77">
        <v>0.05</v>
      </c>
      <c r="AM51" s="74">
        <f t="shared" si="12"/>
        <v>4.9375000000000002E-2</v>
      </c>
      <c r="AN51" s="78"/>
      <c r="AO51" s="75"/>
      <c r="AP51" s="75"/>
      <c r="AQ51" s="75">
        <v>4.4999999999999998E-2</v>
      </c>
      <c r="AR51" s="77">
        <v>4.2500000000000003E-2</v>
      </c>
      <c r="AS51" s="74">
        <f t="shared" si="13"/>
        <v>4.3749999999999997E-2</v>
      </c>
      <c r="AU51" s="281">
        <v>45245</v>
      </c>
      <c r="AV51" s="75"/>
      <c r="AW51" s="75"/>
      <c r="AX51" s="75"/>
      <c r="AY51" s="75">
        <v>7.4999999999999997E-2</v>
      </c>
      <c r="AZ51" s="75">
        <v>6.8750000000000006E-2</v>
      </c>
      <c r="BA51" s="75">
        <v>5.8749999999999997E-2</v>
      </c>
      <c r="BB51" s="75">
        <v>6.6250000000000003E-2</v>
      </c>
      <c r="BC51" s="75">
        <v>7.1249999999999994E-2</v>
      </c>
      <c r="BD51" s="75">
        <v>7.6249999999999998E-2</v>
      </c>
      <c r="BE51" s="75">
        <v>6.8750000000000006E-2</v>
      </c>
      <c r="BF51" s="75">
        <v>7.1249999999999994E-2</v>
      </c>
      <c r="BG51" s="75">
        <v>3.7499999999999999E-2</v>
      </c>
      <c r="BH51" s="75">
        <v>8.2799999999999999E-2</v>
      </c>
      <c r="BI51" s="74">
        <f t="shared" si="6"/>
        <v>6.7654999999999993E-2</v>
      </c>
      <c r="BJ51" s="78"/>
      <c r="BK51" s="75"/>
      <c r="BL51" s="75"/>
      <c r="BM51" s="75">
        <v>0.05</v>
      </c>
      <c r="BN51" s="75">
        <v>5.2499999999999998E-2</v>
      </c>
      <c r="BO51" s="75">
        <v>6.25E-2</v>
      </c>
      <c r="BP51" s="75">
        <v>3.3750000000000002E-2</v>
      </c>
      <c r="BQ51" s="77">
        <v>7.8200000000000006E-2</v>
      </c>
      <c r="BR51" s="79">
        <f t="shared" si="7"/>
        <v>5.5390000000000009E-2</v>
      </c>
      <c r="BT51" s="281">
        <v>45231</v>
      </c>
      <c r="BU51" s="75">
        <v>2.6071428571428572E-2</v>
      </c>
      <c r="BV51" s="75">
        <v>2.1049999999999999E-2</v>
      </c>
      <c r="BW51" s="77">
        <v>2.1749999999999999E-2</v>
      </c>
    </row>
    <row r="52" spans="1:75" s="11" customFormat="1" x14ac:dyDescent="0.2">
      <c r="A52" s="281">
        <v>51929</v>
      </c>
      <c r="B52" s="75"/>
      <c r="C52" s="75"/>
      <c r="D52" s="75"/>
      <c r="E52" s="75"/>
      <c r="F52" s="77">
        <v>0.05</v>
      </c>
      <c r="G52" s="74">
        <f t="shared" si="8"/>
        <v>0.05</v>
      </c>
      <c r="H52" s="75"/>
      <c r="I52" s="75"/>
      <c r="J52" s="75"/>
      <c r="K52" s="75"/>
      <c r="L52" s="77">
        <v>4.1250000000000002E-2</v>
      </c>
      <c r="M52" s="74">
        <f t="shared" si="9"/>
        <v>4.1250000000000002E-2</v>
      </c>
      <c r="O52" s="281">
        <v>51881</v>
      </c>
      <c r="P52" s="78"/>
      <c r="Q52" s="75"/>
      <c r="R52" s="75"/>
      <c r="S52" s="75"/>
      <c r="T52" s="75"/>
      <c r="U52" s="75"/>
      <c r="V52" s="77">
        <v>5.7500000000000002E-2</v>
      </c>
      <c r="W52" s="74">
        <f t="shared" si="10"/>
        <v>5.7500000000000002E-2</v>
      </c>
      <c r="X52" s="78"/>
      <c r="Y52" s="75"/>
      <c r="Z52" s="75"/>
      <c r="AA52" s="75"/>
      <c r="AB52" s="75"/>
      <c r="AC52" s="75"/>
      <c r="AD52" s="77">
        <v>4.7500000000000001E-2</v>
      </c>
      <c r="AE52" s="74">
        <f t="shared" si="11"/>
        <v>4.7500000000000001E-2</v>
      </c>
      <c r="AG52" s="281">
        <v>51895</v>
      </c>
      <c r="AH52" s="78"/>
      <c r="AI52" s="75"/>
      <c r="AJ52" s="75"/>
      <c r="AK52" s="75"/>
      <c r="AL52" s="77">
        <v>0.05</v>
      </c>
      <c r="AM52" s="74">
        <f t="shared" si="12"/>
        <v>0.05</v>
      </c>
      <c r="AN52" s="78"/>
      <c r="AO52" s="75"/>
      <c r="AP52" s="75"/>
      <c r="AQ52" s="75"/>
      <c r="AR52" s="77">
        <v>4.2500000000000003E-2</v>
      </c>
      <c r="AS52" s="74">
        <f t="shared" si="13"/>
        <v>4.2500000000000003E-2</v>
      </c>
      <c r="AU52" s="281">
        <v>45275</v>
      </c>
      <c r="AV52" s="75"/>
      <c r="AW52" s="75"/>
      <c r="AX52" s="75"/>
      <c r="AY52" s="75">
        <v>7.4999999999999997E-2</v>
      </c>
      <c r="AZ52" s="75">
        <v>6.8750000000000006E-2</v>
      </c>
      <c r="BA52" s="75">
        <v>5.8749999999999997E-2</v>
      </c>
      <c r="BB52" s="75">
        <v>6.6250000000000003E-2</v>
      </c>
      <c r="BC52" s="75">
        <v>7.1249999999999994E-2</v>
      </c>
      <c r="BD52" s="75">
        <v>7.6249999999999998E-2</v>
      </c>
      <c r="BE52" s="75">
        <v>6.8750000000000006E-2</v>
      </c>
      <c r="BF52" s="75">
        <v>7.1249999999999994E-2</v>
      </c>
      <c r="BG52" s="75">
        <v>3.7499999999999999E-2</v>
      </c>
      <c r="BH52" s="75">
        <v>8.2799999999999999E-2</v>
      </c>
      <c r="BI52" s="74">
        <f t="shared" si="6"/>
        <v>6.7654999999999993E-2</v>
      </c>
      <c r="BJ52" s="78"/>
      <c r="BK52" s="75"/>
      <c r="BL52" s="75"/>
      <c r="BM52" s="75">
        <v>0.05</v>
      </c>
      <c r="BN52" s="75">
        <v>5.2499999999999998E-2</v>
      </c>
      <c r="BO52" s="75">
        <v>6.25E-2</v>
      </c>
      <c r="BP52" s="75">
        <v>3.3750000000000002E-2</v>
      </c>
      <c r="BQ52" s="77">
        <v>7.8200000000000006E-2</v>
      </c>
      <c r="BR52" s="79">
        <f t="shared" si="7"/>
        <v>5.5390000000000009E-2</v>
      </c>
      <c r="BT52" s="281">
        <v>45261</v>
      </c>
      <c r="BU52" s="75">
        <v>2.6071428571428572E-2</v>
      </c>
      <c r="BV52" s="75">
        <v>2.1049999999999999E-2</v>
      </c>
      <c r="BW52" s="77">
        <v>2.1749999999999999E-2</v>
      </c>
    </row>
    <row r="53" spans="1:75" s="11" customFormat="1" x14ac:dyDescent="0.2">
      <c r="A53" s="281">
        <v>52113</v>
      </c>
      <c r="B53" s="75"/>
      <c r="C53" s="75"/>
      <c r="D53" s="75"/>
      <c r="E53" s="75"/>
      <c r="F53" s="77">
        <v>0.05</v>
      </c>
      <c r="G53" s="74">
        <f t="shared" si="8"/>
        <v>0.05</v>
      </c>
      <c r="H53" s="75"/>
      <c r="I53" s="75"/>
      <c r="J53" s="75"/>
      <c r="K53" s="75"/>
      <c r="L53" s="77">
        <v>4.1250000000000002E-2</v>
      </c>
      <c r="M53" s="74">
        <f t="shared" si="9"/>
        <v>4.1250000000000002E-2</v>
      </c>
      <c r="O53" s="281">
        <v>52062</v>
      </c>
      <c r="P53" s="78"/>
      <c r="Q53" s="75"/>
      <c r="R53" s="75"/>
      <c r="S53" s="75"/>
      <c r="T53" s="75"/>
      <c r="U53" s="75"/>
      <c r="V53" s="77">
        <v>5.7500000000000002E-2</v>
      </c>
      <c r="W53" s="74">
        <f t="shared" si="10"/>
        <v>5.7500000000000002E-2</v>
      </c>
      <c r="X53" s="78"/>
      <c r="Y53" s="75"/>
      <c r="Z53" s="75"/>
      <c r="AA53" s="75"/>
      <c r="AB53" s="75"/>
      <c r="AC53" s="75"/>
      <c r="AD53" s="77">
        <v>4.7500000000000001E-2</v>
      </c>
      <c r="AE53" s="74">
        <f t="shared" si="11"/>
        <v>4.7500000000000001E-2</v>
      </c>
      <c r="AG53" s="281">
        <v>52076</v>
      </c>
      <c r="AH53" s="78"/>
      <c r="AI53" s="75"/>
      <c r="AJ53" s="75"/>
      <c r="AK53" s="75"/>
      <c r="AL53" s="77">
        <v>0.05</v>
      </c>
      <c r="AM53" s="74">
        <f t="shared" si="12"/>
        <v>0.05</v>
      </c>
      <c r="AN53" s="78"/>
      <c r="AO53" s="75"/>
      <c r="AP53" s="75"/>
      <c r="AQ53" s="75"/>
      <c r="AR53" s="77">
        <v>4.2500000000000003E-2</v>
      </c>
      <c r="AS53" s="74">
        <f t="shared" si="13"/>
        <v>4.2500000000000003E-2</v>
      </c>
      <c r="AU53" s="281">
        <v>45306</v>
      </c>
      <c r="AV53" s="75"/>
      <c r="AW53" s="75"/>
      <c r="AX53" s="75"/>
      <c r="AY53" s="75">
        <v>7.4999999999999997E-2</v>
      </c>
      <c r="AZ53" s="75">
        <v>6.8750000000000006E-2</v>
      </c>
      <c r="BA53" s="75">
        <v>5.8749999999999997E-2</v>
      </c>
      <c r="BB53" s="75">
        <v>6.6250000000000003E-2</v>
      </c>
      <c r="BC53" s="75">
        <v>7.1249999999999994E-2</v>
      </c>
      <c r="BD53" s="75">
        <v>7.6249999999999998E-2</v>
      </c>
      <c r="BE53" s="75">
        <v>6.8750000000000006E-2</v>
      </c>
      <c r="BF53" s="75">
        <v>7.1249999999999994E-2</v>
      </c>
      <c r="BG53" s="75">
        <v>3.7499999999999999E-2</v>
      </c>
      <c r="BH53" s="75">
        <v>8.2799999999999999E-2</v>
      </c>
      <c r="BI53" s="74">
        <f t="shared" si="6"/>
        <v>6.7654999999999993E-2</v>
      </c>
      <c r="BJ53" s="78"/>
      <c r="BK53" s="75"/>
      <c r="BL53" s="75"/>
      <c r="BM53" s="75">
        <v>0.05</v>
      </c>
      <c r="BN53" s="75">
        <v>5.2499999999999998E-2</v>
      </c>
      <c r="BO53" s="75">
        <v>6.25E-2</v>
      </c>
      <c r="BP53" s="75">
        <v>3.3750000000000002E-2</v>
      </c>
      <c r="BQ53" s="77">
        <v>7.8200000000000006E-2</v>
      </c>
      <c r="BR53" s="79">
        <f t="shared" si="7"/>
        <v>5.5390000000000009E-2</v>
      </c>
      <c r="BT53" s="281">
        <v>45292</v>
      </c>
      <c r="BU53" s="75">
        <v>3.0714285714285718E-2</v>
      </c>
      <c r="BV53" s="75">
        <v>3.2750000000000001E-2</v>
      </c>
      <c r="BW53" s="77">
        <v>2.1749999999999999E-2</v>
      </c>
    </row>
    <row r="54" spans="1:75" s="11" customFormat="1" x14ac:dyDescent="0.2">
      <c r="A54" s="281">
        <v>52294</v>
      </c>
      <c r="B54" s="75"/>
      <c r="C54" s="75"/>
      <c r="D54" s="75"/>
      <c r="E54" s="75"/>
      <c r="F54" s="77">
        <v>0.05</v>
      </c>
      <c r="G54" s="74">
        <f t="shared" si="8"/>
        <v>0.05</v>
      </c>
      <c r="H54" s="75"/>
      <c r="I54" s="75"/>
      <c r="J54" s="75"/>
      <c r="K54" s="75"/>
      <c r="L54" s="77">
        <v>4.1250000000000002E-2</v>
      </c>
      <c r="M54" s="74">
        <f t="shared" si="9"/>
        <v>4.1250000000000002E-2</v>
      </c>
      <c r="O54" s="281">
        <v>52246</v>
      </c>
      <c r="P54" s="78"/>
      <c r="Q54" s="75"/>
      <c r="R54" s="75"/>
      <c r="S54" s="75"/>
      <c r="T54" s="75"/>
      <c r="U54" s="75"/>
      <c r="V54" s="77">
        <v>5.7500000000000002E-2</v>
      </c>
      <c r="W54" s="74">
        <f t="shared" si="10"/>
        <v>5.7500000000000002E-2</v>
      </c>
      <c r="X54" s="78"/>
      <c r="Y54" s="75"/>
      <c r="Z54" s="75"/>
      <c r="AA54" s="75"/>
      <c r="AB54" s="75"/>
      <c r="AC54" s="75"/>
      <c r="AD54" s="77">
        <v>4.7500000000000001E-2</v>
      </c>
      <c r="AE54" s="74">
        <f t="shared" si="11"/>
        <v>4.7500000000000001E-2</v>
      </c>
      <c r="AG54" s="281">
        <v>52260</v>
      </c>
      <c r="AH54" s="78"/>
      <c r="AI54" s="75"/>
      <c r="AJ54" s="75"/>
      <c r="AK54" s="75"/>
      <c r="AL54" s="77">
        <v>0.05</v>
      </c>
      <c r="AM54" s="74">
        <f t="shared" si="12"/>
        <v>0.05</v>
      </c>
      <c r="AN54" s="78"/>
      <c r="AO54" s="75"/>
      <c r="AP54" s="75"/>
      <c r="AQ54" s="75"/>
      <c r="AR54" s="77">
        <v>4.2500000000000003E-2</v>
      </c>
      <c r="AS54" s="74">
        <f t="shared" si="13"/>
        <v>4.2500000000000003E-2</v>
      </c>
      <c r="AU54" s="281">
        <v>45337</v>
      </c>
      <c r="AV54" s="75"/>
      <c r="AW54" s="75"/>
      <c r="AX54" s="75"/>
      <c r="AY54" s="75">
        <v>7.4999999999999997E-2</v>
      </c>
      <c r="AZ54" s="75">
        <v>6.8750000000000006E-2</v>
      </c>
      <c r="BA54" s="75">
        <v>5.8749999999999997E-2</v>
      </c>
      <c r="BB54" s="75">
        <v>6.6250000000000003E-2</v>
      </c>
      <c r="BC54" s="75">
        <v>7.1249999999999994E-2</v>
      </c>
      <c r="BD54" s="75">
        <v>7.6249999999999998E-2</v>
      </c>
      <c r="BE54" s="75">
        <v>6.8750000000000006E-2</v>
      </c>
      <c r="BF54" s="75">
        <v>7.1249999999999994E-2</v>
      </c>
      <c r="BG54" s="75">
        <v>3.7499999999999999E-2</v>
      </c>
      <c r="BH54" s="75">
        <v>8.2799999999999999E-2</v>
      </c>
      <c r="BI54" s="74">
        <f t="shared" si="6"/>
        <v>6.7654999999999993E-2</v>
      </c>
      <c r="BJ54" s="78"/>
      <c r="BK54" s="75"/>
      <c r="BL54" s="75"/>
      <c r="BM54" s="75">
        <v>0.05</v>
      </c>
      <c r="BN54" s="75">
        <v>5.2499999999999998E-2</v>
      </c>
      <c r="BO54" s="75">
        <v>6.25E-2</v>
      </c>
      <c r="BP54" s="75">
        <v>3.3750000000000002E-2</v>
      </c>
      <c r="BQ54" s="77">
        <v>7.8200000000000006E-2</v>
      </c>
      <c r="BR54" s="79">
        <f t="shared" si="7"/>
        <v>5.5390000000000009E-2</v>
      </c>
      <c r="BT54" s="281">
        <v>45323</v>
      </c>
      <c r="BU54" s="75">
        <v>3.0714285714285718E-2</v>
      </c>
      <c r="BV54" s="75">
        <v>3.2750000000000001E-2</v>
      </c>
      <c r="BW54" s="77">
        <v>2.1749999999999999E-2</v>
      </c>
    </row>
    <row r="55" spans="1:75" s="11" customFormat="1" x14ac:dyDescent="0.2">
      <c r="A55" s="281">
        <v>52478</v>
      </c>
      <c r="B55" s="75"/>
      <c r="C55" s="75"/>
      <c r="D55" s="75"/>
      <c r="E55" s="75"/>
      <c r="F55" s="77">
        <v>0.05</v>
      </c>
      <c r="G55" s="74">
        <f t="shared" si="8"/>
        <v>0.05</v>
      </c>
      <c r="H55" s="75"/>
      <c r="I55" s="75"/>
      <c r="J55" s="75"/>
      <c r="K55" s="75"/>
      <c r="L55" s="77">
        <v>4.1250000000000002E-2</v>
      </c>
      <c r="M55" s="74">
        <f t="shared" si="9"/>
        <v>4.1250000000000002E-2</v>
      </c>
      <c r="O55" s="281">
        <v>52427</v>
      </c>
      <c r="P55" s="78"/>
      <c r="Q55" s="75"/>
      <c r="R55" s="75"/>
      <c r="S55" s="75"/>
      <c r="T55" s="75"/>
      <c r="U55" s="75"/>
      <c r="V55" s="77">
        <v>5.7500000000000002E-2</v>
      </c>
      <c r="W55" s="74">
        <f t="shared" si="10"/>
        <v>5.7500000000000002E-2</v>
      </c>
      <c r="X55" s="78"/>
      <c r="Y55" s="75"/>
      <c r="Z55" s="75"/>
      <c r="AA55" s="75"/>
      <c r="AB55" s="75"/>
      <c r="AC55" s="75"/>
      <c r="AD55" s="77">
        <v>4.7500000000000001E-2</v>
      </c>
      <c r="AE55" s="74">
        <f t="shared" si="11"/>
        <v>4.7500000000000001E-2</v>
      </c>
      <c r="AG55" s="281">
        <v>52441</v>
      </c>
      <c r="AH55" s="78"/>
      <c r="AI55" s="75"/>
      <c r="AJ55" s="75"/>
      <c r="AK55" s="75"/>
      <c r="AL55" s="77">
        <v>0.05</v>
      </c>
      <c r="AM55" s="74">
        <f t="shared" si="12"/>
        <v>0.05</v>
      </c>
      <c r="AN55" s="78"/>
      <c r="AO55" s="75"/>
      <c r="AP55" s="75"/>
      <c r="AQ55" s="75"/>
      <c r="AR55" s="77">
        <v>4.2500000000000003E-2</v>
      </c>
      <c r="AS55" s="74">
        <f t="shared" si="13"/>
        <v>4.2500000000000003E-2</v>
      </c>
      <c r="AU55" s="281">
        <v>45366</v>
      </c>
      <c r="AV55" s="75"/>
      <c r="AW55" s="75"/>
      <c r="AX55" s="75"/>
      <c r="AY55" s="75">
        <v>7.4999999999999997E-2</v>
      </c>
      <c r="AZ55" s="75">
        <v>6.8750000000000006E-2</v>
      </c>
      <c r="BA55" s="75">
        <v>5.8749999999999997E-2</v>
      </c>
      <c r="BB55" s="75">
        <v>6.6250000000000003E-2</v>
      </c>
      <c r="BC55" s="75">
        <v>7.1249999999999994E-2</v>
      </c>
      <c r="BD55" s="75">
        <v>7.6249999999999998E-2</v>
      </c>
      <c r="BE55" s="75">
        <v>6.8750000000000006E-2</v>
      </c>
      <c r="BF55" s="75">
        <v>7.1249999999999994E-2</v>
      </c>
      <c r="BG55" s="75">
        <v>3.7499999999999999E-2</v>
      </c>
      <c r="BH55" s="75">
        <v>8.2799999999999999E-2</v>
      </c>
      <c r="BI55" s="74">
        <f t="shared" si="6"/>
        <v>6.7654999999999993E-2</v>
      </c>
      <c r="BJ55" s="78"/>
      <c r="BK55" s="75"/>
      <c r="BL55" s="75"/>
      <c r="BM55" s="75">
        <v>0.05</v>
      </c>
      <c r="BN55" s="75">
        <v>5.2499999999999998E-2</v>
      </c>
      <c r="BO55" s="75">
        <v>6.25E-2</v>
      </c>
      <c r="BP55" s="75">
        <v>3.3750000000000002E-2</v>
      </c>
      <c r="BQ55" s="77">
        <v>7.8200000000000006E-2</v>
      </c>
      <c r="BR55" s="79">
        <f t="shared" si="7"/>
        <v>5.5390000000000009E-2</v>
      </c>
      <c r="BT55" s="281">
        <v>45352</v>
      </c>
      <c r="BU55" s="75">
        <v>3.0714285714285718E-2</v>
      </c>
      <c r="BV55" s="75">
        <v>3.2750000000000001E-2</v>
      </c>
      <c r="BW55" s="77">
        <v>3.15E-2</v>
      </c>
    </row>
    <row r="56" spans="1:75" s="11" customFormat="1" x14ac:dyDescent="0.2">
      <c r="A56" s="281">
        <v>52660</v>
      </c>
      <c r="B56" s="75"/>
      <c r="C56" s="75"/>
      <c r="D56" s="75"/>
      <c r="E56" s="75"/>
      <c r="F56" s="77">
        <v>0.05</v>
      </c>
      <c r="G56" s="74">
        <f t="shared" si="8"/>
        <v>0.05</v>
      </c>
      <c r="H56" s="75"/>
      <c r="I56" s="75"/>
      <c r="J56" s="75"/>
      <c r="K56" s="75"/>
      <c r="L56" s="77">
        <v>4.1250000000000002E-2</v>
      </c>
      <c r="M56" s="74">
        <f t="shared" si="9"/>
        <v>4.1250000000000002E-2</v>
      </c>
      <c r="O56" s="281">
        <v>52611</v>
      </c>
      <c r="P56" s="78"/>
      <c r="Q56" s="75"/>
      <c r="R56" s="75"/>
      <c r="S56" s="75"/>
      <c r="T56" s="75"/>
      <c r="U56" s="75"/>
      <c r="V56" s="77">
        <v>5.7500000000000002E-2</v>
      </c>
      <c r="W56" s="74">
        <f t="shared" si="10"/>
        <v>5.7500000000000002E-2</v>
      </c>
      <c r="X56" s="78"/>
      <c r="Y56" s="75"/>
      <c r="Z56" s="75"/>
      <c r="AA56" s="75"/>
      <c r="AB56" s="75"/>
      <c r="AC56" s="75"/>
      <c r="AD56" s="77">
        <v>4.7500000000000001E-2</v>
      </c>
      <c r="AE56" s="74">
        <f t="shared" si="11"/>
        <v>4.7500000000000001E-2</v>
      </c>
      <c r="AG56" s="281">
        <v>52625</v>
      </c>
      <c r="AH56" s="78"/>
      <c r="AI56" s="75"/>
      <c r="AJ56" s="75"/>
      <c r="AK56" s="75"/>
      <c r="AL56" s="77">
        <v>0.05</v>
      </c>
      <c r="AM56" s="74">
        <f t="shared" si="12"/>
        <v>0.05</v>
      </c>
      <c r="AN56" s="78"/>
      <c r="AO56" s="75"/>
      <c r="AP56" s="75"/>
      <c r="AQ56" s="75"/>
      <c r="AR56" s="77">
        <v>4.2500000000000003E-2</v>
      </c>
      <c r="AS56" s="74">
        <f t="shared" si="13"/>
        <v>4.2500000000000003E-2</v>
      </c>
      <c r="AU56" s="281">
        <v>45397</v>
      </c>
      <c r="AV56" s="75"/>
      <c r="AW56" s="75"/>
      <c r="AX56" s="75"/>
      <c r="AY56" s="75">
        <v>7.4999999999999997E-2</v>
      </c>
      <c r="AZ56" s="75">
        <v>6.8750000000000006E-2</v>
      </c>
      <c r="BA56" s="75">
        <v>5.8749999999999997E-2</v>
      </c>
      <c r="BB56" s="75">
        <v>6.6250000000000003E-2</v>
      </c>
      <c r="BC56" s="75">
        <v>7.1249999999999994E-2</v>
      </c>
      <c r="BD56" s="75">
        <v>7.6249999999999998E-2</v>
      </c>
      <c r="BE56" s="75">
        <v>6.8750000000000006E-2</v>
      </c>
      <c r="BF56" s="75">
        <v>7.1249999999999994E-2</v>
      </c>
      <c r="BG56" s="75">
        <v>3.7499999999999999E-2</v>
      </c>
      <c r="BH56" s="75">
        <v>8.2799999999999999E-2</v>
      </c>
      <c r="BI56" s="74">
        <f t="shared" si="6"/>
        <v>6.7654999999999993E-2</v>
      </c>
      <c r="BJ56" s="78"/>
      <c r="BK56" s="75"/>
      <c r="BL56" s="75"/>
      <c r="BM56" s="75">
        <v>0.05</v>
      </c>
      <c r="BN56" s="75">
        <v>5.2499999999999998E-2</v>
      </c>
      <c r="BO56" s="75">
        <v>6.25E-2</v>
      </c>
      <c r="BP56" s="75">
        <v>3.3750000000000002E-2</v>
      </c>
      <c r="BQ56" s="77">
        <v>7.8200000000000006E-2</v>
      </c>
      <c r="BR56" s="79">
        <f t="shared" si="7"/>
        <v>5.5390000000000009E-2</v>
      </c>
      <c r="BT56" s="281">
        <v>45383</v>
      </c>
      <c r="BU56" s="75">
        <v>3.0714285714285718E-2</v>
      </c>
      <c r="BV56" s="75">
        <v>3.2750000000000001E-2</v>
      </c>
      <c r="BW56" s="77">
        <v>3.15E-2</v>
      </c>
    </row>
    <row r="57" spans="1:75" s="11" customFormat="1" x14ac:dyDescent="0.2">
      <c r="A57" s="281">
        <v>52844</v>
      </c>
      <c r="B57" s="75"/>
      <c r="C57" s="75"/>
      <c r="D57" s="75"/>
      <c r="E57" s="75"/>
      <c r="F57" s="77">
        <v>0.05</v>
      </c>
      <c r="G57" s="74">
        <f t="shared" si="8"/>
        <v>0.05</v>
      </c>
      <c r="H57" s="75"/>
      <c r="I57" s="75"/>
      <c r="J57" s="75"/>
      <c r="K57" s="75"/>
      <c r="L57" s="77">
        <v>4.1250000000000002E-2</v>
      </c>
      <c r="M57" s="74">
        <f t="shared" si="9"/>
        <v>4.1250000000000002E-2</v>
      </c>
      <c r="O57" s="281">
        <v>52793</v>
      </c>
      <c r="P57" s="78"/>
      <c r="Q57" s="75"/>
      <c r="R57" s="75"/>
      <c r="S57" s="75"/>
      <c r="T57" s="75"/>
      <c r="U57" s="75"/>
      <c r="V57" s="77">
        <v>5.7500000000000002E-2</v>
      </c>
      <c r="W57" s="74">
        <f t="shared" si="10"/>
        <v>5.7500000000000002E-2</v>
      </c>
      <c r="X57" s="78"/>
      <c r="Y57" s="75"/>
      <c r="Z57" s="75"/>
      <c r="AA57" s="75"/>
      <c r="AB57" s="75"/>
      <c r="AC57" s="75"/>
      <c r="AD57" s="77">
        <v>4.7500000000000001E-2</v>
      </c>
      <c r="AE57" s="74">
        <f t="shared" si="11"/>
        <v>4.7500000000000001E-2</v>
      </c>
      <c r="AG57" s="281">
        <v>52807</v>
      </c>
      <c r="AH57" s="78"/>
      <c r="AI57" s="75"/>
      <c r="AJ57" s="75"/>
      <c r="AK57" s="75"/>
      <c r="AL57" s="77">
        <v>0.05</v>
      </c>
      <c r="AM57" s="74">
        <f t="shared" si="12"/>
        <v>0.05</v>
      </c>
      <c r="AN57" s="78"/>
      <c r="AO57" s="75"/>
      <c r="AP57" s="75"/>
      <c r="AQ57" s="75"/>
      <c r="AR57" s="77">
        <v>4.2500000000000003E-2</v>
      </c>
      <c r="AS57" s="74">
        <f t="shared" si="13"/>
        <v>4.2500000000000003E-2</v>
      </c>
      <c r="AU57" s="281">
        <v>45427</v>
      </c>
      <c r="AV57" s="75"/>
      <c r="AW57" s="75"/>
      <c r="AX57" s="75"/>
      <c r="AY57" s="75">
        <v>7.4999999999999997E-2</v>
      </c>
      <c r="AZ57" s="75">
        <v>6.8750000000000006E-2</v>
      </c>
      <c r="BA57" s="75">
        <v>5.8749999999999997E-2</v>
      </c>
      <c r="BB57" s="75">
        <v>6.6250000000000003E-2</v>
      </c>
      <c r="BC57" s="75">
        <v>7.1249999999999994E-2</v>
      </c>
      <c r="BD57" s="75">
        <v>7.6249999999999998E-2</v>
      </c>
      <c r="BE57" s="75">
        <v>6.8750000000000006E-2</v>
      </c>
      <c r="BF57" s="75">
        <v>7.1249999999999994E-2</v>
      </c>
      <c r="BG57" s="75">
        <v>3.7499999999999999E-2</v>
      </c>
      <c r="BH57" s="75">
        <v>8.2799999999999999E-2</v>
      </c>
      <c r="BI57" s="74">
        <f t="shared" si="6"/>
        <v>6.7654999999999993E-2</v>
      </c>
      <c r="BJ57" s="78"/>
      <c r="BK57" s="75"/>
      <c r="BL57" s="75"/>
      <c r="BM57" s="75">
        <v>0.05</v>
      </c>
      <c r="BN57" s="75">
        <v>5.2499999999999998E-2</v>
      </c>
      <c r="BO57" s="75">
        <v>6.25E-2</v>
      </c>
      <c r="BP57" s="75">
        <v>3.3750000000000002E-2</v>
      </c>
      <c r="BQ57" s="77">
        <v>7.8200000000000006E-2</v>
      </c>
      <c r="BR57" s="79">
        <f t="shared" si="7"/>
        <v>5.5390000000000009E-2</v>
      </c>
      <c r="BT57" s="281">
        <v>45413</v>
      </c>
      <c r="BU57" s="75">
        <v>3.0714285714285718E-2</v>
      </c>
      <c r="BV57" s="75">
        <v>3.2750000000000001E-2</v>
      </c>
      <c r="BW57" s="77">
        <v>3.15E-2</v>
      </c>
    </row>
    <row r="58" spans="1:75" s="11" customFormat="1" x14ac:dyDescent="0.2">
      <c r="A58" s="281">
        <v>53025</v>
      </c>
      <c r="B58" s="75"/>
      <c r="C58" s="75"/>
      <c r="D58" s="75"/>
      <c r="E58" s="75"/>
      <c r="F58" s="77">
        <v>0.05</v>
      </c>
      <c r="G58" s="74">
        <f t="shared" si="8"/>
        <v>0.05</v>
      </c>
      <c r="H58" s="75"/>
      <c r="I58" s="75"/>
      <c r="J58" s="75"/>
      <c r="K58" s="75"/>
      <c r="L58" s="77">
        <v>4.1250000000000002E-2</v>
      </c>
      <c r="M58" s="74">
        <f t="shared" si="9"/>
        <v>4.1250000000000002E-2</v>
      </c>
      <c r="O58" s="281">
        <v>52977</v>
      </c>
      <c r="P58" s="78"/>
      <c r="Q58" s="75"/>
      <c r="R58" s="75"/>
      <c r="S58" s="75"/>
      <c r="T58" s="75"/>
      <c r="U58" s="75"/>
      <c r="V58" s="77">
        <v>5.7500000000000002E-2</v>
      </c>
      <c r="W58" s="74">
        <f t="shared" si="10"/>
        <v>5.7500000000000002E-2</v>
      </c>
      <c r="X58" s="78"/>
      <c r="Y58" s="75"/>
      <c r="Z58" s="75"/>
      <c r="AA58" s="75"/>
      <c r="AB58" s="75"/>
      <c r="AC58" s="75"/>
      <c r="AD58" s="77">
        <v>4.7500000000000001E-2</v>
      </c>
      <c r="AE58" s="74">
        <f t="shared" si="11"/>
        <v>4.7500000000000001E-2</v>
      </c>
      <c r="AG58" s="281">
        <v>52991</v>
      </c>
      <c r="AH58" s="78"/>
      <c r="AI58" s="75"/>
      <c r="AJ58" s="75"/>
      <c r="AK58" s="75"/>
      <c r="AL58" s="77">
        <v>0.05</v>
      </c>
      <c r="AM58" s="74">
        <f t="shared" si="12"/>
        <v>0.05</v>
      </c>
      <c r="AN58" s="78"/>
      <c r="AO58" s="75"/>
      <c r="AP58" s="75"/>
      <c r="AQ58" s="75"/>
      <c r="AR58" s="77">
        <v>4.2500000000000003E-2</v>
      </c>
      <c r="AS58" s="74">
        <f t="shared" si="13"/>
        <v>4.2500000000000003E-2</v>
      </c>
      <c r="AU58" s="281">
        <v>45458</v>
      </c>
      <c r="AV58" s="75"/>
      <c r="AW58" s="75"/>
      <c r="AX58" s="75"/>
      <c r="AY58" s="75">
        <v>7.4999999999999997E-2</v>
      </c>
      <c r="AZ58" s="75">
        <v>6.8750000000000006E-2</v>
      </c>
      <c r="BA58" s="75">
        <v>5.8749999999999997E-2</v>
      </c>
      <c r="BB58" s="75">
        <v>6.6250000000000003E-2</v>
      </c>
      <c r="BC58" s="75">
        <v>7.1249999999999994E-2</v>
      </c>
      <c r="BD58" s="75">
        <v>7.6249999999999998E-2</v>
      </c>
      <c r="BE58" s="75">
        <v>6.8750000000000006E-2</v>
      </c>
      <c r="BF58" s="75">
        <v>7.1249999999999994E-2</v>
      </c>
      <c r="BG58" s="75">
        <v>3.7499999999999999E-2</v>
      </c>
      <c r="BH58" s="75">
        <v>8.2799999999999999E-2</v>
      </c>
      <c r="BI58" s="74">
        <f t="shared" si="6"/>
        <v>6.7654999999999993E-2</v>
      </c>
      <c r="BJ58" s="78"/>
      <c r="BK58" s="75"/>
      <c r="BL58" s="75"/>
      <c r="BM58" s="75">
        <v>0.05</v>
      </c>
      <c r="BN58" s="75">
        <v>5.2499999999999998E-2</v>
      </c>
      <c r="BO58" s="75">
        <v>6.25E-2</v>
      </c>
      <c r="BP58" s="75">
        <v>3.3750000000000002E-2</v>
      </c>
      <c r="BQ58" s="77">
        <v>7.8200000000000006E-2</v>
      </c>
      <c r="BR58" s="79">
        <f t="shared" si="7"/>
        <v>5.5390000000000009E-2</v>
      </c>
      <c r="BT58" s="281">
        <v>45444</v>
      </c>
      <c r="BU58" s="75">
        <v>3.0714285714285718E-2</v>
      </c>
      <c r="BV58" s="75">
        <v>3.2750000000000001E-2</v>
      </c>
      <c r="BW58" s="77">
        <v>3.15E-2</v>
      </c>
    </row>
    <row r="59" spans="1:75" s="11" customFormat="1" x14ac:dyDescent="0.2">
      <c r="A59" s="281">
        <v>53209</v>
      </c>
      <c r="B59" s="75"/>
      <c r="C59" s="75"/>
      <c r="D59" s="75"/>
      <c r="E59" s="75"/>
      <c r="F59" s="77">
        <v>0.05</v>
      </c>
      <c r="G59" s="74">
        <f t="shared" si="8"/>
        <v>0.05</v>
      </c>
      <c r="H59" s="75"/>
      <c r="I59" s="75"/>
      <c r="J59" s="75"/>
      <c r="K59" s="75"/>
      <c r="L59" s="77">
        <v>4.1250000000000002E-2</v>
      </c>
      <c r="M59" s="74">
        <f t="shared" si="9"/>
        <v>4.1250000000000002E-2</v>
      </c>
      <c r="O59" s="283">
        <v>53158</v>
      </c>
      <c r="P59" s="287"/>
      <c r="Q59" s="286"/>
      <c r="R59" s="286"/>
      <c r="S59" s="286"/>
      <c r="T59" s="286"/>
      <c r="U59" s="286"/>
      <c r="V59" s="285">
        <v>5.7500000000000002E-2</v>
      </c>
      <c r="W59" s="284">
        <f t="shared" si="10"/>
        <v>5.7500000000000002E-2</v>
      </c>
      <c r="X59" s="287"/>
      <c r="Y59" s="286"/>
      <c r="Z59" s="286"/>
      <c r="AA59" s="286"/>
      <c r="AB59" s="286"/>
      <c r="AC59" s="286"/>
      <c r="AD59" s="285">
        <v>4.7500000000000001E-2</v>
      </c>
      <c r="AE59" s="284">
        <f t="shared" si="11"/>
        <v>4.7500000000000001E-2</v>
      </c>
      <c r="AG59" s="281">
        <v>53172</v>
      </c>
      <c r="AH59" s="78"/>
      <c r="AI59" s="75"/>
      <c r="AJ59" s="75"/>
      <c r="AK59" s="75"/>
      <c r="AL59" s="77">
        <v>0.05</v>
      </c>
      <c r="AM59" s="74">
        <f t="shared" si="12"/>
        <v>0.05</v>
      </c>
      <c r="AN59" s="78"/>
      <c r="AO59" s="75"/>
      <c r="AP59" s="75"/>
      <c r="AQ59" s="75"/>
      <c r="AR59" s="77">
        <v>4.2500000000000003E-2</v>
      </c>
      <c r="AS59" s="74">
        <f t="shared" si="13"/>
        <v>4.2500000000000003E-2</v>
      </c>
      <c r="AU59" s="281">
        <v>45488</v>
      </c>
      <c r="AV59" s="75"/>
      <c r="AW59" s="75"/>
      <c r="AX59" s="75"/>
      <c r="AY59" s="75">
        <v>7.4999999999999997E-2</v>
      </c>
      <c r="AZ59" s="75">
        <v>6.8750000000000006E-2</v>
      </c>
      <c r="BA59" s="75">
        <v>5.8749999999999997E-2</v>
      </c>
      <c r="BB59" s="75">
        <v>6.6250000000000003E-2</v>
      </c>
      <c r="BC59" s="75">
        <v>7.1249999999999994E-2</v>
      </c>
      <c r="BD59" s="75">
        <v>7.6249999999999998E-2</v>
      </c>
      <c r="BE59" s="75">
        <v>6.8750000000000006E-2</v>
      </c>
      <c r="BF59" s="75">
        <v>7.1249999999999994E-2</v>
      </c>
      <c r="BG59" s="75">
        <v>3.7499999999999999E-2</v>
      </c>
      <c r="BH59" s="75">
        <v>8.2799999999999999E-2</v>
      </c>
      <c r="BI59" s="74">
        <f t="shared" si="6"/>
        <v>6.7654999999999993E-2</v>
      </c>
      <c r="BJ59" s="78"/>
      <c r="BK59" s="75"/>
      <c r="BL59" s="75"/>
      <c r="BM59" s="75">
        <v>0.05</v>
      </c>
      <c r="BN59" s="75">
        <v>5.2499999999999998E-2</v>
      </c>
      <c r="BO59" s="75">
        <v>6.25E-2</v>
      </c>
      <c r="BP59" s="75">
        <v>3.3750000000000002E-2</v>
      </c>
      <c r="BQ59" s="77">
        <v>7.8200000000000006E-2</v>
      </c>
      <c r="BR59" s="79">
        <f t="shared" si="7"/>
        <v>5.5390000000000009E-2</v>
      </c>
      <c r="BT59" s="281">
        <v>45474</v>
      </c>
      <c r="BU59" s="75">
        <v>3.0714285714285718E-2</v>
      </c>
      <c r="BV59" s="75">
        <v>3.2750000000000001E-2</v>
      </c>
      <c r="BW59" s="77">
        <v>3.15E-2</v>
      </c>
    </row>
    <row r="60" spans="1:75" s="11" customFormat="1" x14ac:dyDescent="0.2">
      <c r="A60" s="281">
        <v>53390</v>
      </c>
      <c r="B60" s="75"/>
      <c r="C60" s="75"/>
      <c r="D60" s="75"/>
      <c r="E60" s="75"/>
      <c r="F60" s="77">
        <v>0.05</v>
      </c>
      <c r="G60" s="74">
        <f t="shared" si="8"/>
        <v>0.05</v>
      </c>
      <c r="H60" s="75"/>
      <c r="I60" s="75"/>
      <c r="J60" s="75"/>
      <c r="K60" s="75"/>
      <c r="L60" s="77">
        <v>4.1250000000000002E-2</v>
      </c>
      <c r="M60" s="74">
        <f t="shared" si="9"/>
        <v>4.1250000000000002E-2</v>
      </c>
      <c r="O60" s="61"/>
      <c r="AG60" s="281">
        <v>53356</v>
      </c>
      <c r="AH60" s="78"/>
      <c r="AI60" s="75"/>
      <c r="AJ60" s="75"/>
      <c r="AK60" s="75"/>
      <c r="AL60" s="77">
        <v>0.05</v>
      </c>
      <c r="AM60" s="74">
        <f t="shared" si="12"/>
        <v>0.05</v>
      </c>
      <c r="AN60" s="78"/>
      <c r="AO60" s="75"/>
      <c r="AP60" s="75"/>
      <c r="AQ60" s="75"/>
      <c r="AR60" s="77">
        <v>4.2500000000000003E-2</v>
      </c>
      <c r="AS60" s="74">
        <f t="shared" si="13"/>
        <v>4.2500000000000003E-2</v>
      </c>
      <c r="AU60" s="281">
        <v>45519</v>
      </c>
      <c r="AV60" s="75"/>
      <c r="AW60" s="75"/>
      <c r="AX60" s="75"/>
      <c r="AY60" s="75">
        <v>7.4999999999999997E-2</v>
      </c>
      <c r="AZ60" s="75">
        <v>6.8750000000000006E-2</v>
      </c>
      <c r="BA60" s="75">
        <v>5.8749999999999997E-2</v>
      </c>
      <c r="BB60" s="75">
        <v>6.6250000000000003E-2</v>
      </c>
      <c r="BC60" s="75">
        <v>7.1249999999999994E-2</v>
      </c>
      <c r="BD60" s="75">
        <v>7.6249999999999998E-2</v>
      </c>
      <c r="BE60" s="75">
        <v>6.8750000000000006E-2</v>
      </c>
      <c r="BF60" s="75">
        <v>7.1249999999999994E-2</v>
      </c>
      <c r="BG60" s="75">
        <v>3.7499999999999999E-2</v>
      </c>
      <c r="BH60" s="75">
        <v>8.2799999999999999E-2</v>
      </c>
      <c r="BI60" s="74">
        <f t="shared" si="6"/>
        <v>6.7654999999999993E-2</v>
      </c>
      <c r="BJ60" s="78"/>
      <c r="BK60" s="75"/>
      <c r="BL60" s="75"/>
      <c r="BM60" s="75">
        <v>0.05</v>
      </c>
      <c r="BN60" s="75">
        <v>5.2499999999999998E-2</v>
      </c>
      <c r="BO60" s="75">
        <v>6.25E-2</v>
      </c>
      <c r="BP60" s="75">
        <v>3.3750000000000002E-2</v>
      </c>
      <c r="BQ60" s="77">
        <v>7.8200000000000006E-2</v>
      </c>
      <c r="BR60" s="79">
        <f t="shared" si="7"/>
        <v>5.5390000000000009E-2</v>
      </c>
      <c r="BT60" s="281">
        <v>45505</v>
      </c>
      <c r="BU60" s="75">
        <v>3.0714285714285718E-2</v>
      </c>
      <c r="BV60" s="75">
        <v>3.2750000000000001E-2</v>
      </c>
      <c r="BW60" s="77">
        <v>3.15E-2</v>
      </c>
    </row>
    <row r="61" spans="1:75" s="11" customFormat="1" x14ac:dyDescent="0.2">
      <c r="A61" s="283">
        <v>53574</v>
      </c>
      <c r="B61" s="83"/>
      <c r="C61" s="80"/>
      <c r="D61" s="80"/>
      <c r="E61" s="80"/>
      <c r="F61" s="80">
        <v>0.05</v>
      </c>
      <c r="G61" s="82">
        <f t="shared" si="8"/>
        <v>0.05</v>
      </c>
      <c r="H61" s="83"/>
      <c r="I61" s="80"/>
      <c r="J61" s="80"/>
      <c r="K61" s="80"/>
      <c r="L61" s="80">
        <v>4.1250000000000002E-2</v>
      </c>
      <c r="M61" s="82">
        <f t="shared" si="9"/>
        <v>4.1250000000000002E-2</v>
      </c>
      <c r="O61" s="61"/>
      <c r="AG61" s="283">
        <v>53537</v>
      </c>
      <c r="AH61" s="83"/>
      <c r="AI61" s="80"/>
      <c r="AJ61" s="80"/>
      <c r="AK61" s="80"/>
      <c r="AL61" s="80">
        <v>0.05</v>
      </c>
      <c r="AM61" s="82">
        <f t="shared" si="12"/>
        <v>0.05</v>
      </c>
      <c r="AN61" s="83"/>
      <c r="AO61" s="80"/>
      <c r="AP61" s="80"/>
      <c r="AQ61" s="80"/>
      <c r="AR61" s="80">
        <v>4.2500000000000003E-2</v>
      </c>
      <c r="AS61" s="82">
        <f t="shared" si="13"/>
        <v>4.2500000000000003E-2</v>
      </c>
      <c r="AU61" s="281">
        <v>45550</v>
      </c>
      <c r="AV61" s="75"/>
      <c r="AW61" s="75"/>
      <c r="AX61" s="75"/>
      <c r="AY61" s="75">
        <v>7.4999999999999997E-2</v>
      </c>
      <c r="AZ61" s="75">
        <v>6.8750000000000006E-2</v>
      </c>
      <c r="BA61" s="75">
        <v>5.8749999999999997E-2</v>
      </c>
      <c r="BB61" s="75">
        <v>6.6250000000000003E-2</v>
      </c>
      <c r="BC61" s="75">
        <v>7.1249999999999994E-2</v>
      </c>
      <c r="BD61" s="75">
        <v>7.6249999999999998E-2</v>
      </c>
      <c r="BE61" s="75">
        <v>6.8750000000000006E-2</v>
      </c>
      <c r="BF61" s="75">
        <v>7.1249999999999994E-2</v>
      </c>
      <c r="BG61" s="75">
        <v>3.7499999999999999E-2</v>
      </c>
      <c r="BH61" s="75">
        <v>8.2799999999999999E-2</v>
      </c>
      <c r="BI61" s="74">
        <f t="shared" si="6"/>
        <v>6.7654999999999993E-2</v>
      </c>
      <c r="BJ61" s="78"/>
      <c r="BK61" s="75"/>
      <c r="BL61" s="75"/>
      <c r="BM61" s="75">
        <v>0.05</v>
      </c>
      <c r="BN61" s="75">
        <v>5.2499999999999998E-2</v>
      </c>
      <c r="BO61" s="75">
        <v>6.25E-2</v>
      </c>
      <c r="BP61" s="75">
        <v>3.3750000000000002E-2</v>
      </c>
      <c r="BQ61" s="77">
        <v>7.8200000000000006E-2</v>
      </c>
      <c r="BR61" s="79">
        <f t="shared" si="7"/>
        <v>5.5390000000000009E-2</v>
      </c>
      <c r="BT61" s="281">
        <v>45536</v>
      </c>
      <c r="BU61" s="75">
        <v>3.0714285714285718E-2</v>
      </c>
      <c r="BV61" s="75">
        <v>3.2750000000000001E-2</v>
      </c>
      <c r="BW61" s="77">
        <v>3.15E-2</v>
      </c>
    </row>
    <row r="62" spans="1:75" s="11" customFormat="1" x14ac:dyDescent="0.2">
      <c r="A62" s="61"/>
      <c r="O62" s="61"/>
      <c r="AG62" s="61"/>
      <c r="AU62" s="281">
        <v>45580</v>
      </c>
      <c r="AV62" s="75"/>
      <c r="AW62" s="75"/>
      <c r="AX62" s="75"/>
      <c r="AY62" s="75">
        <v>7.4999999999999997E-2</v>
      </c>
      <c r="AZ62" s="75">
        <v>6.8750000000000006E-2</v>
      </c>
      <c r="BA62" s="75">
        <v>5.8749999999999997E-2</v>
      </c>
      <c r="BB62" s="75">
        <v>6.6250000000000003E-2</v>
      </c>
      <c r="BC62" s="75">
        <v>7.1249999999999994E-2</v>
      </c>
      <c r="BD62" s="75">
        <v>7.6249999999999998E-2</v>
      </c>
      <c r="BE62" s="75">
        <v>6.8750000000000006E-2</v>
      </c>
      <c r="BF62" s="75">
        <v>7.1249999999999994E-2</v>
      </c>
      <c r="BG62" s="75">
        <v>3.7499999999999999E-2</v>
      </c>
      <c r="BH62" s="75">
        <v>8.2799999999999999E-2</v>
      </c>
      <c r="BI62" s="74">
        <f t="shared" si="6"/>
        <v>6.7654999999999993E-2</v>
      </c>
      <c r="BJ62" s="78"/>
      <c r="BK62" s="75"/>
      <c r="BL62" s="75"/>
      <c r="BM62" s="75">
        <v>0.05</v>
      </c>
      <c r="BN62" s="75">
        <v>5.2499999999999998E-2</v>
      </c>
      <c r="BO62" s="75">
        <v>6.25E-2</v>
      </c>
      <c r="BP62" s="75">
        <v>3.3750000000000002E-2</v>
      </c>
      <c r="BQ62" s="77">
        <v>7.8200000000000006E-2</v>
      </c>
      <c r="BR62" s="79">
        <f t="shared" si="7"/>
        <v>5.5390000000000009E-2</v>
      </c>
      <c r="BT62" s="281">
        <v>45566</v>
      </c>
      <c r="BU62" s="75">
        <v>3.0714285714285718E-2</v>
      </c>
      <c r="BV62" s="75">
        <v>3.2750000000000001E-2</v>
      </c>
      <c r="BW62" s="77">
        <v>3.15E-2</v>
      </c>
    </row>
    <row r="63" spans="1:75" s="11" customFormat="1" x14ac:dyDescent="0.2">
      <c r="A63" s="61"/>
      <c r="O63" s="61"/>
      <c r="AU63" s="281">
        <v>45611</v>
      </c>
      <c r="AV63" s="75"/>
      <c r="AW63" s="75"/>
      <c r="AX63" s="75"/>
      <c r="AY63" s="75">
        <v>7.4999999999999997E-2</v>
      </c>
      <c r="AZ63" s="75">
        <v>6.8750000000000006E-2</v>
      </c>
      <c r="BA63" s="75">
        <v>5.8749999999999997E-2</v>
      </c>
      <c r="BB63" s="75">
        <v>6.6250000000000003E-2</v>
      </c>
      <c r="BC63" s="75">
        <v>7.1249999999999994E-2</v>
      </c>
      <c r="BD63" s="75">
        <v>7.6249999999999998E-2</v>
      </c>
      <c r="BE63" s="75">
        <v>6.8750000000000006E-2</v>
      </c>
      <c r="BF63" s="75">
        <v>7.1249999999999994E-2</v>
      </c>
      <c r="BG63" s="75">
        <v>3.7499999999999999E-2</v>
      </c>
      <c r="BH63" s="75">
        <v>8.2799999999999999E-2</v>
      </c>
      <c r="BI63" s="74">
        <f t="shared" si="6"/>
        <v>6.7654999999999993E-2</v>
      </c>
      <c r="BJ63" s="78"/>
      <c r="BK63" s="75"/>
      <c r="BL63" s="75"/>
      <c r="BM63" s="75">
        <v>0.05</v>
      </c>
      <c r="BN63" s="75">
        <v>5.2499999999999998E-2</v>
      </c>
      <c r="BO63" s="75">
        <v>6.25E-2</v>
      </c>
      <c r="BP63" s="75">
        <v>3.3750000000000002E-2</v>
      </c>
      <c r="BQ63" s="77">
        <v>7.8200000000000006E-2</v>
      </c>
      <c r="BR63" s="79">
        <f t="shared" si="7"/>
        <v>5.5390000000000009E-2</v>
      </c>
      <c r="BT63" s="281">
        <v>45597</v>
      </c>
      <c r="BU63" s="75">
        <v>3.0714285714285718E-2</v>
      </c>
      <c r="BV63" s="75">
        <v>3.2750000000000001E-2</v>
      </c>
      <c r="BW63" s="77">
        <v>3.15E-2</v>
      </c>
    </row>
    <row r="64" spans="1:75" s="11" customFormat="1" x14ac:dyDescent="0.2">
      <c r="A64" s="61"/>
      <c r="O64" s="61"/>
      <c r="AU64" s="281">
        <v>45641</v>
      </c>
      <c r="AV64" s="75"/>
      <c r="AW64" s="75"/>
      <c r="AX64" s="75"/>
      <c r="AY64" s="75">
        <v>7.4999999999999997E-2</v>
      </c>
      <c r="AZ64" s="75">
        <v>6.8750000000000006E-2</v>
      </c>
      <c r="BA64" s="75">
        <v>5.8749999999999997E-2</v>
      </c>
      <c r="BB64" s="75">
        <v>6.6250000000000003E-2</v>
      </c>
      <c r="BC64" s="75">
        <v>7.1249999999999994E-2</v>
      </c>
      <c r="BD64" s="75">
        <v>7.6249999999999998E-2</v>
      </c>
      <c r="BE64" s="75">
        <v>6.8750000000000006E-2</v>
      </c>
      <c r="BF64" s="75">
        <v>7.1249999999999994E-2</v>
      </c>
      <c r="BG64" s="75">
        <v>3.7499999999999999E-2</v>
      </c>
      <c r="BH64" s="75">
        <v>8.2799999999999999E-2</v>
      </c>
      <c r="BI64" s="74">
        <f t="shared" si="6"/>
        <v>6.7654999999999993E-2</v>
      </c>
      <c r="BJ64" s="78"/>
      <c r="BK64" s="75"/>
      <c r="BL64" s="75"/>
      <c r="BM64" s="75">
        <v>0.05</v>
      </c>
      <c r="BN64" s="75">
        <v>5.2499999999999998E-2</v>
      </c>
      <c r="BO64" s="75">
        <v>6.25E-2</v>
      </c>
      <c r="BP64" s="75">
        <v>3.3750000000000002E-2</v>
      </c>
      <c r="BQ64" s="77">
        <v>7.8200000000000006E-2</v>
      </c>
      <c r="BR64" s="79">
        <f t="shared" si="7"/>
        <v>5.5390000000000009E-2</v>
      </c>
      <c r="BT64" s="281">
        <v>45627</v>
      </c>
      <c r="BU64" s="75">
        <v>3.0714285714285718E-2</v>
      </c>
      <c r="BV64" s="75">
        <v>3.2750000000000001E-2</v>
      </c>
      <c r="BW64" s="77">
        <v>3.15E-2</v>
      </c>
    </row>
    <row r="65" spans="1:75" s="11" customFormat="1" x14ac:dyDescent="0.2">
      <c r="A65" s="61"/>
      <c r="O65" s="61"/>
      <c r="AU65" s="281">
        <v>45672</v>
      </c>
      <c r="AV65" s="75"/>
      <c r="AW65" s="75"/>
      <c r="AX65" s="75"/>
      <c r="AY65" s="75">
        <v>7.4999999999999997E-2</v>
      </c>
      <c r="AZ65" s="75">
        <v>6.8750000000000006E-2</v>
      </c>
      <c r="BA65" s="75">
        <v>5.8749999999999997E-2</v>
      </c>
      <c r="BB65" s="75">
        <v>6.6250000000000003E-2</v>
      </c>
      <c r="BC65" s="75">
        <v>7.1249999999999994E-2</v>
      </c>
      <c r="BD65" s="75">
        <v>7.6249999999999998E-2</v>
      </c>
      <c r="BE65" s="75">
        <v>6.8750000000000006E-2</v>
      </c>
      <c r="BF65" s="75">
        <v>7.1249999999999994E-2</v>
      </c>
      <c r="BG65" s="75">
        <v>3.7499999999999999E-2</v>
      </c>
      <c r="BH65" s="75">
        <v>8.2799999999999999E-2</v>
      </c>
      <c r="BI65" s="74">
        <f t="shared" si="6"/>
        <v>6.7654999999999993E-2</v>
      </c>
      <c r="BJ65" s="78"/>
      <c r="BK65" s="75"/>
      <c r="BL65" s="75"/>
      <c r="BM65" s="75">
        <v>0.05</v>
      </c>
      <c r="BN65" s="75">
        <v>5.2499999999999998E-2</v>
      </c>
      <c r="BO65" s="75">
        <v>6.25E-2</v>
      </c>
      <c r="BP65" s="75">
        <v>3.3750000000000002E-2</v>
      </c>
      <c r="BQ65" s="77">
        <v>7.8200000000000006E-2</v>
      </c>
      <c r="BR65" s="79">
        <f t="shared" si="7"/>
        <v>5.5390000000000009E-2</v>
      </c>
      <c r="BT65" s="281">
        <v>45658</v>
      </c>
      <c r="BU65" s="75">
        <v>3.6071428571428574E-2</v>
      </c>
      <c r="BV65" s="75">
        <v>3.85E-2</v>
      </c>
      <c r="BW65" s="77">
        <v>3.15E-2</v>
      </c>
    </row>
    <row r="66" spans="1:75" s="11" customFormat="1" x14ac:dyDescent="0.2">
      <c r="A66" s="61"/>
      <c r="O66" s="61"/>
      <c r="AU66" s="281">
        <v>45703</v>
      </c>
      <c r="AV66" s="75"/>
      <c r="AW66" s="75"/>
      <c r="AX66" s="75"/>
      <c r="AY66" s="75">
        <v>7.4999999999999997E-2</v>
      </c>
      <c r="AZ66" s="75">
        <v>6.8750000000000006E-2</v>
      </c>
      <c r="BA66" s="75">
        <v>5.8749999999999997E-2</v>
      </c>
      <c r="BB66" s="75">
        <v>6.6250000000000003E-2</v>
      </c>
      <c r="BC66" s="75">
        <v>7.1249999999999994E-2</v>
      </c>
      <c r="BD66" s="75">
        <v>7.6249999999999998E-2</v>
      </c>
      <c r="BE66" s="75">
        <v>6.8750000000000006E-2</v>
      </c>
      <c r="BF66" s="75">
        <v>7.1249999999999994E-2</v>
      </c>
      <c r="BG66" s="75">
        <v>3.7499999999999999E-2</v>
      </c>
      <c r="BH66" s="75">
        <v>8.2799999999999999E-2</v>
      </c>
      <c r="BI66" s="74">
        <f t="shared" si="6"/>
        <v>6.7654999999999993E-2</v>
      </c>
      <c r="BJ66" s="78"/>
      <c r="BK66" s="75"/>
      <c r="BL66" s="75"/>
      <c r="BM66" s="75">
        <v>0.05</v>
      </c>
      <c r="BN66" s="75">
        <v>5.2499999999999998E-2</v>
      </c>
      <c r="BO66" s="75">
        <v>6.25E-2</v>
      </c>
      <c r="BP66" s="75">
        <v>3.3750000000000002E-2</v>
      </c>
      <c r="BQ66" s="77">
        <v>7.8200000000000006E-2</v>
      </c>
      <c r="BR66" s="79">
        <f t="shared" si="7"/>
        <v>5.5390000000000009E-2</v>
      </c>
      <c r="BT66" s="281">
        <v>45689</v>
      </c>
      <c r="BU66" s="75">
        <v>3.6071428571428574E-2</v>
      </c>
      <c r="BV66" s="75">
        <v>3.85E-2</v>
      </c>
      <c r="BW66" s="77">
        <v>3.15E-2</v>
      </c>
    </row>
    <row r="67" spans="1:75" s="11" customFormat="1" x14ac:dyDescent="0.2">
      <c r="A67" s="61"/>
      <c r="O67" s="61"/>
      <c r="AU67" s="281">
        <v>45731</v>
      </c>
      <c r="AV67" s="75"/>
      <c r="AW67" s="75"/>
      <c r="AX67" s="75"/>
      <c r="AY67" s="75">
        <v>7.4999999999999997E-2</v>
      </c>
      <c r="AZ67" s="75">
        <v>6.8750000000000006E-2</v>
      </c>
      <c r="BA67" s="75">
        <v>5.8749999999999997E-2</v>
      </c>
      <c r="BB67" s="75">
        <v>6.6250000000000003E-2</v>
      </c>
      <c r="BC67" s="75">
        <v>7.1249999999999994E-2</v>
      </c>
      <c r="BD67" s="75">
        <v>7.6249999999999998E-2</v>
      </c>
      <c r="BE67" s="75">
        <v>6.8750000000000006E-2</v>
      </c>
      <c r="BF67" s="75">
        <v>7.1249999999999994E-2</v>
      </c>
      <c r="BG67" s="75">
        <v>3.7499999999999999E-2</v>
      </c>
      <c r="BH67" s="75">
        <v>8.2799999999999999E-2</v>
      </c>
      <c r="BI67" s="74">
        <f t="shared" si="6"/>
        <v>6.7654999999999993E-2</v>
      </c>
      <c r="BJ67" s="78"/>
      <c r="BK67" s="75"/>
      <c r="BL67" s="75"/>
      <c r="BM67" s="75">
        <v>0.05</v>
      </c>
      <c r="BN67" s="75">
        <v>5.2499999999999998E-2</v>
      </c>
      <c r="BO67" s="75">
        <v>6.25E-2</v>
      </c>
      <c r="BP67" s="75">
        <v>3.3750000000000002E-2</v>
      </c>
      <c r="BQ67" s="77">
        <v>7.8200000000000006E-2</v>
      </c>
      <c r="BR67" s="79">
        <f t="shared" si="7"/>
        <v>5.5390000000000009E-2</v>
      </c>
      <c r="BT67" s="281">
        <v>45717</v>
      </c>
      <c r="BU67" s="75">
        <v>3.6071428571428574E-2</v>
      </c>
      <c r="BV67" s="75">
        <v>3.85E-2</v>
      </c>
      <c r="BW67" s="77">
        <v>3.5000000000000003E-2</v>
      </c>
    </row>
    <row r="68" spans="1:75" s="11" customFormat="1" x14ac:dyDescent="0.2">
      <c r="A68" s="61"/>
      <c r="O68" s="61"/>
      <c r="AU68" s="281">
        <v>45762</v>
      </c>
      <c r="AV68" s="75"/>
      <c r="AW68" s="75"/>
      <c r="AX68" s="75"/>
      <c r="AY68" s="75">
        <v>7.4999999999999997E-2</v>
      </c>
      <c r="AZ68" s="75">
        <v>6.8750000000000006E-2</v>
      </c>
      <c r="BA68" s="75">
        <v>5.8749999999999997E-2</v>
      </c>
      <c r="BB68" s="75">
        <v>6.6250000000000003E-2</v>
      </c>
      <c r="BC68" s="75">
        <v>7.1249999999999994E-2</v>
      </c>
      <c r="BD68" s="75">
        <v>7.6249999999999998E-2</v>
      </c>
      <c r="BE68" s="75">
        <v>6.8750000000000006E-2</v>
      </c>
      <c r="BF68" s="75">
        <v>7.1249999999999994E-2</v>
      </c>
      <c r="BG68" s="75">
        <v>3.7499999999999999E-2</v>
      </c>
      <c r="BH68" s="75">
        <v>8.2799999999999999E-2</v>
      </c>
      <c r="BI68" s="74">
        <f t="shared" si="6"/>
        <v>6.7654999999999993E-2</v>
      </c>
      <c r="BJ68" s="78"/>
      <c r="BK68" s="75"/>
      <c r="BL68" s="75"/>
      <c r="BM68" s="75">
        <v>0.05</v>
      </c>
      <c r="BN68" s="75">
        <v>5.2499999999999998E-2</v>
      </c>
      <c r="BO68" s="75">
        <v>6.25E-2</v>
      </c>
      <c r="BP68" s="75">
        <v>3.3750000000000002E-2</v>
      </c>
      <c r="BQ68" s="77">
        <v>7.8200000000000006E-2</v>
      </c>
      <c r="BR68" s="79">
        <f t="shared" si="7"/>
        <v>5.5390000000000009E-2</v>
      </c>
      <c r="BT68" s="281">
        <v>45748</v>
      </c>
      <c r="BU68" s="75">
        <v>3.6071428571428574E-2</v>
      </c>
      <c r="BV68" s="75">
        <v>3.85E-2</v>
      </c>
      <c r="BW68" s="77">
        <v>3.5000000000000003E-2</v>
      </c>
    </row>
    <row r="69" spans="1:75" s="11" customFormat="1" x14ac:dyDescent="0.2">
      <c r="A69" s="61"/>
      <c r="O69" s="61"/>
      <c r="AU69" s="281">
        <v>45792</v>
      </c>
      <c r="AV69" s="75"/>
      <c r="AW69" s="75"/>
      <c r="AX69" s="75"/>
      <c r="AY69" s="75">
        <v>7.4999999999999997E-2</v>
      </c>
      <c r="AZ69" s="75">
        <v>6.8750000000000006E-2</v>
      </c>
      <c r="BA69" s="75">
        <v>5.8749999999999997E-2</v>
      </c>
      <c r="BB69" s="75">
        <v>6.6250000000000003E-2</v>
      </c>
      <c r="BC69" s="75">
        <v>7.1249999999999994E-2</v>
      </c>
      <c r="BD69" s="75">
        <v>7.6249999999999998E-2</v>
      </c>
      <c r="BE69" s="75">
        <v>6.8750000000000006E-2</v>
      </c>
      <c r="BF69" s="75">
        <v>7.1249999999999994E-2</v>
      </c>
      <c r="BG69" s="75">
        <v>3.7499999999999999E-2</v>
      </c>
      <c r="BH69" s="75">
        <v>8.2799999999999999E-2</v>
      </c>
      <c r="BI69" s="74">
        <f t="shared" si="6"/>
        <v>6.7654999999999993E-2</v>
      </c>
      <c r="BJ69" s="78"/>
      <c r="BK69" s="75"/>
      <c r="BL69" s="75"/>
      <c r="BM69" s="75">
        <v>0.05</v>
      </c>
      <c r="BN69" s="75">
        <v>5.2499999999999998E-2</v>
      </c>
      <c r="BO69" s="75">
        <v>6.25E-2</v>
      </c>
      <c r="BP69" s="75">
        <v>3.3750000000000002E-2</v>
      </c>
      <c r="BQ69" s="77">
        <v>7.8200000000000006E-2</v>
      </c>
      <c r="BR69" s="79">
        <f t="shared" si="7"/>
        <v>5.5390000000000009E-2</v>
      </c>
      <c r="BT69" s="281">
        <v>45778</v>
      </c>
      <c r="BU69" s="75">
        <v>3.6071428571428574E-2</v>
      </c>
      <c r="BV69" s="75">
        <v>3.85E-2</v>
      </c>
      <c r="BW69" s="77">
        <v>3.5000000000000003E-2</v>
      </c>
    </row>
    <row r="70" spans="1:75" s="11" customFormat="1" x14ac:dyDescent="0.2">
      <c r="A70" s="61"/>
      <c r="O70" s="61"/>
      <c r="AU70" s="281">
        <v>45823</v>
      </c>
      <c r="AV70" s="75"/>
      <c r="AW70" s="75"/>
      <c r="AX70" s="75"/>
      <c r="AY70" s="75">
        <v>7.4999999999999997E-2</v>
      </c>
      <c r="AZ70" s="75">
        <v>6.8750000000000006E-2</v>
      </c>
      <c r="BA70" s="75">
        <v>5.8749999999999997E-2</v>
      </c>
      <c r="BB70" s="75">
        <v>6.6250000000000003E-2</v>
      </c>
      <c r="BC70" s="75">
        <v>7.1249999999999994E-2</v>
      </c>
      <c r="BD70" s="75">
        <v>7.6249999999999998E-2</v>
      </c>
      <c r="BE70" s="75">
        <v>6.8750000000000006E-2</v>
      </c>
      <c r="BF70" s="75">
        <v>7.1249999999999994E-2</v>
      </c>
      <c r="BG70" s="75">
        <v>3.7499999999999999E-2</v>
      </c>
      <c r="BH70" s="75">
        <v>8.2799999999999999E-2</v>
      </c>
      <c r="BI70" s="74">
        <f t="shared" si="6"/>
        <v>6.7654999999999993E-2</v>
      </c>
      <c r="BJ70" s="78"/>
      <c r="BK70" s="75"/>
      <c r="BL70" s="75"/>
      <c r="BM70" s="75">
        <v>0.05</v>
      </c>
      <c r="BN70" s="75">
        <v>5.2499999999999998E-2</v>
      </c>
      <c r="BO70" s="75">
        <v>6.25E-2</v>
      </c>
      <c r="BP70" s="75">
        <v>3.3750000000000002E-2</v>
      </c>
      <c r="BQ70" s="77">
        <v>7.8200000000000006E-2</v>
      </c>
      <c r="BR70" s="79">
        <f t="shared" si="7"/>
        <v>5.5390000000000009E-2</v>
      </c>
      <c r="BT70" s="281">
        <v>45809</v>
      </c>
      <c r="BU70" s="75">
        <v>3.6071428571428574E-2</v>
      </c>
      <c r="BV70" s="75">
        <v>3.85E-2</v>
      </c>
      <c r="BW70" s="77">
        <v>3.5000000000000003E-2</v>
      </c>
    </row>
    <row r="71" spans="1:75" s="11" customFormat="1" x14ac:dyDescent="0.2">
      <c r="A71" s="61"/>
      <c r="O71" s="61"/>
      <c r="AU71" s="281">
        <v>45853</v>
      </c>
      <c r="AV71" s="75"/>
      <c r="AW71" s="75"/>
      <c r="AX71" s="75"/>
      <c r="AY71" s="75">
        <v>7.4999999999999997E-2</v>
      </c>
      <c r="AZ71" s="75">
        <v>6.8750000000000006E-2</v>
      </c>
      <c r="BA71" s="75">
        <v>5.8749999999999997E-2</v>
      </c>
      <c r="BB71" s="75">
        <v>6.6250000000000003E-2</v>
      </c>
      <c r="BC71" s="75">
        <v>7.1249999999999994E-2</v>
      </c>
      <c r="BD71" s="75">
        <v>7.6249999999999998E-2</v>
      </c>
      <c r="BE71" s="75">
        <v>6.8750000000000006E-2</v>
      </c>
      <c r="BF71" s="75">
        <v>7.1249999999999994E-2</v>
      </c>
      <c r="BG71" s="75">
        <v>3.7499999999999999E-2</v>
      </c>
      <c r="BH71" s="75">
        <v>8.2799999999999999E-2</v>
      </c>
      <c r="BI71" s="74">
        <f t="shared" si="6"/>
        <v>6.7654999999999993E-2</v>
      </c>
      <c r="BJ71" s="78"/>
      <c r="BK71" s="75"/>
      <c r="BL71" s="75"/>
      <c r="BM71" s="75">
        <v>0.05</v>
      </c>
      <c r="BN71" s="75">
        <v>5.2499999999999998E-2</v>
      </c>
      <c r="BO71" s="75">
        <v>6.25E-2</v>
      </c>
      <c r="BP71" s="75">
        <v>3.3750000000000002E-2</v>
      </c>
      <c r="BQ71" s="77">
        <v>7.8200000000000006E-2</v>
      </c>
      <c r="BR71" s="79">
        <f t="shared" si="7"/>
        <v>5.5390000000000009E-2</v>
      </c>
      <c r="BT71" s="281">
        <v>45839</v>
      </c>
      <c r="BU71" s="75">
        <v>3.6071428571428574E-2</v>
      </c>
      <c r="BV71" s="75">
        <v>3.85E-2</v>
      </c>
      <c r="BW71" s="77">
        <v>3.5000000000000003E-2</v>
      </c>
    </row>
    <row r="72" spans="1:75" s="11" customFormat="1" x14ac:dyDescent="0.2">
      <c r="A72" s="61"/>
      <c r="O72" s="61"/>
      <c r="AU72" s="281">
        <v>45884</v>
      </c>
      <c r="AV72" s="75"/>
      <c r="AW72" s="75"/>
      <c r="AX72" s="75"/>
      <c r="AY72" s="75">
        <v>7.4999999999999997E-2</v>
      </c>
      <c r="AZ72" s="75">
        <v>6.8750000000000006E-2</v>
      </c>
      <c r="BA72" s="75">
        <v>5.8749999999999997E-2</v>
      </c>
      <c r="BB72" s="75">
        <v>6.6250000000000003E-2</v>
      </c>
      <c r="BC72" s="75">
        <v>7.1249999999999994E-2</v>
      </c>
      <c r="BD72" s="75">
        <v>7.6249999999999998E-2</v>
      </c>
      <c r="BE72" s="75">
        <v>6.8750000000000006E-2</v>
      </c>
      <c r="BF72" s="75">
        <v>7.1249999999999994E-2</v>
      </c>
      <c r="BG72" s="75">
        <v>3.7499999999999999E-2</v>
      </c>
      <c r="BH72" s="75">
        <v>8.2799999999999999E-2</v>
      </c>
      <c r="BI72" s="74">
        <f t="shared" si="6"/>
        <v>6.7654999999999993E-2</v>
      </c>
      <c r="BJ72" s="78"/>
      <c r="BK72" s="75"/>
      <c r="BL72" s="75"/>
      <c r="BM72" s="75">
        <v>0.05</v>
      </c>
      <c r="BN72" s="75">
        <v>5.2499999999999998E-2</v>
      </c>
      <c r="BO72" s="75">
        <v>6.25E-2</v>
      </c>
      <c r="BP72" s="75">
        <v>3.3750000000000002E-2</v>
      </c>
      <c r="BQ72" s="77">
        <v>7.8200000000000006E-2</v>
      </c>
      <c r="BR72" s="79">
        <f t="shared" si="7"/>
        <v>5.5390000000000009E-2</v>
      </c>
      <c r="BT72" s="281">
        <v>45870</v>
      </c>
      <c r="BU72" s="75">
        <v>3.6071428571428574E-2</v>
      </c>
      <c r="BV72" s="75">
        <v>3.85E-2</v>
      </c>
      <c r="BW72" s="77">
        <v>3.5000000000000003E-2</v>
      </c>
    </row>
    <row r="73" spans="1:75" s="11" customFormat="1" x14ac:dyDescent="0.2">
      <c r="A73" s="61"/>
      <c r="O73" s="61"/>
      <c r="AU73" s="281">
        <v>45915</v>
      </c>
      <c r="AV73" s="75"/>
      <c r="AW73" s="75"/>
      <c r="AX73" s="75"/>
      <c r="AY73" s="75">
        <v>7.4999999999999997E-2</v>
      </c>
      <c r="AZ73" s="75">
        <v>6.8750000000000006E-2</v>
      </c>
      <c r="BA73" s="75">
        <v>5.8749999999999997E-2</v>
      </c>
      <c r="BB73" s="75">
        <v>6.6250000000000003E-2</v>
      </c>
      <c r="BC73" s="75">
        <v>7.1249999999999994E-2</v>
      </c>
      <c r="BD73" s="75">
        <v>7.6249999999999998E-2</v>
      </c>
      <c r="BE73" s="75">
        <v>6.8750000000000006E-2</v>
      </c>
      <c r="BF73" s="75">
        <v>7.1249999999999994E-2</v>
      </c>
      <c r="BG73" s="75">
        <v>3.7499999999999999E-2</v>
      </c>
      <c r="BH73" s="75">
        <v>8.2799999999999999E-2</v>
      </c>
      <c r="BI73" s="74">
        <f t="shared" ref="BI73:BI136" si="14">+AVERAGE(AV73:BH73)</f>
        <v>6.7654999999999993E-2</v>
      </c>
      <c r="BJ73" s="78"/>
      <c r="BK73" s="75"/>
      <c r="BL73" s="75"/>
      <c r="BM73" s="75">
        <v>0.05</v>
      </c>
      <c r="BN73" s="75">
        <v>5.2499999999999998E-2</v>
      </c>
      <c r="BO73" s="75">
        <v>6.25E-2</v>
      </c>
      <c r="BP73" s="75">
        <v>3.3750000000000002E-2</v>
      </c>
      <c r="BQ73" s="77">
        <v>7.8200000000000006E-2</v>
      </c>
      <c r="BR73" s="79">
        <f t="shared" ref="BR73:BR136" si="15">+AVERAGE(BJ73:BQ73)</f>
        <v>5.5390000000000009E-2</v>
      </c>
      <c r="BT73" s="281">
        <v>45901</v>
      </c>
      <c r="BU73" s="75">
        <v>3.6071428571428574E-2</v>
      </c>
      <c r="BV73" s="75">
        <v>3.85E-2</v>
      </c>
      <c r="BW73" s="77">
        <v>3.5000000000000003E-2</v>
      </c>
    </row>
    <row r="74" spans="1:75" s="11" customFormat="1" x14ac:dyDescent="0.2">
      <c r="A74" s="61"/>
      <c r="O74" s="61"/>
      <c r="AU74" s="281">
        <v>45945</v>
      </c>
      <c r="AV74" s="75"/>
      <c r="AW74" s="75"/>
      <c r="AX74" s="75"/>
      <c r="AY74" s="75">
        <v>7.4999999999999997E-2</v>
      </c>
      <c r="AZ74" s="75">
        <v>6.8750000000000006E-2</v>
      </c>
      <c r="BA74" s="75">
        <v>5.8749999999999997E-2</v>
      </c>
      <c r="BB74" s="75">
        <v>6.6250000000000003E-2</v>
      </c>
      <c r="BC74" s="75">
        <v>7.1249999999999994E-2</v>
      </c>
      <c r="BD74" s="75">
        <v>7.6249999999999998E-2</v>
      </c>
      <c r="BE74" s="75">
        <v>6.8750000000000006E-2</v>
      </c>
      <c r="BF74" s="75">
        <v>7.1249999999999994E-2</v>
      </c>
      <c r="BG74" s="75">
        <v>3.7499999999999999E-2</v>
      </c>
      <c r="BH74" s="75">
        <v>8.2799999999999999E-2</v>
      </c>
      <c r="BI74" s="74">
        <f t="shared" si="14"/>
        <v>6.7654999999999993E-2</v>
      </c>
      <c r="BJ74" s="78"/>
      <c r="BK74" s="75"/>
      <c r="BL74" s="75"/>
      <c r="BM74" s="75">
        <v>0.05</v>
      </c>
      <c r="BN74" s="75">
        <v>5.2499999999999998E-2</v>
      </c>
      <c r="BO74" s="75">
        <v>6.25E-2</v>
      </c>
      <c r="BP74" s="75">
        <v>3.3750000000000002E-2</v>
      </c>
      <c r="BQ74" s="77">
        <v>7.8200000000000006E-2</v>
      </c>
      <c r="BR74" s="79">
        <f t="shared" si="15"/>
        <v>5.5390000000000009E-2</v>
      </c>
      <c r="BT74" s="281">
        <v>45931</v>
      </c>
      <c r="BU74" s="75">
        <v>3.6071428571428574E-2</v>
      </c>
      <c r="BV74" s="75">
        <v>3.85E-2</v>
      </c>
      <c r="BW74" s="77">
        <v>3.5000000000000003E-2</v>
      </c>
    </row>
    <row r="75" spans="1:75" s="11" customFormat="1" x14ac:dyDescent="0.2">
      <c r="A75" s="61"/>
      <c r="O75" s="61"/>
      <c r="AU75" s="281">
        <v>45976</v>
      </c>
      <c r="AV75" s="75"/>
      <c r="AW75" s="75"/>
      <c r="AX75" s="75"/>
      <c r="AY75" s="75">
        <v>7.4999999999999997E-2</v>
      </c>
      <c r="AZ75" s="75">
        <v>6.8750000000000006E-2</v>
      </c>
      <c r="BA75" s="75">
        <v>5.8749999999999997E-2</v>
      </c>
      <c r="BB75" s="75">
        <v>6.6250000000000003E-2</v>
      </c>
      <c r="BC75" s="75">
        <v>7.1249999999999994E-2</v>
      </c>
      <c r="BD75" s="75">
        <v>7.6249999999999998E-2</v>
      </c>
      <c r="BE75" s="75">
        <v>6.8750000000000006E-2</v>
      </c>
      <c r="BF75" s="75">
        <v>7.1249999999999994E-2</v>
      </c>
      <c r="BG75" s="75">
        <v>3.7499999999999999E-2</v>
      </c>
      <c r="BH75" s="75">
        <v>8.2799999999999999E-2</v>
      </c>
      <c r="BI75" s="74">
        <f t="shared" si="14"/>
        <v>6.7654999999999993E-2</v>
      </c>
      <c r="BJ75" s="78"/>
      <c r="BK75" s="75"/>
      <c r="BL75" s="75"/>
      <c r="BM75" s="75">
        <v>0.05</v>
      </c>
      <c r="BN75" s="75">
        <v>5.2499999999999998E-2</v>
      </c>
      <c r="BO75" s="75">
        <v>6.25E-2</v>
      </c>
      <c r="BP75" s="75">
        <v>3.3750000000000002E-2</v>
      </c>
      <c r="BQ75" s="77">
        <v>7.8200000000000006E-2</v>
      </c>
      <c r="BR75" s="79">
        <f t="shared" si="15"/>
        <v>5.5390000000000009E-2</v>
      </c>
      <c r="BT75" s="281">
        <v>45962</v>
      </c>
      <c r="BU75" s="75">
        <v>3.6071428571428574E-2</v>
      </c>
      <c r="BV75" s="75">
        <v>3.85E-2</v>
      </c>
      <c r="BW75" s="77">
        <v>3.5000000000000003E-2</v>
      </c>
    </row>
    <row r="76" spans="1:75" s="11" customFormat="1" x14ac:dyDescent="0.2">
      <c r="A76" s="61"/>
      <c r="O76" s="61"/>
      <c r="AU76" s="281">
        <v>46006</v>
      </c>
      <c r="AV76" s="75"/>
      <c r="AW76" s="75"/>
      <c r="AX76" s="75"/>
      <c r="AY76" s="75">
        <v>7.4999999999999997E-2</v>
      </c>
      <c r="AZ76" s="75">
        <v>6.8750000000000006E-2</v>
      </c>
      <c r="BA76" s="75">
        <v>5.8749999999999997E-2</v>
      </c>
      <c r="BB76" s="75">
        <v>6.6250000000000003E-2</v>
      </c>
      <c r="BC76" s="75">
        <v>7.1249999999999994E-2</v>
      </c>
      <c r="BD76" s="75">
        <v>7.6249999999999998E-2</v>
      </c>
      <c r="BE76" s="75">
        <v>6.8750000000000006E-2</v>
      </c>
      <c r="BF76" s="75">
        <v>7.1249999999999994E-2</v>
      </c>
      <c r="BG76" s="75">
        <v>3.7499999999999999E-2</v>
      </c>
      <c r="BH76" s="75">
        <v>8.2799999999999999E-2</v>
      </c>
      <c r="BI76" s="74">
        <f t="shared" si="14"/>
        <v>6.7654999999999993E-2</v>
      </c>
      <c r="BJ76" s="78"/>
      <c r="BK76" s="75"/>
      <c r="BL76" s="75"/>
      <c r="BM76" s="75">
        <v>0.05</v>
      </c>
      <c r="BN76" s="75">
        <v>5.2499999999999998E-2</v>
      </c>
      <c r="BO76" s="75">
        <v>6.25E-2</v>
      </c>
      <c r="BP76" s="75">
        <v>3.3750000000000002E-2</v>
      </c>
      <c r="BQ76" s="77">
        <v>7.8200000000000006E-2</v>
      </c>
      <c r="BR76" s="79">
        <f t="shared" si="15"/>
        <v>5.5390000000000009E-2</v>
      </c>
      <c r="BT76" s="281">
        <v>45992</v>
      </c>
      <c r="BU76" s="75">
        <v>3.6071428571428574E-2</v>
      </c>
      <c r="BV76" s="75">
        <v>3.85E-2</v>
      </c>
      <c r="BW76" s="77">
        <v>3.5000000000000003E-2</v>
      </c>
    </row>
    <row r="77" spans="1:75" s="11" customFormat="1" x14ac:dyDescent="0.2">
      <c r="A77" s="61"/>
      <c r="O77" s="61"/>
      <c r="AU77" s="281">
        <v>46037</v>
      </c>
      <c r="AV77" s="75"/>
      <c r="AW77" s="75"/>
      <c r="AX77" s="75"/>
      <c r="AY77" s="75">
        <v>7.4999999999999997E-2</v>
      </c>
      <c r="AZ77" s="75">
        <v>6.8750000000000006E-2</v>
      </c>
      <c r="BA77" s="75">
        <v>5.8749999999999997E-2</v>
      </c>
      <c r="BB77" s="75">
        <v>6.6250000000000003E-2</v>
      </c>
      <c r="BC77" s="75">
        <v>7.1249999999999994E-2</v>
      </c>
      <c r="BD77" s="75">
        <v>7.6249999999999998E-2</v>
      </c>
      <c r="BE77" s="75">
        <v>6.8750000000000006E-2</v>
      </c>
      <c r="BF77" s="75">
        <v>7.1249999999999994E-2</v>
      </c>
      <c r="BG77" s="75">
        <v>3.7499999999999999E-2</v>
      </c>
      <c r="BH77" s="75">
        <v>8.2799999999999999E-2</v>
      </c>
      <c r="BI77" s="74">
        <f t="shared" si="14"/>
        <v>6.7654999999999993E-2</v>
      </c>
      <c r="BJ77" s="78"/>
      <c r="BK77" s="75"/>
      <c r="BL77" s="75"/>
      <c r="BM77" s="75">
        <v>0.05</v>
      </c>
      <c r="BN77" s="75">
        <v>5.2499999999999998E-2</v>
      </c>
      <c r="BO77" s="75">
        <v>6.25E-2</v>
      </c>
      <c r="BP77" s="75">
        <v>3.3750000000000002E-2</v>
      </c>
      <c r="BQ77" s="77">
        <v>7.8200000000000006E-2</v>
      </c>
      <c r="BR77" s="79">
        <f t="shared" si="15"/>
        <v>5.5390000000000009E-2</v>
      </c>
      <c r="BT77" s="281">
        <v>46023</v>
      </c>
      <c r="BU77" s="75">
        <v>4.1214285714285717E-2</v>
      </c>
      <c r="BV77" s="75">
        <v>4.0249999999999994E-2</v>
      </c>
      <c r="BW77" s="77">
        <v>3.5000000000000003E-2</v>
      </c>
    </row>
    <row r="78" spans="1:75" s="11" customFormat="1" x14ac:dyDescent="0.2">
      <c r="A78" s="61"/>
      <c r="O78" s="61"/>
      <c r="AU78" s="281">
        <v>46068</v>
      </c>
      <c r="AV78" s="75"/>
      <c r="AW78" s="75"/>
      <c r="AX78" s="75"/>
      <c r="AY78" s="75">
        <v>7.4999999999999997E-2</v>
      </c>
      <c r="AZ78" s="75">
        <v>6.8750000000000006E-2</v>
      </c>
      <c r="BA78" s="75">
        <v>5.8749999999999997E-2</v>
      </c>
      <c r="BB78" s="75">
        <v>6.6250000000000003E-2</v>
      </c>
      <c r="BC78" s="75">
        <v>7.1249999999999994E-2</v>
      </c>
      <c r="BD78" s="75">
        <v>7.6249999999999998E-2</v>
      </c>
      <c r="BE78" s="75">
        <v>6.8750000000000006E-2</v>
      </c>
      <c r="BF78" s="75">
        <v>7.1249999999999994E-2</v>
      </c>
      <c r="BG78" s="75">
        <v>3.7499999999999999E-2</v>
      </c>
      <c r="BH78" s="75">
        <v>8.2799999999999999E-2</v>
      </c>
      <c r="BI78" s="74">
        <f t="shared" si="14"/>
        <v>6.7654999999999993E-2</v>
      </c>
      <c r="BJ78" s="78"/>
      <c r="BK78" s="75"/>
      <c r="BL78" s="75"/>
      <c r="BM78" s="75">
        <v>0.05</v>
      </c>
      <c r="BN78" s="75">
        <v>5.2499999999999998E-2</v>
      </c>
      <c r="BO78" s="75">
        <v>6.25E-2</v>
      </c>
      <c r="BP78" s="75">
        <v>3.3750000000000002E-2</v>
      </c>
      <c r="BQ78" s="77">
        <v>7.8200000000000006E-2</v>
      </c>
      <c r="BR78" s="79">
        <f t="shared" si="15"/>
        <v>5.5390000000000009E-2</v>
      </c>
      <c r="BT78" s="281">
        <v>46054</v>
      </c>
      <c r="BU78" s="75">
        <v>4.1214285714285717E-2</v>
      </c>
      <c r="BV78" s="75">
        <v>4.0249999999999994E-2</v>
      </c>
      <c r="BW78" s="77">
        <v>3.5000000000000003E-2</v>
      </c>
    </row>
    <row r="79" spans="1:75" s="11" customFormat="1" x14ac:dyDescent="0.2">
      <c r="A79" s="61"/>
      <c r="O79" s="61"/>
      <c r="AU79" s="281">
        <v>46096</v>
      </c>
      <c r="AV79" s="75"/>
      <c r="AW79" s="75"/>
      <c r="AX79" s="75"/>
      <c r="AY79" s="75">
        <v>7.4999999999999997E-2</v>
      </c>
      <c r="AZ79" s="75">
        <v>6.8750000000000006E-2</v>
      </c>
      <c r="BA79" s="75">
        <v>5.8749999999999997E-2</v>
      </c>
      <c r="BB79" s="75">
        <v>6.6250000000000003E-2</v>
      </c>
      <c r="BC79" s="75">
        <v>7.1249999999999994E-2</v>
      </c>
      <c r="BD79" s="75">
        <v>7.6249999999999998E-2</v>
      </c>
      <c r="BE79" s="75">
        <v>6.8750000000000006E-2</v>
      </c>
      <c r="BF79" s="75">
        <v>7.1249999999999994E-2</v>
      </c>
      <c r="BG79" s="75">
        <v>3.7499999999999999E-2</v>
      </c>
      <c r="BH79" s="75">
        <v>8.2799999999999999E-2</v>
      </c>
      <c r="BI79" s="74">
        <f t="shared" si="14"/>
        <v>6.7654999999999993E-2</v>
      </c>
      <c r="BJ79" s="78"/>
      <c r="BK79" s="75"/>
      <c r="BL79" s="75"/>
      <c r="BM79" s="75">
        <v>0.05</v>
      </c>
      <c r="BN79" s="75">
        <v>5.2499999999999998E-2</v>
      </c>
      <c r="BO79" s="75">
        <v>6.25E-2</v>
      </c>
      <c r="BP79" s="75">
        <v>3.3750000000000002E-2</v>
      </c>
      <c r="BQ79" s="77">
        <v>7.8200000000000006E-2</v>
      </c>
      <c r="BR79" s="79">
        <f t="shared" si="15"/>
        <v>5.5390000000000009E-2</v>
      </c>
      <c r="BT79" s="281">
        <v>46082</v>
      </c>
      <c r="BU79" s="75">
        <v>4.1214285714285717E-2</v>
      </c>
      <c r="BV79" s="75">
        <v>4.0249999999999994E-2</v>
      </c>
      <c r="BW79" s="77">
        <v>3.5000000000000003E-2</v>
      </c>
    </row>
    <row r="80" spans="1:75" s="11" customFormat="1" x14ac:dyDescent="0.2">
      <c r="A80" s="61"/>
      <c r="O80" s="61"/>
      <c r="AU80" s="281">
        <v>46127</v>
      </c>
      <c r="AV80" s="75"/>
      <c r="AW80" s="75"/>
      <c r="AX80" s="75"/>
      <c r="AY80" s="75">
        <v>7.4999999999999997E-2</v>
      </c>
      <c r="AZ80" s="75">
        <v>6.8750000000000006E-2</v>
      </c>
      <c r="BA80" s="75">
        <v>5.8749999999999997E-2</v>
      </c>
      <c r="BB80" s="75">
        <v>6.6250000000000003E-2</v>
      </c>
      <c r="BC80" s="75">
        <v>7.1249999999999994E-2</v>
      </c>
      <c r="BD80" s="75">
        <v>7.6249999999999998E-2</v>
      </c>
      <c r="BE80" s="75">
        <v>6.8750000000000006E-2</v>
      </c>
      <c r="BF80" s="75">
        <v>7.1249999999999994E-2</v>
      </c>
      <c r="BG80" s="75">
        <v>3.7499999999999999E-2</v>
      </c>
      <c r="BH80" s="75">
        <v>8.2799999999999999E-2</v>
      </c>
      <c r="BI80" s="74">
        <f t="shared" si="14"/>
        <v>6.7654999999999993E-2</v>
      </c>
      <c r="BJ80" s="78"/>
      <c r="BK80" s="75"/>
      <c r="BL80" s="75"/>
      <c r="BM80" s="75">
        <v>0.05</v>
      </c>
      <c r="BN80" s="75">
        <v>5.2499999999999998E-2</v>
      </c>
      <c r="BO80" s="75">
        <v>6.25E-2</v>
      </c>
      <c r="BP80" s="75">
        <v>3.3750000000000002E-2</v>
      </c>
      <c r="BQ80" s="77">
        <v>7.8200000000000006E-2</v>
      </c>
      <c r="BR80" s="79">
        <f t="shared" si="15"/>
        <v>5.5390000000000009E-2</v>
      </c>
      <c r="BT80" s="281">
        <v>46113</v>
      </c>
      <c r="BU80" s="75">
        <v>4.1214285714285717E-2</v>
      </c>
      <c r="BV80" s="75">
        <v>4.0249999999999994E-2</v>
      </c>
      <c r="BW80" s="77">
        <v>3.5000000000000003E-2</v>
      </c>
    </row>
    <row r="81" spans="1:75" s="11" customFormat="1" x14ac:dyDescent="0.2">
      <c r="A81" s="61"/>
      <c r="O81" s="61"/>
      <c r="AU81" s="281">
        <v>46157</v>
      </c>
      <c r="AV81" s="75"/>
      <c r="AW81" s="75"/>
      <c r="AX81" s="75"/>
      <c r="AY81" s="75"/>
      <c r="AZ81" s="75">
        <v>6.8750000000000006E-2</v>
      </c>
      <c r="BA81" s="75">
        <v>5.8749999999999997E-2</v>
      </c>
      <c r="BB81" s="75">
        <v>6.6250000000000003E-2</v>
      </c>
      <c r="BC81" s="75">
        <v>7.1249999999999994E-2</v>
      </c>
      <c r="BD81" s="75">
        <v>7.6249999999999998E-2</v>
      </c>
      <c r="BE81" s="75">
        <v>6.8750000000000006E-2</v>
      </c>
      <c r="BF81" s="75">
        <v>7.1249999999999994E-2</v>
      </c>
      <c r="BG81" s="75">
        <v>3.7499999999999999E-2</v>
      </c>
      <c r="BH81" s="75">
        <v>8.2799999999999999E-2</v>
      </c>
      <c r="BI81" s="74">
        <f t="shared" si="14"/>
        <v>6.6838888888888892E-2</v>
      </c>
      <c r="BJ81" s="78"/>
      <c r="BK81" s="75"/>
      <c r="BL81" s="75"/>
      <c r="BM81" s="75">
        <v>0.05</v>
      </c>
      <c r="BN81" s="75">
        <v>5.2499999999999998E-2</v>
      </c>
      <c r="BO81" s="75">
        <v>6.25E-2</v>
      </c>
      <c r="BP81" s="75">
        <v>3.3750000000000002E-2</v>
      </c>
      <c r="BQ81" s="77">
        <v>7.8200000000000006E-2</v>
      </c>
      <c r="BR81" s="79">
        <f t="shared" si="15"/>
        <v>5.5390000000000009E-2</v>
      </c>
      <c r="BT81" s="281">
        <v>46143</v>
      </c>
      <c r="BU81" s="75">
        <v>4.1214285714285717E-2</v>
      </c>
      <c r="BV81" s="75">
        <v>4.0249999999999994E-2</v>
      </c>
      <c r="BW81" s="77">
        <v>3.5000000000000003E-2</v>
      </c>
    </row>
    <row r="82" spans="1:75" s="11" customFormat="1" x14ac:dyDescent="0.2">
      <c r="A82" s="61"/>
      <c r="O82" s="61"/>
      <c r="AU82" s="281">
        <v>46188</v>
      </c>
      <c r="AV82" s="75"/>
      <c r="AW82" s="75"/>
      <c r="AX82" s="75"/>
      <c r="AY82" s="75"/>
      <c r="AZ82" s="75">
        <v>6.8750000000000006E-2</v>
      </c>
      <c r="BA82" s="75">
        <v>5.8749999999999997E-2</v>
      </c>
      <c r="BB82" s="75">
        <v>6.6250000000000003E-2</v>
      </c>
      <c r="BC82" s="75">
        <v>7.1249999999999994E-2</v>
      </c>
      <c r="BD82" s="75">
        <v>7.6249999999999998E-2</v>
      </c>
      <c r="BE82" s="75">
        <v>6.8750000000000006E-2</v>
      </c>
      <c r="BF82" s="75">
        <v>7.1249999999999994E-2</v>
      </c>
      <c r="BG82" s="75">
        <v>3.7499999999999999E-2</v>
      </c>
      <c r="BH82" s="75">
        <v>8.2799999999999999E-2</v>
      </c>
      <c r="BI82" s="74">
        <f t="shared" si="14"/>
        <v>6.6838888888888892E-2</v>
      </c>
      <c r="BJ82" s="78"/>
      <c r="BK82" s="75"/>
      <c r="BL82" s="75"/>
      <c r="BM82" s="75">
        <v>0.05</v>
      </c>
      <c r="BN82" s="75">
        <v>5.2499999999999998E-2</v>
      </c>
      <c r="BO82" s="75">
        <v>6.25E-2</v>
      </c>
      <c r="BP82" s="75">
        <v>3.3750000000000002E-2</v>
      </c>
      <c r="BQ82" s="77">
        <v>7.8200000000000006E-2</v>
      </c>
      <c r="BR82" s="79">
        <f t="shared" si="15"/>
        <v>5.5390000000000009E-2</v>
      </c>
      <c r="BT82" s="281">
        <v>46174</v>
      </c>
      <c r="BU82" s="75">
        <v>4.1214285714285717E-2</v>
      </c>
      <c r="BV82" s="75">
        <v>4.0249999999999994E-2</v>
      </c>
      <c r="BW82" s="77">
        <v>3.5000000000000003E-2</v>
      </c>
    </row>
    <row r="83" spans="1:75" s="11" customFormat="1" x14ac:dyDescent="0.2">
      <c r="A83" s="61"/>
      <c r="O83" s="61"/>
      <c r="AU83" s="281">
        <v>46218</v>
      </c>
      <c r="AV83" s="75"/>
      <c r="AW83" s="75"/>
      <c r="AX83" s="75"/>
      <c r="AY83" s="75"/>
      <c r="AZ83" s="75">
        <v>6.8750000000000006E-2</v>
      </c>
      <c r="BA83" s="75">
        <v>5.8749999999999997E-2</v>
      </c>
      <c r="BB83" s="75">
        <v>6.6250000000000003E-2</v>
      </c>
      <c r="BC83" s="75">
        <v>7.1249999999999994E-2</v>
      </c>
      <c r="BD83" s="75">
        <v>7.6249999999999998E-2</v>
      </c>
      <c r="BE83" s="75">
        <v>6.8750000000000006E-2</v>
      </c>
      <c r="BF83" s="75">
        <v>7.1249999999999994E-2</v>
      </c>
      <c r="BG83" s="75">
        <v>3.7499999999999999E-2</v>
      </c>
      <c r="BH83" s="75">
        <v>8.2799999999999999E-2</v>
      </c>
      <c r="BI83" s="74">
        <f t="shared" si="14"/>
        <v>6.6838888888888892E-2</v>
      </c>
      <c r="BJ83" s="78"/>
      <c r="BK83" s="75"/>
      <c r="BL83" s="75"/>
      <c r="BM83" s="75">
        <v>0.05</v>
      </c>
      <c r="BN83" s="75">
        <v>5.2499999999999998E-2</v>
      </c>
      <c r="BO83" s="75">
        <v>6.25E-2</v>
      </c>
      <c r="BP83" s="75">
        <v>3.3750000000000002E-2</v>
      </c>
      <c r="BQ83" s="77">
        <v>7.8200000000000006E-2</v>
      </c>
      <c r="BR83" s="79">
        <f t="shared" si="15"/>
        <v>5.5390000000000009E-2</v>
      </c>
      <c r="BT83" s="281">
        <v>46204</v>
      </c>
      <c r="BU83" s="75">
        <v>4.1214285714285717E-2</v>
      </c>
      <c r="BV83" s="75">
        <v>4.0249999999999994E-2</v>
      </c>
      <c r="BW83" s="77">
        <v>3.5000000000000003E-2</v>
      </c>
    </row>
    <row r="84" spans="1:75" s="11" customFormat="1" x14ac:dyDescent="0.2">
      <c r="A84" s="61"/>
      <c r="O84" s="61"/>
      <c r="AU84" s="281">
        <v>46249</v>
      </c>
      <c r="AV84" s="75"/>
      <c r="AW84" s="75"/>
      <c r="AX84" s="75"/>
      <c r="AY84" s="75"/>
      <c r="AZ84" s="75">
        <v>6.8750000000000006E-2</v>
      </c>
      <c r="BA84" s="75">
        <v>5.8749999999999997E-2</v>
      </c>
      <c r="BB84" s="75">
        <v>6.6250000000000003E-2</v>
      </c>
      <c r="BC84" s="75">
        <v>7.1249999999999994E-2</v>
      </c>
      <c r="BD84" s="75">
        <v>7.6249999999999998E-2</v>
      </c>
      <c r="BE84" s="75">
        <v>6.8750000000000006E-2</v>
      </c>
      <c r="BF84" s="75">
        <v>7.1249999999999994E-2</v>
      </c>
      <c r="BG84" s="75">
        <v>3.7499999999999999E-2</v>
      </c>
      <c r="BH84" s="75">
        <v>8.2799999999999999E-2</v>
      </c>
      <c r="BI84" s="74">
        <f t="shared" si="14"/>
        <v>6.6838888888888892E-2</v>
      </c>
      <c r="BJ84" s="78"/>
      <c r="BK84" s="75"/>
      <c r="BL84" s="75"/>
      <c r="BM84" s="75">
        <v>0.05</v>
      </c>
      <c r="BN84" s="75">
        <v>5.2499999999999998E-2</v>
      </c>
      <c r="BO84" s="75">
        <v>6.25E-2</v>
      </c>
      <c r="BP84" s="75">
        <v>3.3750000000000002E-2</v>
      </c>
      <c r="BQ84" s="77">
        <v>7.8200000000000006E-2</v>
      </c>
      <c r="BR84" s="79">
        <f t="shared" si="15"/>
        <v>5.5390000000000009E-2</v>
      </c>
      <c r="BT84" s="281">
        <v>46235</v>
      </c>
      <c r="BU84" s="75">
        <v>4.1214285714285717E-2</v>
      </c>
      <c r="BV84" s="75">
        <v>4.0249999999999994E-2</v>
      </c>
      <c r="BW84" s="77">
        <v>3.5000000000000003E-2</v>
      </c>
    </row>
    <row r="85" spans="1:75" s="11" customFormat="1" x14ac:dyDescent="0.2">
      <c r="A85" s="61"/>
      <c r="O85" s="61"/>
      <c r="AU85" s="281">
        <v>46280</v>
      </c>
      <c r="AV85" s="75"/>
      <c r="AW85" s="75"/>
      <c r="AX85" s="75"/>
      <c r="AY85" s="75"/>
      <c r="AZ85" s="75">
        <v>6.8750000000000006E-2</v>
      </c>
      <c r="BA85" s="75">
        <v>5.8749999999999997E-2</v>
      </c>
      <c r="BB85" s="75">
        <v>6.6250000000000003E-2</v>
      </c>
      <c r="BC85" s="75">
        <v>7.1249999999999994E-2</v>
      </c>
      <c r="BD85" s="75">
        <v>7.6249999999999998E-2</v>
      </c>
      <c r="BE85" s="75">
        <v>6.8750000000000006E-2</v>
      </c>
      <c r="BF85" s="75">
        <v>7.1249999999999994E-2</v>
      </c>
      <c r="BG85" s="75">
        <v>3.7499999999999999E-2</v>
      </c>
      <c r="BH85" s="75">
        <v>8.2799999999999999E-2</v>
      </c>
      <c r="BI85" s="74">
        <f t="shared" si="14"/>
        <v>6.6838888888888892E-2</v>
      </c>
      <c r="BJ85" s="78"/>
      <c r="BK85" s="75"/>
      <c r="BL85" s="75"/>
      <c r="BM85" s="75">
        <v>0.05</v>
      </c>
      <c r="BN85" s="75">
        <v>5.2499999999999998E-2</v>
      </c>
      <c r="BO85" s="75">
        <v>6.25E-2</v>
      </c>
      <c r="BP85" s="75">
        <v>3.3750000000000002E-2</v>
      </c>
      <c r="BQ85" s="77">
        <v>7.8200000000000006E-2</v>
      </c>
      <c r="BR85" s="79">
        <f t="shared" si="15"/>
        <v>5.5390000000000009E-2</v>
      </c>
      <c r="BT85" s="281">
        <v>46266</v>
      </c>
      <c r="BU85" s="75">
        <v>4.1214285714285717E-2</v>
      </c>
      <c r="BV85" s="75">
        <v>4.0249999999999994E-2</v>
      </c>
      <c r="BW85" s="77">
        <v>3.5000000000000003E-2</v>
      </c>
    </row>
    <row r="86" spans="1:75" s="11" customFormat="1" x14ac:dyDescent="0.2">
      <c r="A86" s="61"/>
      <c r="O86" s="61"/>
      <c r="AU86" s="281">
        <v>46310</v>
      </c>
      <c r="AV86" s="75"/>
      <c r="AW86" s="75"/>
      <c r="AX86" s="75"/>
      <c r="AY86" s="75"/>
      <c r="AZ86" s="75">
        <v>6.8750000000000006E-2</v>
      </c>
      <c r="BA86" s="75">
        <v>5.8749999999999997E-2</v>
      </c>
      <c r="BB86" s="75">
        <v>6.6250000000000003E-2</v>
      </c>
      <c r="BC86" s="75">
        <v>7.1249999999999994E-2</v>
      </c>
      <c r="BD86" s="75">
        <v>7.6249999999999998E-2</v>
      </c>
      <c r="BE86" s="75">
        <v>6.8750000000000006E-2</v>
      </c>
      <c r="BF86" s="75">
        <v>7.1249999999999994E-2</v>
      </c>
      <c r="BG86" s="75">
        <v>3.7499999999999999E-2</v>
      </c>
      <c r="BH86" s="75">
        <v>8.2799999999999999E-2</v>
      </c>
      <c r="BI86" s="74">
        <f t="shared" si="14"/>
        <v>6.6838888888888892E-2</v>
      </c>
      <c r="BJ86" s="78"/>
      <c r="BK86" s="75"/>
      <c r="BL86" s="75"/>
      <c r="BM86" s="75">
        <v>0.05</v>
      </c>
      <c r="BN86" s="75">
        <v>5.2499999999999998E-2</v>
      </c>
      <c r="BO86" s="75">
        <v>6.25E-2</v>
      </c>
      <c r="BP86" s="75">
        <v>3.3750000000000002E-2</v>
      </c>
      <c r="BQ86" s="77">
        <v>7.8200000000000006E-2</v>
      </c>
      <c r="BR86" s="79">
        <f t="shared" si="15"/>
        <v>5.5390000000000009E-2</v>
      </c>
      <c r="BT86" s="281">
        <v>46296</v>
      </c>
      <c r="BU86" s="75">
        <v>4.1214285714285717E-2</v>
      </c>
      <c r="BV86" s="75">
        <v>4.0249999999999994E-2</v>
      </c>
      <c r="BW86" s="77">
        <v>3.5000000000000003E-2</v>
      </c>
    </row>
    <row r="87" spans="1:75" s="11" customFormat="1" x14ac:dyDescent="0.2">
      <c r="A87" s="61"/>
      <c r="O87" s="61"/>
      <c r="AU87" s="281">
        <v>46341</v>
      </c>
      <c r="AV87" s="75"/>
      <c r="AW87" s="75"/>
      <c r="AX87" s="75"/>
      <c r="AY87" s="75"/>
      <c r="AZ87" s="75">
        <v>6.8750000000000006E-2</v>
      </c>
      <c r="BA87" s="75">
        <v>5.8749999999999997E-2</v>
      </c>
      <c r="BB87" s="75">
        <v>6.6250000000000003E-2</v>
      </c>
      <c r="BC87" s="75">
        <v>7.1249999999999994E-2</v>
      </c>
      <c r="BD87" s="75">
        <v>7.6249999999999998E-2</v>
      </c>
      <c r="BE87" s="75">
        <v>6.8750000000000006E-2</v>
      </c>
      <c r="BF87" s="75">
        <v>7.1249999999999994E-2</v>
      </c>
      <c r="BG87" s="75">
        <v>3.7499999999999999E-2</v>
      </c>
      <c r="BH87" s="75">
        <v>8.2799999999999999E-2</v>
      </c>
      <c r="BI87" s="74">
        <f t="shared" si="14"/>
        <v>6.6838888888888892E-2</v>
      </c>
      <c r="BJ87" s="78"/>
      <c r="BK87" s="75"/>
      <c r="BL87" s="75"/>
      <c r="BM87" s="75">
        <v>0.05</v>
      </c>
      <c r="BN87" s="75">
        <v>5.2499999999999998E-2</v>
      </c>
      <c r="BO87" s="75">
        <v>6.25E-2</v>
      </c>
      <c r="BP87" s="75">
        <v>3.3750000000000002E-2</v>
      </c>
      <c r="BQ87" s="77">
        <v>7.8200000000000006E-2</v>
      </c>
      <c r="BR87" s="79">
        <f t="shared" si="15"/>
        <v>5.5390000000000009E-2</v>
      </c>
      <c r="BT87" s="281">
        <v>46327</v>
      </c>
      <c r="BU87" s="75">
        <v>4.1214285714285717E-2</v>
      </c>
      <c r="BV87" s="75">
        <v>4.0249999999999994E-2</v>
      </c>
      <c r="BW87" s="77">
        <v>3.5000000000000003E-2</v>
      </c>
    </row>
    <row r="88" spans="1:75" s="11" customFormat="1" x14ac:dyDescent="0.2">
      <c r="A88" s="61"/>
      <c r="O88" s="61"/>
      <c r="AU88" s="281">
        <v>46371</v>
      </c>
      <c r="AV88" s="75"/>
      <c r="AW88" s="75"/>
      <c r="AX88" s="75"/>
      <c r="AY88" s="75"/>
      <c r="AZ88" s="75">
        <v>6.8750000000000006E-2</v>
      </c>
      <c r="BA88" s="75">
        <v>5.8749999999999997E-2</v>
      </c>
      <c r="BB88" s="75">
        <v>6.6250000000000003E-2</v>
      </c>
      <c r="BC88" s="75">
        <v>7.1249999999999994E-2</v>
      </c>
      <c r="BD88" s="75">
        <v>7.6249999999999998E-2</v>
      </c>
      <c r="BE88" s="75">
        <v>6.8750000000000006E-2</v>
      </c>
      <c r="BF88" s="75">
        <v>7.1249999999999994E-2</v>
      </c>
      <c r="BG88" s="75">
        <v>3.7499999999999999E-2</v>
      </c>
      <c r="BH88" s="75">
        <v>8.2799999999999999E-2</v>
      </c>
      <c r="BI88" s="74">
        <f t="shared" si="14"/>
        <v>6.6838888888888892E-2</v>
      </c>
      <c r="BJ88" s="78"/>
      <c r="BK88" s="75"/>
      <c r="BL88" s="75"/>
      <c r="BM88" s="75">
        <v>0.05</v>
      </c>
      <c r="BN88" s="75">
        <v>5.2499999999999998E-2</v>
      </c>
      <c r="BO88" s="75">
        <v>6.25E-2</v>
      </c>
      <c r="BP88" s="75">
        <v>3.3750000000000002E-2</v>
      </c>
      <c r="BQ88" s="77">
        <v>7.8200000000000006E-2</v>
      </c>
      <c r="BR88" s="79">
        <f t="shared" si="15"/>
        <v>5.5390000000000009E-2</v>
      </c>
      <c r="BT88" s="281">
        <v>46357</v>
      </c>
      <c r="BU88" s="75">
        <v>4.1214285714285717E-2</v>
      </c>
      <c r="BV88" s="75">
        <v>4.0249999999999994E-2</v>
      </c>
      <c r="BW88" s="77">
        <v>3.5000000000000003E-2</v>
      </c>
    </row>
    <row r="89" spans="1:75" s="11" customFormat="1" x14ac:dyDescent="0.2">
      <c r="A89" s="61"/>
      <c r="O89" s="61"/>
      <c r="AU89" s="281">
        <v>46402</v>
      </c>
      <c r="AV89" s="75"/>
      <c r="AW89" s="75"/>
      <c r="AX89" s="75"/>
      <c r="AY89" s="75"/>
      <c r="AZ89" s="75">
        <v>6.8750000000000006E-2</v>
      </c>
      <c r="BA89" s="75">
        <v>5.8749999999999997E-2</v>
      </c>
      <c r="BB89" s="75">
        <v>6.6250000000000003E-2</v>
      </c>
      <c r="BC89" s="75">
        <v>7.1249999999999994E-2</v>
      </c>
      <c r="BD89" s="75">
        <v>7.6249999999999998E-2</v>
      </c>
      <c r="BE89" s="75">
        <v>6.8750000000000006E-2</v>
      </c>
      <c r="BF89" s="75">
        <v>7.1249999999999994E-2</v>
      </c>
      <c r="BG89" s="75">
        <v>3.7499999999999999E-2</v>
      </c>
      <c r="BH89" s="75">
        <v>8.2799999999999999E-2</v>
      </c>
      <c r="BI89" s="74">
        <f t="shared" si="14"/>
        <v>6.6838888888888892E-2</v>
      </c>
      <c r="BJ89" s="78"/>
      <c r="BK89" s="75"/>
      <c r="BL89" s="75"/>
      <c r="BM89" s="75">
        <v>0.05</v>
      </c>
      <c r="BN89" s="75">
        <v>5.2499999999999998E-2</v>
      </c>
      <c r="BO89" s="75">
        <v>6.25E-2</v>
      </c>
      <c r="BP89" s="75">
        <v>3.3750000000000002E-2</v>
      </c>
      <c r="BQ89" s="77">
        <v>7.8200000000000006E-2</v>
      </c>
      <c r="BR89" s="79">
        <f t="shared" si="15"/>
        <v>5.5390000000000009E-2</v>
      </c>
      <c r="BT89" s="281">
        <v>46388</v>
      </c>
      <c r="BU89" s="75">
        <v>4.5571428571428575E-2</v>
      </c>
      <c r="BV89" s="75">
        <v>4.2500000000000003E-2</v>
      </c>
      <c r="BW89" s="77">
        <v>3.5000000000000003E-2</v>
      </c>
    </row>
    <row r="90" spans="1:75" s="11" customFormat="1" x14ac:dyDescent="0.2">
      <c r="A90" s="61"/>
      <c r="O90" s="61"/>
      <c r="AU90" s="281">
        <v>46433</v>
      </c>
      <c r="AV90" s="75"/>
      <c r="AW90" s="75"/>
      <c r="AX90" s="75"/>
      <c r="AY90" s="75"/>
      <c r="AZ90" s="75"/>
      <c r="BA90" s="75">
        <v>5.8749999999999997E-2</v>
      </c>
      <c r="BB90" s="75">
        <v>6.6250000000000003E-2</v>
      </c>
      <c r="BC90" s="75">
        <v>7.1249999999999994E-2</v>
      </c>
      <c r="BD90" s="75">
        <v>7.6249999999999998E-2</v>
      </c>
      <c r="BE90" s="75">
        <v>6.8750000000000006E-2</v>
      </c>
      <c r="BF90" s="75">
        <v>7.1249999999999994E-2</v>
      </c>
      <c r="BG90" s="75">
        <v>3.7499999999999999E-2</v>
      </c>
      <c r="BH90" s="75">
        <v>8.2799999999999999E-2</v>
      </c>
      <c r="BI90" s="74">
        <f t="shared" si="14"/>
        <v>6.6599999999999993E-2</v>
      </c>
      <c r="BJ90" s="78"/>
      <c r="BK90" s="75"/>
      <c r="BL90" s="75"/>
      <c r="BM90" s="75"/>
      <c r="BN90" s="75">
        <v>5.2499999999999998E-2</v>
      </c>
      <c r="BO90" s="75">
        <v>6.25E-2</v>
      </c>
      <c r="BP90" s="75">
        <v>3.3750000000000002E-2</v>
      </c>
      <c r="BQ90" s="77">
        <v>7.8200000000000006E-2</v>
      </c>
      <c r="BR90" s="79">
        <f t="shared" si="15"/>
        <v>5.6737499999999996E-2</v>
      </c>
      <c r="BT90" s="281">
        <v>46419</v>
      </c>
      <c r="BU90" s="75">
        <v>4.5571428571428575E-2</v>
      </c>
      <c r="BV90" s="75">
        <v>4.2500000000000003E-2</v>
      </c>
      <c r="BW90" s="77">
        <v>3.5000000000000003E-2</v>
      </c>
    </row>
    <row r="91" spans="1:75" s="11" customFormat="1" x14ac:dyDescent="0.2">
      <c r="A91" s="61"/>
      <c r="O91" s="61"/>
      <c r="AU91" s="281">
        <v>46461</v>
      </c>
      <c r="AV91" s="75"/>
      <c r="AW91" s="75"/>
      <c r="AX91" s="75"/>
      <c r="AY91" s="75"/>
      <c r="AZ91" s="75"/>
      <c r="BA91" s="75">
        <v>5.8749999999999997E-2</v>
      </c>
      <c r="BB91" s="75">
        <v>6.6250000000000003E-2</v>
      </c>
      <c r="BC91" s="75">
        <v>7.1249999999999994E-2</v>
      </c>
      <c r="BD91" s="75">
        <v>7.6249999999999998E-2</v>
      </c>
      <c r="BE91" s="75">
        <v>6.8750000000000006E-2</v>
      </c>
      <c r="BF91" s="75">
        <v>7.1249999999999994E-2</v>
      </c>
      <c r="BG91" s="75">
        <v>3.7499999999999999E-2</v>
      </c>
      <c r="BH91" s="75">
        <v>8.2799999999999999E-2</v>
      </c>
      <c r="BI91" s="74">
        <f t="shared" si="14"/>
        <v>6.6599999999999993E-2</v>
      </c>
      <c r="BJ91" s="78"/>
      <c r="BK91" s="75"/>
      <c r="BL91" s="75"/>
      <c r="BM91" s="75"/>
      <c r="BN91" s="75">
        <v>5.2499999999999998E-2</v>
      </c>
      <c r="BO91" s="75">
        <v>6.25E-2</v>
      </c>
      <c r="BP91" s="75">
        <v>3.3750000000000002E-2</v>
      </c>
      <c r="BQ91" s="77">
        <v>7.8200000000000006E-2</v>
      </c>
      <c r="BR91" s="79">
        <f t="shared" si="15"/>
        <v>5.6737499999999996E-2</v>
      </c>
      <c r="BT91" s="281">
        <v>46447</v>
      </c>
      <c r="BU91" s="75">
        <v>4.5571428571428575E-2</v>
      </c>
      <c r="BV91" s="75">
        <v>4.2500000000000003E-2</v>
      </c>
      <c r="BW91" s="77">
        <v>3.5000000000000003E-2</v>
      </c>
    </row>
    <row r="92" spans="1:75" s="11" customFormat="1" x14ac:dyDescent="0.2">
      <c r="A92" s="61"/>
      <c r="O92" s="61"/>
      <c r="AU92" s="281">
        <v>46492</v>
      </c>
      <c r="AV92" s="75"/>
      <c r="AW92" s="75"/>
      <c r="AX92" s="75"/>
      <c r="AY92" s="75"/>
      <c r="AZ92" s="75"/>
      <c r="BA92" s="75">
        <v>5.8749999999999997E-2</v>
      </c>
      <c r="BB92" s="75">
        <v>6.6250000000000003E-2</v>
      </c>
      <c r="BC92" s="75">
        <v>7.1249999999999994E-2</v>
      </c>
      <c r="BD92" s="75">
        <v>7.6249999999999998E-2</v>
      </c>
      <c r="BE92" s="75">
        <v>6.8750000000000006E-2</v>
      </c>
      <c r="BF92" s="75">
        <v>7.1249999999999994E-2</v>
      </c>
      <c r="BG92" s="75">
        <v>3.7499999999999999E-2</v>
      </c>
      <c r="BH92" s="75">
        <v>8.2799999999999999E-2</v>
      </c>
      <c r="BI92" s="74">
        <f t="shared" si="14"/>
        <v>6.6599999999999993E-2</v>
      </c>
      <c r="BJ92" s="78"/>
      <c r="BK92" s="75"/>
      <c r="BL92" s="75"/>
      <c r="BM92" s="75"/>
      <c r="BN92" s="75">
        <v>5.2499999999999998E-2</v>
      </c>
      <c r="BO92" s="75">
        <v>6.25E-2</v>
      </c>
      <c r="BP92" s="75">
        <v>3.3750000000000002E-2</v>
      </c>
      <c r="BQ92" s="77">
        <v>7.8200000000000006E-2</v>
      </c>
      <c r="BR92" s="79">
        <f t="shared" si="15"/>
        <v>5.6737499999999996E-2</v>
      </c>
      <c r="BT92" s="281">
        <v>46478</v>
      </c>
      <c r="BU92" s="75">
        <v>4.5571428571428575E-2</v>
      </c>
      <c r="BV92" s="75">
        <v>4.2500000000000003E-2</v>
      </c>
      <c r="BW92" s="77">
        <v>3.5000000000000003E-2</v>
      </c>
    </row>
    <row r="93" spans="1:75" s="11" customFormat="1" x14ac:dyDescent="0.2">
      <c r="A93" s="61"/>
      <c r="O93" s="61"/>
      <c r="AU93" s="281">
        <v>46522</v>
      </c>
      <c r="AV93" s="75"/>
      <c r="AW93" s="75"/>
      <c r="AX93" s="75"/>
      <c r="AY93" s="75"/>
      <c r="AZ93" s="75"/>
      <c r="BA93" s="75">
        <v>5.8749999999999997E-2</v>
      </c>
      <c r="BB93" s="75">
        <v>6.6250000000000003E-2</v>
      </c>
      <c r="BC93" s="75">
        <v>7.1249999999999994E-2</v>
      </c>
      <c r="BD93" s="75">
        <v>7.6249999999999998E-2</v>
      </c>
      <c r="BE93" s="75">
        <v>6.8750000000000006E-2</v>
      </c>
      <c r="BF93" s="75">
        <v>7.1249999999999994E-2</v>
      </c>
      <c r="BG93" s="75">
        <v>3.7499999999999999E-2</v>
      </c>
      <c r="BH93" s="75">
        <v>8.2799999999999999E-2</v>
      </c>
      <c r="BI93" s="74">
        <f t="shared" si="14"/>
        <v>6.6599999999999993E-2</v>
      </c>
      <c r="BJ93" s="78"/>
      <c r="BK93" s="75"/>
      <c r="BL93" s="75"/>
      <c r="BM93" s="75"/>
      <c r="BN93" s="75">
        <v>5.2499999999999998E-2</v>
      </c>
      <c r="BO93" s="75">
        <v>6.25E-2</v>
      </c>
      <c r="BP93" s="75">
        <v>3.3750000000000002E-2</v>
      </c>
      <c r="BQ93" s="77">
        <v>7.8200000000000006E-2</v>
      </c>
      <c r="BR93" s="79">
        <f t="shared" si="15"/>
        <v>5.6737499999999996E-2</v>
      </c>
      <c r="BT93" s="281">
        <v>46508</v>
      </c>
      <c r="BU93" s="75">
        <v>4.5571428571428575E-2</v>
      </c>
      <c r="BV93" s="75">
        <v>4.2500000000000003E-2</v>
      </c>
      <c r="BW93" s="77">
        <v>3.5000000000000003E-2</v>
      </c>
    </row>
    <row r="94" spans="1:75" s="11" customFormat="1" x14ac:dyDescent="0.2">
      <c r="A94" s="61"/>
      <c r="O94" s="61"/>
      <c r="AU94" s="281">
        <v>46553</v>
      </c>
      <c r="AV94" s="75"/>
      <c r="AW94" s="75"/>
      <c r="AX94" s="75"/>
      <c r="AY94" s="75"/>
      <c r="AZ94" s="75"/>
      <c r="BA94" s="75">
        <v>5.8749999999999997E-2</v>
      </c>
      <c r="BB94" s="75">
        <v>6.6250000000000003E-2</v>
      </c>
      <c r="BC94" s="75">
        <v>7.1249999999999994E-2</v>
      </c>
      <c r="BD94" s="75">
        <v>7.6249999999999998E-2</v>
      </c>
      <c r="BE94" s="75">
        <v>6.8750000000000006E-2</v>
      </c>
      <c r="BF94" s="75">
        <v>7.1249999999999994E-2</v>
      </c>
      <c r="BG94" s="75">
        <v>3.7499999999999999E-2</v>
      </c>
      <c r="BH94" s="75">
        <v>8.2799999999999999E-2</v>
      </c>
      <c r="BI94" s="74">
        <f t="shared" si="14"/>
        <v>6.6599999999999993E-2</v>
      </c>
      <c r="BJ94" s="78"/>
      <c r="BK94" s="75"/>
      <c r="BL94" s="75"/>
      <c r="BM94" s="75"/>
      <c r="BN94" s="75">
        <v>5.2499999999999998E-2</v>
      </c>
      <c r="BO94" s="75">
        <v>6.25E-2</v>
      </c>
      <c r="BP94" s="75">
        <v>3.3750000000000002E-2</v>
      </c>
      <c r="BQ94" s="77">
        <v>7.8200000000000006E-2</v>
      </c>
      <c r="BR94" s="79">
        <f t="shared" si="15"/>
        <v>5.6737499999999996E-2</v>
      </c>
      <c r="BT94" s="281">
        <v>46539</v>
      </c>
      <c r="BU94" s="75">
        <v>4.5571428571428575E-2</v>
      </c>
      <c r="BV94" s="75">
        <v>4.2500000000000003E-2</v>
      </c>
      <c r="BW94" s="77">
        <v>3.5000000000000003E-2</v>
      </c>
    </row>
    <row r="95" spans="1:75" s="11" customFormat="1" x14ac:dyDescent="0.2">
      <c r="A95" s="61"/>
      <c r="O95" s="61"/>
      <c r="AU95" s="281">
        <v>46583</v>
      </c>
      <c r="AV95" s="75"/>
      <c r="AW95" s="75"/>
      <c r="AX95" s="75"/>
      <c r="AY95" s="75"/>
      <c r="AZ95" s="75"/>
      <c r="BA95" s="75">
        <v>5.8749999999999997E-2</v>
      </c>
      <c r="BB95" s="75">
        <v>6.6250000000000003E-2</v>
      </c>
      <c r="BC95" s="75">
        <v>7.1249999999999994E-2</v>
      </c>
      <c r="BD95" s="75">
        <v>7.6249999999999998E-2</v>
      </c>
      <c r="BE95" s="75">
        <v>6.8750000000000006E-2</v>
      </c>
      <c r="BF95" s="75">
        <v>7.1249999999999994E-2</v>
      </c>
      <c r="BG95" s="75">
        <v>3.7499999999999999E-2</v>
      </c>
      <c r="BH95" s="75">
        <v>8.2799999999999999E-2</v>
      </c>
      <c r="BI95" s="74">
        <f t="shared" si="14"/>
        <v>6.6599999999999993E-2</v>
      </c>
      <c r="BJ95" s="78"/>
      <c r="BK95" s="75"/>
      <c r="BL95" s="75"/>
      <c r="BM95" s="75"/>
      <c r="BN95" s="75">
        <v>5.2499999999999998E-2</v>
      </c>
      <c r="BO95" s="75">
        <v>6.25E-2</v>
      </c>
      <c r="BP95" s="75">
        <v>3.3750000000000002E-2</v>
      </c>
      <c r="BQ95" s="77">
        <v>7.8200000000000006E-2</v>
      </c>
      <c r="BR95" s="79">
        <f t="shared" si="15"/>
        <v>5.6737499999999996E-2</v>
      </c>
      <c r="BT95" s="281">
        <v>46569</v>
      </c>
      <c r="BU95" s="75">
        <v>4.5571428571428575E-2</v>
      </c>
      <c r="BV95" s="75">
        <v>4.2500000000000003E-2</v>
      </c>
      <c r="BW95" s="77">
        <v>3.5000000000000003E-2</v>
      </c>
    </row>
    <row r="96" spans="1:75" s="11" customFormat="1" x14ac:dyDescent="0.2">
      <c r="A96" s="61"/>
      <c r="O96" s="61"/>
      <c r="AU96" s="281">
        <v>46614</v>
      </c>
      <c r="AV96" s="75"/>
      <c r="AW96" s="75"/>
      <c r="AX96" s="75"/>
      <c r="AY96" s="75"/>
      <c r="AZ96" s="75"/>
      <c r="BA96" s="75">
        <v>5.8749999999999997E-2</v>
      </c>
      <c r="BB96" s="75">
        <v>6.6250000000000003E-2</v>
      </c>
      <c r="BC96" s="75">
        <v>7.1249999999999994E-2</v>
      </c>
      <c r="BD96" s="75">
        <v>7.6249999999999998E-2</v>
      </c>
      <c r="BE96" s="75">
        <v>6.8750000000000006E-2</v>
      </c>
      <c r="BF96" s="75">
        <v>7.1249999999999994E-2</v>
      </c>
      <c r="BG96" s="75">
        <v>3.7499999999999999E-2</v>
      </c>
      <c r="BH96" s="75">
        <v>8.2799999999999999E-2</v>
      </c>
      <c r="BI96" s="74">
        <f t="shared" si="14"/>
        <v>6.6599999999999993E-2</v>
      </c>
      <c r="BJ96" s="78"/>
      <c r="BK96" s="75"/>
      <c r="BL96" s="75"/>
      <c r="BM96" s="75"/>
      <c r="BN96" s="75">
        <v>5.2499999999999998E-2</v>
      </c>
      <c r="BO96" s="75">
        <v>6.25E-2</v>
      </c>
      <c r="BP96" s="75">
        <v>3.3750000000000002E-2</v>
      </c>
      <c r="BQ96" s="77">
        <v>7.8200000000000006E-2</v>
      </c>
      <c r="BR96" s="79">
        <f t="shared" si="15"/>
        <v>5.6737499999999996E-2</v>
      </c>
      <c r="BT96" s="281">
        <v>46600</v>
      </c>
      <c r="BU96" s="75">
        <v>4.5571428571428575E-2</v>
      </c>
      <c r="BV96" s="75">
        <v>4.2500000000000003E-2</v>
      </c>
      <c r="BW96" s="77">
        <v>3.5000000000000003E-2</v>
      </c>
    </row>
    <row r="97" spans="1:75" s="11" customFormat="1" x14ac:dyDescent="0.2">
      <c r="A97" s="61"/>
      <c r="O97" s="61"/>
      <c r="AU97" s="281">
        <v>46645</v>
      </c>
      <c r="AV97" s="75"/>
      <c r="AW97" s="75"/>
      <c r="AX97" s="75"/>
      <c r="AY97" s="75"/>
      <c r="AZ97" s="75"/>
      <c r="BA97" s="75">
        <v>5.8749999999999997E-2</v>
      </c>
      <c r="BB97" s="75">
        <v>6.6250000000000003E-2</v>
      </c>
      <c r="BC97" s="75">
        <v>7.1249999999999994E-2</v>
      </c>
      <c r="BD97" s="75">
        <v>7.6249999999999998E-2</v>
      </c>
      <c r="BE97" s="75">
        <v>6.8750000000000006E-2</v>
      </c>
      <c r="BF97" s="75">
        <v>7.1249999999999994E-2</v>
      </c>
      <c r="BG97" s="75">
        <v>3.7499999999999999E-2</v>
      </c>
      <c r="BH97" s="75">
        <v>8.2799999999999999E-2</v>
      </c>
      <c r="BI97" s="74">
        <f t="shared" si="14"/>
        <v>6.6599999999999993E-2</v>
      </c>
      <c r="BJ97" s="78"/>
      <c r="BK97" s="75"/>
      <c r="BL97" s="75"/>
      <c r="BM97" s="75"/>
      <c r="BN97" s="75">
        <v>5.2499999999999998E-2</v>
      </c>
      <c r="BO97" s="75">
        <v>6.25E-2</v>
      </c>
      <c r="BP97" s="75">
        <v>3.3750000000000002E-2</v>
      </c>
      <c r="BQ97" s="77">
        <v>7.8200000000000006E-2</v>
      </c>
      <c r="BR97" s="79">
        <f t="shared" si="15"/>
        <v>5.6737499999999996E-2</v>
      </c>
      <c r="BT97" s="281">
        <v>46631</v>
      </c>
      <c r="BU97" s="75">
        <v>4.5571428571428575E-2</v>
      </c>
      <c r="BV97" s="75">
        <v>4.2500000000000003E-2</v>
      </c>
      <c r="BW97" s="77">
        <v>3.5000000000000003E-2</v>
      </c>
    </row>
    <row r="98" spans="1:75" s="11" customFormat="1" x14ac:dyDescent="0.2">
      <c r="A98" s="61"/>
      <c r="O98" s="61"/>
      <c r="AU98" s="281">
        <v>46675</v>
      </c>
      <c r="AV98" s="75"/>
      <c r="AW98" s="75"/>
      <c r="AX98" s="75"/>
      <c r="AY98" s="75"/>
      <c r="AZ98" s="75"/>
      <c r="BA98" s="75">
        <v>5.8749999999999997E-2</v>
      </c>
      <c r="BB98" s="75">
        <v>6.6250000000000003E-2</v>
      </c>
      <c r="BC98" s="75">
        <v>7.1249999999999994E-2</v>
      </c>
      <c r="BD98" s="75">
        <v>7.6249999999999998E-2</v>
      </c>
      <c r="BE98" s="75">
        <v>6.8750000000000006E-2</v>
      </c>
      <c r="BF98" s="75">
        <v>7.1249999999999994E-2</v>
      </c>
      <c r="BG98" s="75">
        <v>3.7499999999999999E-2</v>
      </c>
      <c r="BH98" s="75">
        <v>8.2799999999999999E-2</v>
      </c>
      <c r="BI98" s="74">
        <f t="shared" si="14"/>
        <v>6.6599999999999993E-2</v>
      </c>
      <c r="BJ98" s="78"/>
      <c r="BK98" s="75"/>
      <c r="BL98" s="75"/>
      <c r="BM98" s="75"/>
      <c r="BN98" s="75">
        <v>5.2499999999999998E-2</v>
      </c>
      <c r="BO98" s="75">
        <v>6.25E-2</v>
      </c>
      <c r="BP98" s="75">
        <v>3.3750000000000002E-2</v>
      </c>
      <c r="BQ98" s="77">
        <v>7.8200000000000006E-2</v>
      </c>
      <c r="BR98" s="79">
        <f t="shared" si="15"/>
        <v>5.6737499999999996E-2</v>
      </c>
      <c r="BT98" s="281">
        <v>46661</v>
      </c>
      <c r="BU98" s="75">
        <v>4.5571428571428575E-2</v>
      </c>
      <c r="BV98" s="75">
        <v>4.2500000000000003E-2</v>
      </c>
      <c r="BW98" s="77">
        <v>3.5000000000000003E-2</v>
      </c>
    </row>
    <row r="99" spans="1:75" s="11" customFormat="1" x14ac:dyDescent="0.2">
      <c r="A99" s="61"/>
      <c r="O99" s="61"/>
      <c r="AU99" s="281">
        <v>46706</v>
      </c>
      <c r="AV99" s="75"/>
      <c r="AW99" s="75"/>
      <c r="AX99" s="75"/>
      <c r="AY99" s="75"/>
      <c r="AZ99" s="75"/>
      <c r="BA99" s="75">
        <v>5.8749999999999997E-2</v>
      </c>
      <c r="BB99" s="75">
        <v>6.6250000000000003E-2</v>
      </c>
      <c r="BC99" s="75">
        <v>7.1249999999999994E-2</v>
      </c>
      <c r="BD99" s="75">
        <v>7.6249999999999998E-2</v>
      </c>
      <c r="BE99" s="75">
        <v>6.8750000000000006E-2</v>
      </c>
      <c r="BF99" s="75">
        <v>7.1249999999999994E-2</v>
      </c>
      <c r="BG99" s="75">
        <v>3.7499999999999999E-2</v>
      </c>
      <c r="BH99" s="75">
        <v>8.2799999999999999E-2</v>
      </c>
      <c r="BI99" s="74">
        <f t="shared" si="14"/>
        <v>6.6599999999999993E-2</v>
      </c>
      <c r="BJ99" s="78"/>
      <c r="BK99" s="75"/>
      <c r="BL99" s="75"/>
      <c r="BM99" s="75"/>
      <c r="BN99" s="75">
        <v>5.2499999999999998E-2</v>
      </c>
      <c r="BO99" s="75">
        <v>6.25E-2</v>
      </c>
      <c r="BP99" s="75">
        <v>3.3750000000000002E-2</v>
      </c>
      <c r="BQ99" s="77">
        <v>7.8200000000000006E-2</v>
      </c>
      <c r="BR99" s="79">
        <f t="shared" si="15"/>
        <v>5.6737499999999996E-2</v>
      </c>
      <c r="BT99" s="281">
        <v>46692</v>
      </c>
      <c r="BU99" s="75">
        <v>4.5571428571428575E-2</v>
      </c>
      <c r="BV99" s="75">
        <v>4.2500000000000003E-2</v>
      </c>
      <c r="BW99" s="77">
        <v>3.5000000000000003E-2</v>
      </c>
    </row>
    <row r="100" spans="1:75" s="11" customFormat="1" x14ac:dyDescent="0.2">
      <c r="A100" s="61"/>
      <c r="O100" s="61"/>
      <c r="AU100" s="281">
        <v>46736</v>
      </c>
      <c r="AV100" s="75"/>
      <c r="AW100" s="75"/>
      <c r="AX100" s="75"/>
      <c r="AY100" s="75"/>
      <c r="AZ100" s="75"/>
      <c r="BA100" s="75">
        <v>5.8749999999999997E-2</v>
      </c>
      <c r="BB100" s="75">
        <v>6.6250000000000003E-2</v>
      </c>
      <c r="BC100" s="75">
        <v>7.1249999999999994E-2</v>
      </c>
      <c r="BD100" s="75">
        <v>7.6249999999999998E-2</v>
      </c>
      <c r="BE100" s="75">
        <v>6.8750000000000006E-2</v>
      </c>
      <c r="BF100" s="75">
        <v>7.1249999999999994E-2</v>
      </c>
      <c r="BG100" s="75">
        <v>3.7499999999999999E-2</v>
      </c>
      <c r="BH100" s="75">
        <v>8.2799999999999999E-2</v>
      </c>
      <c r="BI100" s="74">
        <f t="shared" si="14"/>
        <v>6.6599999999999993E-2</v>
      </c>
      <c r="BJ100" s="78"/>
      <c r="BK100" s="75"/>
      <c r="BL100" s="75"/>
      <c r="BM100" s="75"/>
      <c r="BN100" s="75">
        <v>5.2499999999999998E-2</v>
      </c>
      <c r="BO100" s="75">
        <v>6.25E-2</v>
      </c>
      <c r="BP100" s="75">
        <v>3.3750000000000002E-2</v>
      </c>
      <c r="BQ100" s="77">
        <v>7.8200000000000006E-2</v>
      </c>
      <c r="BR100" s="79">
        <f t="shared" si="15"/>
        <v>5.6737499999999996E-2</v>
      </c>
      <c r="BT100" s="281">
        <v>46722</v>
      </c>
      <c r="BU100" s="75">
        <v>4.5571428571428575E-2</v>
      </c>
      <c r="BV100" s="75">
        <v>4.2500000000000003E-2</v>
      </c>
      <c r="BW100" s="77">
        <v>3.5000000000000003E-2</v>
      </c>
    </row>
    <row r="101" spans="1:75" s="11" customFormat="1" x14ac:dyDescent="0.2">
      <c r="A101" s="61"/>
      <c r="O101" s="61"/>
      <c r="AU101" s="281">
        <v>46767</v>
      </c>
      <c r="AV101" s="75"/>
      <c r="AW101" s="75"/>
      <c r="AX101" s="75"/>
      <c r="AY101" s="75"/>
      <c r="AZ101" s="75"/>
      <c r="BA101" s="75"/>
      <c r="BB101" s="75">
        <v>6.6250000000000003E-2</v>
      </c>
      <c r="BC101" s="75">
        <v>7.1249999999999994E-2</v>
      </c>
      <c r="BD101" s="75">
        <v>7.6249999999999998E-2</v>
      </c>
      <c r="BE101" s="75">
        <v>6.8750000000000006E-2</v>
      </c>
      <c r="BF101" s="75">
        <v>7.1249999999999994E-2</v>
      </c>
      <c r="BG101" s="75">
        <v>3.7499999999999999E-2</v>
      </c>
      <c r="BH101" s="75">
        <v>8.2799999999999999E-2</v>
      </c>
      <c r="BI101" s="74">
        <f t="shared" si="14"/>
        <v>6.7721428571428557E-2</v>
      </c>
      <c r="BJ101" s="78"/>
      <c r="BK101" s="75"/>
      <c r="BL101" s="75"/>
      <c r="BM101" s="75"/>
      <c r="BN101" s="75">
        <v>5.2499999999999998E-2</v>
      </c>
      <c r="BO101" s="75">
        <v>6.25E-2</v>
      </c>
      <c r="BP101" s="75">
        <v>3.3750000000000002E-2</v>
      </c>
      <c r="BQ101" s="77">
        <v>7.8200000000000006E-2</v>
      </c>
      <c r="BR101" s="79">
        <f t="shared" si="15"/>
        <v>5.6737499999999996E-2</v>
      </c>
      <c r="BT101" s="281">
        <v>46753</v>
      </c>
      <c r="BU101" s="75">
        <v>5.0666666666666665E-2</v>
      </c>
      <c r="BV101" s="75">
        <v>4.2500000000000003E-2</v>
      </c>
      <c r="BW101" s="77">
        <v>3.5000000000000003E-2</v>
      </c>
    </row>
    <row r="102" spans="1:75" s="11" customFormat="1" x14ac:dyDescent="0.2">
      <c r="A102" s="61"/>
      <c r="O102" s="61"/>
      <c r="AU102" s="281">
        <v>46798</v>
      </c>
      <c r="AV102" s="75"/>
      <c r="AW102" s="75"/>
      <c r="AX102" s="75"/>
      <c r="AY102" s="75"/>
      <c r="AZ102" s="75"/>
      <c r="BA102" s="75"/>
      <c r="BB102" s="75">
        <v>6.6250000000000003E-2</v>
      </c>
      <c r="BC102" s="75">
        <v>7.1249999999999994E-2</v>
      </c>
      <c r="BD102" s="75">
        <v>7.6249999999999998E-2</v>
      </c>
      <c r="BE102" s="75">
        <v>6.8750000000000006E-2</v>
      </c>
      <c r="BF102" s="75">
        <v>7.1249999999999994E-2</v>
      </c>
      <c r="BG102" s="75">
        <v>3.7499999999999999E-2</v>
      </c>
      <c r="BH102" s="75">
        <v>8.2799999999999999E-2</v>
      </c>
      <c r="BI102" s="74">
        <f t="shared" si="14"/>
        <v>6.7721428571428557E-2</v>
      </c>
      <c r="BJ102" s="78"/>
      <c r="BK102" s="75"/>
      <c r="BL102" s="75"/>
      <c r="BM102" s="75"/>
      <c r="BN102" s="75"/>
      <c r="BO102" s="75">
        <v>6.25E-2</v>
      </c>
      <c r="BP102" s="75">
        <v>3.3750000000000002E-2</v>
      </c>
      <c r="BQ102" s="77">
        <v>7.8200000000000006E-2</v>
      </c>
      <c r="BR102" s="79">
        <f t="shared" si="15"/>
        <v>5.815E-2</v>
      </c>
      <c r="BT102" s="281">
        <v>46784</v>
      </c>
      <c r="BU102" s="75">
        <v>5.0666666666666665E-2</v>
      </c>
      <c r="BV102" s="75">
        <v>4.2500000000000003E-2</v>
      </c>
      <c r="BW102" s="77">
        <v>3.5000000000000003E-2</v>
      </c>
    </row>
    <row r="103" spans="1:75" s="11" customFormat="1" x14ac:dyDescent="0.2">
      <c r="A103" s="61"/>
      <c r="O103" s="61"/>
      <c r="AU103" s="281">
        <v>46827</v>
      </c>
      <c r="AV103" s="75"/>
      <c r="AW103" s="75"/>
      <c r="AX103" s="75"/>
      <c r="AY103" s="75"/>
      <c r="AZ103" s="75"/>
      <c r="BA103" s="75"/>
      <c r="BB103" s="75">
        <v>6.6250000000000003E-2</v>
      </c>
      <c r="BC103" s="75">
        <v>7.1249999999999994E-2</v>
      </c>
      <c r="BD103" s="75">
        <v>7.6249999999999998E-2</v>
      </c>
      <c r="BE103" s="75">
        <v>6.8750000000000006E-2</v>
      </c>
      <c r="BF103" s="75">
        <v>7.1249999999999994E-2</v>
      </c>
      <c r="BG103" s="75">
        <v>3.7499999999999999E-2</v>
      </c>
      <c r="BH103" s="75">
        <v>8.2799999999999999E-2</v>
      </c>
      <c r="BI103" s="74">
        <f t="shared" si="14"/>
        <v>6.7721428571428557E-2</v>
      </c>
      <c r="BJ103" s="78"/>
      <c r="BK103" s="75"/>
      <c r="BL103" s="75"/>
      <c r="BM103" s="75"/>
      <c r="BN103" s="75"/>
      <c r="BO103" s="75">
        <v>6.25E-2</v>
      </c>
      <c r="BP103" s="75">
        <v>3.3750000000000002E-2</v>
      </c>
      <c r="BQ103" s="77">
        <v>7.8200000000000006E-2</v>
      </c>
      <c r="BR103" s="79">
        <f t="shared" si="15"/>
        <v>5.815E-2</v>
      </c>
      <c r="BT103" s="281">
        <v>46813</v>
      </c>
      <c r="BU103" s="75">
        <v>5.0666666666666665E-2</v>
      </c>
      <c r="BV103" s="75">
        <v>4.2500000000000003E-2</v>
      </c>
      <c r="BW103" s="77">
        <v>3.8750000000000007E-2</v>
      </c>
    </row>
    <row r="104" spans="1:75" s="11" customFormat="1" x14ac:dyDescent="0.2">
      <c r="A104" s="61"/>
      <c r="O104" s="61"/>
      <c r="AU104" s="281">
        <v>46858</v>
      </c>
      <c r="AV104" s="75"/>
      <c r="AW104" s="75"/>
      <c r="AX104" s="75"/>
      <c r="AY104" s="75"/>
      <c r="AZ104" s="75"/>
      <c r="BA104" s="75"/>
      <c r="BB104" s="75">
        <v>6.6250000000000003E-2</v>
      </c>
      <c r="BC104" s="75">
        <v>7.1249999999999994E-2</v>
      </c>
      <c r="BD104" s="75">
        <v>7.6249999999999998E-2</v>
      </c>
      <c r="BE104" s="75">
        <v>6.8750000000000006E-2</v>
      </c>
      <c r="BF104" s="75">
        <v>7.1249999999999994E-2</v>
      </c>
      <c r="BG104" s="75">
        <v>3.7499999999999999E-2</v>
      </c>
      <c r="BH104" s="75">
        <v>8.2799999999999999E-2</v>
      </c>
      <c r="BI104" s="74">
        <f t="shared" si="14"/>
        <v>6.7721428571428557E-2</v>
      </c>
      <c r="BJ104" s="78"/>
      <c r="BK104" s="75"/>
      <c r="BL104" s="75"/>
      <c r="BM104" s="75"/>
      <c r="BN104" s="75"/>
      <c r="BO104" s="75">
        <v>6.25E-2</v>
      </c>
      <c r="BP104" s="75">
        <v>3.3750000000000002E-2</v>
      </c>
      <c r="BQ104" s="77">
        <v>7.8200000000000006E-2</v>
      </c>
      <c r="BR104" s="79">
        <f t="shared" si="15"/>
        <v>5.815E-2</v>
      </c>
      <c r="BT104" s="281">
        <v>46844</v>
      </c>
      <c r="BU104" s="75">
        <v>5.0666666666666665E-2</v>
      </c>
      <c r="BV104" s="75">
        <v>4.2500000000000003E-2</v>
      </c>
      <c r="BW104" s="77">
        <v>3.8750000000000007E-2</v>
      </c>
    </row>
    <row r="105" spans="1:75" s="11" customFormat="1" x14ac:dyDescent="0.2">
      <c r="A105" s="61"/>
      <c r="O105" s="61"/>
      <c r="AU105" s="281">
        <v>46888</v>
      </c>
      <c r="AV105" s="75"/>
      <c r="AW105" s="75"/>
      <c r="AX105" s="75"/>
      <c r="AY105" s="75"/>
      <c r="AZ105" s="75"/>
      <c r="BA105" s="75"/>
      <c r="BB105" s="75">
        <v>6.6250000000000003E-2</v>
      </c>
      <c r="BC105" s="75">
        <v>7.1249999999999994E-2</v>
      </c>
      <c r="BD105" s="75">
        <v>7.6249999999999998E-2</v>
      </c>
      <c r="BE105" s="75">
        <v>6.8750000000000006E-2</v>
      </c>
      <c r="BF105" s="75">
        <v>7.1249999999999994E-2</v>
      </c>
      <c r="BG105" s="75">
        <v>3.7499999999999999E-2</v>
      </c>
      <c r="BH105" s="75">
        <v>8.2799999999999999E-2</v>
      </c>
      <c r="BI105" s="74">
        <f t="shared" si="14"/>
        <v>6.7721428571428557E-2</v>
      </c>
      <c r="BJ105" s="78"/>
      <c r="BK105" s="75"/>
      <c r="BL105" s="75"/>
      <c r="BM105" s="75"/>
      <c r="BN105" s="75"/>
      <c r="BO105" s="75">
        <v>6.25E-2</v>
      </c>
      <c r="BP105" s="75">
        <v>3.3750000000000002E-2</v>
      </c>
      <c r="BQ105" s="77">
        <v>7.8200000000000006E-2</v>
      </c>
      <c r="BR105" s="79">
        <f t="shared" si="15"/>
        <v>5.815E-2</v>
      </c>
      <c r="BT105" s="281">
        <v>46874</v>
      </c>
      <c r="BU105" s="75">
        <v>5.0666666666666665E-2</v>
      </c>
      <c r="BV105" s="75">
        <v>4.2500000000000003E-2</v>
      </c>
      <c r="BW105" s="77">
        <v>3.8750000000000007E-2</v>
      </c>
    </row>
    <row r="106" spans="1:75" s="11" customFormat="1" x14ac:dyDescent="0.2">
      <c r="A106" s="61"/>
      <c r="O106" s="61"/>
      <c r="AU106" s="281">
        <v>46919</v>
      </c>
      <c r="AV106" s="75"/>
      <c r="AW106" s="75"/>
      <c r="AX106" s="75"/>
      <c r="AY106" s="75"/>
      <c r="AZ106" s="75"/>
      <c r="BA106" s="75"/>
      <c r="BB106" s="75">
        <v>6.6250000000000003E-2</v>
      </c>
      <c r="BC106" s="75">
        <v>7.1249999999999994E-2</v>
      </c>
      <c r="BD106" s="75">
        <v>7.6249999999999998E-2</v>
      </c>
      <c r="BE106" s="75">
        <v>6.8750000000000006E-2</v>
      </c>
      <c r="BF106" s="75">
        <v>7.1249999999999994E-2</v>
      </c>
      <c r="BG106" s="75">
        <v>3.7499999999999999E-2</v>
      </c>
      <c r="BH106" s="75">
        <v>8.2799999999999999E-2</v>
      </c>
      <c r="BI106" s="74">
        <f t="shared" si="14"/>
        <v>6.7721428571428557E-2</v>
      </c>
      <c r="BJ106" s="78"/>
      <c r="BK106" s="75"/>
      <c r="BL106" s="75"/>
      <c r="BM106" s="75"/>
      <c r="BN106" s="75"/>
      <c r="BO106" s="75">
        <v>6.25E-2</v>
      </c>
      <c r="BP106" s="75">
        <v>3.3750000000000002E-2</v>
      </c>
      <c r="BQ106" s="77">
        <v>7.8200000000000006E-2</v>
      </c>
      <c r="BR106" s="79">
        <f t="shared" si="15"/>
        <v>5.815E-2</v>
      </c>
      <c r="BT106" s="281">
        <v>46905</v>
      </c>
      <c r="BU106" s="75">
        <v>5.0666666666666665E-2</v>
      </c>
      <c r="BV106" s="75">
        <v>4.2500000000000003E-2</v>
      </c>
      <c r="BW106" s="77">
        <v>3.8750000000000007E-2</v>
      </c>
    </row>
    <row r="107" spans="1:75" s="11" customFormat="1" x14ac:dyDescent="0.2">
      <c r="A107" s="61"/>
      <c r="O107" s="61"/>
      <c r="AU107" s="281">
        <v>46949</v>
      </c>
      <c r="AV107" s="75"/>
      <c r="AW107" s="75"/>
      <c r="AX107" s="75"/>
      <c r="AY107" s="75"/>
      <c r="AZ107" s="75"/>
      <c r="BA107" s="75"/>
      <c r="BB107" s="75"/>
      <c r="BC107" s="75">
        <v>7.1249999999999994E-2</v>
      </c>
      <c r="BD107" s="75">
        <v>7.6249999999999998E-2</v>
      </c>
      <c r="BE107" s="75">
        <v>6.8750000000000006E-2</v>
      </c>
      <c r="BF107" s="75">
        <v>7.1249999999999994E-2</v>
      </c>
      <c r="BG107" s="75">
        <v>3.7499999999999999E-2</v>
      </c>
      <c r="BH107" s="75">
        <v>8.2799999999999999E-2</v>
      </c>
      <c r="BI107" s="74">
        <f t="shared" si="14"/>
        <v>6.7966666666666661E-2</v>
      </c>
      <c r="BJ107" s="78"/>
      <c r="BK107" s="75"/>
      <c r="BL107" s="75"/>
      <c r="BM107" s="75"/>
      <c r="BN107" s="75"/>
      <c r="BO107" s="75">
        <v>6.25E-2</v>
      </c>
      <c r="BP107" s="75">
        <v>3.3750000000000002E-2</v>
      </c>
      <c r="BQ107" s="77">
        <v>7.8200000000000006E-2</v>
      </c>
      <c r="BR107" s="79">
        <f t="shared" si="15"/>
        <v>5.815E-2</v>
      </c>
      <c r="BT107" s="281">
        <v>46935</v>
      </c>
      <c r="BU107" s="75">
        <v>5.0666666666666665E-2</v>
      </c>
      <c r="BV107" s="75">
        <v>4.2500000000000003E-2</v>
      </c>
      <c r="BW107" s="77">
        <v>3.8750000000000007E-2</v>
      </c>
    </row>
    <row r="108" spans="1:75" s="11" customFormat="1" x14ac:dyDescent="0.2">
      <c r="A108" s="61"/>
      <c r="O108" s="61"/>
      <c r="AU108" s="281">
        <v>46980</v>
      </c>
      <c r="AV108" s="75"/>
      <c r="AW108" s="75"/>
      <c r="AX108" s="75"/>
      <c r="AY108" s="75"/>
      <c r="AZ108" s="75"/>
      <c r="BA108" s="75"/>
      <c r="BB108" s="75"/>
      <c r="BC108" s="75">
        <v>7.1249999999999994E-2</v>
      </c>
      <c r="BD108" s="75">
        <v>7.6249999999999998E-2</v>
      </c>
      <c r="BE108" s="75">
        <v>6.8750000000000006E-2</v>
      </c>
      <c r="BF108" s="75">
        <v>7.1249999999999994E-2</v>
      </c>
      <c r="BG108" s="75">
        <v>3.7499999999999999E-2</v>
      </c>
      <c r="BH108" s="75">
        <v>8.2799999999999999E-2</v>
      </c>
      <c r="BI108" s="74">
        <f t="shared" si="14"/>
        <v>6.7966666666666661E-2</v>
      </c>
      <c r="BJ108" s="78"/>
      <c r="BK108" s="75"/>
      <c r="BL108" s="75"/>
      <c r="BM108" s="75"/>
      <c r="BN108" s="75"/>
      <c r="BO108" s="75">
        <v>6.25E-2</v>
      </c>
      <c r="BP108" s="75">
        <v>3.3750000000000002E-2</v>
      </c>
      <c r="BQ108" s="77">
        <v>7.8200000000000006E-2</v>
      </c>
      <c r="BR108" s="79">
        <f t="shared" si="15"/>
        <v>5.815E-2</v>
      </c>
      <c r="BT108" s="281">
        <v>46966</v>
      </c>
      <c r="BU108" s="75">
        <v>5.0666666666666665E-2</v>
      </c>
      <c r="BV108" s="75">
        <v>4.2500000000000003E-2</v>
      </c>
      <c r="BW108" s="77">
        <v>3.8750000000000007E-2</v>
      </c>
    </row>
    <row r="109" spans="1:75" s="11" customFormat="1" x14ac:dyDescent="0.2">
      <c r="A109" s="61"/>
      <c r="O109" s="61"/>
      <c r="AU109" s="281">
        <v>47011</v>
      </c>
      <c r="AV109" s="75"/>
      <c r="AW109" s="75"/>
      <c r="AX109" s="75"/>
      <c r="AY109" s="75"/>
      <c r="AZ109" s="75"/>
      <c r="BA109" s="75"/>
      <c r="BB109" s="75"/>
      <c r="BC109" s="75">
        <v>7.1249999999999994E-2</v>
      </c>
      <c r="BD109" s="75">
        <v>7.6249999999999998E-2</v>
      </c>
      <c r="BE109" s="75">
        <v>6.8750000000000006E-2</v>
      </c>
      <c r="BF109" s="75">
        <v>7.1249999999999994E-2</v>
      </c>
      <c r="BG109" s="75">
        <v>3.7499999999999999E-2</v>
      </c>
      <c r="BH109" s="75">
        <v>8.2799999999999999E-2</v>
      </c>
      <c r="BI109" s="74">
        <f t="shared" si="14"/>
        <v>6.7966666666666661E-2</v>
      </c>
      <c r="BJ109" s="78"/>
      <c r="BK109" s="75"/>
      <c r="BL109" s="75"/>
      <c r="BM109" s="75"/>
      <c r="BN109" s="75"/>
      <c r="BO109" s="75">
        <v>6.25E-2</v>
      </c>
      <c r="BP109" s="75">
        <v>3.3750000000000002E-2</v>
      </c>
      <c r="BQ109" s="77">
        <v>7.8200000000000006E-2</v>
      </c>
      <c r="BR109" s="79">
        <f t="shared" si="15"/>
        <v>5.815E-2</v>
      </c>
      <c r="BT109" s="281">
        <v>46997</v>
      </c>
      <c r="BU109" s="75">
        <v>5.0666666666666665E-2</v>
      </c>
      <c r="BV109" s="75">
        <v>4.2500000000000003E-2</v>
      </c>
      <c r="BW109" s="77">
        <v>3.8750000000000007E-2</v>
      </c>
    </row>
    <row r="110" spans="1:75" s="11" customFormat="1" x14ac:dyDescent="0.2">
      <c r="A110" s="61"/>
      <c r="O110" s="61"/>
      <c r="AU110" s="281">
        <v>47041</v>
      </c>
      <c r="AV110" s="75"/>
      <c r="AW110" s="75"/>
      <c r="AX110" s="75"/>
      <c r="AY110" s="75"/>
      <c r="AZ110" s="75"/>
      <c r="BA110" s="75"/>
      <c r="BB110" s="75"/>
      <c r="BC110" s="75">
        <v>7.1249999999999994E-2</v>
      </c>
      <c r="BD110" s="75">
        <v>7.6249999999999998E-2</v>
      </c>
      <c r="BE110" s="75">
        <v>6.8750000000000006E-2</v>
      </c>
      <c r="BF110" s="75">
        <v>7.1249999999999994E-2</v>
      </c>
      <c r="BG110" s="75">
        <v>3.7499999999999999E-2</v>
      </c>
      <c r="BH110" s="75">
        <v>8.2799999999999999E-2</v>
      </c>
      <c r="BI110" s="74">
        <f t="shared" si="14"/>
        <v>6.7966666666666661E-2</v>
      </c>
      <c r="BJ110" s="78"/>
      <c r="BK110" s="75"/>
      <c r="BL110" s="75"/>
      <c r="BM110" s="75"/>
      <c r="BN110" s="75"/>
      <c r="BO110" s="75">
        <v>6.25E-2</v>
      </c>
      <c r="BP110" s="75">
        <v>3.3750000000000002E-2</v>
      </c>
      <c r="BQ110" s="77">
        <v>7.8200000000000006E-2</v>
      </c>
      <c r="BR110" s="79">
        <f t="shared" si="15"/>
        <v>5.815E-2</v>
      </c>
      <c r="BT110" s="281">
        <v>47027</v>
      </c>
      <c r="BU110" s="75">
        <v>5.0666666666666665E-2</v>
      </c>
      <c r="BV110" s="75">
        <v>4.2500000000000003E-2</v>
      </c>
      <c r="BW110" s="77">
        <v>3.8750000000000007E-2</v>
      </c>
    </row>
    <row r="111" spans="1:75" s="11" customFormat="1" x14ac:dyDescent="0.2">
      <c r="A111" s="61"/>
      <c r="O111" s="61"/>
      <c r="AU111" s="281">
        <v>47072</v>
      </c>
      <c r="AV111" s="75"/>
      <c r="AW111" s="75"/>
      <c r="AX111" s="75"/>
      <c r="AY111" s="75"/>
      <c r="AZ111" s="75"/>
      <c r="BA111" s="75"/>
      <c r="BB111" s="75"/>
      <c r="BC111" s="75">
        <v>7.1249999999999994E-2</v>
      </c>
      <c r="BD111" s="75">
        <v>7.6249999999999998E-2</v>
      </c>
      <c r="BE111" s="75">
        <v>6.8750000000000006E-2</v>
      </c>
      <c r="BF111" s="75">
        <v>7.1249999999999994E-2</v>
      </c>
      <c r="BG111" s="75">
        <v>3.7499999999999999E-2</v>
      </c>
      <c r="BH111" s="75">
        <v>8.2799999999999999E-2</v>
      </c>
      <c r="BI111" s="74">
        <f t="shared" si="14"/>
        <v>6.7966666666666661E-2</v>
      </c>
      <c r="BJ111" s="78"/>
      <c r="BK111" s="75"/>
      <c r="BL111" s="75"/>
      <c r="BM111" s="75"/>
      <c r="BN111" s="75"/>
      <c r="BO111" s="75">
        <v>6.25E-2</v>
      </c>
      <c r="BP111" s="75">
        <v>3.3750000000000002E-2</v>
      </c>
      <c r="BQ111" s="77">
        <v>7.8200000000000006E-2</v>
      </c>
      <c r="BR111" s="79">
        <f t="shared" si="15"/>
        <v>5.815E-2</v>
      </c>
      <c r="BT111" s="281">
        <v>47058</v>
      </c>
      <c r="BU111" s="75">
        <v>5.0666666666666665E-2</v>
      </c>
      <c r="BV111" s="75">
        <v>4.2500000000000003E-2</v>
      </c>
      <c r="BW111" s="77">
        <v>3.8750000000000007E-2</v>
      </c>
    </row>
    <row r="112" spans="1:75" s="11" customFormat="1" x14ac:dyDescent="0.2">
      <c r="A112" s="61"/>
      <c r="O112" s="61"/>
      <c r="AU112" s="281">
        <v>47102</v>
      </c>
      <c r="AV112" s="75"/>
      <c r="AW112" s="75"/>
      <c r="AX112" s="75"/>
      <c r="AY112" s="75"/>
      <c r="AZ112" s="75"/>
      <c r="BA112" s="75"/>
      <c r="BB112" s="75"/>
      <c r="BC112" s="75">
        <v>7.1249999999999994E-2</v>
      </c>
      <c r="BD112" s="75">
        <v>7.6249999999999998E-2</v>
      </c>
      <c r="BE112" s="75">
        <v>6.8750000000000006E-2</v>
      </c>
      <c r="BF112" s="75">
        <v>7.1249999999999994E-2</v>
      </c>
      <c r="BG112" s="75">
        <v>3.7499999999999999E-2</v>
      </c>
      <c r="BH112" s="75">
        <v>8.2799999999999999E-2</v>
      </c>
      <c r="BI112" s="74">
        <f t="shared" si="14"/>
        <v>6.7966666666666661E-2</v>
      </c>
      <c r="BJ112" s="78"/>
      <c r="BK112" s="75"/>
      <c r="BL112" s="75"/>
      <c r="BM112" s="75"/>
      <c r="BN112" s="75"/>
      <c r="BO112" s="75">
        <v>6.25E-2</v>
      </c>
      <c r="BP112" s="75">
        <v>3.3750000000000002E-2</v>
      </c>
      <c r="BQ112" s="77">
        <v>7.8200000000000006E-2</v>
      </c>
      <c r="BR112" s="79">
        <f t="shared" si="15"/>
        <v>5.815E-2</v>
      </c>
      <c r="BT112" s="281">
        <v>47088</v>
      </c>
      <c r="BU112" s="75">
        <v>5.0666666666666665E-2</v>
      </c>
      <c r="BV112" s="75">
        <v>4.2500000000000003E-2</v>
      </c>
      <c r="BW112" s="77">
        <v>3.8750000000000007E-2</v>
      </c>
    </row>
    <row r="113" spans="1:75" s="11" customFormat="1" x14ac:dyDescent="0.2">
      <c r="A113" s="61"/>
      <c r="O113" s="61"/>
      <c r="AU113" s="281">
        <v>47133</v>
      </c>
      <c r="AV113" s="75"/>
      <c r="AW113" s="75"/>
      <c r="AX113" s="75"/>
      <c r="AY113" s="75"/>
      <c r="AZ113" s="75"/>
      <c r="BA113" s="75"/>
      <c r="BB113" s="75"/>
      <c r="BC113" s="75">
        <v>7.1249999999999994E-2</v>
      </c>
      <c r="BD113" s="75">
        <v>7.6249999999999998E-2</v>
      </c>
      <c r="BE113" s="75">
        <v>6.8750000000000006E-2</v>
      </c>
      <c r="BF113" s="75">
        <v>7.1249999999999994E-2</v>
      </c>
      <c r="BG113" s="75">
        <v>3.7499999999999999E-2</v>
      </c>
      <c r="BH113" s="75">
        <v>8.2799999999999999E-2</v>
      </c>
      <c r="BI113" s="74">
        <f t="shared" si="14"/>
        <v>6.7966666666666661E-2</v>
      </c>
      <c r="BJ113" s="78"/>
      <c r="BK113" s="75"/>
      <c r="BL113" s="75"/>
      <c r="BM113" s="75"/>
      <c r="BN113" s="75"/>
      <c r="BO113" s="75">
        <v>6.25E-2</v>
      </c>
      <c r="BP113" s="75">
        <v>3.3750000000000002E-2</v>
      </c>
      <c r="BQ113" s="77">
        <v>7.8200000000000006E-2</v>
      </c>
      <c r="BR113" s="79">
        <f t="shared" si="15"/>
        <v>5.815E-2</v>
      </c>
      <c r="BT113" s="281">
        <v>47119</v>
      </c>
      <c r="BU113" s="75">
        <v>5.0666666666666665E-2</v>
      </c>
      <c r="BV113" s="75">
        <v>4.4000000000000004E-2</v>
      </c>
      <c r="BW113" s="77">
        <v>3.8750000000000007E-2</v>
      </c>
    </row>
    <row r="114" spans="1:75" s="11" customFormat="1" x14ac:dyDescent="0.2">
      <c r="A114" s="61"/>
      <c r="O114" s="61"/>
      <c r="AU114" s="281">
        <v>47164</v>
      </c>
      <c r="AV114" s="75"/>
      <c r="AW114" s="75"/>
      <c r="AX114" s="75"/>
      <c r="AY114" s="75"/>
      <c r="AZ114" s="75"/>
      <c r="BA114" s="75"/>
      <c r="BB114" s="75"/>
      <c r="BC114" s="75">
        <v>7.1249999999999994E-2</v>
      </c>
      <c r="BD114" s="75">
        <v>7.6249999999999998E-2</v>
      </c>
      <c r="BE114" s="75">
        <v>6.8750000000000006E-2</v>
      </c>
      <c r="BF114" s="75">
        <v>7.1249999999999994E-2</v>
      </c>
      <c r="BG114" s="75">
        <v>3.7499999999999999E-2</v>
      </c>
      <c r="BH114" s="75">
        <v>8.2799999999999999E-2</v>
      </c>
      <c r="BI114" s="74">
        <f t="shared" si="14"/>
        <v>6.7966666666666661E-2</v>
      </c>
      <c r="BJ114" s="78"/>
      <c r="BK114" s="75"/>
      <c r="BL114" s="75"/>
      <c r="BM114" s="75"/>
      <c r="BN114" s="75"/>
      <c r="BO114" s="75">
        <v>6.25E-2</v>
      </c>
      <c r="BP114" s="75">
        <v>3.3750000000000002E-2</v>
      </c>
      <c r="BQ114" s="77">
        <v>7.8200000000000006E-2</v>
      </c>
      <c r="BR114" s="79">
        <f t="shared" si="15"/>
        <v>5.815E-2</v>
      </c>
      <c r="BT114" s="281">
        <v>47150</v>
      </c>
      <c r="BU114" s="75">
        <v>5.0666666666666665E-2</v>
      </c>
      <c r="BV114" s="75">
        <v>4.4000000000000004E-2</v>
      </c>
      <c r="BW114" s="77">
        <v>3.8750000000000007E-2</v>
      </c>
    </row>
    <row r="115" spans="1:75" s="11" customFormat="1" x14ac:dyDescent="0.2">
      <c r="A115" s="61"/>
      <c r="O115" s="61"/>
      <c r="AU115" s="281">
        <v>47192</v>
      </c>
      <c r="AV115" s="75"/>
      <c r="AW115" s="75"/>
      <c r="AX115" s="75"/>
      <c r="AY115" s="75"/>
      <c r="AZ115" s="75"/>
      <c r="BA115" s="75"/>
      <c r="BB115" s="75"/>
      <c r="BC115" s="75">
        <v>7.1249999999999994E-2</v>
      </c>
      <c r="BD115" s="75">
        <v>7.6249999999999998E-2</v>
      </c>
      <c r="BE115" s="75">
        <v>6.8750000000000006E-2</v>
      </c>
      <c r="BF115" s="75">
        <v>7.1249999999999994E-2</v>
      </c>
      <c r="BG115" s="75">
        <v>3.7499999999999999E-2</v>
      </c>
      <c r="BH115" s="75">
        <v>8.2799999999999999E-2</v>
      </c>
      <c r="BI115" s="74">
        <f t="shared" si="14"/>
        <v>6.7966666666666661E-2</v>
      </c>
      <c r="BJ115" s="78"/>
      <c r="BK115" s="75"/>
      <c r="BL115" s="75"/>
      <c r="BM115" s="75"/>
      <c r="BN115" s="75"/>
      <c r="BO115" s="75">
        <v>6.25E-2</v>
      </c>
      <c r="BP115" s="75">
        <v>3.3750000000000002E-2</v>
      </c>
      <c r="BQ115" s="77">
        <v>7.8200000000000006E-2</v>
      </c>
      <c r="BR115" s="79">
        <f t="shared" si="15"/>
        <v>5.815E-2</v>
      </c>
      <c r="BT115" s="281">
        <v>47178</v>
      </c>
      <c r="BU115" s="75">
        <v>5.0666666666666665E-2</v>
      </c>
      <c r="BV115" s="75">
        <v>4.4000000000000004E-2</v>
      </c>
      <c r="BW115" s="77">
        <v>4.0500000000000001E-2</v>
      </c>
    </row>
    <row r="116" spans="1:75" s="11" customFormat="1" x14ac:dyDescent="0.2">
      <c r="A116" s="61"/>
      <c r="O116" s="61"/>
      <c r="AU116" s="281">
        <v>47223</v>
      </c>
      <c r="AV116" s="75"/>
      <c r="AW116" s="75"/>
      <c r="AX116" s="75"/>
      <c r="AY116" s="75"/>
      <c r="AZ116" s="75"/>
      <c r="BA116" s="75"/>
      <c r="BB116" s="75"/>
      <c r="BC116" s="75">
        <v>7.1249999999999994E-2</v>
      </c>
      <c r="BD116" s="75">
        <v>7.6249999999999998E-2</v>
      </c>
      <c r="BE116" s="75">
        <v>6.8750000000000006E-2</v>
      </c>
      <c r="BF116" s="75">
        <v>7.1249999999999994E-2</v>
      </c>
      <c r="BG116" s="75">
        <v>5.2499999999999998E-2</v>
      </c>
      <c r="BH116" s="75">
        <v>8.2799999999999999E-2</v>
      </c>
      <c r="BI116" s="74">
        <f t="shared" si="14"/>
        <v>7.0466666666666664E-2</v>
      </c>
      <c r="BJ116" s="78"/>
      <c r="BK116" s="75"/>
      <c r="BL116" s="75"/>
      <c r="BM116" s="75"/>
      <c r="BN116" s="75"/>
      <c r="BO116" s="75">
        <v>6.25E-2</v>
      </c>
      <c r="BP116" s="75">
        <v>4.7399999999999998E-2</v>
      </c>
      <c r="BQ116" s="77">
        <v>7.8200000000000006E-2</v>
      </c>
      <c r="BR116" s="79">
        <f t="shared" si="15"/>
        <v>6.2699999999999992E-2</v>
      </c>
      <c r="BT116" s="281">
        <v>47209</v>
      </c>
      <c r="BU116" s="75">
        <v>5.0666666666666665E-2</v>
      </c>
      <c r="BV116" s="75">
        <v>4.4000000000000004E-2</v>
      </c>
      <c r="BW116" s="77">
        <v>4.0500000000000001E-2</v>
      </c>
    </row>
    <row r="117" spans="1:75" s="11" customFormat="1" x14ac:dyDescent="0.2">
      <c r="A117" s="61"/>
      <c r="O117" s="61"/>
      <c r="AU117" s="281">
        <v>47253</v>
      </c>
      <c r="AV117" s="75"/>
      <c r="AW117" s="75"/>
      <c r="AX117" s="75"/>
      <c r="AY117" s="75"/>
      <c r="AZ117" s="75"/>
      <c r="BA117" s="75"/>
      <c r="BB117" s="75"/>
      <c r="BC117" s="75">
        <v>7.1249999999999994E-2</v>
      </c>
      <c r="BD117" s="75">
        <v>7.6249999999999998E-2</v>
      </c>
      <c r="BE117" s="75">
        <v>6.8750000000000006E-2</v>
      </c>
      <c r="BF117" s="75">
        <v>7.1249999999999994E-2</v>
      </c>
      <c r="BG117" s="75">
        <v>5.2499999999999998E-2</v>
      </c>
      <c r="BH117" s="75">
        <v>8.2799999999999999E-2</v>
      </c>
      <c r="BI117" s="74">
        <f t="shared" si="14"/>
        <v>7.0466666666666664E-2</v>
      </c>
      <c r="BJ117" s="78"/>
      <c r="BK117" s="75"/>
      <c r="BL117" s="75"/>
      <c r="BM117" s="75"/>
      <c r="BN117" s="75"/>
      <c r="BO117" s="75">
        <v>6.25E-2</v>
      </c>
      <c r="BP117" s="75">
        <v>4.7399999999999998E-2</v>
      </c>
      <c r="BQ117" s="77">
        <v>7.8200000000000006E-2</v>
      </c>
      <c r="BR117" s="79">
        <f t="shared" si="15"/>
        <v>6.2699999999999992E-2</v>
      </c>
      <c r="BT117" s="281">
        <v>47239</v>
      </c>
      <c r="BU117" s="75">
        <v>5.0666666666666665E-2</v>
      </c>
      <c r="BV117" s="75">
        <v>4.4000000000000004E-2</v>
      </c>
      <c r="BW117" s="77">
        <v>4.0500000000000001E-2</v>
      </c>
    </row>
    <row r="118" spans="1:75" s="11" customFormat="1" x14ac:dyDescent="0.2">
      <c r="A118" s="61"/>
      <c r="O118" s="61"/>
      <c r="AU118" s="281">
        <v>47284</v>
      </c>
      <c r="AV118" s="75"/>
      <c r="AW118" s="75"/>
      <c r="AX118" s="75"/>
      <c r="AY118" s="75"/>
      <c r="AZ118" s="75"/>
      <c r="BA118" s="75"/>
      <c r="BB118" s="75"/>
      <c r="BC118" s="75">
        <v>7.1249999999999994E-2</v>
      </c>
      <c r="BD118" s="75">
        <v>7.6249999999999998E-2</v>
      </c>
      <c r="BE118" s="75">
        <v>6.8750000000000006E-2</v>
      </c>
      <c r="BF118" s="75">
        <v>7.1249999999999994E-2</v>
      </c>
      <c r="BG118" s="75">
        <v>5.2499999999999998E-2</v>
      </c>
      <c r="BH118" s="75">
        <v>8.2799999999999999E-2</v>
      </c>
      <c r="BI118" s="74">
        <f t="shared" si="14"/>
        <v>7.0466666666666664E-2</v>
      </c>
      <c r="BJ118" s="78"/>
      <c r="BK118" s="75"/>
      <c r="BL118" s="75"/>
      <c r="BM118" s="75"/>
      <c r="BN118" s="75"/>
      <c r="BO118" s="75">
        <v>6.25E-2</v>
      </c>
      <c r="BP118" s="75">
        <v>4.7399999999999998E-2</v>
      </c>
      <c r="BQ118" s="77">
        <v>7.8200000000000006E-2</v>
      </c>
      <c r="BR118" s="79">
        <f t="shared" si="15"/>
        <v>6.2699999999999992E-2</v>
      </c>
      <c r="BT118" s="281">
        <v>47270</v>
      </c>
      <c r="BU118" s="75">
        <v>5.0666666666666665E-2</v>
      </c>
      <c r="BV118" s="75">
        <v>4.4000000000000004E-2</v>
      </c>
      <c r="BW118" s="77">
        <v>4.0500000000000001E-2</v>
      </c>
    </row>
    <row r="119" spans="1:75" s="11" customFormat="1" x14ac:dyDescent="0.2">
      <c r="A119" s="61"/>
      <c r="O119" s="61"/>
      <c r="AU119" s="281">
        <v>47314</v>
      </c>
      <c r="AV119" s="75"/>
      <c r="AW119" s="75"/>
      <c r="AX119" s="75"/>
      <c r="AY119" s="75"/>
      <c r="AZ119" s="75"/>
      <c r="BA119" s="75"/>
      <c r="BB119" s="75"/>
      <c r="BC119" s="75">
        <v>7.1249999999999994E-2</v>
      </c>
      <c r="BD119" s="75">
        <v>7.6249999999999998E-2</v>
      </c>
      <c r="BE119" s="75">
        <v>6.8750000000000006E-2</v>
      </c>
      <c r="BF119" s="75">
        <v>7.1249999999999994E-2</v>
      </c>
      <c r="BG119" s="75">
        <v>5.2499999999999998E-2</v>
      </c>
      <c r="BH119" s="75">
        <v>8.2799999999999999E-2</v>
      </c>
      <c r="BI119" s="74">
        <f t="shared" si="14"/>
        <v>7.0466666666666664E-2</v>
      </c>
      <c r="BJ119" s="78"/>
      <c r="BK119" s="75"/>
      <c r="BL119" s="75"/>
      <c r="BM119" s="75"/>
      <c r="BN119" s="75"/>
      <c r="BO119" s="75">
        <v>6.25E-2</v>
      </c>
      <c r="BP119" s="75">
        <v>4.7399999999999998E-2</v>
      </c>
      <c r="BQ119" s="77">
        <v>7.8200000000000006E-2</v>
      </c>
      <c r="BR119" s="79">
        <f t="shared" si="15"/>
        <v>6.2699999999999992E-2</v>
      </c>
      <c r="BT119" s="281">
        <v>47300</v>
      </c>
      <c r="BU119" s="75">
        <v>5.2749999999999998E-2</v>
      </c>
      <c r="BV119" s="75">
        <v>4.4000000000000004E-2</v>
      </c>
      <c r="BW119" s="77">
        <v>4.0500000000000001E-2</v>
      </c>
    </row>
    <row r="120" spans="1:75" s="11" customFormat="1" x14ac:dyDescent="0.2">
      <c r="A120" s="61"/>
      <c r="O120" s="61"/>
      <c r="AU120" s="281">
        <v>47345</v>
      </c>
      <c r="AV120" s="75"/>
      <c r="AW120" s="75"/>
      <c r="AX120" s="75"/>
      <c r="AY120" s="75"/>
      <c r="AZ120" s="75"/>
      <c r="BA120" s="75"/>
      <c r="BB120" s="75"/>
      <c r="BC120" s="75">
        <v>7.1249999999999994E-2</v>
      </c>
      <c r="BD120" s="75">
        <v>7.6249999999999998E-2</v>
      </c>
      <c r="BE120" s="75">
        <v>6.8750000000000006E-2</v>
      </c>
      <c r="BF120" s="75">
        <v>7.1249999999999994E-2</v>
      </c>
      <c r="BG120" s="75">
        <v>5.2499999999999998E-2</v>
      </c>
      <c r="BH120" s="75">
        <v>8.2799999999999999E-2</v>
      </c>
      <c r="BI120" s="74">
        <f t="shared" si="14"/>
        <v>7.0466666666666664E-2</v>
      </c>
      <c r="BJ120" s="78"/>
      <c r="BK120" s="75"/>
      <c r="BL120" s="75"/>
      <c r="BM120" s="75"/>
      <c r="BN120" s="75"/>
      <c r="BO120" s="75">
        <v>6.25E-2</v>
      </c>
      <c r="BP120" s="75">
        <v>4.7399999999999998E-2</v>
      </c>
      <c r="BQ120" s="77">
        <v>7.8200000000000006E-2</v>
      </c>
      <c r="BR120" s="79">
        <f t="shared" si="15"/>
        <v>6.2699999999999992E-2</v>
      </c>
      <c r="BT120" s="281">
        <v>47331</v>
      </c>
      <c r="BU120" s="75">
        <v>5.2749999999999998E-2</v>
      </c>
      <c r="BV120" s="75">
        <v>4.4000000000000004E-2</v>
      </c>
      <c r="BW120" s="77">
        <v>4.0500000000000001E-2</v>
      </c>
    </row>
    <row r="121" spans="1:75" s="11" customFormat="1" x14ac:dyDescent="0.2">
      <c r="A121" s="61"/>
      <c r="O121" s="61"/>
      <c r="AU121" s="281">
        <v>47376</v>
      </c>
      <c r="AV121" s="75"/>
      <c r="AW121" s="75"/>
      <c r="AX121" s="75"/>
      <c r="AY121" s="75"/>
      <c r="AZ121" s="75"/>
      <c r="BA121" s="75"/>
      <c r="BB121" s="75"/>
      <c r="BC121" s="75">
        <v>7.1249999999999994E-2</v>
      </c>
      <c r="BD121" s="75">
        <v>7.6249999999999998E-2</v>
      </c>
      <c r="BE121" s="75">
        <v>6.8750000000000006E-2</v>
      </c>
      <c r="BF121" s="75">
        <v>7.1249999999999994E-2</v>
      </c>
      <c r="BG121" s="75">
        <v>5.2499999999999998E-2</v>
      </c>
      <c r="BH121" s="75">
        <v>8.2799999999999999E-2</v>
      </c>
      <c r="BI121" s="74">
        <f t="shared" si="14"/>
        <v>7.0466666666666664E-2</v>
      </c>
      <c r="BJ121" s="78"/>
      <c r="BK121" s="75"/>
      <c r="BL121" s="75"/>
      <c r="BM121" s="75"/>
      <c r="BN121" s="75"/>
      <c r="BO121" s="75">
        <v>6.25E-2</v>
      </c>
      <c r="BP121" s="75">
        <v>4.7399999999999998E-2</v>
      </c>
      <c r="BQ121" s="77">
        <v>7.8200000000000006E-2</v>
      </c>
      <c r="BR121" s="79">
        <f t="shared" si="15"/>
        <v>6.2699999999999992E-2</v>
      </c>
      <c r="BT121" s="281">
        <v>47362</v>
      </c>
      <c r="BU121" s="75">
        <v>5.2749999999999998E-2</v>
      </c>
      <c r="BV121" s="75">
        <v>4.4000000000000004E-2</v>
      </c>
      <c r="BW121" s="77">
        <v>4.0500000000000001E-2</v>
      </c>
    </row>
    <row r="122" spans="1:75" s="11" customFormat="1" x14ac:dyDescent="0.2">
      <c r="A122" s="61"/>
      <c r="O122" s="61"/>
      <c r="AU122" s="281">
        <v>47406</v>
      </c>
      <c r="AV122" s="75"/>
      <c r="AW122" s="75"/>
      <c r="AX122" s="75"/>
      <c r="AY122" s="75"/>
      <c r="AZ122" s="75"/>
      <c r="BA122" s="75"/>
      <c r="BB122" s="75"/>
      <c r="BC122" s="75">
        <v>7.1249999999999994E-2</v>
      </c>
      <c r="BD122" s="75">
        <v>7.6249999999999998E-2</v>
      </c>
      <c r="BE122" s="75">
        <v>6.8750000000000006E-2</v>
      </c>
      <c r="BF122" s="75">
        <v>7.1249999999999994E-2</v>
      </c>
      <c r="BG122" s="75">
        <v>5.2499999999999998E-2</v>
      </c>
      <c r="BH122" s="75">
        <v>8.2799999999999999E-2</v>
      </c>
      <c r="BI122" s="74">
        <f t="shared" si="14"/>
        <v>7.0466666666666664E-2</v>
      </c>
      <c r="BJ122" s="78"/>
      <c r="BK122" s="75"/>
      <c r="BL122" s="75"/>
      <c r="BM122" s="75"/>
      <c r="BN122" s="75"/>
      <c r="BO122" s="75">
        <v>6.25E-2</v>
      </c>
      <c r="BP122" s="75">
        <v>4.7399999999999998E-2</v>
      </c>
      <c r="BQ122" s="77">
        <v>7.8200000000000006E-2</v>
      </c>
      <c r="BR122" s="79">
        <f t="shared" si="15"/>
        <v>6.2699999999999992E-2</v>
      </c>
      <c r="BT122" s="281">
        <v>47392</v>
      </c>
      <c r="BU122" s="75">
        <v>5.2749999999999998E-2</v>
      </c>
      <c r="BV122" s="75">
        <v>4.4000000000000004E-2</v>
      </c>
      <c r="BW122" s="77">
        <v>4.0500000000000001E-2</v>
      </c>
    </row>
    <row r="123" spans="1:75" s="11" customFormat="1" x14ac:dyDescent="0.2">
      <c r="A123" s="61"/>
      <c r="O123" s="61"/>
      <c r="AU123" s="281">
        <v>47437</v>
      </c>
      <c r="AV123" s="75"/>
      <c r="AW123" s="75"/>
      <c r="AX123" s="75"/>
      <c r="AY123" s="75"/>
      <c r="AZ123" s="75"/>
      <c r="BA123" s="75"/>
      <c r="BB123" s="75"/>
      <c r="BC123" s="75">
        <v>7.1249999999999994E-2</v>
      </c>
      <c r="BD123" s="75">
        <v>7.6249999999999998E-2</v>
      </c>
      <c r="BE123" s="75">
        <v>6.8750000000000006E-2</v>
      </c>
      <c r="BF123" s="75">
        <v>7.1249999999999994E-2</v>
      </c>
      <c r="BG123" s="75">
        <v>5.2499999999999998E-2</v>
      </c>
      <c r="BH123" s="75">
        <v>8.2799999999999999E-2</v>
      </c>
      <c r="BI123" s="74">
        <f t="shared" si="14"/>
        <v>7.0466666666666664E-2</v>
      </c>
      <c r="BJ123" s="78"/>
      <c r="BK123" s="75"/>
      <c r="BL123" s="75"/>
      <c r="BM123" s="75"/>
      <c r="BN123" s="75"/>
      <c r="BO123" s="75">
        <v>6.25E-2</v>
      </c>
      <c r="BP123" s="75">
        <v>4.7399999999999998E-2</v>
      </c>
      <c r="BQ123" s="77">
        <v>7.8200000000000006E-2</v>
      </c>
      <c r="BR123" s="79">
        <f t="shared" si="15"/>
        <v>6.2699999999999992E-2</v>
      </c>
      <c r="BT123" s="281">
        <v>47423</v>
      </c>
      <c r="BU123" s="75">
        <v>5.2749999999999998E-2</v>
      </c>
      <c r="BV123" s="75">
        <v>4.4000000000000004E-2</v>
      </c>
      <c r="BW123" s="77">
        <v>4.0500000000000001E-2</v>
      </c>
    </row>
    <row r="124" spans="1:75" s="11" customFormat="1" x14ac:dyDescent="0.2">
      <c r="A124" s="61"/>
      <c r="O124" s="61"/>
      <c r="AU124" s="281">
        <v>47467</v>
      </c>
      <c r="AV124" s="75"/>
      <c r="AW124" s="75"/>
      <c r="AX124" s="75"/>
      <c r="AY124" s="75"/>
      <c r="AZ124" s="75"/>
      <c r="BA124" s="75"/>
      <c r="BB124" s="75"/>
      <c r="BC124" s="75">
        <v>7.1249999999999994E-2</v>
      </c>
      <c r="BD124" s="75">
        <v>7.6249999999999998E-2</v>
      </c>
      <c r="BE124" s="75">
        <v>6.8750000000000006E-2</v>
      </c>
      <c r="BF124" s="75">
        <v>7.1249999999999994E-2</v>
      </c>
      <c r="BG124" s="75">
        <v>5.2499999999999998E-2</v>
      </c>
      <c r="BH124" s="75">
        <v>8.2799999999999999E-2</v>
      </c>
      <c r="BI124" s="74">
        <f t="shared" si="14"/>
        <v>7.0466666666666664E-2</v>
      </c>
      <c r="BJ124" s="78"/>
      <c r="BK124" s="75"/>
      <c r="BL124" s="75"/>
      <c r="BM124" s="75"/>
      <c r="BN124" s="75"/>
      <c r="BO124" s="75">
        <v>6.25E-2</v>
      </c>
      <c r="BP124" s="75">
        <v>4.7399999999999998E-2</v>
      </c>
      <c r="BQ124" s="77">
        <v>7.8200000000000006E-2</v>
      </c>
      <c r="BR124" s="79">
        <f t="shared" si="15"/>
        <v>6.2699999999999992E-2</v>
      </c>
      <c r="BT124" s="281">
        <v>47453</v>
      </c>
      <c r="BU124" s="75">
        <v>5.2749999999999998E-2</v>
      </c>
      <c r="BV124" s="75">
        <v>4.4000000000000004E-2</v>
      </c>
      <c r="BW124" s="77">
        <v>4.0500000000000001E-2</v>
      </c>
    </row>
    <row r="125" spans="1:75" s="11" customFormat="1" x14ac:dyDescent="0.2">
      <c r="A125" s="61"/>
      <c r="O125" s="61"/>
      <c r="AU125" s="281">
        <v>47498</v>
      </c>
      <c r="AV125" s="75"/>
      <c r="AW125" s="75"/>
      <c r="AX125" s="75"/>
      <c r="AY125" s="75"/>
      <c r="AZ125" s="75"/>
      <c r="BA125" s="75"/>
      <c r="BB125" s="75"/>
      <c r="BC125" s="75">
        <v>7.1249999999999994E-2</v>
      </c>
      <c r="BD125" s="75">
        <v>7.6249999999999998E-2</v>
      </c>
      <c r="BE125" s="75">
        <v>6.8750000000000006E-2</v>
      </c>
      <c r="BF125" s="75">
        <v>7.1249999999999994E-2</v>
      </c>
      <c r="BG125" s="75">
        <v>5.2499999999999998E-2</v>
      </c>
      <c r="BH125" s="75">
        <v>8.2799999999999999E-2</v>
      </c>
      <c r="BI125" s="74">
        <f t="shared" si="14"/>
        <v>7.0466666666666664E-2</v>
      </c>
      <c r="BJ125" s="78"/>
      <c r="BK125" s="75"/>
      <c r="BL125" s="75"/>
      <c r="BM125" s="75"/>
      <c r="BN125" s="75"/>
      <c r="BO125" s="75">
        <v>6.25E-2</v>
      </c>
      <c r="BP125" s="75">
        <v>4.7399999999999998E-2</v>
      </c>
      <c r="BQ125" s="77">
        <v>7.8200000000000006E-2</v>
      </c>
      <c r="BR125" s="79">
        <f t="shared" si="15"/>
        <v>6.2699999999999992E-2</v>
      </c>
      <c r="BT125" s="281">
        <v>47484</v>
      </c>
      <c r="BU125" s="75">
        <v>5.2749999999999998E-2</v>
      </c>
      <c r="BV125" s="75">
        <v>4.4000000000000004E-2</v>
      </c>
      <c r="BW125" s="77">
        <v>4.0500000000000001E-2</v>
      </c>
    </row>
    <row r="126" spans="1:75" s="11" customFormat="1" x14ac:dyDescent="0.2">
      <c r="A126" s="61"/>
      <c r="O126" s="61"/>
      <c r="AU126" s="281">
        <v>47529</v>
      </c>
      <c r="AV126" s="75"/>
      <c r="AW126" s="75"/>
      <c r="AX126" s="75"/>
      <c r="AY126" s="75"/>
      <c r="AZ126" s="75"/>
      <c r="BA126" s="75"/>
      <c r="BB126" s="75"/>
      <c r="BC126" s="75">
        <v>7.1249999999999994E-2</v>
      </c>
      <c r="BD126" s="75">
        <v>7.6249999999999998E-2</v>
      </c>
      <c r="BE126" s="75">
        <v>6.8750000000000006E-2</v>
      </c>
      <c r="BF126" s="75">
        <v>7.1249999999999994E-2</v>
      </c>
      <c r="BG126" s="75">
        <v>5.2499999999999998E-2</v>
      </c>
      <c r="BH126" s="75">
        <v>8.2799999999999999E-2</v>
      </c>
      <c r="BI126" s="74">
        <f t="shared" si="14"/>
        <v>7.0466666666666664E-2</v>
      </c>
      <c r="BJ126" s="78"/>
      <c r="BK126" s="75"/>
      <c r="BL126" s="75"/>
      <c r="BM126" s="75"/>
      <c r="BN126" s="75"/>
      <c r="BO126" s="75">
        <v>6.25E-2</v>
      </c>
      <c r="BP126" s="75">
        <v>4.7399999999999998E-2</v>
      </c>
      <c r="BQ126" s="77">
        <v>7.8200000000000006E-2</v>
      </c>
      <c r="BR126" s="79">
        <f t="shared" si="15"/>
        <v>6.2699999999999992E-2</v>
      </c>
      <c r="BT126" s="281">
        <v>47515</v>
      </c>
      <c r="BU126" s="75">
        <v>5.2749999999999998E-2</v>
      </c>
      <c r="BV126" s="75">
        <v>4.4000000000000004E-2</v>
      </c>
      <c r="BW126" s="77">
        <v>4.0500000000000001E-2</v>
      </c>
    </row>
    <row r="127" spans="1:75" s="11" customFormat="1" x14ac:dyDescent="0.2">
      <c r="A127" s="61"/>
      <c r="O127" s="61"/>
      <c r="AU127" s="281">
        <v>47557</v>
      </c>
      <c r="AV127" s="75"/>
      <c r="AW127" s="75"/>
      <c r="AX127" s="75"/>
      <c r="AY127" s="75"/>
      <c r="AZ127" s="75"/>
      <c r="BA127" s="75"/>
      <c r="BB127" s="75"/>
      <c r="BC127" s="75">
        <v>7.1249999999999994E-2</v>
      </c>
      <c r="BD127" s="75">
        <v>7.6249999999999998E-2</v>
      </c>
      <c r="BE127" s="75">
        <v>6.8750000000000006E-2</v>
      </c>
      <c r="BF127" s="75">
        <v>7.1249999999999994E-2</v>
      </c>
      <c r="BG127" s="75">
        <v>5.2499999999999998E-2</v>
      </c>
      <c r="BH127" s="75">
        <v>8.2799999999999999E-2</v>
      </c>
      <c r="BI127" s="74">
        <f t="shared" si="14"/>
        <v>7.0466666666666664E-2</v>
      </c>
      <c r="BJ127" s="78"/>
      <c r="BK127" s="75"/>
      <c r="BL127" s="75"/>
      <c r="BM127" s="75"/>
      <c r="BN127" s="75"/>
      <c r="BO127" s="75">
        <v>6.25E-2</v>
      </c>
      <c r="BP127" s="75">
        <v>4.7399999999999998E-2</v>
      </c>
      <c r="BQ127" s="77">
        <v>7.8200000000000006E-2</v>
      </c>
      <c r="BR127" s="79">
        <f t="shared" si="15"/>
        <v>6.2699999999999992E-2</v>
      </c>
      <c r="BT127" s="281">
        <v>47543</v>
      </c>
      <c r="BU127" s="75">
        <v>5.2749999999999998E-2</v>
      </c>
      <c r="BV127" s="75">
        <v>4.4000000000000004E-2</v>
      </c>
      <c r="BW127" s="77">
        <v>4.3249999999999997E-2</v>
      </c>
    </row>
    <row r="128" spans="1:75" s="11" customFormat="1" x14ac:dyDescent="0.2">
      <c r="A128" s="61"/>
      <c r="O128" s="61"/>
      <c r="AU128" s="281">
        <v>47588</v>
      </c>
      <c r="AV128" s="75"/>
      <c r="AW128" s="75"/>
      <c r="AX128" s="75"/>
      <c r="AY128" s="75"/>
      <c r="AZ128" s="75"/>
      <c r="BA128" s="75"/>
      <c r="BB128" s="75"/>
      <c r="BC128" s="75">
        <v>7.1249999999999994E-2</v>
      </c>
      <c r="BD128" s="75">
        <v>7.6249999999999998E-2</v>
      </c>
      <c r="BE128" s="75">
        <v>6.8750000000000006E-2</v>
      </c>
      <c r="BF128" s="75">
        <v>7.1249999999999994E-2</v>
      </c>
      <c r="BG128" s="75">
        <v>5.2499999999999998E-2</v>
      </c>
      <c r="BH128" s="75">
        <v>8.2799999999999999E-2</v>
      </c>
      <c r="BI128" s="74">
        <f t="shared" si="14"/>
        <v>7.0466666666666664E-2</v>
      </c>
      <c r="BJ128" s="78"/>
      <c r="BK128" s="75"/>
      <c r="BL128" s="75"/>
      <c r="BM128" s="75"/>
      <c r="BN128" s="75"/>
      <c r="BO128" s="75">
        <v>6.25E-2</v>
      </c>
      <c r="BP128" s="75">
        <v>4.7399999999999998E-2</v>
      </c>
      <c r="BQ128" s="77">
        <v>7.8200000000000006E-2</v>
      </c>
      <c r="BR128" s="79">
        <f t="shared" si="15"/>
        <v>6.2699999999999992E-2</v>
      </c>
      <c r="BT128" s="281">
        <v>47574</v>
      </c>
      <c r="BU128" s="75">
        <v>5.2749999999999998E-2</v>
      </c>
      <c r="BV128" s="75">
        <v>4.4000000000000004E-2</v>
      </c>
      <c r="BW128" s="77">
        <v>4.3249999999999997E-2</v>
      </c>
    </row>
    <row r="129" spans="1:75" s="11" customFormat="1" x14ac:dyDescent="0.2">
      <c r="A129" s="61"/>
      <c r="O129" s="61"/>
      <c r="AU129" s="281">
        <v>47618</v>
      </c>
      <c r="AV129" s="75"/>
      <c r="AW129" s="75"/>
      <c r="AX129" s="75"/>
      <c r="AY129" s="75"/>
      <c r="AZ129" s="75"/>
      <c r="BA129" s="75"/>
      <c r="BB129" s="75"/>
      <c r="BC129" s="75">
        <v>7.1249999999999994E-2</v>
      </c>
      <c r="BD129" s="75">
        <v>7.6249999999999998E-2</v>
      </c>
      <c r="BE129" s="75">
        <v>6.8750000000000006E-2</v>
      </c>
      <c r="BF129" s="75">
        <v>7.1249999999999994E-2</v>
      </c>
      <c r="BG129" s="75">
        <v>5.2499999999999998E-2</v>
      </c>
      <c r="BH129" s="75">
        <v>8.2799999999999999E-2</v>
      </c>
      <c r="BI129" s="74">
        <f t="shared" si="14"/>
        <v>7.0466666666666664E-2</v>
      </c>
      <c r="BJ129" s="78"/>
      <c r="BK129" s="75"/>
      <c r="BL129" s="75"/>
      <c r="BM129" s="75"/>
      <c r="BN129" s="75"/>
      <c r="BO129" s="75">
        <v>6.25E-2</v>
      </c>
      <c r="BP129" s="75">
        <v>4.7399999999999998E-2</v>
      </c>
      <c r="BQ129" s="77">
        <v>7.8200000000000006E-2</v>
      </c>
      <c r="BR129" s="79">
        <f t="shared" si="15"/>
        <v>6.2699999999999992E-2</v>
      </c>
      <c r="BT129" s="281">
        <v>47604</v>
      </c>
      <c r="BU129" s="75">
        <v>5.2749999999999998E-2</v>
      </c>
      <c r="BV129" s="75">
        <v>4.4000000000000004E-2</v>
      </c>
      <c r="BW129" s="77">
        <v>4.3249999999999997E-2</v>
      </c>
    </row>
    <row r="130" spans="1:75" s="11" customFormat="1" x14ac:dyDescent="0.2">
      <c r="A130" s="61"/>
      <c r="O130" s="61"/>
      <c r="AU130" s="281">
        <v>47649</v>
      </c>
      <c r="AV130" s="75"/>
      <c r="AW130" s="75"/>
      <c r="AX130" s="75"/>
      <c r="AY130" s="75"/>
      <c r="AZ130" s="75"/>
      <c r="BA130" s="75"/>
      <c r="BB130" s="75"/>
      <c r="BC130" s="75">
        <v>7.1249999999999994E-2</v>
      </c>
      <c r="BD130" s="75">
        <v>7.6249999999999998E-2</v>
      </c>
      <c r="BE130" s="75">
        <v>6.8750000000000006E-2</v>
      </c>
      <c r="BF130" s="75">
        <v>7.1249999999999994E-2</v>
      </c>
      <c r="BG130" s="75">
        <v>5.2499999999999998E-2</v>
      </c>
      <c r="BH130" s="75">
        <v>8.2799999999999999E-2</v>
      </c>
      <c r="BI130" s="74">
        <f t="shared" si="14"/>
        <v>7.0466666666666664E-2</v>
      </c>
      <c r="BJ130" s="78"/>
      <c r="BK130" s="75"/>
      <c r="BL130" s="75"/>
      <c r="BM130" s="75"/>
      <c r="BN130" s="75"/>
      <c r="BO130" s="75">
        <v>6.25E-2</v>
      </c>
      <c r="BP130" s="75">
        <v>4.7399999999999998E-2</v>
      </c>
      <c r="BQ130" s="77">
        <v>7.8200000000000006E-2</v>
      </c>
      <c r="BR130" s="79">
        <f t="shared" si="15"/>
        <v>6.2699999999999992E-2</v>
      </c>
      <c r="BT130" s="281">
        <v>47635</v>
      </c>
      <c r="BU130" s="75">
        <v>5.2749999999999998E-2</v>
      </c>
      <c r="BV130" s="75">
        <v>4.4000000000000004E-2</v>
      </c>
      <c r="BW130" s="77">
        <v>4.3249999999999997E-2</v>
      </c>
    </row>
    <row r="131" spans="1:75" s="11" customFormat="1" x14ac:dyDescent="0.2">
      <c r="A131" s="61"/>
      <c r="O131" s="61"/>
      <c r="AU131" s="281">
        <v>47679</v>
      </c>
      <c r="AV131" s="75"/>
      <c r="AW131" s="75"/>
      <c r="AX131" s="75"/>
      <c r="AY131" s="75"/>
      <c r="AZ131" s="75"/>
      <c r="BA131" s="75"/>
      <c r="BB131" s="75"/>
      <c r="BC131" s="75">
        <v>7.1249999999999994E-2</v>
      </c>
      <c r="BD131" s="75">
        <v>7.6249999999999998E-2</v>
      </c>
      <c r="BE131" s="75">
        <v>6.8750000000000006E-2</v>
      </c>
      <c r="BF131" s="75">
        <v>7.1249999999999994E-2</v>
      </c>
      <c r="BG131" s="75">
        <v>5.2499999999999998E-2</v>
      </c>
      <c r="BH131" s="75">
        <v>8.2799999999999999E-2</v>
      </c>
      <c r="BI131" s="74">
        <f t="shared" si="14"/>
        <v>7.0466666666666664E-2</v>
      </c>
      <c r="BJ131" s="78"/>
      <c r="BK131" s="75"/>
      <c r="BL131" s="75"/>
      <c r="BM131" s="75"/>
      <c r="BN131" s="75"/>
      <c r="BO131" s="75">
        <v>6.25E-2</v>
      </c>
      <c r="BP131" s="75">
        <v>4.7399999999999998E-2</v>
      </c>
      <c r="BQ131" s="77">
        <v>7.8200000000000006E-2</v>
      </c>
      <c r="BR131" s="79">
        <f t="shared" si="15"/>
        <v>6.2699999999999992E-2</v>
      </c>
      <c r="BT131" s="281">
        <v>47665</v>
      </c>
      <c r="BU131" s="75">
        <v>5.2749999999999998E-2</v>
      </c>
      <c r="BV131" s="75">
        <v>4.4000000000000004E-2</v>
      </c>
      <c r="BW131" s="77">
        <v>4.3249999999999997E-2</v>
      </c>
    </row>
    <row r="132" spans="1:75" s="11" customFormat="1" x14ac:dyDescent="0.2">
      <c r="A132" s="61"/>
      <c r="O132" s="61"/>
      <c r="AU132" s="281">
        <v>47710</v>
      </c>
      <c r="AV132" s="75"/>
      <c r="AW132" s="75"/>
      <c r="AX132" s="75"/>
      <c r="AY132" s="75"/>
      <c r="AZ132" s="75"/>
      <c r="BA132" s="75"/>
      <c r="BB132" s="75"/>
      <c r="BC132" s="75">
        <v>7.1249999999999994E-2</v>
      </c>
      <c r="BD132" s="75">
        <v>7.6249999999999998E-2</v>
      </c>
      <c r="BE132" s="75">
        <v>6.8750000000000006E-2</v>
      </c>
      <c r="BF132" s="75">
        <v>7.1249999999999994E-2</v>
      </c>
      <c r="BG132" s="75">
        <v>5.2499999999999998E-2</v>
      </c>
      <c r="BH132" s="75">
        <v>8.2799999999999999E-2</v>
      </c>
      <c r="BI132" s="74">
        <f t="shared" si="14"/>
        <v>7.0466666666666664E-2</v>
      </c>
      <c r="BJ132" s="78"/>
      <c r="BK132" s="75"/>
      <c r="BL132" s="75"/>
      <c r="BM132" s="75"/>
      <c r="BN132" s="75"/>
      <c r="BO132" s="75">
        <v>6.25E-2</v>
      </c>
      <c r="BP132" s="75">
        <v>4.7399999999999998E-2</v>
      </c>
      <c r="BQ132" s="77">
        <v>7.8200000000000006E-2</v>
      </c>
      <c r="BR132" s="79">
        <f t="shared" si="15"/>
        <v>6.2699999999999992E-2</v>
      </c>
      <c r="BT132" s="281">
        <v>47696</v>
      </c>
      <c r="BU132" s="75">
        <v>5.2749999999999998E-2</v>
      </c>
      <c r="BV132" s="75">
        <v>4.4000000000000004E-2</v>
      </c>
      <c r="BW132" s="77">
        <v>4.3249999999999997E-2</v>
      </c>
    </row>
    <row r="133" spans="1:75" s="11" customFormat="1" x14ac:dyDescent="0.2">
      <c r="A133" s="61"/>
      <c r="O133" s="61"/>
      <c r="AU133" s="281">
        <v>47741</v>
      </c>
      <c r="AV133" s="75"/>
      <c r="AW133" s="75"/>
      <c r="AX133" s="75"/>
      <c r="AY133" s="75"/>
      <c r="AZ133" s="75"/>
      <c r="BA133" s="75"/>
      <c r="BB133" s="75"/>
      <c r="BC133" s="75">
        <v>7.1249999999999994E-2</v>
      </c>
      <c r="BD133" s="75">
        <v>7.6249999999999998E-2</v>
      </c>
      <c r="BE133" s="75">
        <v>6.8750000000000006E-2</v>
      </c>
      <c r="BF133" s="75">
        <v>7.1249999999999994E-2</v>
      </c>
      <c r="BG133" s="75">
        <v>5.2499999999999998E-2</v>
      </c>
      <c r="BH133" s="75">
        <v>8.2799999999999999E-2</v>
      </c>
      <c r="BI133" s="74">
        <f t="shared" si="14"/>
        <v>7.0466666666666664E-2</v>
      </c>
      <c r="BJ133" s="78"/>
      <c r="BK133" s="75"/>
      <c r="BL133" s="75"/>
      <c r="BM133" s="75"/>
      <c r="BN133" s="75"/>
      <c r="BO133" s="75">
        <v>6.25E-2</v>
      </c>
      <c r="BP133" s="75">
        <v>4.7399999999999998E-2</v>
      </c>
      <c r="BQ133" s="77">
        <v>7.8200000000000006E-2</v>
      </c>
      <c r="BR133" s="79">
        <f t="shared" si="15"/>
        <v>6.2699999999999992E-2</v>
      </c>
      <c r="BT133" s="281">
        <v>47727</v>
      </c>
      <c r="BU133" s="75">
        <v>5.2749999999999998E-2</v>
      </c>
      <c r="BV133" s="75">
        <v>4.4000000000000004E-2</v>
      </c>
      <c r="BW133" s="77">
        <v>4.3249999999999997E-2</v>
      </c>
    </row>
    <row r="134" spans="1:75" s="11" customFormat="1" x14ac:dyDescent="0.2">
      <c r="A134" s="61"/>
      <c r="O134" s="61"/>
      <c r="AU134" s="281">
        <v>47771</v>
      </c>
      <c r="AV134" s="75"/>
      <c r="AW134" s="75"/>
      <c r="AX134" s="75"/>
      <c r="AY134" s="75"/>
      <c r="AZ134" s="75"/>
      <c r="BA134" s="75"/>
      <c r="BB134" s="75"/>
      <c r="BC134" s="75">
        <v>7.1249999999999994E-2</v>
      </c>
      <c r="BD134" s="75">
        <v>7.6249999999999998E-2</v>
      </c>
      <c r="BE134" s="75">
        <v>6.8750000000000006E-2</v>
      </c>
      <c r="BF134" s="75">
        <v>7.1249999999999994E-2</v>
      </c>
      <c r="BG134" s="75">
        <v>5.2499999999999998E-2</v>
      </c>
      <c r="BH134" s="75">
        <v>8.2799999999999999E-2</v>
      </c>
      <c r="BI134" s="74">
        <f t="shared" si="14"/>
        <v>7.0466666666666664E-2</v>
      </c>
      <c r="BJ134" s="78"/>
      <c r="BK134" s="75"/>
      <c r="BL134" s="75"/>
      <c r="BM134" s="75"/>
      <c r="BN134" s="75"/>
      <c r="BO134" s="75">
        <v>6.25E-2</v>
      </c>
      <c r="BP134" s="75">
        <v>4.7399999999999998E-2</v>
      </c>
      <c r="BQ134" s="77">
        <v>7.8200000000000006E-2</v>
      </c>
      <c r="BR134" s="79">
        <f t="shared" si="15"/>
        <v>6.2699999999999992E-2</v>
      </c>
      <c r="BT134" s="281">
        <v>47757</v>
      </c>
      <c r="BU134" s="75">
        <v>5.2749999999999998E-2</v>
      </c>
      <c r="BV134" s="75">
        <v>4.4000000000000004E-2</v>
      </c>
      <c r="BW134" s="77">
        <v>4.3249999999999997E-2</v>
      </c>
    </row>
    <row r="135" spans="1:75" s="11" customFormat="1" x14ac:dyDescent="0.2">
      <c r="A135" s="61"/>
      <c r="O135" s="61"/>
      <c r="AU135" s="281">
        <v>47802</v>
      </c>
      <c r="AV135" s="75"/>
      <c r="AW135" s="75"/>
      <c r="AX135" s="75"/>
      <c r="AY135" s="75"/>
      <c r="AZ135" s="75"/>
      <c r="BA135" s="75"/>
      <c r="BB135" s="75"/>
      <c r="BC135" s="75">
        <v>7.1249999999999994E-2</v>
      </c>
      <c r="BD135" s="75">
        <v>7.6249999999999998E-2</v>
      </c>
      <c r="BE135" s="75">
        <v>6.8750000000000006E-2</v>
      </c>
      <c r="BF135" s="75">
        <v>7.1249999999999994E-2</v>
      </c>
      <c r="BG135" s="75">
        <v>5.2499999999999998E-2</v>
      </c>
      <c r="BH135" s="75">
        <v>8.2799999999999999E-2</v>
      </c>
      <c r="BI135" s="74">
        <f t="shared" si="14"/>
        <v>7.0466666666666664E-2</v>
      </c>
      <c r="BJ135" s="78"/>
      <c r="BK135" s="75"/>
      <c r="BL135" s="75"/>
      <c r="BM135" s="75"/>
      <c r="BN135" s="75"/>
      <c r="BO135" s="75">
        <v>6.25E-2</v>
      </c>
      <c r="BP135" s="75">
        <v>4.7399999999999998E-2</v>
      </c>
      <c r="BQ135" s="77">
        <v>7.8200000000000006E-2</v>
      </c>
      <c r="BR135" s="79">
        <f t="shared" si="15"/>
        <v>6.2699999999999992E-2</v>
      </c>
      <c r="BT135" s="281">
        <v>47788</v>
      </c>
      <c r="BU135" s="75">
        <v>5.2749999999999998E-2</v>
      </c>
      <c r="BV135" s="75">
        <v>4.4000000000000004E-2</v>
      </c>
      <c r="BW135" s="77">
        <v>4.3249999999999997E-2</v>
      </c>
    </row>
    <row r="136" spans="1:75" s="11" customFormat="1" x14ac:dyDescent="0.2">
      <c r="A136" s="61"/>
      <c r="O136" s="61"/>
      <c r="AU136" s="281">
        <v>47832</v>
      </c>
      <c r="AV136" s="75"/>
      <c r="AW136" s="75"/>
      <c r="AX136" s="75"/>
      <c r="AY136" s="75"/>
      <c r="AZ136" s="75"/>
      <c r="BA136" s="75"/>
      <c r="BB136" s="75"/>
      <c r="BC136" s="75">
        <v>7.1249999999999994E-2</v>
      </c>
      <c r="BD136" s="75">
        <v>7.6249999999999998E-2</v>
      </c>
      <c r="BE136" s="75">
        <v>6.8750000000000006E-2</v>
      </c>
      <c r="BF136" s="75">
        <v>7.1249999999999994E-2</v>
      </c>
      <c r="BG136" s="75">
        <v>5.2499999999999998E-2</v>
      </c>
      <c r="BH136" s="75">
        <v>8.2799999999999999E-2</v>
      </c>
      <c r="BI136" s="74">
        <f t="shared" si="14"/>
        <v>7.0466666666666664E-2</v>
      </c>
      <c r="BJ136" s="78"/>
      <c r="BK136" s="75"/>
      <c r="BL136" s="75"/>
      <c r="BM136" s="75"/>
      <c r="BN136" s="75"/>
      <c r="BO136" s="75">
        <v>6.25E-2</v>
      </c>
      <c r="BP136" s="75">
        <v>4.7399999999999998E-2</v>
      </c>
      <c r="BQ136" s="77">
        <v>7.8200000000000006E-2</v>
      </c>
      <c r="BR136" s="79">
        <f t="shared" si="15"/>
        <v>6.2699999999999992E-2</v>
      </c>
      <c r="BT136" s="281">
        <v>47818</v>
      </c>
      <c r="BU136" s="75">
        <v>5.2749999999999998E-2</v>
      </c>
      <c r="BV136" s="75">
        <v>4.4000000000000004E-2</v>
      </c>
      <c r="BW136" s="77">
        <v>4.3249999999999997E-2</v>
      </c>
    </row>
    <row r="137" spans="1:75" s="11" customFormat="1" x14ac:dyDescent="0.2">
      <c r="A137" s="61"/>
      <c r="O137" s="61"/>
      <c r="AU137" s="281">
        <v>47863</v>
      </c>
      <c r="AV137" s="75"/>
      <c r="AW137" s="75"/>
      <c r="AX137" s="75"/>
      <c r="AY137" s="75"/>
      <c r="AZ137" s="75"/>
      <c r="BA137" s="75"/>
      <c r="BB137" s="75"/>
      <c r="BC137" s="75">
        <v>7.1249999999999994E-2</v>
      </c>
      <c r="BD137" s="75">
        <v>7.6249999999999998E-2</v>
      </c>
      <c r="BE137" s="75">
        <v>6.8750000000000006E-2</v>
      </c>
      <c r="BF137" s="75">
        <v>7.1249999999999994E-2</v>
      </c>
      <c r="BG137" s="75">
        <v>5.2499999999999998E-2</v>
      </c>
      <c r="BH137" s="75">
        <v>8.2799999999999999E-2</v>
      </c>
      <c r="BI137" s="74">
        <f t="shared" ref="BI137:BI200" si="16">+AVERAGE(AV137:BH137)</f>
        <v>7.0466666666666664E-2</v>
      </c>
      <c r="BJ137" s="78"/>
      <c r="BK137" s="75"/>
      <c r="BL137" s="75"/>
      <c r="BM137" s="75"/>
      <c r="BN137" s="75"/>
      <c r="BO137" s="75">
        <v>6.25E-2</v>
      </c>
      <c r="BP137" s="75">
        <v>4.7399999999999998E-2</v>
      </c>
      <c r="BQ137" s="77">
        <v>7.8200000000000006E-2</v>
      </c>
      <c r="BR137" s="79">
        <f t="shared" ref="BR137:BR200" si="17">+AVERAGE(BJ137:BQ137)</f>
        <v>6.2699999999999992E-2</v>
      </c>
      <c r="BT137" s="281">
        <v>47849</v>
      </c>
      <c r="BU137" s="75">
        <v>5.5300000000000002E-2</v>
      </c>
      <c r="BV137" s="75">
        <v>4.9687499999999996E-2</v>
      </c>
      <c r="BW137" s="77">
        <v>4.3249999999999997E-2</v>
      </c>
    </row>
    <row r="138" spans="1:75" s="11" customFormat="1" x14ac:dyDescent="0.2">
      <c r="A138" s="61"/>
      <c r="O138" s="61"/>
      <c r="AU138" s="281">
        <v>47894</v>
      </c>
      <c r="AV138" s="75"/>
      <c r="AW138" s="75"/>
      <c r="AX138" s="75"/>
      <c r="AY138" s="75"/>
      <c r="AZ138" s="75"/>
      <c r="BA138" s="75"/>
      <c r="BB138" s="75"/>
      <c r="BC138" s="75">
        <v>7.1249999999999994E-2</v>
      </c>
      <c r="BD138" s="75">
        <v>7.6249999999999998E-2</v>
      </c>
      <c r="BE138" s="75">
        <v>6.8750000000000006E-2</v>
      </c>
      <c r="BF138" s="75">
        <v>7.1249999999999994E-2</v>
      </c>
      <c r="BG138" s="75">
        <v>5.2499999999999998E-2</v>
      </c>
      <c r="BH138" s="75">
        <v>8.2799999999999999E-2</v>
      </c>
      <c r="BI138" s="74">
        <f t="shared" si="16"/>
        <v>7.0466666666666664E-2</v>
      </c>
      <c r="BJ138" s="78"/>
      <c r="BK138" s="75"/>
      <c r="BL138" s="75"/>
      <c r="BM138" s="75"/>
      <c r="BN138" s="75"/>
      <c r="BO138" s="75">
        <v>6.25E-2</v>
      </c>
      <c r="BP138" s="75">
        <v>4.7399999999999998E-2</v>
      </c>
      <c r="BQ138" s="77">
        <v>7.8200000000000006E-2</v>
      </c>
      <c r="BR138" s="79">
        <f t="shared" si="17"/>
        <v>6.2699999999999992E-2</v>
      </c>
      <c r="BT138" s="281">
        <v>47880</v>
      </c>
      <c r="BU138" s="75">
        <v>5.5300000000000002E-2</v>
      </c>
      <c r="BV138" s="75">
        <v>4.9687499999999996E-2</v>
      </c>
      <c r="BW138" s="77">
        <v>4.3249999999999997E-2</v>
      </c>
    </row>
    <row r="139" spans="1:75" s="11" customFormat="1" x14ac:dyDescent="0.2">
      <c r="A139" s="61"/>
      <c r="O139" s="61"/>
      <c r="AU139" s="281">
        <v>47922</v>
      </c>
      <c r="AV139" s="75"/>
      <c r="AW139" s="75"/>
      <c r="AX139" s="75"/>
      <c r="AY139" s="75"/>
      <c r="AZ139" s="75"/>
      <c r="BA139" s="75"/>
      <c r="BB139" s="75"/>
      <c r="BC139" s="75">
        <v>7.1249999999999994E-2</v>
      </c>
      <c r="BD139" s="75">
        <v>7.6249999999999998E-2</v>
      </c>
      <c r="BE139" s="75">
        <v>6.8750000000000006E-2</v>
      </c>
      <c r="BF139" s="75">
        <v>7.1249999999999994E-2</v>
      </c>
      <c r="BG139" s="75">
        <v>5.2499999999999998E-2</v>
      </c>
      <c r="BH139" s="75">
        <v>8.2799999999999999E-2</v>
      </c>
      <c r="BI139" s="74">
        <f t="shared" si="16"/>
        <v>7.0466666666666664E-2</v>
      </c>
      <c r="BJ139" s="78"/>
      <c r="BK139" s="75"/>
      <c r="BL139" s="75"/>
      <c r="BM139" s="75"/>
      <c r="BN139" s="75"/>
      <c r="BO139" s="75">
        <v>6.25E-2</v>
      </c>
      <c r="BP139" s="75">
        <v>4.7399999999999998E-2</v>
      </c>
      <c r="BQ139" s="77">
        <v>7.8200000000000006E-2</v>
      </c>
      <c r="BR139" s="79">
        <f t="shared" si="17"/>
        <v>6.2699999999999992E-2</v>
      </c>
      <c r="BT139" s="281">
        <v>47908</v>
      </c>
      <c r="BU139" s="75">
        <v>5.5300000000000002E-2</v>
      </c>
      <c r="BV139" s="75">
        <v>4.9687499999999996E-2</v>
      </c>
      <c r="BW139" s="77">
        <v>4.9687499999999996E-2</v>
      </c>
    </row>
    <row r="140" spans="1:75" s="11" customFormat="1" x14ac:dyDescent="0.2">
      <c r="A140" s="61"/>
      <c r="O140" s="61"/>
      <c r="AU140" s="281">
        <v>47953</v>
      </c>
      <c r="AV140" s="75"/>
      <c r="AW140" s="75"/>
      <c r="AX140" s="75"/>
      <c r="AY140" s="75"/>
      <c r="AZ140" s="75"/>
      <c r="BA140" s="75"/>
      <c r="BB140" s="75"/>
      <c r="BC140" s="75">
        <v>7.1249999999999994E-2</v>
      </c>
      <c r="BD140" s="75">
        <v>7.6249999999999998E-2</v>
      </c>
      <c r="BE140" s="75">
        <v>6.8750000000000006E-2</v>
      </c>
      <c r="BF140" s="75">
        <v>7.1249999999999994E-2</v>
      </c>
      <c r="BG140" s="75">
        <v>5.2499999999999998E-2</v>
      </c>
      <c r="BH140" s="75">
        <v>8.2799999999999999E-2</v>
      </c>
      <c r="BI140" s="74">
        <f t="shared" si="16"/>
        <v>7.0466666666666664E-2</v>
      </c>
      <c r="BJ140" s="78"/>
      <c r="BK140" s="75"/>
      <c r="BL140" s="75"/>
      <c r="BM140" s="75"/>
      <c r="BN140" s="75"/>
      <c r="BO140" s="75">
        <v>6.25E-2</v>
      </c>
      <c r="BP140" s="75">
        <v>4.7399999999999998E-2</v>
      </c>
      <c r="BQ140" s="77">
        <v>7.8200000000000006E-2</v>
      </c>
      <c r="BR140" s="79">
        <f t="shared" si="17"/>
        <v>6.2699999999999992E-2</v>
      </c>
      <c r="BT140" s="281">
        <v>47939</v>
      </c>
      <c r="BU140" s="75">
        <v>5.5300000000000002E-2</v>
      </c>
      <c r="BV140" s="75">
        <v>4.9687499999999996E-2</v>
      </c>
      <c r="BW140" s="77">
        <v>4.9687499999999996E-2</v>
      </c>
    </row>
    <row r="141" spans="1:75" s="11" customFormat="1" x14ac:dyDescent="0.2">
      <c r="A141" s="61"/>
      <c r="O141" s="61"/>
      <c r="AU141" s="281">
        <v>47983</v>
      </c>
      <c r="AV141" s="75"/>
      <c r="AW141" s="75"/>
      <c r="AX141" s="75"/>
      <c r="AY141" s="75"/>
      <c r="AZ141" s="75"/>
      <c r="BA141" s="75"/>
      <c r="BB141" s="75"/>
      <c r="BC141" s="75">
        <v>7.1249999999999994E-2</v>
      </c>
      <c r="BD141" s="75">
        <v>7.6249999999999998E-2</v>
      </c>
      <c r="BE141" s="75">
        <v>6.8750000000000006E-2</v>
      </c>
      <c r="BF141" s="75">
        <v>7.1249999999999994E-2</v>
      </c>
      <c r="BG141" s="75">
        <v>5.2499999999999998E-2</v>
      </c>
      <c r="BH141" s="75">
        <v>8.2799999999999999E-2</v>
      </c>
      <c r="BI141" s="74">
        <f t="shared" si="16"/>
        <v>7.0466666666666664E-2</v>
      </c>
      <c r="BJ141" s="78"/>
      <c r="BK141" s="75"/>
      <c r="BL141" s="75"/>
      <c r="BM141" s="75"/>
      <c r="BN141" s="75"/>
      <c r="BO141" s="75">
        <v>6.25E-2</v>
      </c>
      <c r="BP141" s="75">
        <v>4.7399999999999998E-2</v>
      </c>
      <c r="BQ141" s="77">
        <v>7.8200000000000006E-2</v>
      </c>
      <c r="BR141" s="79">
        <f t="shared" si="17"/>
        <v>6.2699999999999992E-2</v>
      </c>
      <c r="BT141" s="281">
        <v>47969</v>
      </c>
      <c r="BU141" s="75">
        <v>5.5300000000000002E-2</v>
      </c>
      <c r="BV141" s="75">
        <v>4.9687499999999996E-2</v>
      </c>
      <c r="BW141" s="77">
        <v>4.9687499999999996E-2</v>
      </c>
    </row>
    <row r="142" spans="1:75" s="11" customFormat="1" x14ac:dyDescent="0.2">
      <c r="A142" s="61"/>
      <c r="O142" s="61"/>
      <c r="AU142" s="281">
        <v>48014</v>
      </c>
      <c r="AV142" s="75"/>
      <c r="AW142" s="75"/>
      <c r="AX142" s="75"/>
      <c r="AY142" s="75"/>
      <c r="AZ142" s="75"/>
      <c r="BA142" s="75"/>
      <c r="BB142" s="75"/>
      <c r="BC142" s="75">
        <v>7.1249999999999994E-2</v>
      </c>
      <c r="BD142" s="75">
        <v>7.6249999999999998E-2</v>
      </c>
      <c r="BE142" s="75">
        <v>6.8750000000000006E-2</v>
      </c>
      <c r="BF142" s="75">
        <v>7.1249999999999994E-2</v>
      </c>
      <c r="BG142" s="75">
        <v>5.2499999999999998E-2</v>
      </c>
      <c r="BH142" s="75">
        <v>8.2799999999999999E-2</v>
      </c>
      <c r="BI142" s="74">
        <f t="shared" si="16"/>
        <v>7.0466666666666664E-2</v>
      </c>
      <c r="BJ142" s="78"/>
      <c r="BK142" s="75"/>
      <c r="BL142" s="75"/>
      <c r="BM142" s="75"/>
      <c r="BN142" s="75"/>
      <c r="BO142" s="75">
        <v>6.25E-2</v>
      </c>
      <c r="BP142" s="75">
        <v>4.7399999999999998E-2</v>
      </c>
      <c r="BQ142" s="77">
        <v>7.8200000000000006E-2</v>
      </c>
      <c r="BR142" s="79">
        <f t="shared" si="17"/>
        <v>6.2699999999999992E-2</v>
      </c>
      <c r="BT142" s="281">
        <v>48000</v>
      </c>
      <c r="BU142" s="75">
        <v>5.5300000000000002E-2</v>
      </c>
      <c r="BV142" s="75">
        <v>4.9687499999999996E-2</v>
      </c>
      <c r="BW142" s="77">
        <v>4.9687499999999996E-2</v>
      </c>
    </row>
    <row r="143" spans="1:75" s="11" customFormat="1" x14ac:dyDescent="0.2">
      <c r="A143" s="61"/>
      <c r="O143" s="61"/>
      <c r="AU143" s="281">
        <v>48044</v>
      </c>
      <c r="AV143" s="75"/>
      <c r="AW143" s="75"/>
      <c r="AX143" s="75"/>
      <c r="AY143" s="75"/>
      <c r="AZ143" s="75"/>
      <c r="BA143" s="75"/>
      <c r="BB143" s="75"/>
      <c r="BC143" s="75">
        <v>7.1249999999999994E-2</v>
      </c>
      <c r="BD143" s="75">
        <v>7.6249999999999998E-2</v>
      </c>
      <c r="BE143" s="75">
        <v>6.8750000000000006E-2</v>
      </c>
      <c r="BF143" s="75">
        <v>7.1249999999999994E-2</v>
      </c>
      <c r="BG143" s="75">
        <v>5.2499999999999998E-2</v>
      </c>
      <c r="BH143" s="75">
        <v>8.2799999999999999E-2</v>
      </c>
      <c r="BI143" s="74">
        <f t="shared" si="16"/>
        <v>7.0466666666666664E-2</v>
      </c>
      <c r="BJ143" s="78"/>
      <c r="BK143" s="75"/>
      <c r="BL143" s="75"/>
      <c r="BM143" s="75"/>
      <c r="BN143" s="75"/>
      <c r="BO143" s="75">
        <v>6.25E-2</v>
      </c>
      <c r="BP143" s="75">
        <v>4.7399999999999998E-2</v>
      </c>
      <c r="BQ143" s="77">
        <v>7.8200000000000006E-2</v>
      </c>
      <c r="BR143" s="79">
        <f t="shared" si="17"/>
        <v>6.2699999999999992E-2</v>
      </c>
      <c r="BT143" s="281">
        <v>48030</v>
      </c>
      <c r="BU143" s="75">
        <v>5.5300000000000002E-2</v>
      </c>
      <c r="BV143" s="75">
        <v>4.9687499999999996E-2</v>
      </c>
      <c r="BW143" s="77">
        <v>4.9687499999999996E-2</v>
      </c>
    </row>
    <row r="144" spans="1:75" s="11" customFormat="1" x14ac:dyDescent="0.2">
      <c r="A144" s="61"/>
      <c r="O144" s="61"/>
      <c r="AU144" s="281">
        <v>48075</v>
      </c>
      <c r="AV144" s="75"/>
      <c r="AW144" s="75"/>
      <c r="AX144" s="75"/>
      <c r="AY144" s="75"/>
      <c r="AZ144" s="75"/>
      <c r="BA144" s="75"/>
      <c r="BB144" s="75"/>
      <c r="BC144" s="75">
        <v>7.1249999999999994E-2</v>
      </c>
      <c r="BD144" s="75">
        <v>7.6249999999999998E-2</v>
      </c>
      <c r="BE144" s="75">
        <v>6.8750000000000006E-2</v>
      </c>
      <c r="BF144" s="75">
        <v>7.1249999999999994E-2</v>
      </c>
      <c r="BG144" s="75">
        <v>5.2499999999999998E-2</v>
      </c>
      <c r="BH144" s="75">
        <v>8.2799999999999999E-2</v>
      </c>
      <c r="BI144" s="74">
        <f t="shared" si="16"/>
        <v>7.0466666666666664E-2</v>
      </c>
      <c r="BJ144" s="78"/>
      <c r="BK144" s="75"/>
      <c r="BL144" s="75"/>
      <c r="BM144" s="75"/>
      <c r="BN144" s="75"/>
      <c r="BO144" s="75">
        <v>6.25E-2</v>
      </c>
      <c r="BP144" s="75">
        <v>4.7399999999999998E-2</v>
      </c>
      <c r="BQ144" s="77">
        <v>7.8200000000000006E-2</v>
      </c>
      <c r="BR144" s="79">
        <f t="shared" si="17"/>
        <v>6.2699999999999992E-2</v>
      </c>
      <c r="BT144" s="281">
        <v>48061</v>
      </c>
      <c r="BU144" s="75">
        <v>5.5300000000000002E-2</v>
      </c>
      <c r="BV144" s="75">
        <v>4.9687499999999996E-2</v>
      </c>
      <c r="BW144" s="77">
        <v>4.9687499999999996E-2</v>
      </c>
    </row>
    <row r="145" spans="1:75" s="11" customFormat="1" x14ac:dyDescent="0.2">
      <c r="A145" s="61"/>
      <c r="O145" s="61"/>
      <c r="AU145" s="281">
        <v>48106</v>
      </c>
      <c r="AV145" s="75"/>
      <c r="AW145" s="75"/>
      <c r="AX145" s="75"/>
      <c r="AY145" s="75"/>
      <c r="AZ145" s="75"/>
      <c r="BA145" s="75"/>
      <c r="BB145" s="75"/>
      <c r="BC145" s="75">
        <v>7.1249999999999994E-2</v>
      </c>
      <c r="BD145" s="75">
        <v>7.6249999999999998E-2</v>
      </c>
      <c r="BE145" s="75">
        <v>6.8750000000000006E-2</v>
      </c>
      <c r="BF145" s="75">
        <v>7.1249999999999994E-2</v>
      </c>
      <c r="BG145" s="75">
        <v>5.2499999999999998E-2</v>
      </c>
      <c r="BH145" s="75">
        <v>8.2799999999999999E-2</v>
      </c>
      <c r="BI145" s="74">
        <f t="shared" si="16"/>
        <v>7.0466666666666664E-2</v>
      </c>
      <c r="BJ145" s="78"/>
      <c r="BK145" s="75"/>
      <c r="BL145" s="75"/>
      <c r="BM145" s="75"/>
      <c r="BN145" s="75"/>
      <c r="BO145" s="75">
        <v>6.25E-2</v>
      </c>
      <c r="BP145" s="75">
        <v>4.7399999999999998E-2</v>
      </c>
      <c r="BQ145" s="77">
        <v>7.8200000000000006E-2</v>
      </c>
      <c r="BR145" s="79">
        <f t="shared" si="17"/>
        <v>6.2699999999999992E-2</v>
      </c>
      <c r="BT145" s="281">
        <v>48092</v>
      </c>
      <c r="BU145" s="75">
        <v>5.5300000000000002E-2</v>
      </c>
      <c r="BV145" s="75">
        <v>4.9687499999999996E-2</v>
      </c>
      <c r="BW145" s="77">
        <v>4.9687499999999996E-2</v>
      </c>
    </row>
    <row r="146" spans="1:75" s="11" customFormat="1" x14ac:dyDescent="0.2">
      <c r="A146" s="61"/>
      <c r="O146" s="61"/>
      <c r="AU146" s="281">
        <v>48136</v>
      </c>
      <c r="AV146" s="75"/>
      <c r="AW146" s="75"/>
      <c r="AX146" s="75"/>
      <c r="AY146" s="75"/>
      <c r="AZ146" s="75"/>
      <c r="BA146" s="75"/>
      <c r="BB146" s="75"/>
      <c r="BC146" s="75">
        <v>7.1249999999999994E-2</v>
      </c>
      <c r="BD146" s="75">
        <v>7.6249999999999998E-2</v>
      </c>
      <c r="BE146" s="75">
        <v>6.8750000000000006E-2</v>
      </c>
      <c r="BF146" s="75">
        <v>7.1249999999999994E-2</v>
      </c>
      <c r="BG146" s="75">
        <v>5.2499999999999998E-2</v>
      </c>
      <c r="BH146" s="75">
        <v>8.2799999999999999E-2</v>
      </c>
      <c r="BI146" s="74">
        <f t="shared" si="16"/>
        <v>7.0466666666666664E-2</v>
      </c>
      <c r="BJ146" s="78"/>
      <c r="BK146" s="75"/>
      <c r="BL146" s="75"/>
      <c r="BM146" s="75"/>
      <c r="BN146" s="75"/>
      <c r="BO146" s="75">
        <v>6.25E-2</v>
      </c>
      <c r="BP146" s="75">
        <v>4.7399999999999998E-2</v>
      </c>
      <c r="BQ146" s="77">
        <v>7.8200000000000006E-2</v>
      </c>
      <c r="BR146" s="79">
        <f t="shared" si="17"/>
        <v>6.2699999999999992E-2</v>
      </c>
      <c r="BT146" s="281">
        <v>48122</v>
      </c>
      <c r="BU146" s="75">
        <v>5.5300000000000002E-2</v>
      </c>
      <c r="BV146" s="75">
        <v>4.9687499999999996E-2</v>
      </c>
      <c r="BW146" s="77">
        <v>4.9687499999999996E-2</v>
      </c>
    </row>
    <row r="147" spans="1:75" s="11" customFormat="1" x14ac:dyDescent="0.2">
      <c r="A147" s="61"/>
      <c r="O147" s="61"/>
      <c r="AU147" s="281">
        <v>48167</v>
      </c>
      <c r="AV147" s="75"/>
      <c r="AW147" s="75"/>
      <c r="AX147" s="75"/>
      <c r="AY147" s="75"/>
      <c r="AZ147" s="75"/>
      <c r="BA147" s="75"/>
      <c r="BB147" s="75"/>
      <c r="BC147" s="75">
        <v>7.1249999999999994E-2</v>
      </c>
      <c r="BD147" s="75">
        <v>7.6249999999999998E-2</v>
      </c>
      <c r="BE147" s="75">
        <v>6.8750000000000006E-2</v>
      </c>
      <c r="BF147" s="75">
        <v>7.1249999999999994E-2</v>
      </c>
      <c r="BG147" s="75">
        <v>5.2499999999999998E-2</v>
      </c>
      <c r="BH147" s="75">
        <v>8.2799999999999999E-2</v>
      </c>
      <c r="BI147" s="74">
        <f t="shared" si="16"/>
        <v>7.0466666666666664E-2</v>
      </c>
      <c r="BJ147" s="78"/>
      <c r="BK147" s="75"/>
      <c r="BL147" s="75"/>
      <c r="BM147" s="75"/>
      <c r="BN147" s="75"/>
      <c r="BO147" s="75">
        <v>6.25E-2</v>
      </c>
      <c r="BP147" s="75">
        <v>4.7399999999999998E-2</v>
      </c>
      <c r="BQ147" s="77">
        <v>7.8200000000000006E-2</v>
      </c>
      <c r="BR147" s="79">
        <f t="shared" si="17"/>
        <v>6.2699999999999992E-2</v>
      </c>
      <c r="BT147" s="281">
        <v>48153</v>
      </c>
      <c r="BU147" s="75">
        <v>5.5300000000000002E-2</v>
      </c>
      <c r="BV147" s="75">
        <v>4.9687499999999996E-2</v>
      </c>
      <c r="BW147" s="77">
        <v>4.9687499999999996E-2</v>
      </c>
    </row>
    <row r="148" spans="1:75" s="11" customFormat="1" x14ac:dyDescent="0.2">
      <c r="A148" s="61"/>
      <c r="O148" s="61"/>
      <c r="AU148" s="281">
        <v>48197</v>
      </c>
      <c r="AV148" s="75"/>
      <c r="AW148" s="75"/>
      <c r="AX148" s="75"/>
      <c r="AY148" s="75"/>
      <c r="AZ148" s="75"/>
      <c r="BA148" s="75"/>
      <c r="BB148" s="75"/>
      <c r="BC148" s="75">
        <v>7.1249999999999994E-2</v>
      </c>
      <c r="BD148" s="75">
        <v>7.6249999999999998E-2</v>
      </c>
      <c r="BE148" s="75">
        <v>6.8750000000000006E-2</v>
      </c>
      <c r="BF148" s="75">
        <v>7.1249999999999994E-2</v>
      </c>
      <c r="BG148" s="75">
        <v>5.2499999999999998E-2</v>
      </c>
      <c r="BH148" s="75">
        <v>8.2799999999999999E-2</v>
      </c>
      <c r="BI148" s="74">
        <f t="shared" si="16"/>
        <v>7.0466666666666664E-2</v>
      </c>
      <c r="BJ148" s="78"/>
      <c r="BK148" s="75"/>
      <c r="BL148" s="75"/>
      <c r="BM148" s="75"/>
      <c r="BN148" s="75"/>
      <c r="BO148" s="75">
        <v>6.25E-2</v>
      </c>
      <c r="BP148" s="75">
        <v>4.7399999999999998E-2</v>
      </c>
      <c r="BQ148" s="77">
        <v>7.8200000000000006E-2</v>
      </c>
      <c r="BR148" s="79">
        <f t="shared" si="17"/>
        <v>6.2699999999999992E-2</v>
      </c>
      <c r="BT148" s="281">
        <v>48183</v>
      </c>
      <c r="BU148" s="75">
        <v>5.5300000000000002E-2</v>
      </c>
      <c r="BV148" s="75">
        <v>4.9687499999999996E-2</v>
      </c>
      <c r="BW148" s="77">
        <v>4.9687499999999996E-2</v>
      </c>
    </row>
    <row r="149" spans="1:75" s="11" customFormat="1" x14ac:dyDescent="0.2">
      <c r="A149" s="61"/>
      <c r="O149" s="61"/>
      <c r="AU149" s="281">
        <v>48228</v>
      </c>
      <c r="AV149" s="75"/>
      <c r="AW149" s="75"/>
      <c r="AX149" s="75"/>
      <c r="AY149" s="75"/>
      <c r="AZ149" s="75"/>
      <c r="BA149" s="75"/>
      <c r="BB149" s="75"/>
      <c r="BC149" s="75">
        <v>7.1249999999999994E-2</v>
      </c>
      <c r="BD149" s="75">
        <v>7.6249999999999998E-2</v>
      </c>
      <c r="BE149" s="75">
        <v>6.8750000000000006E-2</v>
      </c>
      <c r="BF149" s="75">
        <v>7.1249999999999994E-2</v>
      </c>
      <c r="BG149" s="75">
        <v>5.2499999999999998E-2</v>
      </c>
      <c r="BH149" s="75">
        <v>8.2799999999999999E-2</v>
      </c>
      <c r="BI149" s="74">
        <f t="shared" si="16"/>
        <v>7.0466666666666664E-2</v>
      </c>
      <c r="BJ149" s="78"/>
      <c r="BK149" s="75"/>
      <c r="BL149" s="75"/>
      <c r="BM149" s="75"/>
      <c r="BN149" s="75"/>
      <c r="BO149" s="75">
        <v>6.25E-2</v>
      </c>
      <c r="BP149" s="75">
        <v>4.7399999999999998E-2</v>
      </c>
      <c r="BQ149" s="77">
        <v>7.8200000000000006E-2</v>
      </c>
      <c r="BR149" s="79">
        <f t="shared" si="17"/>
        <v>6.2699999999999992E-2</v>
      </c>
      <c r="BT149" s="281">
        <v>48214</v>
      </c>
      <c r="BU149" s="75">
        <v>5.5300000000000002E-2</v>
      </c>
      <c r="BV149" s="75">
        <v>4.9687499999999996E-2</v>
      </c>
      <c r="BW149" s="77">
        <v>4.9687499999999996E-2</v>
      </c>
    </row>
    <row r="150" spans="1:75" s="11" customFormat="1" x14ac:dyDescent="0.2">
      <c r="A150" s="61"/>
      <c r="O150" s="61"/>
      <c r="AU150" s="281">
        <v>48259</v>
      </c>
      <c r="AV150" s="75"/>
      <c r="AW150" s="75"/>
      <c r="AX150" s="75"/>
      <c r="AY150" s="75"/>
      <c r="AZ150" s="75"/>
      <c r="BA150" s="75"/>
      <c r="BB150" s="75"/>
      <c r="BC150" s="75">
        <v>7.1249999999999994E-2</v>
      </c>
      <c r="BD150" s="75">
        <v>7.6249999999999998E-2</v>
      </c>
      <c r="BE150" s="75">
        <v>6.8750000000000006E-2</v>
      </c>
      <c r="BF150" s="75">
        <v>7.1249999999999994E-2</v>
      </c>
      <c r="BG150" s="75">
        <v>5.2499999999999998E-2</v>
      </c>
      <c r="BH150" s="75">
        <v>8.2799999999999999E-2</v>
      </c>
      <c r="BI150" s="74">
        <f t="shared" si="16"/>
        <v>7.0466666666666664E-2</v>
      </c>
      <c r="BJ150" s="78"/>
      <c r="BK150" s="75"/>
      <c r="BL150" s="75"/>
      <c r="BM150" s="75"/>
      <c r="BN150" s="75"/>
      <c r="BO150" s="75">
        <v>6.25E-2</v>
      </c>
      <c r="BP150" s="75">
        <v>4.7399999999999998E-2</v>
      </c>
      <c r="BQ150" s="77">
        <v>7.8200000000000006E-2</v>
      </c>
      <c r="BR150" s="79">
        <f t="shared" si="17"/>
        <v>6.2699999999999992E-2</v>
      </c>
      <c r="BT150" s="281">
        <v>48245</v>
      </c>
      <c r="BU150" s="75">
        <v>5.5300000000000002E-2</v>
      </c>
      <c r="BV150" s="75">
        <v>4.9687499999999996E-2</v>
      </c>
      <c r="BW150" s="77">
        <v>4.9687499999999996E-2</v>
      </c>
    </row>
    <row r="151" spans="1:75" s="11" customFormat="1" x14ac:dyDescent="0.2">
      <c r="A151" s="61"/>
      <c r="O151" s="61"/>
      <c r="AU151" s="281">
        <v>48288</v>
      </c>
      <c r="AV151" s="75"/>
      <c r="AW151" s="75"/>
      <c r="AX151" s="75"/>
      <c r="AY151" s="75"/>
      <c r="AZ151" s="75"/>
      <c r="BA151" s="75"/>
      <c r="BB151" s="75"/>
      <c r="BC151" s="75">
        <v>7.1249999999999994E-2</v>
      </c>
      <c r="BD151" s="75">
        <v>7.6249999999999998E-2</v>
      </c>
      <c r="BE151" s="75">
        <v>6.8750000000000006E-2</v>
      </c>
      <c r="BF151" s="75">
        <v>7.1249999999999994E-2</v>
      </c>
      <c r="BG151" s="75">
        <v>5.2499999999999998E-2</v>
      </c>
      <c r="BH151" s="75">
        <v>8.2799999999999999E-2</v>
      </c>
      <c r="BI151" s="74">
        <f t="shared" si="16"/>
        <v>7.0466666666666664E-2</v>
      </c>
      <c r="BJ151" s="78"/>
      <c r="BK151" s="75"/>
      <c r="BL151" s="75"/>
      <c r="BM151" s="75"/>
      <c r="BN151" s="75"/>
      <c r="BO151" s="75">
        <v>6.25E-2</v>
      </c>
      <c r="BP151" s="75">
        <v>4.7399999999999998E-2</v>
      </c>
      <c r="BQ151" s="77">
        <v>7.8200000000000006E-2</v>
      </c>
      <c r="BR151" s="79">
        <f t="shared" si="17"/>
        <v>6.2699999999999992E-2</v>
      </c>
      <c r="BT151" s="281">
        <v>48274</v>
      </c>
      <c r="BU151" s="75">
        <v>5.5300000000000002E-2</v>
      </c>
      <c r="BV151" s="75">
        <v>4.9687499999999996E-2</v>
      </c>
      <c r="BW151" s="77">
        <v>4.9687499999999996E-2</v>
      </c>
    </row>
    <row r="152" spans="1:75" s="11" customFormat="1" x14ac:dyDescent="0.2">
      <c r="A152" s="61"/>
      <c r="O152" s="61"/>
      <c r="AU152" s="281">
        <v>48319</v>
      </c>
      <c r="AV152" s="75"/>
      <c r="AW152" s="75"/>
      <c r="AX152" s="75"/>
      <c r="AY152" s="75"/>
      <c r="AZ152" s="75"/>
      <c r="BA152" s="75"/>
      <c r="BB152" s="75"/>
      <c r="BC152" s="75">
        <v>7.1249999999999994E-2</v>
      </c>
      <c r="BD152" s="75">
        <v>7.6249999999999998E-2</v>
      </c>
      <c r="BE152" s="75">
        <v>6.8750000000000006E-2</v>
      </c>
      <c r="BF152" s="75">
        <v>7.1249999999999994E-2</v>
      </c>
      <c r="BG152" s="75">
        <v>5.2499999999999998E-2</v>
      </c>
      <c r="BH152" s="75">
        <v>8.2799999999999999E-2</v>
      </c>
      <c r="BI152" s="74">
        <f t="shared" si="16"/>
        <v>7.0466666666666664E-2</v>
      </c>
      <c r="BJ152" s="78"/>
      <c r="BK152" s="75"/>
      <c r="BL152" s="75"/>
      <c r="BM152" s="75"/>
      <c r="BN152" s="75"/>
      <c r="BO152" s="75">
        <v>6.25E-2</v>
      </c>
      <c r="BP152" s="75">
        <v>4.7399999999999998E-2</v>
      </c>
      <c r="BQ152" s="77">
        <v>7.8200000000000006E-2</v>
      </c>
      <c r="BR152" s="79">
        <f t="shared" si="17"/>
        <v>6.2699999999999992E-2</v>
      </c>
      <c r="BT152" s="281">
        <v>48305</v>
      </c>
      <c r="BU152" s="75">
        <v>5.5300000000000002E-2</v>
      </c>
      <c r="BV152" s="75">
        <v>4.9687499999999996E-2</v>
      </c>
      <c r="BW152" s="77">
        <v>4.9687499999999996E-2</v>
      </c>
    </row>
    <row r="153" spans="1:75" s="11" customFormat="1" x14ac:dyDescent="0.2">
      <c r="A153" s="61"/>
      <c r="O153" s="61"/>
      <c r="AU153" s="281">
        <v>48349</v>
      </c>
      <c r="AV153" s="75"/>
      <c r="AW153" s="75"/>
      <c r="AX153" s="75"/>
      <c r="AY153" s="75"/>
      <c r="AZ153" s="75"/>
      <c r="BA153" s="75"/>
      <c r="BB153" s="75"/>
      <c r="BC153" s="75">
        <v>7.1249999999999994E-2</v>
      </c>
      <c r="BD153" s="75">
        <v>7.6249999999999998E-2</v>
      </c>
      <c r="BE153" s="75">
        <v>6.8750000000000006E-2</v>
      </c>
      <c r="BF153" s="75">
        <v>7.1249999999999994E-2</v>
      </c>
      <c r="BG153" s="75">
        <v>5.2499999999999998E-2</v>
      </c>
      <c r="BH153" s="75">
        <v>8.2799999999999999E-2</v>
      </c>
      <c r="BI153" s="74">
        <f t="shared" si="16"/>
        <v>7.0466666666666664E-2</v>
      </c>
      <c r="BJ153" s="78"/>
      <c r="BK153" s="75"/>
      <c r="BL153" s="75"/>
      <c r="BM153" s="75"/>
      <c r="BN153" s="75"/>
      <c r="BO153" s="75">
        <v>6.25E-2</v>
      </c>
      <c r="BP153" s="75">
        <v>4.7399999999999998E-2</v>
      </c>
      <c r="BQ153" s="77">
        <v>7.8200000000000006E-2</v>
      </c>
      <c r="BR153" s="79">
        <f t="shared" si="17"/>
        <v>6.2699999999999992E-2</v>
      </c>
      <c r="BT153" s="281">
        <v>48335</v>
      </c>
      <c r="BU153" s="75">
        <v>5.5300000000000002E-2</v>
      </c>
      <c r="BV153" s="75">
        <v>4.9687499999999996E-2</v>
      </c>
      <c r="BW153" s="77">
        <v>4.9687499999999996E-2</v>
      </c>
    </row>
    <row r="154" spans="1:75" s="11" customFormat="1" x14ac:dyDescent="0.2">
      <c r="A154" s="61"/>
      <c r="O154" s="61"/>
      <c r="AU154" s="281">
        <v>48380</v>
      </c>
      <c r="AV154" s="75"/>
      <c r="AW154" s="75"/>
      <c r="AX154" s="75"/>
      <c r="AY154" s="75"/>
      <c r="AZ154" s="75"/>
      <c r="BA154" s="75"/>
      <c r="BB154" s="75"/>
      <c r="BC154" s="75">
        <v>7.1249999999999994E-2</v>
      </c>
      <c r="BD154" s="75">
        <v>7.6249999999999998E-2</v>
      </c>
      <c r="BE154" s="75">
        <v>6.8750000000000006E-2</v>
      </c>
      <c r="BF154" s="75">
        <v>7.1249999999999994E-2</v>
      </c>
      <c r="BG154" s="75">
        <v>5.2499999999999998E-2</v>
      </c>
      <c r="BH154" s="75">
        <v>8.2799999999999999E-2</v>
      </c>
      <c r="BI154" s="74">
        <f t="shared" si="16"/>
        <v>7.0466666666666664E-2</v>
      </c>
      <c r="BJ154" s="78"/>
      <c r="BK154" s="75"/>
      <c r="BL154" s="75"/>
      <c r="BM154" s="75"/>
      <c r="BN154" s="75"/>
      <c r="BO154" s="75">
        <v>6.25E-2</v>
      </c>
      <c r="BP154" s="75">
        <v>4.7399999999999998E-2</v>
      </c>
      <c r="BQ154" s="77">
        <v>7.8200000000000006E-2</v>
      </c>
      <c r="BR154" s="79">
        <f t="shared" si="17"/>
        <v>6.2699999999999992E-2</v>
      </c>
      <c r="BT154" s="281">
        <v>48366</v>
      </c>
      <c r="BU154" s="75">
        <v>5.5300000000000002E-2</v>
      </c>
      <c r="BV154" s="75">
        <v>4.9687499999999996E-2</v>
      </c>
      <c r="BW154" s="77">
        <v>4.9687499999999996E-2</v>
      </c>
    </row>
    <row r="155" spans="1:75" s="11" customFormat="1" x14ac:dyDescent="0.2">
      <c r="A155" s="61"/>
      <c r="O155" s="61"/>
      <c r="AU155" s="281">
        <v>48410</v>
      </c>
      <c r="AV155" s="75"/>
      <c r="AW155" s="75"/>
      <c r="AX155" s="75"/>
      <c r="AY155" s="75"/>
      <c r="AZ155" s="75"/>
      <c r="BA155" s="75"/>
      <c r="BB155" s="75"/>
      <c r="BC155" s="75">
        <v>7.1249999999999994E-2</v>
      </c>
      <c r="BD155" s="75">
        <v>7.6249999999999998E-2</v>
      </c>
      <c r="BE155" s="75">
        <v>6.8750000000000006E-2</v>
      </c>
      <c r="BF155" s="75">
        <v>7.1249999999999994E-2</v>
      </c>
      <c r="BG155" s="75">
        <v>5.2499999999999998E-2</v>
      </c>
      <c r="BH155" s="75">
        <v>8.2799999999999999E-2</v>
      </c>
      <c r="BI155" s="74">
        <f t="shared" si="16"/>
        <v>7.0466666666666664E-2</v>
      </c>
      <c r="BJ155" s="78"/>
      <c r="BK155" s="75"/>
      <c r="BL155" s="75"/>
      <c r="BM155" s="75"/>
      <c r="BN155" s="75"/>
      <c r="BO155" s="75">
        <v>6.25E-2</v>
      </c>
      <c r="BP155" s="75">
        <v>4.7399999999999998E-2</v>
      </c>
      <c r="BQ155" s="77">
        <v>7.8200000000000006E-2</v>
      </c>
      <c r="BR155" s="79">
        <f t="shared" si="17"/>
        <v>6.2699999999999992E-2</v>
      </c>
      <c r="BT155" s="281">
        <v>48396</v>
      </c>
      <c r="BU155" s="75">
        <v>5.5300000000000002E-2</v>
      </c>
      <c r="BV155" s="75">
        <v>4.9687499999999996E-2</v>
      </c>
      <c r="BW155" s="77">
        <v>4.9687499999999996E-2</v>
      </c>
    </row>
    <row r="156" spans="1:75" s="11" customFormat="1" x14ac:dyDescent="0.2">
      <c r="A156" s="61"/>
      <c r="O156" s="61"/>
      <c r="AU156" s="281">
        <v>48441</v>
      </c>
      <c r="AV156" s="75"/>
      <c r="AW156" s="75"/>
      <c r="AX156" s="75"/>
      <c r="AY156" s="75"/>
      <c r="AZ156" s="75"/>
      <c r="BA156" s="75"/>
      <c r="BB156" s="75"/>
      <c r="BC156" s="75">
        <v>7.1249999999999994E-2</v>
      </c>
      <c r="BD156" s="75">
        <v>7.6249999999999998E-2</v>
      </c>
      <c r="BE156" s="75">
        <v>6.8750000000000006E-2</v>
      </c>
      <c r="BF156" s="75">
        <v>7.1249999999999994E-2</v>
      </c>
      <c r="BG156" s="75">
        <v>5.2499999999999998E-2</v>
      </c>
      <c r="BH156" s="75">
        <v>8.2799999999999999E-2</v>
      </c>
      <c r="BI156" s="74">
        <f t="shared" si="16"/>
        <v>7.0466666666666664E-2</v>
      </c>
      <c r="BJ156" s="78"/>
      <c r="BK156" s="75"/>
      <c r="BL156" s="75"/>
      <c r="BM156" s="75"/>
      <c r="BN156" s="75"/>
      <c r="BO156" s="75">
        <v>6.25E-2</v>
      </c>
      <c r="BP156" s="75">
        <v>4.7399999999999998E-2</v>
      </c>
      <c r="BQ156" s="77">
        <v>7.8200000000000006E-2</v>
      </c>
      <c r="BR156" s="79">
        <f t="shared" si="17"/>
        <v>6.2699999999999992E-2</v>
      </c>
      <c r="BT156" s="281">
        <v>48427</v>
      </c>
      <c r="BU156" s="75">
        <v>5.5300000000000002E-2</v>
      </c>
      <c r="BV156" s="75">
        <v>4.9687499999999996E-2</v>
      </c>
      <c r="BW156" s="77">
        <v>4.9687499999999996E-2</v>
      </c>
    </row>
    <row r="157" spans="1:75" s="11" customFormat="1" x14ac:dyDescent="0.2">
      <c r="A157" s="61"/>
      <c r="O157" s="61"/>
      <c r="AU157" s="281">
        <v>48472</v>
      </c>
      <c r="AV157" s="75"/>
      <c r="AW157" s="75"/>
      <c r="AX157" s="75"/>
      <c r="AY157" s="75"/>
      <c r="AZ157" s="75"/>
      <c r="BA157" s="75"/>
      <c r="BB157" s="75"/>
      <c r="BC157" s="75">
        <v>7.1249999999999994E-2</v>
      </c>
      <c r="BD157" s="75">
        <v>7.6249999999999998E-2</v>
      </c>
      <c r="BE157" s="75">
        <v>6.8750000000000006E-2</v>
      </c>
      <c r="BF157" s="75">
        <v>7.1249999999999994E-2</v>
      </c>
      <c r="BG157" s="75">
        <v>5.2499999999999998E-2</v>
      </c>
      <c r="BH157" s="75">
        <v>8.2799999999999999E-2</v>
      </c>
      <c r="BI157" s="74">
        <f t="shared" si="16"/>
        <v>7.0466666666666664E-2</v>
      </c>
      <c r="BJ157" s="78"/>
      <c r="BK157" s="75"/>
      <c r="BL157" s="75"/>
      <c r="BM157" s="75"/>
      <c r="BN157" s="75"/>
      <c r="BO157" s="75">
        <v>6.25E-2</v>
      </c>
      <c r="BP157" s="75">
        <v>4.7399999999999998E-2</v>
      </c>
      <c r="BQ157" s="77">
        <v>7.8200000000000006E-2</v>
      </c>
      <c r="BR157" s="79">
        <f t="shared" si="17"/>
        <v>6.2699999999999992E-2</v>
      </c>
      <c r="BT157" s="281">
        <v>48458</v>
      </c>
      <c r="BU157" s="75">
        <v>5.5300000000000002E-2</v>
      </c>
      <c r="BV157" s="75">
        <v>4.9687499999999996E-2</v>
      </c>
      <c r="BW157" s="77">
        <v>4.9687499999999996E-2</v>
      </c>
    </row>
    <row r="158" spans="1:75" s="11" customFormat="1" x14ac:dyDescent="0.2">
      <c r="A158" s="61"/>
      <c r="O158" s="61"/>
      <c r="AU158" s="281">
        <v>48502</v>
      </c>
      <c r="AV158" s="75"/>
      <c r="AW158" s="75"/>
      <c r="AX158" s="75"/>
      <c r="AY158" s="75"/>
      <c r="AZ158" s="75"/>
      <c r="BA158" s="75"/>
      <c r="BB158" s="75"/>
      <c r="BC158" s="75">
        <v>7.1249999999999994E-2</v>
      </c>
      <c r="BD158" s="75">
        <v>7.6249999999999998E-2</v>
      </c>
      <c r="BE158" s="75">
        <v>6.8750000000000006E-2</v>
      </c>
      <c r="BF158" s="75">
        <v>7.1249999999999994E-2</v>
      </c>
      <c r="BG158" s="75">
        <v>5.2499999999999998E-2</v>
      </c>
      <c r="BH158" s="75">
        <v>8.2799999999999999E-2</v>
      </c>
      <c r="BI158" s="74">
        <f t="shared" si="16"/>
        <v>7.0466666666666664E-2</v>
      </c>
      <c r="BJ158" s="78"/>
      <c r="BK158" s="75"/>
      <c r="BL158" s="75"/>
      <c r="BM158" s="75"/>
      <c r="BN158" s="75"/>
      <c r="BO158" s="75">
        <v>6.25E-2</v>
      </c>
      <c r="BP158" s="75">
        <v>4.7399999999999998E-2</v>
      </c>
      <c r="BQ158" s="77">
        <v>7.8200000000000006E-2</v>
      </c>
      <c r="BR158" s="79">
        <f t="shared" si="17"/>
        <v>6.2699999999999992E-2</v>
      </c>
      <c r="BT158" s="281">
        <v>48488</v>
      </c>
      <c r="BU158" s="75">
        <v>5.5300000000000002E-2</v>
      </c>
      <c r="BV158" s="75">
        <v>4.9687499999999996E-2</v>
      </c>
      <c r="BW158" s="77">
        <v>4.9687499999999996E-2</v>
      </c>
    </row>
    <row r="159" spans="1:75" s="11" customFormat="1" x14ac:dyDescent="0.2">
      <c r="A159" s="61"/>
      <c r="O159" s="61"/>
      <c r="AU159" s="281">
        <v>48533</v>
      </c>
      <c r="AV159" s="75"/>
      <c r="AW159" s="75"/>
      <c r="AX159" s="75"/>
      <c r="AY159" s="75"/>
      <c r="AZ159" s="75"/>
      <c r="BA159" s="75"/>
      <c r="BB159" s="75"/>
      <c r="BC159" s="75">
        <v>7.1249999999999994E-2</v>
      </c>
      <c r="BD159" s="75">
        <v>7.6249999999999998E-2</v>
      </c>
      <c r="BE159" s="75">
        <v>6.8750000000000006E-2</v>
      </c>
      <c r="BF159" s="75">
        <v>7.1249999999999994E-2</v>
      </c>
      <c r="BG159" s="75">
        <v>5.2499999999999998E-2</v>
      </c>
      <c r="BH159" s="75">
        <v>8.2799999999999999E-2</v>
      </c>
      <c r="BI159" s="74">
        <f t="shared" si="16"/>
        <v>7.0466666666666664E-2</v>
      </c>
      <c r="BJ159" s="78"/>
      <c r="BK159" s="75"/>
      <c r="BL159" s="75"/>
      <c r="BM159" s="75"/>
      <c r="BN159" s="75"/>
      <c r="BO159" s="75">
        <v>6.25E-2</v>
      </c>
      <c r="BP159" s="75">
        <v>4.7399999999999998E-2</v>
      </c>
      <c r="BQ159" s="77">
        <v>7.8200000000000006E-2</v>
      </c>
      <c r="BR159" s="79">
        <f t="shared" si="17"/>
        <v>6.2699999999999992E-2</v>
      </c>
      <c r="BT159" s="281">
        <v>48519</v>
      </c>
      <c r="BU159" s="75">
        <v>5.5300000000000002E-2</v>
      </c>
      <c r="BV159" s="75">
        <v>4.9687499999999996E-2</v>
      </c>
      <c r="BW159" s="77">
        <v>4.9687499999999996E-2</v>
      </c>
    </row>
    <row r="160" spans="1:75" s="11" customFormat="1" x14ac:dyDescent="0.2">
      <c r="A160" s="61"/>
      <c r="O160" s="61"/>
      <c r="AU160" s="281">
        <v>48563</v>
      </c>
      <c r="AV160" s="75"/>
      <c r="AW160" s="75"/>
      <c r="AX160" s="75"/>
      <c r="AY160" s="75"/>
      <c r="AZ160" s="75"/>
      <c r="BA160" s="75"/>
      <c r="BB160" s="75"/>
      <c r="BC160" s="75">
        <v>7.1249999999999994E-2</v>
      </c>
      <c r="BD160" s="75">
        <v>7.6249999999999998E-2</v>
      </c>
      <c r="BE160" s="75">
        <v>6.8750000000000006E-2</v>
      </c>
      <c r="BF160" s="75">
        <v>7.1249999999999994E-2</v>
      </c>
      <c r="BG160" s="75">
        <v>5.2499999999999998E-2</v>
      </c>
      <c r="BH160" s="75">
        <v>8.2799999999999999E-2</v>
      </c>
      <c r="BI160" s="74">
        <f t="shared" si="16"/>
        <v>7.0466666666666664E-2</v>
      </c>
      <c r="BJ160" s="78"/>
      <c r="BK160" s="75"/>
      <c r="BL160" s="75"/>
      <c r="BM160" s="75"/>
      <c r="BN160" s="75"/>
      <c r="BO160" s="75">
        <v>6.25E-2</v>
      </c>
      <c r="BP160" s="75">
        <v>4.7399999999999998E-2</v>
      </c>
      <c r="BQ160" s="77">
        <v>7.8200000000000006E-2</v>
      </c>
      <c r="BR160" s="79">
        <f t="shared" si="17"/>
        <v>6.2699999999999992E-2</v>
      </c>
      <c r="BT160" s="281">
        <v>48549</v>
      </c>
      <c r="BU160" s="75">
        <v>5.5300000000000002E-2</v>
      </c>
      <c r="BV160" s="75">
        <v>4.9687499999999996E-2</v>
      </c>
      <c r="BW160" s="77">
        <v>4.9687499999999996E-2</v>
      </c>
    </row>
    <row r="161" spans="1:75" s="11" customFormat="1" x14ac:dyDescent="0.2">
      <c r="A161" s="61"/>
      <c r="O161" s="61"/>
      <c r="AU161" s="281">
        <v>48594</v>
      </c>
      <c r="AV161" s="75"/>
      <c r="AW161" s="75"/>
      <c r="AX161" s="75"/>
      <c r="AY161" s="75"/>
      <c r="AZ161" s="75"/>
      <c r="BA161" s="75"/>
      <c r="BB161" s="75"/>
      <c r="BC161" s="75">
        <v>7.1249999999999994E-2</v>
      </c>
      <c r="BD161" s="75">
        <v>7.6249999999999998E-2</v>
      </c>
      <c r="BE161" s="75">
        <v>6.8750000000000006E-2</v>
      </c>
      <c r="BF161" s="75">
        <v>7.1249999999999994E-2</v>
      </c>
      <c r="BG161" s="75">
        <v>5.2499999999999998E-2</v>
      </c>
      <c r="BH161" s="75">
        <v>8.2799999999999999E-2</v>
      </c>
      <c r="BI161" s="74">
        <f t="shared" si="16"/>
        <v>7.0466666666666664E-2</v>
      </c>
      <c r="BJ161" s="78"/>
      <c r="BK161" s="75"/>
      <c r="BL161" s="75"/>
      <c r="BM161" s="75"/>
      <c r="BN161" s="75"/>
      <c r="BO161" s="75">
        <v>6.25E-2</v>
      </c>
      <c r="BP161" s="75">
        <v>4.7399999999999998E-2</v>
      </c>
      <c r="BQ161" s="77">
        <v>7.8200000000000006E-2</v>
      </c>
      <c r="BR161" s="79">
        <f t="shared" si="17"/>
        <v>6.2699999999999992E-2</v>
      </c>
      <c r="BT161" s="281">
        <v>48580</v>
      </c>
      <c r="BU161" s="75">
        <v>5.5300000000000002E-2</v>
      </c>
      <c r="BV161" s="75">
        <v>4.9687499999999996E-2</v>
      </c>
      <c r="BW161" s="77">
        <v>4.9687499999999996E-2</v>
      </c>
    </row>
    <row r="162" spans="1:75" s="11" customFormat="1" x14ac:dyDescent="0.2">
      <c r="A162" s="61"/>
      <c r="O162" s="61"/>
      <c r="AU162" s="281">
        <v>48625</v>
      </c>
      <c r="AV162" s="75"/>
      <c r="AW162" s="75"/>
      <c r="AX162" s="75"/>
      <c r="AY162" s="75"/>
      <c r="AZ162" s="75"/>
      <c r="BA162" s="75"/>
      <c r="BB162" s="75"/>
      <c r="BC162" s="75">
        <v>7.1249999999999994E-2</v>
      </c>
      <c r="BD162" s="75">
        <v>7.6249999999999998E-2</v>
      </c>
      <c r="BE162" s="75">
        <v>6.8750000000000006E-2</v>
      </c>
      <c r="BF162" s="75">
        <v>7.1249999999999994E-2</v>
      </c>
      <c r="BG162" s="75">
        <v>5.2499999999999998E-2</v>
      </c>
      <c r="BH162" s="75">
        <v>8.2799999999999999E-2</v>
      </c>
      <c r="BI162" s="74">
        <f t="shared" si="16"/>
        <v>7.0466666666666664E-2</v>
      </c>
      <c r="BJ162" s="78"/>
      <c r="BK162" s="75"/>
      <c r="BL162" s="75"/>
      <c r="BM162" s="75"/>
      <c r="BN162" s="75"/>
      <c r="BO162" s="75">
        <v>6.25E-2</v>
      </c>
      <c r="BP162" s="75">
        <v>4.7399999999999998E-2</v>
      </c>
      <c r="BQ162" s="77">
        <v>7.8200000000000006E-2</v>
      </c>
      <c r="BR162" s="79">
        <f t="shared" si="17"/>
        <v>6.2699999999999992E-2</v>
      </c>
      <c r="BT162" s="281">
        <v>48611</v>
      </c>
      <c r="BU162" s="75">
        <v>5.5300000000000002E-2</v>
      </c>
      <c r="BV162" s="75">
        <v>4.9687499999999996E-2</v>
      </c>
      <c r="BW162" s="77">
        <v>4.9687499999999996E-2</v>
      </c>
    </row>
    <row r="163" spans="1:75" s="11" customFormat="1" x14ac:dyDescent="0.2">
      <c r="A163" s="61"/>
      <c r="O163" s="61"/>
      <c r="AU163" s="281">
        <v>48653</v>
      </c>
      <c r="AV163" s="75"/>
      <c r="AW163" s="75"/>
      <c r="AX163" s="75"/>
      <c r="AY163" s="75"/>
      <c r="AZ163" s="75"/>
      <c r="BA163" s="75"/>
      <c r="BB163" s="75"/>
      <c r="BC163" s="75">
        <v>7.1249999999999994E-2</v>
      </c>
      <c r="BD163" s="75">
        <v>7.6249999999999998E-2</v>
      </c>
      <c r="BE163" s="75">
        <v>6.8750000000000006E-2</v>
      </c>
      <c r="BF163" s="75">
        <v>7.1249999999999994E-2</v>
      </c>
      <c r="BG163" s="75">
        <v>5.2499999999999998E-2</v>
      </c>
      <c r="BH163" s="75">
        <v>8.2799999999999999E-2</v>
      </c>
      <c r="BI163" s="74">
        <f t="shared" si="16"/>
        <v>7.0466666666666664E-2</v>
      </c>
      <c r="BJ163" s="78"/>
      <c r="BK163" s="75"/>
      <c r="BL163" s="75"/>
      <c r="BM163" s="75"/>
      <c r="BN163" s="75"/>
      <c r="BO163" s="75">
        <v>6.25E-2</v>
      </c>
      <c r="BP163" s="75">
        <v>4.7399999999999998E-2</v>
      </c>
      <c r="BQ163" s="77">
        <v>7.8200000000000006E-2</v>
      </c>
      <c r="BR163" s="79">
        <f t="shared" si="17"/>
        <v>6.2699999999999992E-2</v>
      </c>
      <c r="BT163" s="281">
        <v>48639</v>
      </c>
      <c r="BU163" s="75">
        <v>5.5300000000000002E-2</v>
      </c>
      <c r="BV163" s="75">
        <v>4.9687499999999996E-2</v>
      </c>
      <c r="BW163" s="77">
        <v>4.9687499999999996E-2</v>
      </c>
    </row>
    <row r="164" spans="1:75" s="11" customFormat="1" x14ac:dyDescent="0.2">
      <c r="A164" s="61"/>
      <c r="O164" s="61"/>
      <c r="AU164" s="281">
        <v>48684</v>
      </c>
      <c r="AV164" s="75"/>
      <c r="AW164" s="75"/>
      <c r="AX164" s="75"/>
      <c r="AY164" s="75"/>
      <c r="AZ164" s="75"/>
      <c r="BA164" s="75"/>
      <c r="BB164" s="75"/>
      <c r="BC164" s="75">
        <v>7.1249999999999994E-2</v>
      </c>
      <c r="BD164" s="75">
        <v>7.6249999999999998E-2</v>
      </c>
      <c r="BE164" s="75">
        <v>6.8750000000000006E-2</v>
      </c>
      <c r="BF164" s="75">
        <v>7.1249999999999994E-2</v>
      </c>
      <c r="BG164" s="75">
        <v>5.2499999999999998E-2</v>
      </c>
      <c r="BH164" s="75">
        <v>8.2799999999999999E-2</v>
      </c>
      <c r="BI164" s="74">
        <f t="shared" si="16"/>
        <v>7.0466666666666664E-2</v>
      </c>
      <c r="BJ164" s="78"/>
      <c r="BK164" s="75"/>
      <c r="BL164" s="75"/>
      <c r="BM164" s="75"/>
      <c r="BN164" s="75"/>
      <c r="BO164" s="75">
        <v>6.25E-2</v>
      </c>
      <c r="BP164" s="75">
        <v>4.7399999999999998E-2</v>
      </c>
      <c r="BQ164" s="77">
        <v>7.8200000000000006E-2</v>
      </c>
      <c r="BR164" s="79">
        <f t="shared" si="17"/>
        <v>6.2699999999999992E-2</v>
      </c>
      <c r="BT164" s="281">
        <v>48670</v>
      </c>
      <c r="BU164" s="75">
        <v>5.5300000000000002E-2</v>
      </c>
      <c r="BV164" s="75">
        <v>4.9687499999999996E-2</v>
      </c>
      <c r="BW164" s="77">
        <v>4.9687499999999996E-2</v>
      </c>
    </row>
    <row r="165" spans="1:75" s="11" customFormat="1" x14ac:dyDescent="0.2">
      <c r="A165" s="61"/>
      <c r="O165" s="61"/>
      <c r="AU165" s="281">
        <v>48714</v>
      </c>
      <c r="AV165" s="75"/>
      <c r="AW165" s="75"/>
      <c r="AX165" s="75"/>
      <c r="AY165" s="75"/>
      <c r="AZ165" s="75"/>
      <c r="BA165" s="75"/>
      <c r="BB165" s="75"/>
      <c r="BC165" s="75">
        <v>7.1249999999999994E-2</v>
      </c>
      <c r="BD165" s="75">
        <v>7.6249999999999998E-2</v>
      </c>
      <c r="BE165" s="75">
        <v>6.8750000000000006E-2</v>
      </c>
      <c r="BF165" s="75">
        <v>7.1249999999999994E-2</v>
      </c>
      <c r="BG165" s="75">
        <v>5.2499999999999998E-2</v>
      </c>
      <c r="BH165" s="75">
        <v>8.2799999999999999E-2</v>
      </c>
      <c r="BI165" s="74">
        <f t="shared" si="16"/>
        <v>7.0466666666666664E-2</v>
      </c>
      <c r="BJ165" s="78"/>
      <c r="BK165" s="75"/>
      <c r="BL165" s="75"/>
      <c r="BM165" s="75"/>
      <c r="BN165" s="75"/>
      <c r="BO165" s="75">
        <v>6.25E-2</v>
      </c>
      <c r="BP165" s="75">
        <v>4.7399999999999998E-2</v>
      </c>
      <c r="BQ165" s="77">
        <v>7.8200000000000006E-2</v>
      </c>
      <c r="BR165" s="79">
        <f t="shared" si="17"/>
        <v>6.2699999999999992E-2</v>
      </c>
      <c r="BT165" s="281">
        <v>48700</v>
      </c>
      <c r="BU165" s="75">
        <v>5.5300000000000002E-2</v>
      </c>
      <c r="BV165" s="75">
        <v>4.9687499999999996E-2</v>
      </c>
      <c r="BW165" s="77">
        <v>4.9687499999999996E-2</v>
      </c>
    </row>
    <row r="166" spans="1:75" s="11" customFormat="1" x14ac:dyDescent="0.2">
      <c r="A166" s="61"/>
      <c r="O166" s="61"/>
      <c r="AU166" s="281">
        <v>48745</v>
      </c>
      <c r="AV166" s="75"/>
      <c r="AW166" s="75"/>
      <c r="AX166" s="75"/>
      <c r="AY166" s="75"/>
      <c r="AZ166" s="75"/>
      <c r="BA166" s="75"/>
      <c r="BB166" s="75"/>
      <c r="BC166" s="75">
        <v>7.1249999999999994E-2</v>
      </c>
      <c r="BD166" s="75">
        <v>7.6249999999999998E-2</v>
      </c>
      <c r="BE166" s="75">
        <v>6.8750000000000006E-2</v>
      </c>
      <c r="BF166" s="75">
        <v>7.1249999999999994E-2</v>
      </c>
      <c r="BG166" s="75">
        <v>5.2499999999999998E-2</v>
      </c>
      <c r="BH166" s="75">
        <v>8.2799999999999999E-2</v>
      </c>
      <c r="BI166" s="74">
        <f t="shared" si="16"/>
        <v>7.0466666666666664E-2</v>
      </c>
      <c r="BJ166" s="78"/>
      <c r="BK166" s="75"/>
      <c r="BL166" s="75"/>
      <c r="BM166" s="75"/>
      <c r="BN166" s="75"/>
      <c r="BO166" s="75">
        <v>6.25E-2</v>
      </c>
      <c r="BP166" s="75">
        <v>4.7399999999999998E-2</v>
      </c>
      <c r="BQ166" s="77">
        <v>7.8200000000000006E-2</v>
      </c>
      <c r="BR166" s="79">
        <f t="shared" si="17"/>
        <v>6.2699999999999992E-2</v>
      </c>
      <c r="BT166" s="281">
        <v>48731</v>
      </c>
      <c r="BU166" s="75">
        <v>5.5300000000000002E-2</v>
      </c>
      <c r="BV166" s="75">
        <v>4.9687499999999996E-2</v>
      </c>
      <c r="BW166" s="77">
        <v>4.9687499999999996E-2</v>
      </c>
    </row>
    <row r="167" spans="1:75" s="11" customFormat="1" x14ac:dyDescent="0.2">
      <c r="A167" s="61"/>
      <c r="O167" s="61"/>
      <c r="AU167" s="281">
        <v>48775</v>
      </c>
      <c r="AV167" s="75"/>
      <c r="AW167" s="75"/>
      <c r="AX167" s="75"/>
      <c r="AY167" s="75"/>
      <c r="AZ167" s="75"/>
      <c r="BA167" s="75"/>
      <c r="BB167" s="75"/>
      <c r="BC167" s="75">
        <v>7.1249999999999994E-2</v>
      </c>
      <c r="BD167" s="75">
        <v>7.6249999999999998E-2</v>
      </c>
      <c r="BE167" s="75">
        <v>6.8750000000000006E-2</v>
      </c>
      <c r="BF167" s="75">
        <v>7.1249999999999994E-2</v>
      </c>
      <c r="BG167" s="75">
        <v>5.2499999999999998E-2</v>
      </c>
      <c r="BH167" s="75">
        <v>8.2799999999999999E-2</v>
      </c>
      <c r="BI167" s="74">
        <f t="shared" si="16"/>
        <v>7.0466666666666664E-2</v>
      </c>
      <c r="BJ167" s="78"/>
      <c r="BK167" s="75"/>
      <c r="BL167" s="75"/>
      <c r="BM167" s="75"/>
      <c r="BN167" s="75"/>
      <c r="BO167" s="75">
        <v>6.25E-2</v>
      </c>
      <c r="BP167" s="75">
        <v>4.7399999999999998E-2</v>
      </c>
      <c r="BQ167" s="77">
        <v>7.8200000000000006E-2</v>
      </c>
      <c r="BR167" s="79">
        <f t="shared" si="17"/>
        <v>6.2699999999999992E-2</v>
      </c>
      <c r="BT167" s="281">
        <v>48761</v>
      </c>
      <c r="BU167" s="75">
        <v>5.5300000000000002E-2</v>
      </c>
      <c r="BV167" s="75">
        <v>4.9687499999999996E-2</v>
      </c>
      <c r="BW167" s="77">
        <v>4.9687499999999996E-2</v>
      </c>
    </row>
    <row r="168" spans="1:75" s="11" customFormat="1" x14ac:dyDescent="0.2">
      <c r="A168" s="61"/>
      <c r="O168" s="61"/>
      <c r="AU168" s="281">
        <v>48806</v>
      </c>
      <c r="AV168" s="75"/>
      <c r="AW168" s="75"/>
      <c r="AX168" s="75"/>
      <c r="AY168" s="75"/>
      <c r="AZ168" s="75"/>
      <c r="BA168" s="75"/>
      <c r="BB168" s="75"/>
      <c r="BC168" s="75">
        <v>7.1249999999999994E-2</v>
      </c>
      <c r="BD168" s="75">
        <v>7.6249999999999998E-2</v>
      </c>
      <c r="BE168" s="75">
        <v>6.8750000000000006E-2</v>
      </c>
      <c r="BF168" s="75">
        <v>7.1249999999999994E-2</v>
      </c>
      <c r="BG168" s="75">
        <v>5.2499999999999998E-2</v>
      </c>
      <c r="BH168" s="75">
        <v>8.2799999999999999E-2</v>
      </c>
      <c r="BI168" s="74">
        <f t="shared" si="16"/>
        <v>7.0466666666666664E-2</v>
      </c>
      <c r="BJ168" s="78"/>
      <c r="BK168" s="75"/>
      <c r="BL168" s="75"/>
      <c r="BM168" s="75"/>
      <c r="BN168" s="75"/>
      <c r="BO168" s="75">
        <v>6.25E-2</v>
      </c>
      <c r="BP168" s="75">
        <v>4.7399999999999998E-2</v>
      </c>
      <c r="BQ168" s="77">
        <v>7.8200000000000006E-2</v>
      </c>
      <c r="BR168" s="79">
        <f t="shared" si="17"/>
        <v>6.2699999999999992E-2</v>
      </c>
      <c r="BT168" s="281">
        <v>48792</v>
      </c>
      <c r="BU168" s="75">
        <v>5.5300000000000002E-2</v>
      </c>
      <c r="BV168" s="75">
        <v>4.9687499999999996E-2</v>
      </c>
      <c r="BW168" s="77">
        <v>4.9687499999999996E-2</v>
      </c>
    </row>
    <row r="169" spans="1:75" s="11" customFormat="1" x14ac:dyDescent="0.2">
      <c r="A169" s="61"/>
      <c r="O169" s="61"/>
      <c r="AU169" s="281">
        <v>48837</v>
      </c>
      <c r="AV169" s="75"/>
      <c r="AW169" s="75"/>
      <c r="AX169" s="75"/>
      <c r="AY169" s="75"/>
      <c r="AZ169" s="75"/>
      <c r="BA169" s="75"/>
      <c r="BB169" s="75"/>
      <c r="BC169" s="75">
        <v>7.1249999999999994E-2</v>
      </c>
      <c r="BD169" s="75">
        <v>7.6249999999999998E-2</v>
      </c>
      <c r="BE169" s="75">
        <v>6.8750000000000006E-2</v>
      </c>
      <c r="BF169" s="75">
        <v>7.1249999999999994E-2</v>
      </c>
      <c r="BG169" s="75">
        <v>5.2499999999999998E-2</v>
      </c>
      <c r="BH169" s="75">
        <v>8.2799999999999999E-2</v>
      </c>
      <c r="BI169" s="74">
        <f t="shared" si="16"/>
        <v>7.0466666666666664E-2</v>
      </c>
      <c r="BJ169" s="78"/>
      <c r="BK169" s="75"/>
      <c r="BL169" s="75"/>
      <c r="BM169" s="75"/>
      <c r="BN169" s="75"/>
      <c r="BO169" s="75">
        <v>6.25E-2</v>
      </c>
      <c r="BP169" s="75">
        <v>4.7399999999999998E-2</v>
      </c>
      <c r="BQ169" s="77">
        <v>7.8200000000000006E-2</v>
      </c>
      <c r="BR169" s="79">
        <f t="shared" si="17"/>
        <v>6.2699999999999992E-2</v>
      </c>
      <c r="BT169" s="281">
        <v>48823</v>
      </c>
      <c r="BU169" s="75">
        <v>5.5300000000000002E-2</v>
      </c>
      <c r="BV169" s="75">
        <v>4.9687499999999996E-2</v>
      </c>
      <c r="BW169" s="77">
        <v>4.9687499999999996E-2</v>
      </c>
    </row>
    <row r="170" spans="1:75" s="11" customFormat="1" x14ac:dyDescent="0.2">
      <c r="A170" s="61"/>
      <c r="O170" s="61"/>
      <c r="AU170" s="281">
        <v>48867</v>
      </c>
      <c r="AV170" s="75"/>
      <c r="AW170" s="75"/>
      <c r="AX170" s="75"/>
      <c r="AY170" s="75"/>
      <c r="AZ170" s="75"/>
      <c r="BA170" s="75"/>
      <c r="BB170" s="75"/>
      <c r="BC170" s="75">
        <v>7.1249999999999994E-2</v>
      </c>
      <c r="BD170" s="75">
        <v>7.6249999999999998E-2</v>
      </c>
      <c r="BE170" s="75">
        <v>6.8750000000000006E-2</v>
      </c>
      <c r="BF170" s="75">
        <v>7.1249999999999994E-2</v>
      </c>
      <c r="BG170" s="75">
        <v>5.2499999999999998E-2</v>
      </c>
      <c r="BH170" s="75">
        <v>8.2799999999999999E-2</v>
      </c>
      <c r="BI170" s="74">
        <f t="shared" si="16"/>
        <v>7.0466666666666664E-2</v>
      </c>
      <c r="BJ170" s="78"/>
      <c r="BK170" s="75"/>
      <c r="BL170" s="75"/>
      <c r="BM170" s="75"/>
      <c r="BN170" s="75"/>
      <c r="BO170" s="75">
        <v>6.25E-2</v>
      </c>
      <c r="BP170" s="75">
        <v>4.7399999999999998E-2</v>
      </c>
      <c r="BQ170" s="77">
        <v>7.8200000000000006E-2</v>
      </c>
      <c r="BR170" s="79">
        <f t="shared" si="17"/>
        <v>6.2699999999999992E-2</v>
      </c>
      <c r="BT170" s="281">
        <v>48853</v>
      </c>
      <c r="BU170" s="75">
        <v>5.5300000000000002E-2</v>
      </c>
      <c r="BV170" s="75">
        <v>4.9687499999999996E-2</v>
      </c>
      <c r="BW170" s="77">
        <v>4.9687499999999996E-2</v>
      </c>
    </row>
    <row r="171" spans="1:75" s="11" customFormat="1" x14ac:dyDescent="0.2">
      <c r="A171" s="61"/>
      <c r="O171" s="61"/>
      <c r="AU171" s="281">
        <v>48898</v>
      </c>
      <c r="AV171" s="75"/>
      <c r="AW171" s="75"/>
      <c r="AX171" s="75"/>
      <c r="AY171" s="75"/>
      <c r="AZ171" s="75"/>
      <c r="BA171" s="75"/>
      <c r="BB171" s="75"/>
      <c r="BC171" s="75">
        <v>7.1249999999999994E-2</v>
      </c>
      <c r="BD171" s="75">
        <v>7.6249999999999998E-2</v>
      </c>
      <c r="BE171" s="75">
        <v>6.8750000000000006E-2</v>
      </c>
      <c r="BF171" s="75">
        <v>7.1249999999999994E-2</v>
      </c>
      <c r="BG171" s="75">
        <v>5.2499999999999998E-2</v>
      </c>
      <c r="BH171" s="75">
        <v>8.2799999999999999E-2</v>
      </c>
      <c r="BI171" s="74">
        <f t="shared" si="16"/>
        <v>7.0466666666666664E-2</v>
      </c>
      <c r="BJ171" s="78"/>
      <c r="BK171" s="75"/>
      <c r="BL171" s="75"/>
      <c r="BM171" s="75"/>
      <c r="BN171" s="75"/>
      <c r="BO171" s="75">
        <v>6.25E-2</v>
      </c>
      <c r="BP171" s="75">
        <v>4.7399999999999998E-2</v>
      </c>
      <c r="BQ171" s="77">
        <v>7.8200000000000006E-2</v>
      </c>
      <c r="BR171" s="79">
        <f t="shared" si="17"/>
        <v>6.2699999999999992E-2</v>
      </c>
      <c r="BT171" s="281">
        <v>48884</v>
      </c>
      <c r="BU171" s="75">
        <v>5.5300000000000002E-2</v>
      </c>
      <c r="BV171" s="75">
        <v>4.9687499999999996E-2</v>
      </c>
      <c r="BW171" s="77">
        <v>4.9687499999999996E-2</v>
      </c>
    </row>
    <row r="172" spans="1:75" s="11" customFormat="1" x14ac:dyDescent="0.2">
      <c r="A172" s="61"/>
      <c r="O172" s="61"/>
      <c r="AU172" s="281">
        <v>48928</v>
      </c>
      <c r="AV172" s="75"/>
      <c r="AW172" s="75"/>
      <c r="AX172" s="75"/>
      <c r="AY172" s="75"/>
      <c r="AZ172" s="75"/>
      <c r="BA172" s="75"/>
      <c r="BB172" s="75"/>
      <c r="BC172" s="75">
        <v>7.1249999999999994E-2</v>
      </c>
      <c r="BD172" s="75">
        <v>7.6249999999999998E-2</v>
      </c>
      <c r="BE172" s="75">
        <v>6.8750000000000006E-2</v>
      </c>
      <c r="BF172" s="75">
        <v>7.1249999999999994E-2</v>
      </c>
      <c r="BG172" s="75">
        <v>5.2499999999999998E-2</v>
      </c>
      <c r="BH172" s="75">
        <v>8.2799999999999999E-2</v>
      </c>
      <c r="BI172" s="74">
        <f t="shared" si="16"/>
        <v>7.0466666666666664E-2</v>
      </c>
      <c r="BJ172" s="78"/>
      <c r="BK172" s="75"/>
      <c r="BL172" s="75"/>
      <c r="BM172" s="75"/>
      <c r="BN172" s="75"/>
      <c r="BO172" s="75">
        <v>6.25E-2</v>
      </c>
      <c r="BP172" s="75">
        <v>4.7399999999999998E-2</v>
      </c>
      <c r="BQ172" s="77">
        <v>7.8200000000000006E-2</v>
      </c>
      <c r="BR172" s="79">
        <f t="shared" si="17"/>
        <v>6.2699999999999992E-2</v>
      </c>
      <c r="BT172" s="281">
        <v>48914</v>
      </c>
      <c r="BU172" s="75">
        <v>5.5300000000000002E-2</v>
      </c>
      <c r="BV172" s="75">
        <v>4.9687499999999996E-2</v>
      </c>
      <c r="BW172" s="77">
        <v>4.9687499999999996E-2</v>
      </c>
    </row>
    <row r="173" spans="1:75" s="11" customFormat="1" x14ac:dyDescent="0.2">
      <c r="A173" s="61"/>
      <c r="O173" s="61"/>
      <c r="AU173" s="281">
        <v>48959</v>
      </c>
      <c r="AV173" s="75"/>
      <c r="AW173" s="75"/>
      <c r="AX173" s="75"/>
      <c r="AY173" s="75"/>
      <c r="AZ173" s="75"/>
      <c r="BA173" s="75"/>
      <c r="BB173" s="75"/>
      <c r="BC173" s="75">
        <v>7.1249999999999994E-2</v>
      </c>
      <c r="BD173" s="75">
        <v>7.6249999999999998E-2</v>
      </c>
      <c r="BE173" s="75">
        <v>6.8750000000000006E-2</v>
      </c>
      <c r="BF173" s="75">
        <v>7.1249999999999994E-2</v>
      </c>
      <c r="BG173" s="75">
        <v>5.2499999999999998E-2</v>
      </c>
      <c r="BH173" s="75"/>
      <c r="BI173" s="74">
        <f t="shared" si="16"/>
        <v>6.7999999999999991E-2</v>
      </c>
      <c r="BJ173" s="78"/>
      <c r="BK173" s="75"/>
      <c r="BL173" s="75"/>
      <c r="BM173" s="75"/>
      <c r="BN173" s="75"/>
      <c r="BO173" s="75">
        <v>6.25E-2</v>
      </c>
      <c r="BP173" s="75">
        <v>4.7399999999999998E-2</v>
      </c>
      <c r="BQ173" s="77"/>
      <c r="BR173" s="79">
        <f t="shared" si="17"/>
        <v>5.4949999999999999E-2</v>
      </c>
      <c r="BT173" s="281">
        <v>48945</v>
      </c>
      <c r="BU173" s="75">
        <v>5.5E-2</v>
      </c>
      <c r="BV173" s="75">
        <v>4.9687499999999996E-2</v>
      </c>
      <c r="BW173" s="77">
        <v>4.9687499999999996E-2</v>
      </c>
    </row>
    <row r="174" spans="1:75" s="11" customFormat="1" x14ac:dyDescent="0.2">
      <c r="A174" s="61"/>
      <c r="O174" s="61"/>
      <c r="AU174" s="281">
        <v>48990</v>
      </c>
      <c r="AV174" s="75"/>
      <c r="AW174" s="75"/>
      <c r="AX174" s="75"/>
      <c r="AY174" s="75"/>
      <c r="AZ174" s="75"/>
      <c r="BA174" s="75"/>
      <c r="BB174" s="75"/>
      <c r="BC174" s="75">
        <v>7.1249999999999994E-2</v>
      </c>
      <c r="BD174" s="75">
        <v>7.6249999999999998E-2</v>
      </c>
      <c r="BE174" s="75">
        <v>6.8750000000000006E-2</v>
      </c>
      <c r="BF174" s="75">
        <v>7.1249999999999994E-2</v>
      </c>
      <c r="BG174" s="75">
        <v>5.2499999999999998E-2</v>
      </c>
      <c r="BH174" s="75"/>
      <c r="BI174" s="74">
        <f t="shared" si="16"/>
        <v>6.7999999999999991E-2</v>
      </c>
      <c r="BJ174" s="78"/>
      <c r="BK174" s="75"/>
      <c r="BL174" s="75"/>
      <c r="BM174" s="75"/>
      <c r="BN174" s="75"/>
      <c r="BO174" s="75">
        <v>6.25E-2</v>
      </c>
      <c r="BP174" s="75">
        <v>4.7399999999999998E-2</v>
      </c>
      <c r="BQ174" s="77"/>
      <c r="BR174" s="79">
        <f t="shared" si="17"/>
        <v>5.4949999999999999E-2</v>
      </c>
      <c r="BT174" s="281">
        <v>48976</v>
      </c>
      <c r="BU174" s="75">
        <v>5.5E-2</v>
      </c>
      <c r="BV174" s="75">
        <v>4.9687499999999996E-2</v>
      </c>
      <c r="BW174" s="77">
        <v>4.9687499999999996E-2</v>
      </c>
    </row>
    <row r="175" spans="1:75" s="11" customFormat="1" x14ac:dyDescent="0.2">
      <c r="A175" s="61"/>
      <c r="O175" s="61"/>
      <c r="AU175" s="281">
        <v>49018</v>
      </c>
      <c r="AV175" s="75"/>
      <c r="AW175" s="75"/>
      <c r="AX175" s="75"/>
      <c r="AY175" s="75"/>
      <c r="AZ175" s="75"/>
      <c r="BA175" s="75"/>
      <c r="BB175" s="75"/>
      <c r="BC175" s="75">
        <v>7.1249999999999994E-2</v>
      </c>
      <c r="BD175" s="75">
        <v>7.6249999999999998E-2</v>
      </c>
      <c r="BE175" s="75">
        <v>6.8750000000000006E-2</v>
      </c>
      <c r="BF175" s="75">
        <v>7.1249999999999994E-2</v>
      </c>
      <c r="BG175" s="75">
        <v>5.2499999999999998E-2</v>
      </c>
      <c r="BH175" s="75"/>
      <c r="BI175" s="74">
        <f t="shared" si="16"/>
        <v>6.7999999999999991E-2</v>
      </c>
      <c r="BJ175" s="78"/>
      <c r="BK175" s="75"/>
      <c r="BL175" s="75"/>
      <c r="BM175" s="75"/>
      <c r="BN175" s="75"/>
      <c r="BO175" s="75">
        <v>6.25E-2</v>
      </c>
      <c r="BP175" s="75">
        <v>4.7399999999999998E-2</v>
      </c>
      <c r="BQ175" s="77"/>
      <c r="BR175" s="79">
        <f t="shared" si="17"/>
        <v>5.4949999999999999E-2</v>
      </c>
      <c r="BT175" s="281">
        <v>49004</v>
      </c>
      <c r="BU175" s="75">
        <v>5.5E-2</v>
      </c>
      <c r="BV175" s="75">
        <v>4.9687499999999996E-2</v>
      </c>
      <c r="BW175" s="77">
        <v>4.9687499999999996E-2</v>
      </c>
    </row>
    <row r="176" spans="1:75" s="11" customFormat="1" x14ac:dyDescent="0.2">
      <c r="A176" s="61"/>
      <c r="O176" s="61"/>
      <c r="AU176" s="281">
        <v>49049</v>
      </c>
      <c r="AV176" s="75"/>
      <c r="AW176" s="75"/>
      <c r="AX176" s="75"/>
      <c r="AY176" s="75"/>
      <c r="AZ176" s="75"/>
      <c r="BA176" s="75"/>
      <c r="BB176" s="75"/>
      <c r="BC176" s="75">
        <v>7.1249999999999994E-2</v>
      </c>
      <c r="BD176" s="75">
        <v>7.6249999999999998E-2</v>
      </c>
      <c r="BE176" s="75">
        <v>6.8750000000000006E-2</v>
      </c>
      <c r="BF176" s="75">
        <v>7.1249999999999994E-2</v>
      </c>
      <c r="BG176" s="75">
        <v>5.2499999999999998E-2</v>
      </c>
      <c r="BH176" s="75"/>
      <c r="BI176" s="74">
        <f t="shared" si="16"/>
        <v>6.7999999999999991E-2</v>
      </c>
      <c r="BJ176" s="78"/>
      <c r="BK176" s="75"/>
      <c r="BL176" s="75"/>
      <c r="BM176" s="75"/>
      <c r="BN176" s="75"/>
      <c r="BO176" s="75">
        <v>6.25E-2</v>
      </c>
      <c r="BP176" s="75">
        <v>4.7399999999999998E-2</v>
      </c>
      <c r="BQ176" s="77"/>
      <c r="BR176" s="79">
        <f t="shared" si="17"/>
        <v>5.4949999999999999E-2</v>
      </c>
      <c r="BT176" s="281">
        <v>49035</v>
      </c>
      <c r="BU176" s="75">
        <v>5.5E-2</v>
      </c>
      <c r="BV176" s="75">
        <v>4.9687499999999996E-2</v>
      </c>
      <c r="BW176" s="77">
        <v>4.9687499999999996E-2</v>
      </c>
    </row>
    <row r="177" spans="1:75" s="11" customFormat="1" x14ac:dyDescent="0.2">
      <c r="A177" s="61"/>
      <c r="O177" s="61"/>
      <c r="AU177" s="281">
        <v>49079</v>
      </c>
      <c r="AV177" s="75"/>
      <c r="AW177" s="75"/>
      <c r="AX177" s="75"/>
      <c r="AY177" s="75"/>
      <c r="AZ177" s="75"/>
      <c r="BA177" s="75"/>
      <c r="BB177" s="75"/>
      <c r="BC177" s="75">
        <v>7.1249999999999994E-2</v>
      </c>
      <c r="BD177" s="75">
        <v>7.6249999999999998E-2</v>
      </c>
      <c r="BE177" s="75">
        <v>6.8750000000000006E-2</v>
      </c>
      <c r="BF177" s="75">
        <v>7.1249999999999994E-2</v>
      </c>
      <c r="BG177" s="75">
        <v>5.2499999999999998E-2</v>
      </c>
      <c r="BH177" s="75"/>
      <c r="BI177" s="74">
        <f t="shared" si="16"/>
        <v>6.7999999999999991E-2</v>
      </c>
      <c r="BJ177" s="78"/>
      <c r="BK177" s="75"/>
      <c r="BL177" s="75"/>
      <c r="BM177" s="75"/>
      <c r="BN177" s="75"/>
      <c r="BO177" s="75">
        <v>6.25E-2</v>
      </c>
      <c r="BP177" s="75">
        <v>4.7399999999999998E-2</v>
      </c>
      <c r="BQ177" s="77"/>
      <c r="BR177" s="79">
        <f t="shared" si="17"/>
        <v>5.4949999999999999E-2</v>
      </c>
      <c r="BT177" s="281">
        <v>49065</v>
      </c>
      <c r="BU177" s="75">
        <v>5.5E-2</v>
      </c>
      <c r="BV177" s="75">
        <v>4.9687499999999996E-2</v>
      </c>
      <c r="BW177" s="77">
        <v>4.9687499999999996E-2</v>
      </c>
    </row>
    <row r="178" spans="1:75" s="11" customFormat="1" x14ac:dyDescent="0.2">
      <c r="A178" s="61"/>
      <c r="O178" s="61"/>
      <c r="AU178" s="281">
        <v>49110</v>
      </c>
      <c r="AV178" s="75"/>
      <c r="AW178" s="75"/>
      <c r="AX178" s="75"/>
      <c r="AY178" s="75"/>
      <c r="AZ178" s="75"/>
      <c r="BA178" s="75"/>
      <c r="BB178" s="75"/>
      <c r="BC178" s="75">
        <v>7.1249999999999994E-2</v>
      </c>
      <c r="BD178" s="75">
        <v>7.6249999999999998E-2</v>
      </c>
      <c r="BE178" s="75">
        <v>6.8750000000000006E-2</v>
      </c>
      <c r="BF178" s="75">
        <v>7.1249999999999994E-2</v>
      </c>
      <c r="BG178" s="75">
        <v>5.2499999999999998E-2</v>
      </c>
      <c r="BH178" s="75"/>
      <c r="BI178" s="74">
        <f t="shared" si="16"/>
        <v>6.7999999999999991E-2</v>
      </c>
      <c r="BJ178" s="78"/>
      <c r="BK178" s="75"/>
      <c r="BL178" s="75"/>
      <c r="BM178" s="75"/>
      <c r="BN178" s="75"/>
      <c r="BO178" s="75">
        <v>6.25E-2</v>
      </c>
      <c r="BP178" s="75">
        <v>4.7399999999999998E-2</v>
      </c>
      <c r="BQ178" s="77"/>
      <c r="BR178" s="79">
        <f t="shared" si="17"/>
        <v>5.4949999999999999E-2</v>
      </c>
      <c r="BT178" s="281">
        <v>49096</v>
      </c>
      <c r="BU178" s="75">
        <v>5.5E-2</v>
      </c>
      <c r="BV178" s="75">
        <v>4.9687499999999996E-2</v>
      </c>
      <c r="BW178" s="77">
        <v>4.9687499999999996E-2</v>
      </c>
    </row>
    <row r="179" spans="1:75" s="11" customFormat="1" x14ac:dyDescent="0.2">
      <c r="A179" s="61"/>
      <c r="O179" s="61"/>
      <c r="AU179" s="281">
        <v>49140</v>
      </c>
      <c r="AV179" s="75"/>
      <c r="AW179" s="75"/>
      <c r="AX179" s="75"/>
      <c r="AY179" s="75"/>
      <c r="AZ179" s="75"/>
      <c r="BA179" s="75"/>
      <c r="BB179" s="75"/>
      <c r="BC179" s="75">
        <v>7.1249999999999994E-2</v>
      </c>
      <c r="BD179" s="75">
        <v>7.6249999999999998E-2</v>
      </c>
      <c r="BE179" s="75">
        <v>6.8750000000000006E-2</v>
      </c>
      <c r="BF179" s="75">
        <v>7.1249999999999994E-2</v>
      </c>
      <c r="BG179" s="75">
        <v>5.2499999999999998E-2</v>
      </c>
      <c r="BH179" s="75"/>
      <c r="BI179" s="74">
        <f t="shared" si="16"/>
        <v>6.7999999999999991E-2</v>
      </c>
      <c r="BJ179" s="78"/>
      <c r="BK179" s="75"/>
      <c r="BL179" s="75"/>
      <c r="BM179" s="75"/>
      <c r="BN179" s="75"/>
      <c r="BO179" s="75">
        <v>6.25E-2</v>
      </c>
      <c r="BP179" s="75">
        <v>4.7399999999999998E-2</v>
      </c>
      <c r="BQ179" s="77"/>
      <c r="BR179" s="79">
        <f t="shared" si="17"/>
        <v>5.4949999999999999E-2</v>
      </c>
      <c r="BT179" s="281">
        <v>49126</v>
      </c>
      <c r="BU179" s="75">
        <v>5.5E-2</v>
      </c>
      <c r="BV179" s="75">
        <v>4.9687499999999996E-2</v>
      </c>
      <c r="BW179" s="77">
        <v>4.9687499999999996E-2</v>
      </c>
    </row>
    <row r="180" spans="1:75" s="11" customFormat="1" x14ac:dyDescent="0.2">
      <c r="A180" s="61"/>
      <c r="O180" s="61"/>
      <c r="AU180" s="281">
        <v>49171</v>
      </c>
      <c r="AV180" s="75"/>
      <c r="AW180" s="75"/>
      <c r="AX180" s="75"/>
      <c r="AY180" s="75"/>
      <c r="AZ180" s="75"/>
      <c r="BA180" s="75"/>
      <c r="BB180" s="75"/>
      <c r="BC180" s="75">
        <v>7.1249999999999994E-2</v>
      </c>
      <c r="BD180" s="75">
        <v>7.6249999999999998E-2</v>
      </c>
      <c r="BE180" s="75">
        <v>6.8750000000000006E-2</v>
      </c>
      <c r="BF180" s="75">
        <v>7.1249999999999994E-2</v>
      </c>
      <c r="BG180" s="75">
        <v>5.2499999999999998E-2</v>
      </c>
      <c r="BH180" s="75"/>
      <c r="BI180" s="74">
        <f t="shared" si="16"/>
        <v>6.7999999999999991E-2</v>
      </c>
      <c r="BJ180" s="78"/>
      <c r="BK180" s="75"/>
      <c r="BL180" s="75"/>
      <c r="BM180" s="75"/>
      <c r="BN180" s="75"/>
      <c r="BO180" s="75">
        <v>6.25E-2</v>
      </c>
      <c r="BP180" s="75">
        <v>4.7399999999999998E-2</v>
      </c>
      <c r="BQ180" s="77"/>
      <c r="BR180" s="79">
        <f t="shared" si="17"/>
        <v>5.4949999999999999E-2</v>
      </c>
      <c r="BT180" s="281">
        <v>49157</v>
      </c>
      <c r="BU180" s="75">
        <v>5.5E-2</v>
      </c>
      <c r="BV180" s="75">
        <v>4.9687499999999996E-2</v>
      </c>
      <c r="BW180" s="77">
        <v>4.9687499999999996E-2</v>
      </c>
    </row>
    <row r="181" spans="1:75" s="11" customFormat="1" x14ac:dyDescent="0.2">
      <c r="A181" s="61"/>
      <c r="O181" s="61"/>
      <c r="AU181" s="281">
        <v>49202</v>
      </c>
      <c r="AV181" s="75"/>
      <c r="AW181" s="75"/>
      <c r="AX181" s="75"/>
      <c r="AY181" s="75"/>
      <c r="AZ181" s="75"/>
      <c r="BA181" s="75"/>
      <c r="BB181" s="75"/>
      <c r="BC181" s="75">
        <v>7.1249999999999994E-2</v>
      </c>
      <c r="BD181" s="75">
        <v>7.6249999999999998E-2</v>
      </c>
      <c r="BE181" s="75">
        <v>6.8750000000000006E-2</v>
      </c>
      <c r="BF181" s="75">
        <v>7.1249999999999994E-2</v>
      </c>
      <c r="BG181" s="75">
        <v>5.2499999999999998E-2</v>
      </c>
      <c r="BH181" s="75"/>
      <c r="BI181" s="74">
        <f t="shared" si="16"/>
        <v>6.7999999999999991E-2</v>
      </c>
      <c r="BJ181" s="78"/>
      <c r="BK181" s="75"/>
      <c r="BL181" s="75"/>
      <c r="BM181" s="75"/>
      <c r="BN181" s="75"/>
      <c r="BO181" s="75">
        <v>6.25E-2</v>
      </c>
      <c r="BP181" s="75">
        <v>4.7399999999999998E-2</v>
      </c>
      <c r="BQ181" s="77"/>
      <c r="BR181" s="79">
        <f t="shared" si="17"/>
        <v>5.4949999999999999E-2</v>
      </c>
      <c r="BT181" s="281">
        <v>49188</v>
      </c>
      <c r="BU181" s="75">
        <v>5.5E-2</v>
      </c>
      <c r="BV181" s="75">
        <v>4.9687499999999996E-2</v>
      </c>
      <c r="BW181" s="77">
        <v>4.9687499999999996E-2</v>
      </c>
    </row>
    <row r="182" spans="1:75" s="11" customFormat="1" x14ac:dyDescent="0.2">
      <c r="A182" s="61"/>
      <c r="O182" s="61"/>
      <c r="AU182" s="281">
        <v>49232</v>
      </c>
      <c r="AV182" s="75"/>
      <c r="AW182" s="75"/>
      <c r="AX182" s="75"/>
      <c r="AY182" s="75"/>
      <c r="AZ182" s="75"/>
      <c r="BA182" s="75"/>
      <c r="BB182" s="75"/>
      <c r="BC182" s="75">
        <v>7.1249999999999994E-2</v>
      </c>
      <c r="BD182" s="75">
        <v>7.6249999999999998E-2</v>
      </c>
      <c r="BE182" s="75">
        <v>6.8750000000000006E-2</v>
      </c>
      <c r="BF182" s="75">
        <v>7.1249999999999994E-2</v>
      </c>
      <c r="BG182" s="75">
        <v>5.2499999999999998E-2</v>
      </c>
      <c r="BH182" s="75"/>
      <c r="BI182" s="74">
        <f t="shared" si="16"/>
        <v>6.7999999999999991E-2</v>
      </c>
      <c r="BJ182" s="78"/>
      <c r="BK182" s="75"/>
      <c r="BL182" s="75"/>
      <c r="BM182" s="75"/>
      <c r="BN182" s="75"/>
      <c r="BO182" s="75">
        <v>6.25E-2</v>
      </c>
      <c r="BP182" s="75">
        <v>4.7399999999999998E-2</v>
      </c>
      <c r="BQ182" s="77"/>
      <c r="BR182" s="79">
        <f t="shared" si="17"/>
        <v>5.4949999999999999E-2</v>
      </c>
      <c r="BT182" s="281">
        <v>49218</v>
      </c>
      <c r="BU182" s="75">
        <v>5.5E-2</v>
      </c>
      <c r="BV182" s="75">
        <v>4.9687499999999996E-2</v>
      </c>
      <c r="BW182" s="77">
        <v>4.9687499999999996E-2</v>
      </c>
    </row>
    <row r="183" spans="1:75" s="11" customFormat="1" x14ac:dyDescent="0.2">
      <c r="A183" s="61"/>
      <c r="O183" s="61"/>
      <c r="AU183" s="281">
        <v>49263</v>
      </c>
      <c r="AV183" s="75"/>
      <c r="AW183" s="75"/>
      <c r="AX183" s="75"/>
      <c r="AY183" s="75"/>
      <c r="AZ183" s="75"/>
      <c r="BA183" s="75"/>
      <c r="BB183" s="75"/>
      <c r="BC183" s="75">
        <v>7.1249999999999994E-2</v>
      </c>
      <c r="BD183" s="75">
        <v>7.6249999999999998E-2</v>
      </c>
      <c r="BE183" s="75">
        <v>6.8750000000000006E-2</v>
      </c>
      <c r="BF183" s="75">
        <v>7.1249999999999994E-2</v>
      </c>
      <c r="BG183" s="75">
        <v>5.2499999999999998E-2</v>
      </c>
      <c r="BH183" s="75"/>
      <c r="BI183" s="74">
        <f t="shared" si="16"/>
        <v>6.7999999999999991E-2</v>
      </c>
      <c r="BJ183" s="78"/>
      <c r="BK183" s="75"/>
      <c r="BL183" s="75"/>
      <c r="BM183" s="75"/>
      <c r="BN183" s="75"/>
      <c r="BO183" s="75">
        <v>6.25E-2</v>
      </c>
      <c r="BP183" s="75">
        <v>4.7399999999999998E-2</v>
      </c>
      <c r="BQ183" s="77"/>
      <c r="BR183" s="79">
        <f t="shared" si="17"/>
        <v>5.4949999999999999E-2</v>
      </c>
      <c r="BT183" s="281">
        <v>49249</v>
      </c>
      <c r="BU183" s="75">
        <v>5.5E-2</v>
      </c>
      <c r="BV183" s="75">
        <v>4.9687499999999996E-2</v>
      </c>
      <c r="BW183" s="77">
        <v>4.9687499999999996E-2</v>
      </c>
    </row>
    <row r="184" spans="1:75" s="11" customFormat="1" x14ac:dyDescent="0.2">
      <c r="A184" s="61"/>
      <c r="O184" s="61"/>
      <c r="AU184" s="281">
        <v>49293</v>
      </c>
      <c r="AV184" s="75"/>
      <c r="AW184" s="75"/>
      <c r="AX184" s="75"/>
      <c r="AY184" s="75"/>
      <c r="AZ184" s="75"/>
      <c r="BA184" s="75"/>
      <c r="BB184" s="75"/>
      <c r="BC184" s="75">
        <v>7.1249999999999994E-2</v>
      </c>
      <c r="BD184" s="75">
        <v>7.6249999999999998E-2</v>
      </c>
      <c r="BE184" s="75">
        <v>6.8750000000000006E-2</v>
      </c>
      <c r="BF184" s="75">
        <v>7.1249999999999994E-2</v>
      </c>
      <c r="BG184" s="75">
        <v>5.2499999999999998E-2</v>
      </c>
      <c r="BH184" s="75"/>
      <c r="BI184" s="74">
        <f t="shared" si="16"/>
        <v>6.7999999999999991E-2</v>
      </c>
      <c r="BJ184" s="78"/>
      <c r="BK184" s="75"/>
      <c r="BL184" s="75"/>
      <c r="BM184" s="75"/>
      <c r="BN184" s="75"/>
      <c r="BO184" s="75">
        <v>6.25E-2</v>
      </c>
      <c r="BP184" s="75">
        <v>4.7399999999999998E-2</v>
      </c>
      <c r="BQ184" s="77"/>
      <c r="BR184" s="79">
        <f t="shared" si="17"/>
        <v>5.4949999999999999E-2</v>
      </c>
      <c r="BT184" s="281">
        <v>49279</v>
      </c>
      <c r="BU184" s="75">
        <v>5.5E-2</v>
      </c>
      <c r="BV184" s="75">
        <v>4.9687499999999996E-2</v>
      </c>
      <c r="BW184" s="77">
        <v>4.9687499999999996E-2</v>
      </c>
    </row>
    <row r="185" spans="1:75" s="11" customFormat="1" x14ac:dyDescent="0.2">
      <c r="A185" s="61"/>
      <c r="O185" s="61"/>
      <c r="AU185" s="281">
        <v>49324</v>
      </c>
      <c r="AV185" s="75"/>
      <c r="AW185" s="75"/>
      <c r="AX185" s="75"/>
      <c r="AY185" s="75"/>
      <c r="AZ185" s="75"/>
      <c r="BA185" s="75"/>
      <c r="BB185" s="75"/>
      <c r="BC185" s="75">
        <v>7.1249999999999994E-2</v>
      </c>
      <c r="BD185" s="75">
        <v>7.6249999999999998E-2</v>
      </c>
      <c r="BE185" s="75">
        <v>6.8750000000000006E-2</v>
      </c>
      <c r="BF185" s="75">
        <v>7.1249999999999994E-2</v>
      </c>
      <c r="BG185" s="75">
        <v>5.2499999999999998E-2</v>
      </c>
      <c r="BH185" s="75"/>
      <c r="BI185" s="74">
        <f t="shared" si="16"/>
        <v>6.7999999999999991E-2</v>
      </c>
      <c r="BJ185" s="78"/>
      <c r="BK185" s="75"/>
      <c r="BL185" s="75"/>
      <c r="BM185" s="75"/>
      <c r="BN185" s="75"/>
      <c r="BO185" s="75">
        <v>6.25E-2</v>
      </c>
      <c r="BP185" s="75">
        <v>4.7399999999999998E-2</v>
      </c>
      <c r="BQ185" s="77"/>
      <c r="BR185" s="79">
        <f t="shared" si="17"/>
        <v>5.4949999999999999E-2</v>
      </c>
      <c r="BT185" s="281">
        <v>49310</v>
      </c>
      <c r="BU185" s="75">
        <v>5.5E-2</v>
      </c>
      <c r="BV185" s="75">
        <v>4.9687499999999996E-2</v>
      </c>
      <c r="BW185" s="77">
        <v>4.9687499999999996E-2</v>
      </c>
    </row>
    <row r="186" spans="1:75" s="11" customFormat="1" x14ac:dyDescent="0.2">
      <c r="A186" s="61"/>
      <c r="O186" s="61"/>
      <c r="AU186" s="281">
        <v>49355</v>
      </c>
      <c r="AV186" s="75"/>
      <c r="AW186" s="75"/>
      <c r="AX186" s="75"/>
      <c r="AY186" s="75"/>
      <c r="AZ186" s="75"/>
      <c r="BA186" s="75"/>
      <c r="BB186" s="75"/>
      <c r="BC186" s="75">
        <v>7.1249999999999994E-2</v>
      </c>
      <c r="BD186" s="75">
        <v>7.6249999999999998E-2</v>
      </c>
      <c r="BE186" s="75">
        <v>6.8750000000000006E-2</v>
      </c>
      <c r="BF186" s="75">
        <v>7.1249999999999994E-2</v>
      </c>
      <c r="BG186" s="75">
        <v>5.2499999999999998E-2</v>
      </c>
      <c r="BH186" s="75"/>
      <c r="BI186" s="74">
        <f t="shared" si="16"/>
        <v>6.7999999999999991E-2</v>
      </c>
      <c r="BJ186" s="78"/>
      <c r="BK186" s="75"/>
      <c r="BL186" s="75"/>
      <c r="BM186" s="75"/>
      <c r="BN186" s="75"/>
      <c r="BO186" s="75">
        <v>6.25E-2</v>
      </c>
      <c r="BP186" s="75">
        <v>4.7399999999999998E-2</v>
      </c>
      <c r="BQ186" s="77"/>
      <c r="BR186" s="79">
        <f t="shared" si="17"/>
        <v>5.4949999999999999E-2</v>
      </c>
      <c r="BT186" s="281">
        <v>49341</v>
      </c>
      <c r="BU186" s="75">
        <v>5.5E-2</v>
      </c>
      <c r="BV186" s="75">
        <v>4.9687499999999996E-2</v>
      </c>
      <c r="BW186" s="77">
        <v>4.9687499999999996E-2</v>
      </c>
    </row>
    <row r="187" spans="1:75" s="11" customFormat="1" x14ac:dyDescent="0.2">
      <c r="A187" s="61"/>
      <c r="O187" s="61"/>
      <c r="AU187" s="281">
        <v>49383</v>
      </c>
      <c r="AV187" s="75"/>
      <c r="AW187" s="75"/>
      <c r="AX187" s="75"/>
      <c r="AY187" s="75"/>
      <c r="AZ187" s="75"/>
      <c r="BA187" s="75"/>
      <c r="BB187" s="75"/>
      <c r="BC187" s="75">
        <v>7.1249999999999994E-2</v>
      </c>
      <c r="BD187" s="75">
        <v>7.6249999999999998E-2</v>
      </c>
      <c r="BE187" s="75">
        <v>6.8750000000000006E-2</v>
      </c>
      <c r="BF187" s="75">
        <v>7.1249999999999994E-2</v>
      </c>
      <c r="BG187" s="75">
        <v>5.2499999999999998E-2</v>
      </c>
      <c r="BH187" s="75"/>
      <c r="BI187" s="74">
        <f t="shared" si="16"/>
        <v>6.7999999999999991E-2</v>
      </c>
      <c r="BJ187" s="78"/>
      <c r="BK187" s="75"/>
      <c r="BL187" s="75"/>
      <c r="BM187" s="75"/>
      <c r="BN187" s="75"/>
      <c r="BO187" s="75">
        <v>6.25E-2</v>
      </c>
      <c r="BP187" s="75">
        <v>4.7399999999999998E-2</v>
      </c>
      <c r="BQ187" s="77"/>
      <c r="BR187" s="79">
        <f t="shared" si="17"/>
        <v>5.4949999999999999E-2</v>
      </c>
      <c r="BT187" s="281">
        <v>49369</v>
      </c>
      <c r="BU187" s="75">
        <v>5.5E-2</v>
      </c>
      <c r="BV187" s="75">
        <v>4.9687499999999996E-2</v>
      </c>
      <c r="BW187" s="77">
        <v>4.9687499999999996E-2</v>
      </c>
    </row>
    <row r="188" spans="1:75" s="11" customFormat="1" x14ac:dyDescent="0.2">
      <c r="A188" s="61"/>
      <c r="O188" s="61"/>
      <c r="AU188" s="281">
        <v>49414</v>
      </c>
      <c r="AV188" s="75"/>
      <c r="AW188" s="75"/>
      <c r="AX188" s="75"/>
      <c r="AY188" s="75"/>
      <c r="AZ188" s="75"/>
      <c r="BA188" s="75"/>
      <c r="BB188" s="75"/>
      <c r="BC188" s="75">
        <v>7.1249999999999994E-2</v>
      </c>
      <c r="BD188" s="75">
        <v>7.6249999999999998E-2</v>
      </c>
      <c r="BE188" s="75">
        <v>6.8750000000000006E-2</v>
      </c>
      <c r="BF188" s="75">
        <v>7.1249999999999994E-2</v>
      </c>
      <c r="BG188" s="75">
        <v>5.2499999999999998E-2</v>
      </c>
      <c r="BH188" s="75"/>
      <c r="BI188" s="74">
        <f t="shared" si="16"/>
        <v>6.7999999999999991E-2</v>
      </c>
      <c r="BJ188" s="78"/>
      <c r="BK188" s="75"/>
      <c r="BL188" s="75"/>
      <c r="BM188" s="75"/>
      <c r="BN188" s="75"/>
      <c r="BO188" s="75">
        <v>6.25E-2</v>
      </c>
      <c r="BP188" s="75">
        <v>4.7399999999999998E-2</v>
      </c>
      <c r="BQ188" s="77"/>
      <c r="BR188" s="79">
        <f t="shared" si="17"/>
        <v>5.4949999999999999E-2</v>
      </c>
      <c r="BT188" s="281">
        <v>49400</v>
      </c>
      <c r="BU188" s="75">
        <v>5.5E-2</v>
      </c>
      <c r="BV188" s="75">
        <v>4.9687499999999996E-2</v>
      </c>
      <c r="BW188" s="77">
        <v>4.9687499999999996E-2</v>
      </c>
    </row>
    <row r="189" spans="1:75" s="11" customFormat="1" x14ac:dyDescent="0.2">
      <c r="A189" s="61"/>
      <c r="O189" s="61"/>
      <c r="AU189" s="281">
        <v>49444</v>
      </c>
      <c r="AV189" s="75"/>
      <c r="AW189" s="75"/>
      <c r="AX189" s="75"/>
      <c r="AY189" s="75"/>
      <c r="AZ189" s="75"/>
      <c r="BA189" s="75"/>
      <c r="BB189" s="75"/>
      <c r="BC189" s="75">
        <v>7.1249999999999994E-2</v>
      </c>
      <c r="BD189" s="75">
        <v>7.6249999999999998E-2</v>
      </c>
      <c r="BE189" s="75">
        <v>6.8750000000000006E-2</v>
      </c>
      <c r="BF189" s="75">
        <v>7.1249999999999994E-2</v>
      </c>
      <c r="BG189" s="75">
        <v>5.2499999999999998E-2</v>
      </c>
      <c r="BH189" s="75"/>
      <c r="BI189" s="74">
        <f t="shared" si="16"/>
        <v>6.7999999999999991E-2</v>
      </c>
      <c r="BJ189" s="78"/>
      <c r="BK189" s="75"/>
      <c r="BL189" s="75"/>
      <c r="BM189" s="75"/>
      <c r="BN189" s="75"/>
      <c r="BO189" s="75">
        <v>6.25E-2</v>
      </c>
      <c r="BP189" s="75">
        <v>4.7399999999999998E-2</v>
      </c>
      <c r="BQ189" s="77"/>
      <c r="BR189" s="79">
        <f t="shared" si="17"/>
        <v>5.4949999999999999E-2</v>
      </c>
      <c r="BT189" s="281">
        <v>49430</v>
      </c>
      <c r="BU189" s="75">
        <v>5.5E-2</v>
      </c>
      <c r="BV189" s="75">
        <v>4.9687499999999996E-2</v>
      </c>
      <c r="BW189" s="77">
        <v>4.9687499999999996E-2</v>
      </c>
    </row>
    <row r="190" spans="1:75" s="11" customFormat="1" x14ac:dyDescent="0.2">
      <c r="A190" s="61"/>
      <c r="O190" s="61"/>
      <c r="AU190" s="281">
        <v>49475</v>
      </c>
      <c r="AV190" s="75"/>
      <c r="AW190" s="75"/>
      <c r="AX190" s="75"/>
      <c r="AY190" s="75"/>
      <c r="AZ190" s="75"/>
      <c r="BA190" s="75"/>
      <c r="BB190" s="75"/>
      <c r="BC190" s="75">
        <v>7.1249999999999994E-2</v>
      </c>
      <c r="BD190" s="75">
        <v>7.6249999999999998E-2</v>
      </c>
      <c r="BE190" s="75">
        <v>6.8750000000000006E-2</v>
      </c>
      <c r="BF190" s="75">
        <v>7.1249999999999994E-2</v>
      </c>
      <c r="BG190" s="75">
        <v>5.2499999999999998E-2</v>
      </c>
      <c r="BH190" s="75"/>
      <c r="BI190" s="74">
        <f t="shared" si="16"/>
        <v>6.7999999999999991E-2</v>
      </c>
      <c r="BJ190" s="78"/>
      <c r="BK190" s="75"/>
      <c r="BL190" s="75"/>
      <c r="BM190" s="75"/>
      <c r="BN190" s="75"/>
      <c r="BO190" s="75">
        <v>6.25E-2</v>
      </c>
      <c r="BP190" s="75">
        <v>4.7399999999999998E-2</v>
      </c>
      <c r="BQ190" s="77"/>
      <c r="BR190" s="79">
        <f t="shared" si="17"/>
        <v>5.4949999999999999E-2</v>
      </c>
      <c r="BT190" s="281">
        <v>49461</v>
      </c>
      <c r="BU190" s="75">
        <v>5.5E-2</v>
      </c>
      <c r="BV190" s="75">
        <v>4.9687499999999996E-2</v>
      </c>
      <c r="BW190" s="77">
        <v>4.9687499999999996E-2</v>
      </c>
    </row>
    <row r="191" spans="1:75" s="11" customFormat="1" x14ac:dyDescent="0.2">
      <c r="A191" s="61"/>
      <c r="O191" s="61"/>
      <c r="AU191" s="281">
        <v>49505</v>
      </c>
      <c r="AV191" s="75"/>
      <c r="AW191" s="75"/>
      <c r="AX191" s="75"/>
      <c r="AY191" s="75"/>
      <c r="AZ191" s="75"/>
      <c r="BA191" s="75"/>
      <c r="BB191" s="75"/>
      <c r="BC191" s="75">
        <v>7.1249999999999994E-2</v>
      </c>
      <c r="BD191" s="75">
        <v>7.6249999999999998E-2</v>
      </c>
      <c r="BE191" s="75">
        <v>6.8750000000000006E-2</v>
      </c>
      <c r="BF191" s="75">
        <v>7.1249999999999994E-2</v>
      </c>
      <c r="BG191" s="75">
        <v>5.2499999999999998E-2</v>
      </c>
      <c r="BH191" s="75"/>
      <c r="BI191" s="74">
        <f t="shared" si="16"/>
        <v>6.7999999999999991E-2</v>
      </c>
      <c r="BJ191" s="78"/>
      <c r="BK191" s="75"/>
      <c r="BL191" s="75"/>
      <c r="BM191" s="75"/>
      <c r="BN191" s="75"/>
      <c r="BO191" s="75">
        <v>6.25E-2</v>
      </c>
      <c r="BP191" s="75">
        <v>4.7399999999999998E-2</v>
      </c>
      <c r="BQ191" s="77"/>
      <c r="BR191" s="79">
        <f t="shared" si="17"/>
        <v>5.4949999999999999E-2</v>
      </c>
      <c r="BT191" s="281">
        <v>49491</v>
      </c>
      <c r="BU191" s="75">
        <v>5.5E-2</v>
      </c>
      <c r="BV191" s="75">
        <v>4.9687499999999996E-2</v>
      </c>
      <c r="BW191" s="77">
        <v>4.9687499999999996E-2</v>
      </c>
    </row>
    <row r="192" spans="1:75" s="11" customFormat="1" x14ac:dyDescent="0.2">
      <c r="A192" s="61"/>
      <c r="O192" s="61"/>
      <c r="AU192" s="281">
        <v>49536</v>
      </c>
      <c r="AV192" s="75"/>
      <c r="AW192" s="75"/>
      <c r="AX192" s="75"/>
      <c r="AY192" s="75"/>
      <c r="AZ192" s="75"/>
      <c r="BA192" s="75"/>
      <c r="BB192" s="75"/>
      <c r="BC192" s="75">
        <v>7.1249999999999994E-2</v>
      </c>
      <c r="BD192" s="75">
        <v>7.6249999999999998E-2</v>
      </c>
      <c r="BE192" s="75">
        <v>6.8750000000000006E-2</v>
      </c>
      <c r="BF192" s="75">
        <v>7.1249999999999994E-2</v>
      </c>
      <c r="BG192" s="75">
        <v>5.2499999999999998E-2</v>
      </c>
      <c r="BH192" s="75"/>
      <c r="BI192" s="74">
        <f t="shared" si="16"/>
        <v>6.7999999999999991E-2</v>
      </c>
      <c r="BJ192" s="78"/>
      <c r="BK192" s="75"/>
      <c r="BL192" s="75"/>
      <c r="BM192" s="75"/>
      <c r="BN192" s="75"/>
      <c r="BO192" s="75">
        <v>6.25E-2</v>
      </c>
      <c r="BP192" s="75">
        <v>4.7399999999999998E-2</v>
      </c>
      <c r="BQ192" s="77"/>
      <c r="BR192" s="79">
        <f t="shared" si="17"/>
        <v>5.4949999999999999E-2</v>
      </c>
      <c r="BT192" s="281">
        <v>49522</v>
      </c>
      <c r="BU192" s="75">
        <v>5.5E-2</v>
      </c>
      <c r="BV192" s="75">
        <v>4.9687499999999996E-2</v>
      </c>
      <c r="BW192" s="77">
        <v>4.9687499999999996E-2</v>
      </c>
    </row>
    <row r="193" spans="1:75" s="11" customFormat="1" x14ac:dyDescent="0.2">
      <c r="A193" s="61"/>
      <c r="O193" s="61"/>
      <c r="AU193" s="281">
        <v>49567</v>
      </c>
      <c r="AV193" s="75"/>
      <c r="AW193" s="75"/>
      <c r="AX193" s="75"/>
      <c r="AY193" s="75"/>
      <c r="AZ193" s="75"/>
      <c r="BA193" s="75"/>
      <c r="BB193" s="75"/>
      <c r="BC193" s="75">
        <v>7.1249999999999994E-2</v>
      </c>
      <c r="BD193" s="75">
        <v>7.6249999999999998E-2</v>
      </c>
      <c r="BE193" s="75">
        <v>6.8750000000000006E-2</v>
      </c>
      <c r="BF193" s="75">
        <v>7.1249999999999994E-2</v>
      </c>
      <c r="BG193" s="75">
        <v>5.2499999999999998E-2</v>
      </c>
      <c r="BH193" s="75"/>
      <c r="BI193" s="74">
        <f t="shared" si="16"/>
        <v>6.7999999999999991E-2</v>
      </c>
      <c r="BJ193" s="78"/>
      <c r="BK193" s="75"/>
      <c r="BL193" s="75"/>
      <c r="BM193" s="75"/>
      <c r="BN193" s="75"/>
      <c r="BO193" s="75">
        <v>6.25E-2</v>
      </c>
      <c r="BP193" s="75">
        <v>4.7399999999999998E-2</v>
      </c>
      <c r="BQ193" s="77"/>
      <c r="BR193" s="79">
        <f t="shared" si="17"/>
        <v>5.4949999999999999E-2</v>
      </c>
      <c r="BT193" s="281">
        <v>49553</v>
      </c>
      <c r="BU193" s="75">
        <v>5.5E-2</v>
      </c>
      <c r="BV193" s="75">
        <v>4.9687499999999996E-2</v>
      </c>
      <c r="BW193" s="77">
        <v>4.9687499999999996E-2</v>
      </c>
    </row>
    <row r="194" spans="1:75" s="11" customFormat="1" x14ac:dyDescent="0.2">
      <c r="A194" s="61"/>
      <c r="O194" s="61"/>
      <c r="AU194" s="281">
        <v>49597</v>
      </c>
      <c r="AV194" s="75"/>
      <c r="AW194" s="75"/>
      <c r="AX194" s="75"/>
      <c r="AY194" s="75"/>
      <c r="AZ194" s="75"/>
      <c r="BA194" s="75"/>
      <c r="BB194" s="75"/>
      <c r="BC194" s="75">
        <v>7.1249999999999994E-2</v>
      </c>
      <c r="BD194" s="75">
        <v>7.6249999999999998E-2</v>
      </c>
      <c r="BE194" s="75">
        <v>6.8750000000000006E-2</v>
      </c>
      <c r="BF194" s="75">
        <v>7.1249999999999994E-2</v>
      </c>
      <c r="BG194" s="75">
        <v>5.2499999999999998E-2</v>
      </c>
      <c r="BH194" s="75"/>
      <c r="BI194" s="74">
        <f t="shared" si="16"/>
        <v>6.7999999999999991E-2</v>
      </c>
      <c r="BJ194" s="78"/>
      <c r="BK194" s="75"/>
      <c r="BL194" s="75"/>
      <c r="BM194" s="75"/>
      <c r="BN194" s="75"/>
      <c r="BO194" s="75">
        <v>6.25E-2</v>
      </c>
      <c r="BP194" s="75">
        <v>4.7399999999999998E-2</v>
      </c>
      <c r="BQ194" s="77"/>
      <c r="BR194" s="79">
        <f t="shared" si="17"/>
        <v>5.4949999999999999E-2</v>
      </c>
      <c r="BT194" s="281">
        <v>49583</v>
      </c>
      <c r="BU194" s="75">
        <v>5.5E-2</v>
      </c>
      <c r="BV194" s="75">
        <v>4.9687499999999996E-2</v>
      </c>
      <c r="BW194" s="77">
        <v>4.9687499999999996E-2</v>
      </c>
    </row>
    <row r="195" spans="1:75" s="11" customFormat="1" x14ac:dyDescent="0.2">
      <c r="A195" s="61"/>
      <c r="O195" s="61"/>
      <c r="AU195" s="281">
        <v>49628</v>
      </c>
      <c r="AV195" s="75"/>
      <c r="AW195" s="75"/>
      <c r="AX195" s="75"/>
      <c r="AY195" s="75"/>
      <c r="AZ195" s="75"/>
      <c r="BA195" s="75"/>
      <c r="BB195" s="75"/>
      <c r="BC195" s="75">
        <v>7.1249999999999994E-2</v>
      </c>
      <c r="BD195" s="75">
        <v>7.6249999999999998E-2</v>
      </c>
      <c r="BE195" s="75">
        <v>6.8750000000000006E-2</v>
      </c>
      <c r="BF195" s="75">
        <v>7.1249999999999994E-2</v>
      </c>
      <c r="BG195" s="75">
        <v>5.2499999999999998E-2</v>
      </c>
      <c r="BH195" s="75"/>
      <c r="BI195" s="74">
        <f t="shared" si="16"/>
        <v>6.7999999999999991E-2</v>
      </c>
      <c r="BJ195" s="78"/>
      <c r="BK195" s="75"/>
      <c r="BL195" s="75"/>
      <c r="BM195" s="75"/>
      <c r="BN195" s="75"/>
      <c r="BO195" s="75">
        <v>6.25E-2</v>
      </c>
      <c r="BP195" s="75">
        <v>4.7399999999999998E-2</v>
      </c>
      <c r="BQ195" s="77"/>
      <c r="BR195" s="79">
        <f t="shared" si="17"/>
        <v>5.4949999999999999E-2</v>
      </c>
      <c r="BT195" s="281">
        <v>49614</v>
      </c>
      <c r="BU195" s="75">
        <v>5.5E-2</v>
      </c>
      <c r="BV195" s="75">
        <v>4.9687499999999996E-2</v>
      </c>
      <c r="BW195" s="77">
        <v>4.9687499999999996E-2</v>
      </c>
    </row>
    <row r="196" spans="1:75" s="11" customFormat="1" x14ac:dyDescent="0.2">
      <c r="A196" s="61"/>
      <c r="O196" s="61"/>
      <c r="AU196" s="281">
        <v>49658</v>
      </c>
      <c r="AV196" s="75"/>
      <c r="AW196" s="75"/>
      <c r="AX196" s="75"/>
      <c r="AY196" s="75"/>
      <c r="AZ196" s="75"/>
      <c r="BA196" s="75"/>
      <c r="BB196" s="75"/>
      <c r="BC196" s="75">
        <v>7.1249999999999994E-2</v>
      </c>
      <c r="BD196" s="75">
        <v>7.6249999999999998E-2</v>
      </c>
      <c r="BE196" s="75">
        <v>6.8750000000000006E-2</v>
      </c>
      <c r="BF196" s="75">
        <v>7.1249999999999994E-2</v>
      </c>
      <c r="BG196" s="75">
        <v>5.2499999999999998E-2</v>
      </c>
      <c r="BH196" s="75"/>
      <c r="BI196" s="74">
        <f t="shared" si="16"/>
        <v>6.7999999999999991E-2</v>
      </c>
      <c r="BJ196" s="78"/>
      <c r="BK196" s="75"/>
      <c r="BL196" s="75"/>
      <c r="BM196" s="75"/>
      <c r="BN196" s="75"/>
      <c r="BO196" s="75">
        <v>6.25E-2</v>
      </c>
      <c r="BP196" s="75">
        <v>4.7399999999999998E-2</v>
      </c>
      <c r="BQ196" s="77"/>
      <c r="BR196" s="79">
        <f t="shared" si="17"/>
        <v>5.4949999999999999E-2</v>
      </c>
      <c r="BT196" s="281">
        <v>49644</v>
      </c>
      <c r="BU196" s="75">
        <v>5.5E-2</v>
      </c>
      <c r="BV196" s="75">
        <v>4.9687499999999996E-2</v>
      </c>
      <c r="BW196" s="77">
        <v>4.9687499999999996E-2</v>
      </c>
    </row>
    <row r="197" spans="1:75" s="11" customFormat="1" x14ac:dyDescent="0.2">
      <c r="A197" s="61"/>
      <c r="O197" s="61"/>
      <c r="AU197" s="281">
        <v>49689</v>
      </c>
      <c r="AV197" s="75"/>
      <c r="AW197" s="75"/>
      <c r="AX197" s="75"/>
      <c r="AY197" s="75"/>
      <c r="AZ197" s="75"/>
      <c r="BA197" s="75"/>
      <c r="BB197" s="75"/>
      <c r="BC197" s="75">
        <v>7.1249999999999994E-2</v>
      </c>
      <c r="BD197" s="75">
        <v>7.6249999999999998E-2</v>
      </c>
      <c r="BE197" s="75">
        <v>6.8750000000000006E-2</v>
      </c>
      <c r="BF197" s="75">
        <v>7.1249999999999994E-2</v>
      </c>
      <c r="BG197" s="75">
        <v>5.2499999999999998E-2</v>
      </c>
      <c r="BH197" s="75"/>
      <c r="BI197" s="74">
        <f t="shared" si="16"/>
        <v>6.7999999999999991E-2</v>
      </c>
      <c r="BJ197" s="78"/>
      <c r="BK197" s="75"/>
      <c r="BL197" s="75"/>
      <c r="BM197" s="75"/>
      <c r="BN197" s="75"/>
      <c r="BO197" s="75">
        <v>6.25E-2</v>
      </c>
      <c r="BP197" s="75">
        <v>4.7399999999999998E-2</v>
      </c>
      <c r="BQ197" s="77"/>
      <c r="BR197" s="79">
        <f t="shared" si="17"/>
        <v>5.4949999999999999E-2</v>
      </c>
      <c r="BT197" s="281">
        <v>49675</v>
      </c>
      <c r="BU197" s="75">
        <v>5.5E-2</v>
      </c>
      <c r="BV197" s="75">
        <v>4.9583333333333333E-2</v>
      </c>
      <c r="BW197" s="77">
        <v>4.9687499999999996E-2</v>
      </c>
    </row>
    <row r="198" spans="1:75" s="11" customFormat="1" x14ac:dyDescent="0.2">
      <c r="A198" s="61"/>
      <c r="O198" s="61"/>
      <c r="AU198" s="281">
        <v>49720</v>
      </c>
      <c r="AV198" s="75"/>
      <c r="AW198" s="75"/>
      <c r="AX198" s="75"/>
      <c r="AY198" s="75"/>
      <c r="AZ198" s="75"/>
      <c r="BA198" s="75"/>
      <c r="BB198" s="75"/>
      <c r="BC198" s="75">
        <v>7.1249999999999994E-2</v>
      </c>
      <c r="BD198" s="75">
        <v>7.6249999999999998E-2</v>
      </c>
      <c r="BE198" s="75">
        <v>6.8750000000000006E-2</v>
      </c>
      <c r="BF198" s="75">
        <v>7.1249999999999994E-2</v>
      </c>
      <c r="BG198" s="75">
        <v>5.2499999999999998E-2</v>
      </c>
      <c r="BH198" s="75"/>
      <c r="BI198" s="74">
        <f t="shared" si="16"/>
        <v>6.7999999999999991E-2</v>
      </c>
      <c r="BJ198" s="78"/>
      <c r="BK198" s="75"/>
      <c r="BL198" s="75"/>
      <c r="BM198" s="75"/>
      <c r="BN198" s="75"/>
      <c r="BO198" s="75">
        <v>6.25E-2</v>
      </c>
      <c r="BP198" s="75">
        <v>4.7399999999999998E-2</v>
      </c>
      <c r="BQ198" s="77"/>
      <c r="BR198" s="79">
        <f t="shared" si="17"/>
        <v>5.4949999999999999E-2</v>
      </c>
      <c r="BT198" s="281">
        <v>49706</v>
      </c>
      <c r="BU198" s="75">
        <v>5.5E-2</v>
      </c>
      <c r="BV198" s="75">
        <v>4.9583333333333333E-2</v>
      </c>
      <c r="BW198" s="77">
        <v>4.9687499999999996E-2</v>
      </c>
    </row>
    <row r="199" spans="1:75" s="11" customFormat="1" x14ac:dyDescent="0.2">
      <c r="A199" s="61"/>
      <c r="O199" s="61"/>
      <c r="AU199" s="281">
        <v>49749</v>
      </c>
      <c r="AV199" s="75"/>
      <c r="AW199" s="75"/>
      <c r="AX199" s="75"/>
      <c r="AY199" s="75"/>
      <c r="AZ199" s="75"/>
      <c r="BA199" s="75"/>
      <c r="BB199" s="75"/>
      <c r="BC199" s="75">
        <v>7.1249999999999994E-2</v>
      </c>
      <c r="BD199" s="75">
        <v>7.6249999999999998E-2</v>
      </c>
      <c r="BE199" s="75">
        <v>6.8750000000000006E-2</v>
      </c>
      <c r="BF199" s="75">
        <v>7.1249999999999994E-2</v>
      </c>
      <c r="BG199" s="75">
        <v>5.2499999999999998E-2</v>
      </c>
      <c r="BH199" s="75"/>
      <c r="BI199" s="74">
        <f t="shared" si="16"/>
        <v>6.7999999999999991E-2</v>
      </c>
      <c r="BJ199" s="78"/>
      <c r="BK199" s="75"/>
      <c r="BL199" s="75"/>
      <c r="BM199" s="75"/>
      <c r="BN199" s="75"/>
      <c r="BO199" s="75">
        <v>6.25E-2</v>
      </c>
      <c r="BP199" s="75">
        <v>4.7399999999999998E-2</v>
      </c>
      <c r="BQ199" s="77"/>
      <c r="BR199" s="79">
        <f t="shared" si="17"/>
        <v>5.4949999999999999E-2</v>
      </c>
      <c r="BT199" s="281">
        <v>49735</v>
      </c>
      <c r="BU199" s="75">
        <v>5.5E-2</v>
      </c>
      <c r="BV199" s="75">
        <v>4.9583333333333333E-2</v>
      </c>
      <c r="BW199" s="77">
        <v>4.9583333333333333E-2</v>
      </c>
    </row>
    <row r="200" spans="1:75" s="11" customFormat="1" x14ac:dyDescent="0.2">
      <c r="A200" s="61"/>
      <c r="O200" s="61"/>
      <c r="AU200" s="281">
        <v>49780</v>
      </c>
      <c r="AV200" s="75"/>
      <c r="AW200" s="75"/>
      <c r="AX200" s="75"/>
      <c r="AY200" s="75"/>
      <c r="AZ200" s="75"/>
      <c r="BA200" s="75"/>
      <c r="BB200" s="75"/>
      <c r="BC200" s="75">
        <v>7.1249999999999994E-2</v>
      </c>
      <c r="BD200" s="75">
        <v>7.6249999999999998E-2</v>
      </c>
      <c r="BE200" s="75">
        <v>6.8750000000000006E-2</v>
      </c>
      <c r="BF200" s="75">
        <v>7.1249999999999994E-2</v>
      </c>
      <c r="BG200" s="75">
        <v>5.2499999999999998E-2</v>
      </c>
      <c r="BH200" s="75"/>
      <c r="BI200" s="74">
        <f t="shared" si="16"/>
        <v>6.7999999999999991E-2</v>
      </c>
      <c r="BJ200" s="78"/>
      <c r="BK200" s="75"/>
      <c r="BL200" s="75"/>
      <c r="BM200" s="75"/>
      <c r="BN200" s="75"/>
      <c r="BO200" s="75">
        <v>6.25E-2</v>
      </c>
      <c r="BP200" s="75">
        <v>4.7399999999999998E-2</v>
      </c>
      <c r="BQ200" s="77"/>
      <c r="BR200" s="79">
        <f t="shared" si="17"/>
        <v>5.4949999999999999E-2</v>
      </c>
      <c r="BT200" s="281">
        <v>49766</v>
      </c>
      <c r="BU200" s="75">
        <v>5.5E-2</v>
      </c>
      <c r="BV200" s="75">
        <v>4.9583333333333333E-2</v>
      </c>
      <c r="BW200" s="77">
        <v>4.9583333333333333E-2</v>
      </c>
    </row>
    <row r="201" spans="1:75" s="11" customFormat="1" x14ac:dyDescent="0.2">
      <c r="A201" s="61"/>
      <c r="O201" s="61"/>
      <c r="AU201" s="281">
        <v>49810</v>
      </c>
      <c r="AV201" s="75"/>
      <c r="AW201" s="75"/>
      <c r="AX201" s="75"/>
      <c r="AY201" s="75"/>
      <c r="AZ201" s="75"/>
      <c r="BA201" s="75"/>
      <c r="BB201" s="75"/>
      <c r="BC201" s="75">
        <v>7.1249999999999994E-2</v>
      </c>
      <c r="BD201" s="75">
        <v>7.6249999999999998E-2</v>
      </c>
      <c r="BE201" s="75">
        <v>6.8750000000000006E-2</v>
      </c>
      <c r="BF201" s="75">
        <v>7.1249999999999994E-2</v>
      </c>
      <c r="BG201" s="75">
        <v>5.2499999999999998E-2</v>
      </c>
      <c r="BH201" s="75"/>
      <c r="BI201" s="74">
        <f t="shared" ref="BI201:BI264" si="18">+AVERAGE(AV201:BH201)</f>
        <v>6.7999999999999991E-2</v>
      </c>
      <c r="BJ201" s="78"/>
      <c r="BK201" s="75"/>
      <c r="BL201" s="75"/>
      <c r="BM201" s="75"/>
      <c r="BN201" s="75"/>
      <c r="BO201" s="75">
        <v>6.25E-2</v>
      </c>
      <c r="BP201" s="75">
        <v>4.7399999999999998E-2</v>
      </c>
      <c r="BQ201" s="77"/>
      <c r="BR201" s="79">
        <f t="shared" ref="BR201:BR264" si="19">+AVERAGE(BJ201:BQ201)</f>
        <v>5.4949999999999999E-2</v>
      </c>
      <c r="BT201" s="281">
        <v>49796</v>
      </c>
      <c r="BU201" s="75">
        <v>5.5E-2</v>
      </c>
      <c r="BV201" s="75">
        <v>4.9583333333333333E-2</v>
      </c>
      <c r="BW201" s="77">
        <v>4.9583333333333333E-2</v>
      </c>
    </row>
    <row r="202" spans="1:75" s="11" customFormat="1" x14ac:dyDescent="0.2">
      <c r="A202" s="61"/>
      <c r="O202" s="61"/>
      <c r="AU202" s="281">
        <v>49841</v>
      </c>
      <c r="AV202" s="75"/>
      <c r="AW202" s="75"/>
      <c r="AX202" s="75"/>
      <c r="AY202" s="75"/>
      <c r="AZ202" s="75"/>
      <c r="BA202" s="75"/>
      <c r="BB202" s="75"/>
      <c r="BC202" s="75">
        <v>7.1249999999999994E-2</v>
      </c>
      <c r="BD202" s="75">
        <v>7.6249999999999998E-2</v>
      </c>
      <c r="BE202" s="75">
        <v>6.8750000000000006E-2</v>
      </c>
      <c r="BF202" s="75">
        <v>7.1249999999999994E-2</v>
      </c>
      <c r="BG202" s="75">
        <v>5.2499999999999998E-2</v>
      </c>
      <c r="BH202" s="75"/>
      <c r="BI202" s="74">
        <f t="shared" si="18"/>
        <v>6.7999999999999991E-2</v>
      </c>
      <c r="BJ202" s="78"/>
      <c r="BK202" s="75"/>
      <c r="BL202" s="75"/>
      <c r="BM202" s="75"/>
      <c r="BN202" s="75"/>
      <c r="BO202" s="75">
        <v>6.25E-2</v>
      </c>
      <c r="BP202" s="75">
        <v>4.7399999999999998E-2</v>
      </c>
      <c r="BQ202" s="77"/>
      <c r="BR202" s="79">
        <f t="shared" si="19"/>
        <v>5.4949999999999999E-2</v>
      </c>
      <c r="BT202" s="281">
        <v>49827</v>
      </c>
      <c r="BU202" s="75">
        <v>5.5E-2</v>
      </c>
      <c r="BV202" s="75">
        <v>4.9583333333333333E-2</v>
      </c>
      <c r="BW202" s="77">
        <v>4.9583333333333333E-2</v>
      </c>
    </row>
    <row r="203" spans="1:75" s="11" customFormat="1" x14ac:dyDescent="0.2">
      <c r="A203" s="61"/>
      <c r="O203" s="61"/>
      <c r="AU203" s="281">
        <v>49871</v>
      </c>
      <c r="AV203" s="75"/>
      <c r="AW203" s="75"/>
      <c r="AX203" s="75"/>
      <c r="AY203" s="75"/>
      <c r="AZ203" s="75"/>
      <c r="BA203" s="75"/>
      <c r="BB203" s="75"/>
      <c r="BC203" s="75">
        <v>7.1249999999999994E-2</v>
      </c>
      <c r="BD203" s="75">
        <v>7.6249999999999998E-2</v>
      </c>
      <c r="BE203" s="75">
        <v>6.8750000000000006E-2</v>
      </c>
      <c r="BF203" s="75">
        <v>7.1249999999999994E-2</v>
      </c>
      <c r="BG203" s="75">
        <v>5.2499999999999998E-2</v>
      </c>
      <c r="BH203" s="75"/>
      <c r="BI203" s="74">
        <f t="shared" si="18"/>
        <v>6.7999999999999991E-2</v>
      </c>
      <c r="BJ203" s="78"/>
      <c r="BK203" s="75"/>
      <c r="BL203" s="75"/>
      <c r="BM203" s="75"/>
      <c r="BN203" s="75"/>
      <c r="BO203" s="75">
        <v>6.25E-2</v>
      </c>
      <c r="BP203" s="75">
        <v>4.7399999999999998E-2</v>
      </c>
      <c r="BQ203" s="77"/>
      <c r="BR203" s="79">
        <f t="shared" si="19"/>
        <v>5.4949999999999999E-2</v>
      </c>
      <c r="BT203" s="281">
        <v>49857</v>
      </c>
      <c r="BU203" s="75">
        <v>5.5E-2</v>
      </c>
      <c r="BV203" s="75">
        <v>4.9583333333333333E-2</v>
      </c>
      <c r="BW203" s="77">
        <v>4.9583333333333333E-2</v>
      </c>
    </row>
    <row r="204" spans="1:75" s="11" customFormat="1" x14ac:dyDescent="0.2">
      <c r="A204" s="61"/>
      <c r="O204" s="61"/>
      <c r="AU204" s="281">
        <v>49902</v>
      </c>
      <c r="AV204" s="75"/>
      <c r="AW204" s="75"/>
      <c r="AX204" s="75"/>
      <c r="AY204" s="75"/>
      <c r="AZ204" s="75"/>
      <c r="BA204" s="75"/>
      <c r="BB204" s="75"/>
      <c r="BC204" s="75"/>
      <c r="BD204" s="75">
        <v>7.6249999999999998E-2</v>
      </c>
      <c r="BE204" s="75">
        <v>6.8750000000000006E-2</v>
      </c>
      <c r="BF204" s="75">
        <v>7.1249999999999994E-2</v>
      </c>
      <c r="BG204" s="75">
        <v>5.2499999999999998E-2</v>
      </c>
      <c r="BH204" s="75"/>
      <c r="BI204" s="74">
        <f t="shared" si="18"/>
        <v>6.7187499999999997E-2</v>
      </c>
      <c r="BJ204" s="78"/>
      <c r="BK204" s="75"/>
      <c r="BL204" s="75"/>
      <c r="BM204" s="75"/>
      <c r="BN204" s="75"/>
      <c r="BO204" s="75">
        <v>6.25E-2</v>
      </c>
      <c r="BP204" s="75">
        <v>4.7399999999999998E-2</v>
      </c>
      <c r="BQ204" s="77"/>
      <c r="BR204" s="79">
        <f t="shared" si="19"/>
        <v>5.4949999999999999E-2</v>
      </c>
      <c r="BT204" s="281">
        <v>49888</v>
      </c>
      <c r="BU204" s="75">
        <v>5.5E-2</v>
      </c>
      <c r="BV204" s="75">
        <v>4.9583333333333333E-2</v>
      </c>
      <c r="BW204" s="77">
        <v>4.9583333333333333E-2</v>
      </c>
    </row>
    <row r="205" spans="1:75" s="11" customFormat="1" x14ac:dyDescent="0.2">
      <c r="A205" s="61"/>
      <c r="O205" s="61"/>
      <c r="AU205" s="281">
        <v>49933</v>
      </c>
      <c r="AV205" s="75"/>
      <c r="AW205" s="75"/>
      <c r="AX205" s="75"/>
      <c r="AY205" s="75"/>
      <c r="AZ205" s="75"/>
      <c r="BA205" s="75"/>
      <c r="BB205" s="75"/>
      <c r="BC205" s="75"/>
      <c r="BD205" s="75">
        <v>7.6249999999999998E-2</v>
      </c>
      <c r="BE205" s="75">
        <v>6.8750000000000006E-2</v>
      </c>
      <c r="BF205" s="75">
        <v>7.1249999999999994E-2</v>
      </c>
      <c r="BG205" s="75">
        <v>5.2499999999999998E-2</v>
      </c>
      <c r="BH205" s="75"/>
      <c r="BI205" s="74">
        <f t="shared" si="18"/>
        <v>6.7187499999999997E-2</v>
      </c>
      <c r="BJ205" s="78"/>
      <c r="BK205" s="75"/>
      <c r="BL205" s="75"/>
      <c r="BM205" s="75"/>
      <c r="BN205" s="75"/>
      <c r="BO205" s="75">
        <v>6.25E-2</v>
      </c>
      <c r="BP205" s="75">
        <v>4.7399999999999998E-2</v>
      </c>
      <c r="BQ205" s="77"/>
      <c r="BR205" s="79">
        <f t="shared" si="19"/>
        <v>5.4949999999999999E-2</v>
      </c>
      <c r="BT205" s="281">
        <v>49919</v>
      </c>
      <c r="BU205" s="75">
        <v>5.5E-2</v>
      </c>
      <c r="BV205" s="75">
        <v>4.9583333333333333E-2</v>
      </c>
      <c r="BW205" s="77">
        <v>4.9583333333333333E-2</v>
      </c>
    </row>
    <row r="206" spans="1:75" s="11" customFormat="1" x14ac:dyDescent="0.2">
      <c r="A206" s="61"/>
      <c r="O206" s="61"/>
      <c r="AU206" s="281">
        <v>49963</v>
      </c>
      <c r="AV206" s="75"/>
      <c r="AW206" s="75"/>
      <c r="AX206" s="75"/>
      <c r="AY206" s="75"/>
      <c r="AZ206" s="75"/>
      <c r="BA206" s="75"/>
      <c r="BB206" s="75"/>
      <c r="BC206" s="75"/>
      <c r="BD206" s="75">
        <v>7.6249999999999998E-2</v>
      </c>
      <c r="BE206" s="75">
        <v>6.8750000000000006E-2</v>
      </c>
      <c r="BF206" s="75">
        <v>7.1249999999999994E-2</v>
      </c>
      <c r="BG206" s="75">
        <v>5.2499999999999998E-2</v>
      </c>
      <c r="BH206" s="75"/>
      <c r="BI206" s="74">
        <f t="shared" si="18"/>
        <v>6.7187499999999997E-2</v>
      </c>
      <c r="BJ206" s="78"/>
      <c r="BK206" s="75"/>
      <c r="BL206" s="75"/>
      <c r="BM206" s="75"/>
      <c r="BN206" s="75"/>
      <c r="BO206" s="75">
        <v>6.25E-2</v>
      </c>
      <c r="BP206" s="75">
        <v>4.7399999999999998E-2</v>
      </c>
      <c r="BQ206" s="77"/>
      <c r="BR206" s="79">
        <f t="shared" si="19"/>
        <v>5.4949999999999999E-2</v>
      </c>
      <c r="BT206" s="281">
        <v>49949</v>
      </c>
      <c r="BU206" s="75">
        <v>5.5E-2</v>
      </c>
      <c r="BV206" s="75">
        <v>4.9583333333333333E-2</v>
      </c>
      <c r="BW206" s="77">
        <v>4.9583333333333333E-2</v>
      </c>
    </row>
    <row r="207" spans="1:75" s="11" customFormat="1" x14ac:dyDescent="0.2">
      <c r="A207" s="61"/>
      <c r="O207" s="61"/>
      <c r="AU207" s="281">
        <v>49994</v>
      </c>
      <c r="AV207" s="75"/>
      <c r="AW207" s="75"/>
      <c r="AX207" s="75"/>
      <c r="AY207" s="75"/>
      <c r="AZ207" s="75"/>
      <c r="BA207" s="75"/>
      <c r="BB207" s="75"/>
      <c r="BC207" s="75"/>
      <c r="BD207" s="75">
        <v>7.6249999999999998E-2</v>
      </c>
      <c r="BE207" s="75">
        <v>6.8750000000000006E-2</v>
      </c>
      <c r="BF207" s="75">
        <v>7.1249999999999994E-2</v>
      </c>
      <c r="BG207" s="75">
        <v>5.2499999999999998E-2</v>
      </c>
      <c r="BH207" s="75"/>
      <c r="BI207" s="74">
        <f t="shared" si="18"/>
        <v>6.7187499999999997E-2</v>
      </c>
      <c r="BJ207" s="78"/>
      <c r="BK207" s="75"/>
      <c r="BL207" s="75"/>
      <c r="BM207" s="75"/>
      <c r="BN207" s="75"/>
      <c r="BO207" s="75">
        <v>6.25E-2</v>
      </c>
      <c r="BP207" s="75">
        <v>4.7399999999999998E-2</v>
      </c>
      <c r="BQ207" s="77"/>
      <c r="BR207" s="79">
        <f t="shared" si="19"/>
        <v>5.4949999999999999E-2</v>
      </c>
      <c r="BT207" s="281">
        <v>49980</v>
      </c>
      <c r="BU207" s="75">
        <v>5.5E-2</v>
      </c>
      <c r="BV207" s="75">
        <v>4.9583333333333333E-2</v>
      </c>
      <c r="BW207" s="77">
        <v>4.9583333333333333E-2</v>
      </c>
    </row>
    <row r="208" spans="1:75" s="11" customFormat="1" x14ac:dyDescent="0.2">
      <c r="A208" s="61"/>
      <c r="O208" s="61"/>
      <c r="AU208" s="281">
        <v>50024</v>
      </c>
      <c r="AV208" s="75"/>
      <c r="AW208" s="75"/>
      <c r="AX208" s="75"/>
      <c r="AY208" s="75"/>
      <c r="AZ208" s="75"/>
      <c r="BA208" s="75"/>
      <c r="BB208" s="75"/>
      <c r="BC208" s="75"/>
      <c r="BD208" s="75">
        <v>7.6249999999999998E-2</v>
      </c>
      <c r="BE208" s="75">
        <v>6.8750000000000006E-2</v>
      </c>
      <c r="BF208" s="75">
        <v>7.1249999999999994E-2</v>
      </c>
      <c r="BG208" s="75">
        <v>5.2499999999999998E-2</v>
      </c>
      <c r="BH208" s="75"/>
      <c r="BI208" s="74">
        <f t="shared" si="18"/>
        <v>6.7187499999999997E-2</v>
      </c>
      <c r="BJ208" s="78"/>
      <c r="BK208" s="75"/>
      <c r="BL208" s="75"/>
      <c r="BM208" s="75"/>
      <c r="BN208" s="75"/>
      <c r="BO208" s="75">
        <v>6.25E-2</v>
      </c>
      <c r="BP208" s="75">
        <v>4.7399999999999998E-2</v>
      </c>
      <c r="BQ208" s="77"/>
      <c r="BR208" s="79">
        <f t="shared" si="19"/>
        <v>5.4949999999999999E-2</v>
      </c>
      <c r="BT208" s="281">
        <v>50010</v>
      </c>
      <c r="BU208" s="75">
        <v>5.5E-2</v>
      </c>
      <c r="BV208" s="75">
        <v>4.9583333333333333E-2</v>
      </c>
      <c r="BW208" s="77">
        <v>4.9583333333333333E-2</v>
      </c>
    </row>
    <row r="209" spans="1:75" s="11" customFormat="1" x14ac:dyDescent="0.2">
      <c r="A209" s="61"/>
      <c r="O209" s="61"/>
      <c r="AU209" s="281">
        <v>50055</v>
      </c>
      <c r="AV209" s="75"/>
      <c r="AW209" s="75"/>
      <c r="AX209" s="75"/>
      <c r="AY209" s="75"/>
      <c r="AZ209" s="75"/>
      <c r="BA209" s="75"/>
      <c r="BB209" s="75"/>
      <c r="BC209" s="75"/>
      <c r="BD209" s="75">
        <v>7.6249999999999998E-2</v>
      </c>
      <c r="BE209" s="75">
        <v>6.8750000000000006E-2</v>
      </c>
      <c r="BF209" s="75">
        <v>7.1249999999999994E-2</v>
      </c>
      <c r="BG209" s="75">
        <v>5.2499999999999998E-2</v>
      </c>
      <c r="BH209" s="75"/>
      <c r="BI209" s="74">
        <f t="shared" si="18"/>
        <v>6.7187499999999997E-2</v>
      </c>
      <c r="BJ209" s="78"/>
      <c r="BK209" s="75"/>
      <c r="BL209" s="75"/>
      <c r="BM209" s="75"/>
      <c r="BN209" s="75"/>
      <c r="BO209" s="75">
        <v>6.25E-2</v>
      </c>
      <c r="BP209" s="75">
        <v>4.7399999999999998E-2</v>
      </c>
      <c r="BQ209" s="77"/>
      <c r="BR209" s="79">
        <f t="shared" si="19"/>
        <v>5.4949999999999999E-2</v>
      </c>
      <c r="BT209" s="281">
        <v>50041</v>
      </c>
      <c r="BU209" s="75">
        <v>5.4166666666666669E-2</v>
      </c>
      <c r="BV209" s="75">
        <v>4.9583333333333333E-2</v>
      </c>
      <c r="BW209" s="77">
        <v>4.9583333333333333E-2</v>
      </c>
    </row>
    <row r="210" spans="1:75" s="11" customFormat="1" x14ac:dyDescent="0.2">
      <c r="A210" s="61"/>
      <c r="O210" s="61"/>
      <c r="AU210" s="281">
        <v>50086</v>
      </c>
      <c r="AV210" s="75"/>
      <c r="AW210" s="75"/>
      <c r="AX210" s="75"/>
      <c r="AY210" s="75"/>
      <c r="AZ210" s="75"/>
      <c r="BA210" s="75"/>
      <c r="BB210" s="75"/>
      <c r="BC210" s="75"/>
      <c r="BD210" s="75">
        <v>7.6249999999999998E-2</v>
      </c>
      <c r="BE210" s="75">
        <v>6.8750000000000006E-2</v>
      </c>
      <c r="BF210" s="75">
        <v>7.1249999999999994E-2</v>
      </c>
      <c r="BG210" s="75">
        <v>5.2499999999999998E-2</v>
      </c>
      <c r="BH210" s="75"/>
      <c r="BI210" s="74">
        <f t="shared" si="18"/>
        <v>6.7187499999999997E-2</v>
      </c>
      <c r="BJ210" s="78"/>
      <c r="BK210" s="75"/>
      <c r="BL210" s="75"/>
      <c r="BM210" s="75"/>
      <c r="BN210" s="75"/>
      <c r="BO210" s="75">
        <v>6.25E-2</v>
      </c>
      <c r="BP210" s="75">
        <v>4.7399999999999998E-2</v>
      </c>
      <c r="BQ210" s="77"/>
      <c r="BR210" s="79">
        <f t="shared" si="19"/>
        <v>5.4949999999999999E-2</v>
      </c>
      <c r="BT210" s="281">
        <v>50072</v>
      </c>
      <c r="BU210" s="75">
        <v>5.4166666666666669E-2</v>
      </c>
      <c r="BV210" s="75">
        <v>4.9583333333333333E-2</v>
      </c>
      <c r="BW210" s="77">
        <v>4.9583333333333333E-2</v>
      </c>
    </row>
    <row r="211" spans="1:75" s="11" customFormat="1" x14ac:dyDescent="0.2">
      <c r="A211" s="61"/>
      <c r="O211" s="61"/>
      <c r="AU211" s="281">
        <v>50114</v>
      </c>
      <c r="AV211" s="75"/>
      <c r="AW211" s="75"/>
      <c r="AX211" s="75"/>
      <c r="AY211" s="75"/>
      <c r="AZ211" s="75"/>
      <c r="BA211" s="75"/>
      <c r="BB211" s="75"/>
      <c r="BC211" s="75"/>
      <c r="BD211" s="75">
        <v>7.6249999999999998E-2</v>
      </c>
      <c r="BE211" s="75">
        <v>6.8750000000000006E-2</v>
      </c>
      <c r="BF211" s="75">
        <v>7.1249999999999994E-2</v>
      </c>
      <c r="BG211" s="75">
        <v>5.2499999999999998E-2</v>
      </c>
      <c r="BH211" s="75"/>
      <c r="BI211" s="74">
        <f t="shared" si="18"/>
        <v>6.7187499999999997E-2</v>
      </c>
      <c r="BJ211" s="78"/>
      <c r="BK211" s="75"/>
      <c r="BL211" s="75"/>
      <c r="BM211" s="75"/>
      <c r="BN211" s="75"/>
      <c r="BO211" s="75">
        <v>6.25E-2</v>
      </c>
      <c r="BP211" s="75">
        <v>4.7399999999999998E-2</v>
      </c>
      <c r="BQ211" s="77"/>
      <c r="BR211" s="79">
        <f t="shared" si="19"/>
        <v>5.4949999999999999E-2</v>
      </c>
      <c r="BT211" s="281">
        <v>50100</v>
      </c>
      <c r="BU211" s="75">
        <v>5.4166666666666669E-2</v>
      </c>
      <c r="BV211" s="75">
        <v>4.9583333333333333E-2</v>
      </c>
      <c r="BW211" s="77">
        <v>4.9583333333333333E-2</v>
      </c>
    </row>
    <row r="212" spans="1:75" s="11" customFormat="1" x14ac:dyDescent="0.2">
      <c r="A212" s="61"/>
      <c r="O212" s="61"/>
      <c r="AU212" s="281">
        <v>50145</v>
      </c>
      <c r="AV212" s="75"/>
      <c r="AW212" s="75"/>
      <c r="AX212" s="75"/>
      <c r="AY212" s="75"/>
      <c r="AZ212" s="75"/>
      <c r="BA212" s="75"/>
      <c r="BB212" s="75"/>
      <c r="BC212" s="75"/>
      <c r="BD212" s="75">
        <v>7.6249999999999998E-2</v>
      </c>
      <c r="BE212" s="75">
        <v>6.8750000000000006E-2</v>
      </c>
      <c r="BF212" s="75">
        <v>7.1249999999999994E-2</v>
      </c>
      <c r="BG212" s="75">
        <v>5.2499999999999998E-2</v>
      </c>
      <c r="BH212" s="75"/>
      <c r="BI212" s="74">
        <f t="shared" si="18"/>
        <v>6.7187499999999997E-2</v>
      </c>
      <c r="BJ212" s="78"/>
      <c r="BK212" s="75"/>
      <c r="BL212" s="75"/>
      <c r="BM212" s="75"/>
      <c r="BN212" s="75"/>
      <c r="BO212" s="75">
        <v>6.25E-2</v>
      </c>
      <c r="BP212" s="75">
        <v>4.7399999999999998E-2</v>
      </c>
      <c r="BQ212" s="77"/>
      <c r="BR212" s="79">
        <f t="shared" si="19"/>
        <v>5.4949999999999999E-2</v>
      </c>
      <c r="BT212" s="281">
        <v>50131</v>
      </c>
      <c r="BU212" s="75">
        <v>5.4166666666666669E-2</v>
      </c>
      <c r="BV212" s="75">
        <v>4.9583333333333333E-2</v>
      </c>
      <c r="BW212" s="77">
        <v>4.9583333333333333E-2</v>
      </c>
    </row>
    <row r="213" spans="1:75" s="11" customFormat="1" x14ac:dyDescent="0.2">
      <c r="A213" s="61"/>
      <c r="O213" s="61"/>
      <c r="AU213" s="281">
        <v>50175</v>
      </c>
      <c r="AV213" s="75"/>
      <c r="AW213" s="75"/>
      <c r="AX213" s="75"/>
      <c r="AY213" s="75"/>
      <c r="AZ213" s="75"/>
      <c r="BA213" s="75"/>
      <c r="BB213" s="75"/>
      <c r="BC213" s="75"/>
      <c r="BD213" s="75">
        <v>7.6249999999999998E-2</v>
      </c>
      <c r="BE213" s="75">
        <v>6.8750000000000006E-2</v>
      </c>
      <c r="BF213" s="75">
        <v>7.1249999999999994E-2</v>
      </c>
      <c r="BG213" s="75">
        <v>5.2499999999999998E-2</v>
      </c>
      <c r="BH213" s="75"/>
      <c r="BI213" s="74">
        <f t="shared" si="18"/>
        <v>6.7187499999999997E-2</v>
      </c>
      <c r="BJ213" s="78"/>
      <c r="BK213" s="75"/>
      <c r="BL213" s="75"/>
      <c r="BM213" s="75"/>
      <c r="BN213" s="75"/>
      <c r="BO213" s="75">
        <v>6.25E-2</v>
      </c>
      <c r="BP213" s="75">
        <v>4.7399999999999998E-2</v>
      </c>
      <c r="BQ213" s="77"/>
      <c r="BR213" s="79">
        <f t="shared" si="19"/>
        <v>5.4949999999999999E-2</v>
      </c>
      <c r="BT213" s="281">
        <v>50161</v>
      </c>
      <c r="BU213" s="75">
        <v>5.4166666666666669E-2</v>
      </c>
      <c r="BV213" s="75">
        <v>4.9583333333333333E-2</v>
      </c>
      <c r="BW213" s="77">
        <v>4.9583333333333333E-2</v>
      </c>
    </row>
    <row r="214" spans="1:75" s="11" customFormat="1" x14ac:dyDescent="0.2">
      <c r="A214" s="61"/>
      <c r="O214" s="61"/>
      <c r="AU214" s="281">
        <v>50206</v>
      </c>
      <c r="AV214" s="75"/>
      <c r="AW214" s="75"/>
      <c r="AX214" s="75"/>
      <c r="AY214" s="75"/>
      <c r="AZ214" s="75"/>
      <c r="BA214" s="75"/>
      <c r="BB214" s="75"/>
      <c r="BC214" s="75"/>
      <c r="BD214" s="75">
        <v>7.6249999999999998E-2</v>
      </c>
      <c r="BE214" s="75">
        <v>6.8750000000000006E-2</v>
      </c>
      <c r="BF214" s="75">
        <v>7.1249999999999994E-2</v>
      </c>
      <c r="BG214" s="75">
        <v>5.2499999999999998E-2</v>
      </c>
      <c r="BH214" s="75"/>
      <c r="BI214" s="74">
        <f t="shared" si="18"/>
        <v>6.7187499999999997E-2</v>
      </c>
      <c r="BJ214" s="78"/>
      <c r="BK214" s="75"/>
      <c r="BL214" s="75"/>
      <c r="BM214" s="75"/>
      <c r="BN214" s="75"/>
      <c r="BO214" s="75">
        <v>6.25E-2</v>
      </c>
      <c r="BP214" s="75">
        <v>4.7399999999999998E-2</v>
      </c>
      <c r="BQ214" s="77"/>
      <c r="BR214" s="79">
        <f t="shared" si="19"/>
        <v>5.4949999999999999E-2</v>
      </c>
      <c r="BT214" s="281">
        <v>50192</v>
      </c>
      <c r="BU214" s="75">
        <v>5.4166666666666669E-2</v>
      </c>
      <c r="BV214" s="75">
        <v>4.9583333333333333E-2</v>
      </c>
      <c r="BW214" s="77">
        <v>4.9583333333333333E-2</v>
      </c>
    </row>
    <row r="215" spans="1:75" s="11" customFormat="1" x14ac:dyDescent="0.2">
      <c r="A215" s="61"/>
      <c r="O215" s="61"/>
      <c r="AU215" s="281">
        <v>50236</v>
      </c>
      <c r="AV215" s="75"/>
      <c r="AW215" s="75"/>
      <c r="AX215" s="75"/>
      <c r="AY215" s="75"/>
      <c r="AZ215" s="75"/>
      <c r="BA215" s="75"/>
      <c r="BB215" s="75"/>
      <c r="BC215" s="75"/>
      <c r="BD215" s="75">
        <v>7.6249999999999998E-2</v>
      </c>
      <c r="BE215" s="75">
        <v>6.8750000000000006E-2</v>
      </c>
      <c r="BF215" s="75">
        <v>7.1249999999999994E-2</v>
      </c>
      <c r="BG215" s="75">
        <v>5.2499999999999998E-2</v>
      </c>
      <c r="BH215" s="75"/>
      <c r="BI215" s="74">
        <f t="shared" si="18"/>
        <v>6.7187499999999997E-2</v>
      </c>
      <c r="BJ215" s="78"/>
      <c r="BK215" s="75"/>
      <c r="BL215" s="75"/>
      <c r="BM215" s="75"/>
      <c r="BN215" s="75"/>
      <c r="BO215" s="75">
        <v>6.25E-2</v>
      </c>
      <c r="BP215" s="75">
        <v>4.7399999999999998E-2</v>
      </c>
      <c r="BQ215" s="77"/>
      <c r="BR215" s="79">
        <f t="shared" si="19"/>
        <v>5.4949999999999999E-2</v>
      </c>
      <c r="BT215" s="281">
        <v>50222</v>
      </c>
      <c r="BU215" s="75">
        <v>5.4166666666666669E-2</v>
      </c>
      <c r="BV215" s="75">
        <v>4.9583333333333333E-2</v>
      </c>
      <c r="BW215" s="77">
        <v>4.9583333333333333E-2</v>
      </c>
    </row>
    <row r="216" spans="1:75" s="11" customFormat="1" x14ac:dyDescent="0.2">
      <c r="A216" s="61"/>
      <c r="O216" s="61"/>
      <c r="AU216" s="281">
        <v>50267</v>
      </c>
      <c r="AV216" s="75"/>
      <c r="AW216" s="75"/>
      <c r="AX216" s="75"/>
      <c r="AY216" s="75"/>
      <c r="AZ216" s="75"/>
      <c r="BA216" s="75"/>
      <c r="BB216" s="75"/>
      <c r="BC216" s="75"/>
      <c r="BD216" s="75">
        <v>7.6249999999999998E-2</v>
      </c>
      <c r="BE216" s="75">
        <v>6.8750000000000006E-2</v>
      </c>
      <c r="BF216" s="75">
        <v>7.1249999999999994E-2</v>
      </c>
      <c r="BG216" s="75">
        <v>5.2499999999999998E-2</v>
      </c>
      <c r="BH216" s="75"/>
      <c r="BI216" s="74">
        <f t="shared" si="18"/>
        <v>6.7187499999999997E-2</v>
      </c>
      <c r="BJ216" s="78"/>
      <c r="BK216" s="75"/>
      <c r="BL216" s="75"/>
      <c r="BM216" s="75"/>
      <c r="BN216" s="75"/>
      <c r="BO216" s="75">
        <v>6.25E-2</v>
      </c>
      <c r="BP216" s="75">
        <v>4.7399999999999998E-2</v>
      </c>
      <c r="BQ216" s="77"/>
      <c r="BR216" s="79">
        <f t="shared" si="19"/>
        <v>5.4949999999999999E-2</v>
      </c>
      <c r="BT216" s="281">
        <v>50253</v>
      </c>
      <c r="BU216" s="75">
        <v>5.4166666666666669E-2</v>
      </c>
      <c r="BV216" s="75">
        <v>4.9583333333333333E-2</v>
      </c>
      <c r="BW216" s="77">
        <v>4.9583333333333333E-2</v>
      </c>
    </row>
    <row r="217" spans="1:75" s="11" customFormat="1" x14ac:dyDescent="0.2">
      <c r="A217" s="61"/>
      <c r="O217" s="61"/>
      <c r="AU217" s="281">
        <v>50298</v>
      </c>
      <c r="AV217" s="75"/>
      <c r="AW217" s="75"/>
      <c r="AX217" s="75"/>
      <c r="AY217" s="75"/>
      <c r="AZ217" s="75"/>
      <c r="BA217" s="75"/>
      <c r="BB217" s="75"/>
      <c r="BC217" s="75"/>
      <c r="BD217" s="75">
        <v>7.6249999999999998E-2</v>
      </c>
      <c r="BE217" s="75">
        <v>6.8750000000000006E-2</v>
      </c>
      <c r="BF217" s="75">
        <v>7.1249999999999994E-2</v>
      </c>
      <c r="BG217" s="75">
        <v>5.2499999999999998E-2</v>
      </c>
      <c r="BH217" s="75"/>
      <c r="BI217" s="74">
        <f t="shared" si="18"/>
        <v>6.7187499999999997E-2</v>
      </c>
      <c r="BJ217" s="78"/>
      <c r="BK217" s="75"/>
      <c r="BL217" s="75"/>
      <c r="BM217" s="75"/>
      <c r="BN217" s="75"/>
      <c r="BO217" s="75">
        <v>6.25E-2</v>
      </c>
      <c r="BP217" s="75">
        <v>4.7399999999999998E-2</v>
      </c>
      <c r="BQ217" s="77"/>
      <c r="BR217" s="79">
        <f t="shared" si="19"/>
        <v>5.4949999999999999E-2</v>
      </c>
      <c r="BT217" s="281">
        <v>50284</v>
      </c>
      <c r="BU217" s="75">
        <v>5.4166666666666669E-2</v>
      </c>
      <c r="BV217" s="75">
        <v>4.9583333333333333E-2</v>
      </c>
      <c r="BW217" s="77">
        <v>4.9583333333333333E-2</v>
      </c>
    </row>
    <row r="218" spans="1:75" s="11" customFormat="1" x14ac:dyDescent="0.2">
      <c r="A218" s="61"/>
      <c r="O218" s="61"/>
      <c r="AU218" s="281">
        <v>50328</v>
      </c>
      <c r="AV218" s="75"/>
      <c r="AW218" s="75"/>
      <c r="AX218" s="75"/>
      <c r="AY218" s="75"/>
      <c r="AZ218" s="75"/>
      <c r="BA218" s="75"/>
      <c r="BB218" s="75"/>
      <c r="BC218" s="75"/>
      <c r="BD218" s="75">
        <v>7.6249999999999998E-2</v>
      </c>
      <c r="BE218" s="75">
        <v>6.8750000000000006E-2</v>
      </c>
      <c r="BF218" s="75">
        <v>7.1249999999999994E-2</v>
      </c>
      <c r="BG218" s="75">
        <v>5.2499999999999998E-2</v>
      </c>
      <c r="BH218" s="75"/>
      <c r="BI218" s="74">
        <f t="shared" si="18"/>
        <v>6.7187499999999997E-2</v>
      </c>
      <c r="BJ218" s="78"/>
      <c r="BK218" s="75"/>
      <c r="BL218" s="75"/>
      <c r="BM218" s="75"/>
      <c r="BN218" s="75"/>
      <c r="BO218" s="75">
        <v>6.25E-2</v>
      </c>
      <c r="BP218" s="75">
        <v>4.7399999999999998E-2</v>
      </c>
      <c r="BQ218" s="77"/>
      <c r="BR218" s="79">
        <f t="shared" si="19"/>
        <v>5.4949999999999999E-2</v>
      </c>
      <c r="BT218" s="281">
        <v>50314</v>
      </c>
      <c r="BU218" s="75">
        <v>5.4166666666666669E-2</v>
      </c>
      <c r="BV218" s="75">
        <v>4.9583333333333333E-2</v>
      </c>
      <c r="BW218" s="77">
        <v>4.9583333333333333E-2</v>
      </c>
    </row>
    <row r="219" spans="1:75" s="11" customFormat="1" x14ac:dyDescent="0.2">
      <c r="A219" s="61"/>
      <c r="O219" s="61"/>
      <c r="AU219" s="281">
        <v>50359</v>
      </c>
      <c r="AV219" s="75"/>
      <c r="AW219" s="75"/>
      <c r="AX219" s="75"/>
      <c r="AY219" s="75"/>
      <c r="AZ219" s="75"/>
      <c r="BA219" s="75"/>
      <c r="BB219" s="75"/>
      <c r="BC219" s="75"/>
      <c r="BD219" s="75">
        <v>7.6249999999999998E-2</v>
      </c>
      <c r="BE219" s="75">
        <v>6.8750000000000006E-2</v>
      </c>
      <c r="BF219" s="75">
        <v>7.1249999999999994E-2</v>
      </c>
      <c r="BG219" s="75">
        <v>5.2499999999999998E-2</v>
      </c>
      <c r="BH219" s="75"/>
      <c r="BI219" s="74">
        <f t="shared" si="18"/>
        <v>6.7187499999999997E-2</v>
      </c>
      <c r="BJ219" s="78"/>
      <c r="BK219" s="75"/>
      <c r="BL219" s="75"/>
      <c r="BM219" s="75"/>
      <c r="BN219" s="75"/>
      <c r="BO219" s="75">
        <v>6.25E-2</v>
      </c>
      <c r="BP219" s="75">
        <v>4.7399999999999998E-2</v>
      </c>
      <c r="BQ219" s="77"/>
      <c r="BR219" s="79">
        <f t="shared" si="19"/>
        <v>5.4949999999999999E-2</v>
      </c>
      <c r="BT219" s="281">
        <v>50345</v>
      </c>
      <c r="BU219" s="75">
        <v>5.4166666666666669E-2</v>
      </c>
      <c r="BV219" s="75">
        <v>4.9583333333333333E-2</v>
      </c>
      <c r="BW219" s="77">
        <v>4.9583333333333333E-2</v>
      </c>
    </row>
    <row r="220" spans="1:75" s="11" customFormat="1" x14ac:dyDescent="0.2">
      <c r="A220" s="61"/>
      <c r="O220" s="61"/>
      <c r="AU220" s="281">
        <v>50389</v>
      </c>
      <c r="AV220" s="75"/>
      <c r="AW220" s="75"/>
      <c r="AX220" s="75"/>
      <c r="AY220" s="75"/>
      <c r="AZ220" s="75"/>
      <c r="BA220" s="75"/>
      <c r="BB220" s="75"/>
      <c r="BC220" s="75"/>
      <c r="BD220" s="75">
        <v>7.6249999999999998E-2</v>
      </c>
      <c r="BE220" s="75">
        <v>6.8750000000000006E-2</v>
      </c>
      <c r="BF220" s="75">
        <v>7.1249999999999994E-2</v>
      </c>
      <c r="BG220" s="75">
        <v>5.2499999999999998E-2</v>
      </c>
      <c r="BH220" s="75"/>
      <c r="BI220" s="74">
        <f t="shared" si="18"/>
        <v>6.7187499999999997E-2</v>
      </c>
      <c r="BJ220" s="78"/>
      <c r="BK220" s="75"/>
      <c r="BL220" s="75"/>
      <c r="BM220" s="75"/>
      <c r="BN220" s="75"/>
      <c r="BO220" s="75">
        <v>6.25E-2</v>
      </c>
      <c r="BP220" s="75">
        <v>4.7399999999999998E-2</v>
      </c>
      <c r="BQ220" s="77"/>
      <c r="BR220" s="79">
        <f t="shared" si="19"/>
        <v>5.4949999999999999E-2</v>
      </c>
      <c r="BT220" s="281">
        <v>50375</v>
      </c>
      <c r="BU220" s="75">
        <v>5.4166666666666669E-2</v>
      </c>
      <c r="BV220" s="75">
        <v>4.9583333333333333E-2</v>
      </c>
      <c r="BW220" s="77">
        <v>4.9583333333333333E-2</v>
      </c>
    </row>
    <row r="221" spans="1:75" s="11" customFormat="1" x14ac:dyDescent="0.2">
      <c r="A221" s="61"/>
      <c r="O221" s="61"/>
      <c r="AU221" s="281">
        <v>50420</v>
      </c>
      <c r="AV221" s="75"/>
      <c r="AW221" s="75"/>
      <c r="AX221" s="75"/>
      <c r="AY221" s="75"/>
      <c r="AZ221" s="75"/>
      <c r="BA221" s="75"/>
      <c r="BB221" s="75"/>
      <c r="BC221" s="75"/>
      <c r="BD221" s="75">
        <v>7.6249999999999998E-2</v>
      </c>
      <c r="BE221" s="75">
        <v>6.8750000000000006E-2</v>
      </c>
      <c r="BF221" s="75">
        <v>7.1249999999999994E-2</v>
      </c>
      <c r="BG221" s="75">
        <v>5.2499999999999998E-2</v>
      </c>
      <c r="BH221" s="75"/>
      <c r="BI221" s="74">
        <f t="shared" si="18"/>
        <v>6.7187499999999997E-2</v>
      </c>
      <c r="BJ221" s="78"/>
      <c r="BK221" s="75"/>
      <c r="BL221" s="75"/>
      <c r="BM221" s="75"/>
      <c r="BN221" s="75"/>
      <c r="BO221" s="75">
        <v>6.25E-2</v>
      </c>
      <c r="BP221" s="75">
        <v>4.7399999999999998E-2</v>
      </c>
      <c r="BQ221" s="77"/>
      <c r="BR221" s="79">
        <f t="shared" si="19"/>
        <v>5.4949999999999999E-2</v>
      </c>
      <c r="BT221" s="281">
        <v>50406</v>
      </c>
      <c r="BU221" s="75">
        <v>5.4166666666666669E-2</v>
      </c>
      <c r="BV221" s="75">
        <v>4.9583333333333333E-2</v>
      </c>
      <c r="BW221" s="77">
        <v>4.9583333333333333E-2</v>
      </c>
    </row>
    <row r="222" spans="1:75" s="11" customFormat="1" x14ac:dyDescent="0.2">
      <c r="A222" s="61"/>
      <c r="O222" s="61"/>
      <c r="AU222" s="281">
        <v>50451</v>
      </c>
      <c r="AV222" s="75"/>
      <c r="AW222" s="75"/>
      <c r="AX222" s="75"/>
      <c r="AY222" s="75"/>
      <c r="AZ222" s="75"/>
      <c r="BA222" s="75"/>
      <c r="BB222" s="75"/>
      <c r="BC222" s="75"/>
      <c r="BD222" s="75">
        <v>7.6249999999999998E-2</v>
      </c>
      <c r="BE222" s="75">
        <v>6.8750000000000006E-2</v>
      </c>
      <c r="BF222" s="75">
        <v>7.1249999999999994E-2</v>
      </c>
      <c r="BG222" s="75">
        <v>5.2499999999999998E-2</v>
      </c>
      <c r="BH222" s="75"/>
      <c r="BI222" s="74">
        <f t="shared" si="18"/>
        <v>6.7187499999999997E-2</v>
      </c>
      <c r="BJ222" s="78"/>
      <c r="BK222" s="75"/>
      <c r="BL222" s="75"/>
      <c r="BM222" s="75"/>
      <c r="BN222" s="75"/>
      <c r="BO222" s="75">
        <v>6.25E-2</v>
      </c>
      <c r="BP222" s="75">
        <v>4.7399999999999998E-2</v>
      </c>
      <c r="BQ222" s="77"/>
      <c r="BR222" s="79">
        <f t="shared" si="19"/>
        <v>5.4949999999999999E-2</v>
      </c>
      <c r="BT222" s="281">
        <v>50437</v>
      </c>
      <c r="BU222" s="75">
        <v>5.4166666666666669E-2</v>
      </c>
      <c r="BV222" s="75">
        <v>4.9583333333333333E-2</v>
      </c>
      <c r="BW222" s="77">
        <v>4.9583333333333333E-2</v>
      </c>
    </row>
    <row r="223" spans="1:75" s="11" customFormat="1" x14ac:dyDescent="0.2">
      <c r="A223" s="61"/>
      <c r="O223" s="61"/>
      <c r="AU223" s="281">
        <v>50479</v>
      </c>
      <c r="AV223" s="75"/>
      <c r="AW223" s="75"/>
      <c r="AX223" s="75"/>
      <c r="AY223" s="75"/>
      <c r="AZ223" s="75"/>
      <c r="BA223" s="75"/>
      <c r="BB223" s="75"/>
      <c r="BC223" s="75"/>
      <c r="BD223" s="75">
        <v>7.6249999999999998E-2</v>
      </c>
      <c r="BE223" s="75">
        <v>6.8750000000000006E-2</v>
      </c>
      <c r="BF223" s="75">
        <v>7.1249999999999994E-2</v>
      </c>
      <c r="BG223" s="75">
        <v>5.2499999999999998E-2</v>
      </c>
      <c r="BH223" s="75"/>
      <c r="BI223" s="74">
        <f t="shared" si="18"/>
        <v>6.7187499999999997E-2</v>
      </c>
      <c r="BJ223" s="78"/>
      <c r="BK223" s="75"/>
      <c r="BL223" s="75"/>
      <c r="BM223" s="75"/>
      <c r="BN223" s="75"/>
      <c r="BO223" s="75">
        <v>6.25E-2</v>
      </c>
      <c r="BP223" s="75">
        <v>4.7399999999999998E-2</v>
      </c>
      <c r="BQ223" s="77"/>
      <c r="BR223" s="79">
        <f t="shared" si="19"/>
        <v>5.4949999999999999E-2</v>
      </c>
      <c r="BT223" s="281">
        <v>50465</v>
      </c>
      <c r="BU223" s="75">
        <v>5.4166666666666669E-2</v>
      </c>
      <c r="BV223" s="75">
        <v>4.9583333333333333E-2</v>
      </c>
      <c r="BW223" s="77">
        <v>4.9583333333333333E-2</v>
      </c>
    </row>
    <row r="224" spans="1:75" s="11" customFormat="1" x14ac:dyDescent="0.2">
      <c r="A224" s="61"/>
      <c r="O224" s="61"/>
      <c r="AU224" s="281">
        <v>50510</v>
      </c>
      <c r="AV224" s="75"/>
      <c r="AW224" s="75"/>
      <c r="AX224" s="75"/>
      <c r="AY224" s="75"/>
      <c r="AZ224" s="75"/>
      <c r="BA224" s="75"/>
      <c r="BB224" s="75"/>
      <c r="BC224" s="75"/>
      <c r="BD224" s="75">
        <v>7.6249999999999998E-2</v>
      </c>
      <c r="BE224" s="75">
        <v>6.8750000000000006E-2</v>
      </c>
      <c r="BF224" s="75">
        <v>7.1249999999999994E-2</v>
      </c>
      <c r="BG224" s="75">
        <v>5.2499999999999998E-2</v>
      </c>
      <c r="BH224" s="75"/>
      <c r="BI224" s="74">
        <f t="shared" si="18"/>
        <v>6.7187499999999997E-2</v>
      </c>
      <c r="BJ224" s="78"/>
      <c r="BK224" s="75"/>
      <c r="BL224" s="75"/>
      <c r="BM224" s="75"/>
      <c r="BN224" s="75"/>
      <c r="BO224" s="75">
        <v>6.25E-2</v>
      </c>
      <c r="BP224" s="75">
        <v>4.7399999999999998E-2</v>
      </c>
      <c r="BQ224" s="77"/>
      <c r="BR224" s="79">
        <f t="shared" si="19"/>
        <v>5.4949999999999999E-2</v>
      </c>
      <c r="BT224" s="281">
        <v>50496</v>
      </c>
      <c r="BU224" s="75">
        <v>5.4166666666666669E-2</v>
      </c>
      <c r="BV224" s="75">
        <v>4.9583333333333333E-2</v>
      </c>
      <c r="BW224" s="77">
        <v>4.9583333333333333E-2</v>
      </c>
    </row>
    <row r="225" spans="1:75" s="11" customFormat="1" x14ac:dyDescent="0.2">
      <c r="A225" s="61"/>
      <c r="O225" s="61"/>
      <c r="AU225" s="281">
        <v>50540</v>
      </c>
      <c r="AV225" s="75"/>
      <c r="AW225" s="75"/>
      <c r="AX225" s="75"/>
      <c r="AY225" s="75"/>
      <c r="AZ225" s="75"/>
      <c r="BA225" s="75"/>
      <c r="BB225" s="75"/>
      <c r="BC225" s="75"/>
      <c r="BD225" s="75">
        <v>7.6249999999999998E-2</v>
      </c>
      <c r="BE225" s="75">
        <v>6.8750000000000006E-2</v>
      </c>
      <c r="BF225" s="75">
        <v>7.1249999999999994E-2</v>
      </c>
      <c r="BG225" s="75">
        <v>5.2499999999999998E-2</v>
      </c>
      <c r="BH225" s="75"/>
      <c r="BI225" s="74">
        <f t="shared" si="18"/>
        <v>6.7187499999999997E-2</v>
      </c>
      <c r="BJ225" s="78"/>
      <c r="BK225" s="75"/>
      <c r="BL225" s="75"/>
      <c r="BM225" s="75"/>
      <c r="BN225" s="75"/>
      <c r="BO225" s="75">
        <v>6.25E-2</v>
      </c>
      <c r="BP225" s="75">
        <v>4.7399999999999998E-2</v>
      </c>
      <c r="BQ225" s="77"/>
      <c r="BR225" s="79">
        <f t="shared" si="19"/>
        <v>5.4949999999999999E-2</v>
      </c>
      <c r="BT225" s="281">
        <v>50526</v>
      </c>
      <c r="BU225" s="75">
        <v>5.4166666666666669E-2</v>
      </c>
      <c r="BV225" s="75">
        <v>4.9583333333333333E-2</v>
      </c>
      <c r="BW225" s="77">
        <v>4.9583333333333333E-2</v>
      </c>
    </row>
    <row r="226" spans="1:75" s="11" customFormat="1" x14ac:dyDescent="0.2">
      <c r="A226" s="61"/>
      <c r="O226" s="61"/>
      <c r="AU226" s="281">
        <v>50571</v>
      </c>
      <c r="AV226" s="75"/>
      <c r="AW226" s="75"/>
      <c r="AX226" s="75"/>
      <c r="AY226" s="75"/>
      <c r="AZ226" s="75"/>
      <c r="BA226" s="75"/>
      <c r="BB226" s="75"/>
      <c r="BC226" s="75"/>
      <c r="BD226" s="75">
        <v>7.6249999999999998E-2</v>
      </c>
      <c r="BE226" s="75">
        <v>6.8750000000000006E-2</v>
      </c>
      <c r="BF226" s="75">
        <v>7.1249999999999994E-2</v>
      </c>
      <c r="BG226" s="75">
        <v>5.2499999999999998E-2</v>
      </c>
      <c r="BH226" s="75"/>
      <c r="BI226" s="74">
        <f t="shared" si="18"/>
        <v>6.7187499999999997E-2</v>
      </c>
      <c r="BJ226" s="78"/>
      <c r="BK226" s="75"/>
      <c r="BL226" s="75"/>
      <c r="BM226" s="75"/>
      <c r="BN226" s="75"/>
      <c r="BO226" s="75">
        <v>6.25E-2</v>
      </c>
      <c r="BP226" s="75">
        <v>4.7399999999999998E-2</v>
      </c>
      <c r="BQ226" s="77"/>
      <c r="BR226" s="79">
        <f t="shared" si="19"/>
        <v>5.4949999999999999E-2</v>
      </c>
      <c r="BT226" s="281">
        <v>50557</v>
      </c>
      <c r="BU226" s="75">
        <v>5.4166666666666669E-2</v>
      </c>
      <c r="BV226" s="75">
        <v>4.9583333333333333E-2</v>
      </c>
      <c r="BW226" s="77">
        <v>4.9583333333333333E-2</v>
      </c>
    </row>
    <row r="227" spans="1:75" s="11" customFormat="1" x14ac:dyDescent="0.2">
      <c r="A227" s="61"/>
      <c r="O227" s="61"/>
      <c r="AU227" s="281">
        <v>50601</v>
      </c>
      <c r="AV227" s="75"/>
      <c r="AW227" s="75"/>
      <c r="AX227" s="75"/>
      <c r="AY227" s="75"/>
      <c r="AZ227" s="75"/>
      <c r="BA227" s="75"/>
      <c r="BB227" s="75"/>
      <c r="BC227" s="75"/>
      <c r="BD227" s="75">
        <v>7.6249999999999998E-2</v>
      </c>
      <c r="BE227" s="75">
        <v>6.8750000000000006E-2</v>
      </c>
      <c r="BF227" s="75">
        <v>7.1249999999999994E-2</v>
      </c>
      <c r="BG227" s="75">
        <v>5.2499999999999998E-2</v>
      </c>
      <c r="BH227" s="75"/>
      <c r="BI227" s="74">
        <f t="shared" si="18"/>
        <v>6.7187499999999997E-2</v>
      </c>
      <c r="BJ227" s="78"/>
      <c r="BK227" s="75"/>
      <c r="BL227" s="75"/>
      <c r="BM227" s="75"/>
      <c r="BN227" s="75"/>
      <c r="BO227" s="75">
        <v>6.25E-2</v>
      </c>
      <c r="BP227" s="75">
        <v>4.7399999999999998E-2</v>
      </c>
      <c r="BQ227" s="77"/>
      <c r="BR227" s="79">
        <f t="shared" si="19"/>
        <v>5.4949999999999999E-2</v>
      </c>
      <c r="BT227" s="281">
        <v>50587</v>
      </c>
      <c r="BU227" s="75">
        <v>5.4166666666666669E-2</v>
      </c>
      <c r="BV227" s="75">
        <v>4.9583333333333333E-2</v>
      </c>
      <c r="BW227" s="77">
        <v>4.9583333333333333E-2</v>
      </c>
    </row>
    <row r="228" spans="1:75" s="11" customFormat="1" x14ac:dyDescent="0.2">
      <c r="A228" s="61"/>
      <c r="O228" s="61"/>
      <c r="AU228" s="281">
        <v>50632</v>
      </c>
      <c r="AV228" s="75"/>
      <c r="AW228" s="75"/>
      <c r="AX228" s="75"/>
      <c r="AY228" s="75"/>
      <c r="AZ228" s="75"/>
      <c r="BA228" s="75"/>
      <c r="BB228" s="75"/>
      <c r="BC228" s="75"/>
      <c r="BD228" s="75">
        <v>7.6249999999999998E-2</v>
      </c>
      <c r="BE228" s="75">
        <v>6.8750000000000006E-2</v>
      </c>
      <c r="BF228" s="75">
        <v>7.1249999999999994E-2</v>
      </c>
      <c r="BG228" s="75">
        <v>5.2499999999999998E-2</v>
      </c>
      <c r="BH228" s="75"/>
      <c r="BI228" s="74">
        <f t="shared" si="18"/>
        <v>6.7187499999999997E-2</v>
      </c>
      <c r="BJ228" s="78"/>
      <c r="BK228" s="75"/>
      <c r="BL228" s="75"/>
      <c r="BM228" s="75"/>
      <c r="BN228" s="75"/>
      <c r="BO228" s="75">
        <v>6.25E-2</v>
      </c>
      <c r="BP228" s="75">
        <v>4.7399999999999998E-2</v>
      </c>
      <c r="BQ228" s="77"/>
      <c r="BR228" s="79">
        <f t="shared" si="19"/>
        <v>5.4949999999999999E-2</v>
      </c>
      <c r="BT228" s="281">
        <v>50618</v>
      </c>
      <c r="BU228" s="75">
        <v>5.4166666666666669E-2</v>
      </c>
      <c r="BV228" s="75">
        <v>4.9583333333333333E-2</v>
      </c>
      <c r="BW228" s="77">
        <v>4.9583333333333333E-2</v>
      </c>
    </row>
    <row r="229" spans="1:75" s="11" customFormat="1" x14ac:dyDescent="0.2">
      <c r="A229" s="61"/>
      <c r="O229" s="61"/>
      <c r="AU229" s="281">
        <v>50663</v>
      </c>
      <c r="AV229" s="75"/>
      <c r="AW229" s="75"/>
      <c r="AX229" s="75"/>
      <c r="AY229" s="75"/>
      <c r="AZ229" s="75"/>
      <c r="BA229" s="75"/>
      <c r="BB229" s="75"/>
      <c r="BC229" s="75"/>
      <c r="BD229" s="75">
        <v>7.6249999999999998E-2</v>
      </c>
      <c r="BE229" s="75">
        <v>6.8750000000000006E-2</v>
      </c>
      <c r="BF229" s="75">
        <v>7.1249999999999994E-2</v>
      </c>
      <c r="BG229" s="75">
        <v>5.2499999999999998E-2</v>
      </c>
      <c r="BH229" s="75"/>
      <c r="BI229" s="74">
        <f t="shared" si="18"/>
        <v>6.7187499999999997E-2</v>
      </c>
      <c r="BJ229" s="78"/>
      <c r="BK229" s="75"/>
      <c r="BL229" s="75"/>
      <c r="BM229" s="75"/>
      <c r="BN229" s="75"/>
      <c r="BO229" s="75">
        <v>6.25E-2</v>
      </c>
      <c r="BP229" s="75">
        <v>4.7399999999999998E-2</v>
      </c>
      <c r="BQ229" s="77"/>
      <c r="BR229" s="79">
        <f t="shared" si="19"/>
        <v>5.4949999999999999E-2</v>
      </c>
      <c r="BT229" s="281">
        <v>50649</v>
      </c>
      <c r="BU229" s="75">
        <v>5.4166666666666669E-2</v>
      </c>
      <c r="BV229" s="75">
        <v>4.9583333333333333E-2</v>
      </c>
      <c r="BW229" s="77">
        <v>4.9583333333333333E-2</v>
      </c>
    </row>
    <row r="230" spans="1:75" s="11" customFormat="1" x14ac:dyDescent="0.2">
      <c r="A230" s="61"/>
      <c r="O230" s="61"/>
      <c r="AU230" s="281">
        <v>50693</v>
      </c>
      <c r="AV230" s="75"/>
      <c r="AW230" s="75"/>
      <c r="AX230" s="75"/>
      <c r="AY230" s="75"/>
      <c r="AZ230" s="75"/>
      <c r="BA230" s="75"/>
      <c r="BB230" s="75"/>
      <c r="BC230" s="75"/>
      <c r="BD230" s="75">
        <v>7.6249999999999998E-2</v>
      </c>
      <c r="BE230" s="75">
        <v>6.8750000000000006E-2</v>
      </c>
      <c r="BF230" s="75">
        <v>7.1249999999999994E-2</v>
      </c>
      <c r="BG230" s="75">
        <v>5.2499999999999998E-2</v>
      </c>
      <c r="BH230" s="75"/>
      <c r="BI230" s="74">
        <f t="shared" si="18"/>
        <v>6.7187499999999997E-2</v>
      </c>
      <c r="BJ230" s="78"/>
      <c r="BK230" s="75"/>
      <c r="BL230" s="75"/>
      <c r="BM230" s="75"/>
      <c r="BN230" s="75"/>
      <c r="BO230" s="75">
        <v>6.25E-2</v>
      </c>
      <c r="BP230" s="75">
        <v>4.7399999999999998E-2</v>
      </c>
      <c r="BQ230" s="77"/>
      <c r="BR230" s="79">
        <f t="shared" si="19"/>
        <v>5.4949999999999999E-2</v>
      </c>
      <c r="BT230" s="281">
        <v>50679</v>
      </c>
      <c r="BU230" s="75">
        <v>5.4166666666666669E-2</v>
      </c>
      <c r="BV230" s="75">
        <v>4.9583333333333333E-2</v>
      </c>
      <c r="BW230" s="77">
        <v>4.9583333333333333E-2</v>
      </c>
    </row>
    <row r="231" spans="1:75" s="11" customFormat="1" x14ac:dyDescent="0.2">
      <c r="A231" s="61"/>
      <c r="O231" s="61"/>
      <c r="AU231" s="281">
        <v>50724</v>
      </c>
      <c r="AV231" s="75"/>
      <c r="AW231" s="75"/>
      <c r="AX231" s="75"/>
      <c r="AY231" s="75"/>
      <c r="AZ231" s="75"/>
      <c r="BA231" s="75"/>
      <c r="BB231" s="75"/>
      <c r="BC231" s="75"/>
      <c r="BD231" s="75">
        <v>7.6249999999999998E-2</v>
      </c>
      <c r="BE231" s="75">
        <v>6.8750000000000006E-2</v>
      </c>
      <c r="BF231" s="75">
        <v>7.1249999999999994E-2</v>
      </c>
      <c r="BG231" s="75">
        <v>5.2499999999999998E-2</v>
      </c>
      <c r="BH231" s="75"/>
      <c r="BI231" s="74">
        <f t="shared" si="18"/>
        <v>6.7187499999999997E-2</v>
      </c>
      <c r="BJ231" s="78"/>
      <c r="BK231" s="75"/>
      <c r="BL231" s="75"/>
      <c r="BM231" s="75"/>
      <c r="BN231" s="75"/>
      <c r="BO231" s="75">
        <v>6.25E-2</v>
      </c>
      <c r="BP231" s="75">
        <v>4.7399999999999998E-2</v>
      </c>
      <c r="BQ231" s="77"/>
      <c r="BR231" s="79">
        <f t="shared" si="19"/>
        <v>5.4949999999999999E-2</v>
      </c>
      <c r="BT231" s="281">
        <v>50710</v>
      </c>
      <c r="BU231" s="75">
        <v>5.4166666666666669E-2</v>
      </c>
      <c r="BV231" s="75">
        <v>4.9583333333333333E-2</v>
      </c>
      <c r="BW231" s="77">
        <v>4.9583333333333333E-2</v>
      </c>
    </row>
    <row r="232" spans="1:75" s="11" customFormat="1" x14ac:dyDescent="0.2">
      <c r="A232" s="61"/>
      <c r="O232" s="61"/>
      <c r="AU232" s="281">
        <v>50754</v>
      </c>
      <c r="AV232" s="75"/>
      <c r="AW232" s="75"/>
      <c r="AX232" s="75"/>
      <c r="AY232" s="75"/>
      <c r="AZ232" s="75"/>
      <c r="BA232" s="75"/>
      <c r="BB232" s="75"/>
      <c r="BC232" s="75"/>
      <c r="BD232" s="75">
        <v>7.6249999999999998E-2</v>
      </c>
      <c r="BE232" s="75">
        <v>6.8750000000000006E-2</v>
      </c>
      <c r="BF232" s="75">
        <v>7.1249999999999994E-2</v>
      </c>
      <c r="BG232" s="75">
        <v>5.2499999999999998E-2</v>
      </c>
      <c r="BH232" s="75"/>
      <c r="BI232" s="74">
        <f t="shared" si="18"/>
        <v>6.7187499999999997E-2</v>
      </c>
      <c r="BJ232" s="78"/>
      <c r="BK232" s="75"/>
      <c r="BL232" s="75"/>
      <c r="BM232" s="75"/>
      <c r="BN232" s="75"/>
      <c r="BO232" s="75">
        <v>6.25E-2</v>
      </c>
      <c r="BP232" s="75">
        <v>4.7399999999999998E-2</v>
      </c>
      <c r="BQ232" s="77"/>
      <c r="BR232" s="79">
        <f t="shared" si="19"/>
        <v>5.4949999999999999E-2</v>
      </c>
      <c r="BT232" s="281">
        <v>50740</v>
      </c>
      <c r="BU232" s="75">
        <v>5.4166666666666669E-2</v>
      </c>
      <c r="BV232" s="75">
        <v>4.9583333333333333E-2</v>
      </c>
      <c r="BW232" s="77">
        <v>4.9583333333333333E-2</v>
      </c>
    </row>
    <row r="233" spans="1:75" s="11" customFormat="1" x14ac:dyDescent="0.2">
      <c r="A233" s="61"/>
      <c r="O233" s="61"/>
      <c r="AU233" s="281">
        <v>50785</v>
      </c>
      <c r="AV233" s="75"/>
      <c r="AW233" s="75"/>
      <c r="AX233" s="75"/>
      <c r="AY233" s="75"/>
      <c r="AZ233" s="75"/>
      <c r="BA233" s="75"/>
      <c r="BB233" s="75"/>
      <c r="BC233" s="75"/>
      <c r="BD233" s="75">
        <v>7.6249999999999998E-2</v>
      </c>
      <c r="BE233" s="75">
        <v>6.8750000000000006E-2</v>
      </c>
      <c r="BF233" s="75">
        <v>7.1249999999999994E-2</v>
      </c>
      <c r="BG233" s="75"/>
      <c r="BH233" s="75"/>
      <c r="BI233" s="74">
        <f t="shared" si="18"/>
        <v>7.2083333333333333E-2</v>
      </c>
      <c r="BJ233" s="78"/>
      <c r="BK233" s="75"/>
      <c r="BL233" s="75"/>
      <c r="BM233" s="75"/>
      <c r="BN233" s="75"/>
      <c r="BO233" s="75">
        <v>6.25E-2</v>
      </c>
      <c r="BP233" s="75"/>
      <c r="BQ233" s="77"/>
      <c r="BR233" s="79">
        <f t="shared" si="19"/>
        <v>6.25E-2</v>
      </c>
      <c r="BT233" s="281">
        <v>50771</v>
      </c>
      <c r="BU233" s="75">
        <v>5.2500000000000005E-2</v>
      </c>
      <c r="BV233" s="75">
        <v>4.9375000000000002E-2</v>
      </c>
      <c r="BW233" s="77">
        <v>4.9583333333333333E-2</v>
      </c>
    </row>
    <row r="234" spans="1:75" s="11" customFormat="1" x14ac:dyDescent="0.2">
      <c r="A234" s="61"/>
      <c r="O234" s="61"/>
      <c r="AU234" s="281">
        <v>50816</v>
      </c>
      <c r="AV234" s="75"/>
      <c r="AW234" s="75"/>
      <c r="AX234" s="75"/>
      <c r="AY234" s="75"/>
      <c r="AZ234" s="75"/>
      <c r="BA234" s="75"/>
      <c r="BB234" s="75"/>
      <c r="BC234" s="75"/>
      <c r="BD234" s="75">
        <v>7.6249999999999998E-2</v>
      </c>
      <c r="BE234" s="75">
        <v>6.8750000000000006E-2</v>
      </c>
      <c r="BF234" s="75">
        <v>7.1249999999999994E-2</v>
      </c>
      <c r="BG234" s="75"/>
      <c r="BH234" s="75"/>
      <c r="BI234" s="74">
        <f t="shared" si="18"/>
        <v>7.2083333333333333E-2</v>
      </c>
      <c r="BJ234" s="78"/>
      <c r="BK234" s="75"/>
      <c r="BL234" s="75"/>
      <c r="BM234" s="75"/>
      <c r="BN234" s="75"/>
      <c r="BO234" s="75">
        <v>6.25E-2</v>
      </c>
      <c r="BP234" s="75"/>
      <c r="BQ234" s="77"/>
      <c r="BR234" s="79">
        <f t="shared" si="19"/>
        <v>6.25E-2</v>
      </c>
      <c r="BT234" s="281">
        <v>50802</v>
      </c>
      <c r="BU234" s="75">
        <v>5.2500000000000005E-2</v>
      </c>
      <c r="BV234" s="75">
        <v>4.9375000000000002E-2</v>
      </c>
      <c r="BW234" s="77">
        <v>4.9583333333333333E-2</v>
      </c>
    </row>
    <row r="235" spans="1:75" s="11" customFormat="1" x14ac:dyDescent="0.2">
      <c r="A235" s="61"/>
      <c r="O235" s="61"/>
      <c r="AU235" s="281">
        <v>50844</v>
      </c>
      <c r="AV235" s="75"/>
      <c r="AW235" s="75"/>
      <c r="AX235" s="75"/>
      <c r="AY235" s="75"/>
      <c r="AZ235" s="75"/>
      <c r="BA235" s="75"/>
      <c r="BB235" s="75"/>
      <c r="BC235" s="75"/>
      <c r="BD235" s="75">
        <v>7.6249999999999998E-2</v>
      </c>
      <c r="BE235" s="75">
        <v>6.8750000000000006E-2</v>
      </c>
      <c r="BF235" s="75">
        <v>7.1249999999999994E-2</v>
      </c>
      <c r="BG235" s="75"/>
      <c r="BH235" s="75"/>
      <c r="BI235" s="74">
        <f t="shared" si="18"/>
        <v>7.2083333333333333E-2</v>
      </c>
      <c r="BJ235" s="78"/>
      <c r="BK235" s="75"/>
      <c r="BL235" s="75"/>
      <c r="BM235" s="75"/>
      <c r="BN235" s="75"/>
      <c r="BO235" s="75">
        <v>6.25E-2</v>
      </c>
      <c r="BP235" s="75"/>
      <c r="BQ235" s="77"/>
      <c r="BR235" s="79">
        <f t="shared" si="19"/>
        <v>6.25E-2</v>
      </c>
      <c r="BT235" s="281">
        <v>50830</v>
      </c>
      <c r="BU235" s="75">
        <v>5.2500000000000005E-2</v>
      </c>
      <c r="BV235" s="75">
        <v>4.9375000000000002E-2</v>
      </c>
      <c r="BW235" s="77">
        <v>4.9375000000000002E-2</v>
      </c>
    </row>
    <row r="236" spans="1:75" s="11" customFormat="1" x14ac:dyDescent="0.2">
      <c r="A236" s="61"/>
      <c r="O236" s="61"/>
      <c r="AU236" s="281">
        <v>50875</v>
      </c>
      <c r="AV236" s="75"/>
      <c r="AW236" s="75"/>
      <c r="AX236" s="75"/>
      <c r="AY236" s="75"/>
      <c r="AZ236" s="75"/>
      <c r="BA236" s="75"/>
      <c r="BB236" s="75"/>
      <c r="BC236" s="75"/>
      <c r="BD236" s="75">
        <v>7.6249999999999998E-2</v>
      </c>
      <c r="BE236" s="75">
        <v>6.8750000000000006E-2</v>
      </c>
      <c r="BF236" s="75">
        <v>7.1249999999999994E-2</v>
      </c>
      <c r="BG236" s="75"/>
      <c r="BH236" s="75"/>
      <c r="BI236" s="74">
        <f t="shared" si="18"/>
        <v>7.2083333333333333E-2</v>
      </c>
      <c r="BJ236" s="78"/>
      <c r="BK236" s="75"/>
      <c r="BL236" s="75"/>
      <c r="BM236" s="75"/>
      <c r="BN236" s="75"/>
      <c r="BO236" s="75">
        <v>6.25E-2</v>
      </c>
      <c r="BP236" s="75"/>
      <c r="BQ236" s="77"/>
      <c r="BR236" s="79">
        <f t="shared" si="19"/>
        <v>6.25E-2</v>
      </c>
      <c r="BT236" s="281">
        <v>50861</v>
      </c>
      <c r="BU236" s="75">
        <v>5.2500000000000005E-2</v>
      </c>
      <c r="BV236" s="75">
        <v>4.9375000000000002E-2</v>
      </c>
      <c r="BW236" s="77">
        <v>4.9375000000000002E-2</v>
      </c>
    </row>
    <row r="237" spans="1:75" s="11" customFormat="1" x14ac:dyDescent="0.2">
      <c r="A237" s="61"/>
      <c r="O237" s="61"/>
      <c r="AU237" s="281">
        <v>50905</v>
      </c>
      <c r="AV237" s="75"/>
      <c r="AW237" s="75"/>
      <c r="AX237" s="75"/>
      <c r="AY237" s="75"/>
      <c r="AZ237" s="75"/>
      <c r="BA237" s="75"/>
      <c r="BB237" s="75"/>
      <c r="BC237" s="75"/>
      <c r="BD237" s="75">
        <v>7.6249999999999998E-2</v>
      </c>
      <c r="BE237" s="75">
        <v>6.8750000000000006E-2</v>
      </c>
      <c r="BF237" s="75">
        <v>7.1249999999999994E-2</v>
      </c>
      <c r="BG237" s="75"/>
      <c r="BH237" s="75"/>
      <c r="BI237" s="74">
        <f t="shared" si="18"/>
        <v>7.2083333333333333E-2</v>
      </c>
      <c r="BJ237" s="78"/>
      <c r="BK237" s="75"/>
      <c r="BL237" s="75"/>
      <c r="BM237" s="75"/>
      <c r="BN237" s="75"/>
      <c r="BO237" s="75">
        <v>6.25E-2</v>
      </c>
      <c r="BP237" s="75"/>
      <c r="BQ237" s="77"/>
      <c r="BR237" s="79">
        <f t="shared" si="19"/>
        <v>6.25E-2</v>
      </c>
      <c r="BT237" s="281">
        <v>50891</v>
      </c>
      <c r="BU237" s="75">
        <v>5.2500000000000005E-2</v>
      </c>
      <c r="BV237" s="75">
        <v>4.9375000000000002E-2</v>
      </c>
      <c r="BW237" s="77">
        <v>4.9375000000000002E-2</v>
      </c>
    </row>
    <row r="238" spans="1:75" s="11" customFormat="1" x14ac:dyDescent="0.2">
      <c r="A238" s="61"/>
      <c r="O238" s="61"/>
      <c r="AU238" s="281">
        <v>50936</v>
      </c>
      <c r="AV238" s="75"/>
      <c r="AW238" s="75"/>
      <c r="AX238" s="75"/>
      <c r="AY238" s="75"/>
      <c r="AZ238" s="75"/>
      <c r="BA238" s="75"/>
      <c r="BB238" s="75"/>
      <c r="BC238" s="75"/>
      <c r="BD238" s="75">
        <v>7.6249999999999998E-2</v>
      </c>
      <c r="BE238" s="75">
        <v>6.8750000000000006E-2</v>
      </c>
      <c r="BF238" s="75">
        <v>7.1249999999999994E-2</v>
      </c>
      <c r="BG238" s="75"/>
      <c r="BH238" s="75"/>
      <c r="BI238" s="74">
        <f t="shared" si="18"/>
        <v>7.2083333333333333E-2</v>
      </c>
      <c r="BJ238" s="78"/>
      <c r="BK238" s="75"/>
      <c r="BL238" s="75"/>
      <c r="BM238" s="75"/>
      <c r="BN238" s="75"/>
      <c r="BO238" s="75">
        <v>6.25E-2</v>
      </c>
      <c r="BP238" s="75"/>
      <c r="BQ238" s="77"/>
      <c r="BR238" s="79">
        <f t="shared" si="19"/>
        <v>6.25E-2</v>
      </c>
      <c r="BT238" s="281">
        <v>50922</v>
      </c>
      <c r="BU238" s="75">
        <v>5.2500000000000005E-2</v>
      </c>
      <c r="BV238" s="75">
        <v>4.9375000000000002E-2</v>
      </c>
      <c r="BW238" s="77">
        <v>4.9375000000000002E-2</v>
      </c>
    </row>
    <row r="239" spans="1:75" s="11" customFormat="1" x14ac:dyDescent="0.2">
      <c r="A239" s="61"/>
      <c r="O239" s="61"/>
      <c r="AU239" s="281">
        <v>50966</v>
      </c>
      <c r="AV239" s="75"/>
      <c r="AW239" s="75"/>
      <c r="AX239" s="75"/>
      <c r="AY239" s="75"/>
      <c r="AZ239" s="75"/>
      <c r="BA239" s="75"/>
      <c r="BB239" s="75"/>
      <c r="BC239" s="75"/>
      <c r="BD239" s="75">
        <v>7.6249999999999998E-2</v>
      </c>
      <c r="BE239" s="75">
        <v>6.8750000000000006E-2</v>
      </c>
      <c r="BF239" s="75">
        <v>7.1249999999999994E-2</v>
      </c>
      <c r="BG239" s="75"/>
      <c r="BH239" s="75"/>
      <c r="BI239" s="74">
        <f t="shared" si="18"/>
        <v>7.2083333333333333E-2</v>
      </c>
      <c r="BJ239" s="78"/>
      <c r="BK239" s="75"/>
      <c r="BL239" s="75"/>
      <c r="BM239" s="75"/>
      <c r="BN239" s="75"/>
      <c r="BO239" s="75">
        <v>6.25E-2</v>
      </c>
      <c r="BP239" s="75"/>
      <c r="BQ239" s="77"/>
      <c r="BR239" s="79">
        <f t="shared" si="19"/>
        <v>6.25E-2</v>
      </c>
      <c r="BT239" s="281">
        <v>50952</v>
      </c>
      <c r="BU239" s="75">
        <v>5.2500000000000005E-2</v>
      </c>
      <c r="BV239" s="75">
        <v>4.9375000000000002E-2</v>
      </c>
      <c r="BW239" s="77">
        <v>4.9375000000000002E-2</v>
      </c>
    </row>
    <row r="240" spans="1:75" s="11" customFormat="1" x14ac:dyDescent="0.2">
      <c r="A240" s="61"/>
      <c r="O240" s="61"/>
      <c r="AU240" s="281">
        <v>50997</v>
      </c>
      <c r="AV240" s="75"/>
      <c r="AW240" s="75"/>
      <c r="AX240" s="75"/>
      <c r="AY240" s="75"/>
      <c r="AZ240" s="75"/>
      <c r="BA240" s="75"/>
      <c r="BB240" s="75"/>
      <c r="BC240" s="75"/>
      <c r="BD240" s="75">
        <v>7.6249999999999998E-2</v>
      </c>
      <c r="BE240" s="75">
        <v>6.8750000000000006E-2</v>
      </c>
      <c r="BF240" s="75">
        <v>7.1249999999999994E-2</v>
      </c>
      <c r="BG240" s="75"/>
      <c r="BH240" s="75"/>
      <c r="BI240" s="74">
        <f t="shared" si="18"/>
        <v>7.2083333333333333E-2</v>
      </c>
      <c r="BJ240" s="78"/>
      <c r="BK240" s="75"/>
      <c r="BL240" s="75"/>
      <c r="BM240" s="75"/>
      <c r="BN240" s="75"/>
      <c r="BO240" s="75">
        <v>6.25E-2</v>
      </c>
      <c r="BP240" s="75"/>
      <c r="BQ240" s="77"/>
      <c r="BR240" s="79">
        <f t="shared" si="19"/>
        <v>6.25E-2</v>
      </c>
      <c r="BT240" s="281">
        <v>50983</v>
      </c>
      <c r="BU240" s="75">
        <v>5.2500000000000005E-2</v>
      </c>
      <c r="BV240" s="75">
        <v>4.9375000000000002E-2</v>
      </c>
      <c r="BW240" s="77">
        <v>4.9375000000000002E-2</v>
      </c>
    </row>
    <row r="241" spans="1:75" s="11" customFormat="1" x14ac:dyDescent="0.2">
      <c r="A241" s="61"/>
      <c r="O241" s="61"/>
      <c r="AU241" s="281">
        <v>51028</v>
      </c>
      <c r="AV241" s="75"/>
      <c r="AW241" s="75"/>
      <c r="AX241" s="75"/>
      <c r="AY241" s="75"/>
      <c r="AZ241" s="75"/>
      <c r="BA241" s="75"/>
      <c r="BB241" s="75"/>
      <c r="BC241" s="75"/>
      <c r="BD241" s="75">
        <v>7.6249999999999998E-2</v>
      </c>
      <c r="BE241" s="75">
        <v>6.8750000000000006E-2</v>
      </c>
      <c r="BF241" s="75">
        <v>7.1249999999999994E-2</v>
      </c>
      <c r="BG241" s="75"/>
      <c r="BH241" s="75"/>
      <c r="BI241" s="74">
        <f t="shared" si="18"/>
        <v>7.2083333333333333E-2</v>
      </c>
      <c r="BJ241" s="78"/>
      <c r="BK241" s="75"/>
      <c r="BL241" s="75"/>
      <c r="BM241" s="75"/>
      <c r="BN241" s="75"/>
      <c r="BO241" s="75">
        <v>6.25E-2</v>
      </c>
      <c r="BP241" s="75"/>
      <c r="BQ241" s="77"/>
      <c r="BR241" s="79">
        <f t="shared" si="19"/>
        <v>6.25E-2</v>
      </c>
      <c r="BT241" s="281">
        <v>51014</v>
      </c>
      <c r="BU241" s="75">
        <v>5.2500000000000005E-2</v>
      </c>
      <c r="BV241" s="75">
        <v>4.9375000000000002E-2</v>
      </c>
      <c r="BW241" s="77">
        <v>4.9375000000000002E-2</v>
      </c>
    </row>
    <row r="242" spans="1:75" s="11" customFormat="1" x14ac:dyDescent="0.2">
      <c r="A242" s="61"/>
      <c r="O242" s="61"/>
      <c r="AU242" s="281">
        <v>51058</v>
      </c>
      <c r="AV242" s="75"/>
      <c r="AW242" s="75"/>
      <c r="AX242" s="75"/>
      <c r="AY242" s="75"/>
      <c r="AZ242" s="75"/>
      <c r="BA242" s="75"/>
      <c r="BB242" s="75"/>
      <c r="BC242" s="75"/>
      <c r="BD242" s="75">
        <v>7.6249999999999998E-2</v>
      </c>
      <c r="BE242" s="75">
        <v>6.8750000000000006E-2</v>
      </c>
      <c r="BF242" s="75">
        <v>7.1249999999999994E-2</v>
      </c>
      <c r="BG242" s="75"/>
      <c r="BH242" s="75"/>
      <c r="BI242" s="74">
        <f t="shared" si="18"/>
        <v>7.2083333333333333E-2</v>
      </c>
      <c r="BJ242" s="78"/>
      <c r="BK242" s="75"/>
      <c r="BL242" s="75"/>
      <c r="BM242" s="75"/>
      <c r="BN242" s="75"/>
      <c r="BO242" s="75">
        <v>6.25E-2</v>
      </c>
      <c r="BP242" s="75"/>
      <c r="BQ242" s="77"/>
      <c r="BR242" s="79">
        <f t="shared" si="19"/>
        <v>6.25E-2</v>
      </c>
      <c r="BT242" s="281">
        <v>51044</v>
      </c>
      <c r="BU242" s="75">
        <v>5.2500000000000005E-2</v>
      </c>
      <c r="BV242" s="75">
        <v>4.9375000000000002E-2</v>
      </c>
      <c r="BW242" s="77">
        <v>4.9375000000000002E-2</v>
      </c>
    </row>
    <row r="243" spans="1:75" s="11" customFormat="1" x14ac:dyDescent="0.2">
      <c r="A243" s="61"/>
      <c r="O243" s="61"/>
      <c r="AU243" s="281">
        <v>51089</v>
      </c>
      <c r="AV243" s="75"/>
      <c r="AW243" s="75"/>
      <c r="AX243" s="75"/>
      <c r="AY243" s="75"/>
      <c r="AZ243" s="75"/>
      <c r="BA243" s="75"/>
      <c r="BB243" s="75"/>
      <c r="BC243" s="75"/>
      <c r="BD243" s="75">
        <v>7.6249999999999998E-2</v>
      </c>
      <c r="BE243" s="75">
        <v>6.8750000000000006E-2</v>
      </c>
      <c r="BF243" s="75">
        <v>7.1249999999999994E-2</v>
      </c>
      <c r="BG243" s="75"/>
      <c r="BH243" s="75"/>
      <c r="BI243" s="74">
        <f t="shared" si="18"/>
        <v>7.2083333333333333E-2</v>
      </c>
      <c r="BJ243" s="78"/>
      <c r="BK243" s="75"/>
      <c r="BL243" s="75"/>
      <c r="BM243" s="75"/>
      <c r="BN243" s="75"/>
      <c r="BO243" s="75">
        <v>6.25E-2</v>
      </c>
      <c r="BP243" s="75"/>
      <c r="BQ243" s="77"/>
      <c r="BR243" s="79">
        <f t="shared" si="19"/>
        <v>6.25E-2</v>
      </c>
      <c r="BT243" s="281">
        <v>51075</v>
      </c>
      <c r="BU243" s="75">
        <v>5.2500000000000005E-2</v>
      </c>
      <c r="BV243" s="75">
        <v>4.9375000000000002E-2</v>
      </c>
      <c r="BW243" s="77">
        <v>4.9375000000000002E-2</v>
      </c>
    </row>
    <row r="244" spans="1:75" s="11" customFormat="1" x14ac:dyDescent="0.2">
      <c r="A244" s="61"/>
      <c r="O244" s="61"/>
      <c r="AU244" s="281">
        <v>51119</v>
      </c>
      <c r="AV244" s="75"/>
      <c r="AW244" s="75"/>
      <c r="AX244" s="75"/>
      <c r="AY244" s="75"/>
      <c r="AZ244" s="75"/>
      <c r="BA244" s="75"/>
      <c r="BB244" s="75"/>
      <c r="BC244" s="75"/>
      <c r="BD244" s="75">
        <v>7.6249999999999998E-2</v>
      </c>
      <c r="BE244" s="75">
        <v>6.8750000000000006E-2</v>
      </c>
      <c r="BF244" s="75">
        <v>7.1249999999999994E-2</v>
      </c>
      <c r="BG244" s="75"/>
      <c r="BH244" s="75"/>
      <c r="BI244" s="74">
        <f t="shared" si="18"/>
        <v>7.2083333333333333E-2</v>
      </c>
      <c r="BJ244" s="78"/>
      <c r="BK244" s="75"/>
      <c r="BL244" s="75"/>
      <c r="BM244" s="75"/>
      <c r="BN244" s="75"/>
      <c r="BO244" s="75">
        <v>6.25E-2</v>
      </c>
      <c r="BP244" s="75"/>
      <c r="BQ244" s="77"/>
      <c r="BR244" s="79">
        <f t="shared" si="19"/>
        <v>6.25E-2</v>
      </c>
      <c r="BT244" s="281">
        <v>51105</v>
      </c>
      <c r="BU244" s="75">
        <v>5.2500000000000005E-2</v>
      </c>
      <c r="BV244" s="75">
        <v>4.9375000000000002E-2</v>
      </c>
      <c r="BW244" s="77">
        <v>4.9375000000000002E-2</v>
      </c>
    </row>
    <row r="245" spans="1:75" s="11" customFormat="1" x14ac:dyDescent="0.2">
      <c r="A245" s="61"/>
      <c r="O245" s="61"/>
      <c r="AU245" s="281">
        <v>51150</v>
      </c>
      <c r="AV245" s="75"/>
      <c r="AW245" s="75"/>
      <c r="AX245" s="75"/>
      <c r="AY245" s="75"/>
      <c r="AZ245" s="75"/>
      <c r="BA245" s="75"/>
      <c r="BB245" s="75"/>
      <c r="BC245" s="75"/>
      <c r="BD245" s="75">
        <v>7.6249999999999998E-2</v>
      </c>
      <c r="BE245" s="75">
        <v>6.8750000000000006E-2</v>
      </c>
      <c r="BF245" s="75">
        <v>7.1249999999999994E-2</v>
      </c>
      <c r="BG245" s="75"/>
      <c r="BH245" s="75"/>
      <c r="BI245" s="74">
        <f t="shared" si="18"/>
        <v>7.2083333333333333E-2</v>
      </c>
      <c r="BJ245" s="78"/>
      <c r="BK245" s="75"/>
      <c r="BL245" s="75"/>
      <c r="BM245" s="75"/>
      <c r="BN245" s="75"/>
      <c r="BO245" s="75">
        <v>6.25E-2</v>
      </c>
      <c r="BP245" s="75"/>
      <c r="BQ245" s="77"/>
      <c r="BR245" s="79">
        <f t="shared" si="19"/>
        <v>6.25E-2</v>
      </c>
      <c r="BT245" s="281">
        <v>51136</v>
      </c>
      <c r="BU245" s="75">
        <v>5.2500000000000005E-2</v>
      </c>
      <c r="BV245" s="75">
        <v>4.9375000000000002E-2</v>
      </c>
      <c r="BW245" s="77">
        <v>4.9375000000000002E-2</v>
      </c>
    </row>
    <row r="246" spans="1:75" s="11" customFormat="1" x14ac:dyDescent="0.2">
      <c r="A246" s="61"/>
      <c r="O246" s="61"/>
      <c r="AU246" s="281">
        <v>51181</v>
      </c>
      <c r="AV246" s="75"/>
      <c r="AW246" s="75"/>
      <c r="AX246" s="75"/>
      <c r="AY246" s="75"/>
      <c r="AZ246" s="75"/>
      <c r="BA246" s="75"/>
      <c r="BB246" s="75"/>
      <c r="BC246" s="75"/>
      <c r="BD246" s="75">
        <v>7.6249999999999998E-2</v>
      </c>
      <c r="BE246" s="75">
        <v>6.8750000000000006E-2</v>
      </c>
      <c r="BF246" s="75">
        <v>7.1249999999999994E-2</v>
      </c>
      <c r="BG246" s="75"/>
      <c r="BH246" s="75"/>
      <c r="BI246" s="74">
        <f t="shared" si="18"/>
        <v>7.2083333333333333E-2</v>
      </c>
      <c r="BJ246" s="78"/>
      <c r="BK246" s="75"/>
      <c r="BL246" s="75"/>
      <c r="BM246" s="75"/>
      <c r="BN246" s="75"/>
      <c r="BO246" s="75">
        <v>6.25E-2</v>
      </c>
      <c r="BP246" s="75"/>
      <c r="BQ246" s="77"/>
      <c r="BR246" s="79">
        <f t="shared" si="19"/>
        <v>6.25E-2</v>
      </c>
      <c r="BT246" s="281">
        <v>51167</v>
      </c>
      <c r="BU246" s="75">
        <v>5.2500000000000005E-2</v>
      </c>
      <c r="BV246" s="75">
        <v>4.9375000000000002E-2</v>
      </c>
      <c r="BW246" s="77">
        <v>4.9375000000000002E-2</v>
      </c>
    </row>
    <row r="247" spans="1:75" s="11" customFormat="1" x14ac:dyDescent="0.2">
      <c r="A247" s="61"/>
      <c r="O247" s="61"/>
      <c r="AU247" s="281">
        <v>51210</v>
      </c>
      <c r="AV247" s="75"/>
      <c r="AW247" s="75"/>
      <c r="AX247" s="75"/>
      <c r="AY247" s="75"/>
      <c r="AZ247" s="75"/>
      <c r="BA247" s="75"/>
      <c r="BB247" s="75"/>
      <c r="BC247" s="75"/>
      <c r="BD247" s="75">
        <v>7.6249999999999998E-2</v>
      </c>
      <c r="BE247" s="75">
        <v>6.8750000000000006E-2</v>
      </c>
      <c r="BF247" s="75">
        <v>7.1249999999999994E-2</v>
      </c>
      <c r="BG247" s="75"/>
      <c r="BH247" s="75"/>
      <c r="BI247" s="74">
        <f t="shared" si="18"/>
        <v>7.2083333333333333E-2</v>
      </c>
      <c r="BJ247" s="78"/>
      <c r="BK247" s="75"/>
      <c r="BL247" s="75"/>
      <c r="BM247" s="75"/>
      <c r="BN247" s="75"/>
      <c r="BO247" s="75">
        <v>6.25E-2</v>
      </c>
      <c r="BP247" s="75"/>
      <c r="BQ247" s="77"/>
      <c r="BR247" s="79">
        <f t="shared" si="19"/>
        <v>6.25E-2</v>
      </c>
      <c r="BT247" s="281">
        <v>51196</v>
      </c>
      <c r="BU247" s="75">
        <v>5.2500000000000005E-2</v>
      </c>
      <c r="BV247" s="75">
        <v>4.9375000000000002E-2</v>
      </c>
      <c r="BW247" s="77">
        <v>4.9375000000000002E-2</v>
      </c>
    </row>
    <row r="248" spans="1:75" s="11" customFormat="1" x14ac:dyDescent="0.2">
      <c r="A248" s="61"/>
      <c r="O248" s="61"/>
      <c r="AU248" s="281">
        <v>51241</v>
      </c>
      <c r="AV248" s="75"/>
      <c r="AW248" s="75"/>
      <c r="AX248" s="75"/>
      <c r="AY248" s="75"/>
      <c r="AZ248" s="75"/>
      <c r="BA248" s="75"/>
      <c r="BB248" s="75"/>
      <c r="BC248" s="75"/>
      <c r="BD248" s="75">
        <v>7.6249999999999998E-2</v>
      </c>
      <c r="BE248" s="75">
        <v>6.8750000000000006E-2</v>
      </c>
      <c r="BF248" s="75">
        <v>7.1249999999999994E-2</v>
      </c>
      <c r="BG248" s="75"/>
      <c r="BH248" s="75"/>
      <c r="BI248" s="74">
        <f t="shared" si="18"/>
        <v>7.2083333333333333E-2</v>
      </c>
      <c r="BJ248" s="78"/>
      <c r="BK248" s="75"/>
      <c r="BL248" s="75"/>
      <c r="BM248" s="75"/>
      <c r="BN248" s="75"/>
      <c r="BO248" s="75">
        <v>6.25E-2</v>
      </c>
      <c r="BP248" s="75"/>
      <c r="BQ248" s="77"/>
      <c r="BR248" s="79">
        <f t="shared" si="19"/>
        <v>6.25E-2</v>
      </c>
      <c r="BT248" s="281">
        <v>51227</v>
      </c>
      <c r="BU248" s="75">
        <v>5.2500000000000005E-2</v>
      </c>
      <c r="BV248" s="75">
        <v>4.9375000000000002E-2</v>
      </c>
      <c r="BW248" s="77">
        <v>4.9375000000000002E-2</v>
      </c>
    </row>
    <row r="249" spans="1:75" s="11" customFormat="1" x14ac:dyDescent="0.2">
      <c r="A249" s="61"/>
      <c r="O249" s="61"/>
      <c r="AU249" s="281">
        <v>51271</v>
      </c>
      <c r="AV249" s="75"/>
      <c r="AW249" s="75"/>
      <c r="AX249" s="75"/>
      <c r="AY249" s="75"/>
      <c r="AZ249" s="75"/>
      <c r="BA249" s="75"/>
      <c r="BB249" s="75"/>
      <c r="BC249" s="75"/>
      <c r="BD249" s="75">
        <v>7.6249999999999998E-2</v>
      </c>
      <c r="BE249" s="75">
        <v>6.8750000000000006E-2</v>
      </c>
      <c r="BF249" s="75">
        <v>7.1249999999999994E-2</v>
      </c>
      <c r="BG249" s="75"/>
      <c r="BH249" s="75"/>
      <c r="BI249" s="74">
        <f t="shared" si="18"/>
        <v>7.2083333333333333E-2</v>
      </c>
      <c r="BJ249" s="78"/>
      <c r="BK249" s="75"/>
      <c r="BL249" s="75"/>
      <c r="BM249" s="75"/>
      <c r="BN249" s="75"/>
      <c r="BO249" s="75">
        <v>6.25E-2</v>
      </c>
      <c r="BP249" s="75"/>
      <c r="BQ249" s="77"/>
      <c r="BR249" s="79">
        <f t="shared" si="19"/>
        <v>6.25E-2</v>
      </c>
      <c r="BT249" s="281">
        <v>51257</v>
      </c>
      <c r="BU249" s="75">
        <v>5.2500000000000005E-2</v>
      </c>
      <c r="BV249" s="75">
        <v>4.9375000000000002E-2</v>
      </c>
      <c r="BW249" s="77">
        <v>4.9375000000000002E-2</v>
      </c>
    </row>
    <row r="250" spans="1:75" s="11" customFormat="1" x14ac:dyDescent="0.2">
      <c r="A250" s="61"/>
      <c r="O250" s="61"/>
      <c r="AU250" s="281">
        <v>51302</v>
      </c>
      <c r="AV250" s="75"/>
      <c r="AW250" s="75"/>
      <c r="AX250" s="75"/>
      <c r="AY250" s="75"/>
      <c r="AZ250" s="75"/>
      <c r="BA250" s="75"/>
      <c r="BB250" s="75"/>
      <c r="BC250" s="75"/>
      <c r="BD250" s="75">
        <v>7.6249999999999998E-2</v>
      </c>
      <c r="BE250" s="75">
        <v>6.8750000000000006E-2</v>
      </c>
      <c r="BF250" s="75">
        <v>7.1249999999999994E-2</v>
      </c>
      <c r="BG250" s="75"/>
      <c r="BH250" s="75"/>
      <c r="BI250" s="74">
        <f t="shared" si="18"/>
        <v>7.2083333333333333E-2</v>
      </c>
      <c r="BJ250" s="78"/>
      <c r="BK250" s="75"/>
      <c r="BL250" s="75"/>
      <c r="BM250" s="75"/>
      <c r="BN250" s="75"/>
      <c r="BO250" s="75">
        <v>6.25E-2</v>
      </c>
      <c r="BP250" s="75"/>
      <c r="BQ250" s="77"/>
      <c r="BR250" s="79">
        <f t="shared" si="19"/>
        <v>6.25E-2</v>
      </c>
      <c r="BT250" s="281">
        <v>51288</v>
      </c>
      <c r="BU250" s="75">
        <v>5.2500000000000005E-2</v>
      </c>
      <c r="BV250" s="75">
        <v>4.9375000000000002E-2</v>
      </c>
      <c r="BW250" s="77">
        <v>4.9375000000000002E-2</v>
      </c>
    </row>
    <row r="251" spans="1:75" s="11" customFormat="1" x14ac:dyDescent="0.2">
      <c r="A251" s="61"/>
      <c r="O251" s="61"/>
      <c r="AU251" s="281">
        <v>51332</v>
      </c>
      <c r="AV251" s="75"/>
      <c r="AW251" s="75"/>
      <c r="AX251" s="75"/>
      <c r="AY251" s="75"/>
      <c r="AZ251" s="75"/>
      <c r="BA251" s="75"/>
      <c r="BB251" s="75"/>
      <c r="BC251" s="75"/>
      <c r="BD251" s="75">
        <v>7.6249999999999998E-2</v>
      </c>
      <c r="BE251" s="75">
        <v>6.8750000000000006E-2</v>
      </c>
      <c r="BF251" s="75">
        <v>7.1249999999999994E-2</v>
      </c>
      <c r="BG251" s="75"/>
      <c r="BH251" s="75"/>
      <c r="BI251" s="74">
        <f t="shared" si="18"/>
        <v>7.2083333333333333E-2</v>
      </c>
      <c r="BJ251" s="78"/>
      <c r="BK251" s="75"/>
      <c r="BL251" s="75"/>
      <c r="BM251" s="75"/>
      <c r="BN251" s="75"/>
      <c r="BO251" s="75">
        <v>6.25E-2</v>
      </c>
      <c r="BP251" s="75"/>
      <c r="BQ251" s="77"/>
      <c r="BR251" s="79">
        <f t="shared" si="19"/>
        <v>6.25E-2</v>
      </c>
      <c r="BT251" s="281">
        <v>51318</v>
      </c>
      <c r="BU251" s="75">
        <v>5.2500000000000005E-2</v>
      </c>
      <c r="BV251" s="75">
        <v>4.9375000000000002E-2</v>
      </c>
      <c r="BW251" s="77">
        <v>4.9375000000000002E-2</v>
      </c>
    </row>
    <row r="252" spans="1:75" s="11" customFormat="1" x14ac:dyDescent="0.2">
      <c r="A252" s="61"/>
      <c r="O252" s="61"/>
      <c r="AU252" s="281">
        <v>51363</v>
      </c>
      <c r="AV252" s="75"/>
      <c r="AW252" s="75"/>
      <c r="AX252" s="75"/>
      <c r="AY252" s="75"/>
      <c r="AZ252" s="75"/>
      <c r="BA252" s="75"/>
      <c r="BB252" s="75"/>
      <c r="BC252" s="75"/>
      <c r="BD252" s="75">
        <v>7.6249999999999998E-2</v>
      </c>
      <c r="BE252" s="75">
        <v>6.8750000000000006E-2</v>
      </c>
      <c r="BF252" s="75">
        <v>7.1249999999999994E-2</v>
      </c>
      <c r="BG252" s="75"/>
      <c r="BH252" s="75"/>
      <c r="BI252" s="74">
        <f t="shared" si="18"/>
        <v>7.2083333333333333E-2</v>
      </c>
      <c r="BJ252" s="78"/>
      <c r="BK252" s="75"/>
      <c r="BL252" s="75"/>
      <c r="BM252" s="75"/>
      <c r="BN252" s="75"/>
      <c r="BO252" s="75">
        <v>6.25E-2</v>
      </c>
      <c r="BP252" s="75"/>
      <c r="BQ252" s="77"/>
      <c r="BR252" s="79">
        <f t="shared" si="19"/>
        <v>6.25E-2</v>
      </c>
      <c r="BT252" s="281">
        <v>51349</v>
      </c>
      <c r="BU252" s="75">
        <v>5.2500000000000005E-2</v>
      </c>
      <c r="BV252" s="75">
        <v>4.9375000000000002E-2</v>
      </c>
      <c r="BW252" s="77">
        <v>4.9375000000000002E-2</v>
      </c>
    </row>
    <row r="253" spans="1:75" s="11" customFormat="1" x14ac:dyDescent="0.2">
      <c r="A253" s="61"/>
      <c r="O253" s="61"/>
      <c r="AU253" s="281">
        <v>51394</v>
      </c>
      <c r="AV253" s="75"/>
      <c r="AW253" s="75"/>
      <c r="AX253" s="75"/>
      <c r="AY253" s="75"/>
      <c r="AZ253" s="75"/>
      <c r="BA253" s="75"/>
      <c r="BB253" s="75"/>
      <c r="BC253" s="75"/>
      <c r="BD253" s="75">
        <v>7.6249999999999998E-2</v>
      </c>
      <c r="BE253" s="75">
        <v>6.8750000000000006E-2</v>
      </c>
      <c r="BF253" s="75">
        <v>7.1249999999999994E-2</v>
      </c>
      <c r="BG253" s="75"/>
      <c r="BH253" s="75"/>
      <c r="BI253" s="74">
        <f t="shared" si="18"/>
        <v>7.2083333333333333E-2</v>
      </c>
      <c r="BJ253" s="78"/>
      <c r="BK253" s="75"/>
      <c r="BL253" s="75"/>
      <c r="BM253" s="75"/>
      <c r="BN253" s="75"/>
      <c r="BO253" s="75">
        <v>6.25E-2</v>
      </c>
      <c r="BP253" s="75"/>
      <c r="BQ253" s="77"/>
      <c r="BR253" s="79">
        <f t="shared" si="19"/>
        <v>6.25E-2</v>
      </c>
      <c r="BT253" s="281">
        <v>51380</v>
      </c>
      <c r="BU253" s="75">
        <v>5.2500000000000005E-2</v>
      </c>
      <c r="BV253" s="75">
        <v>4.9375000000000002E-2</v>
      </c>
      <c r="BW253" s="77">
        <v>4.9375000000000002E-2</v>
      </c>
    </row>
    <row r="254" spans="1:75" s="11" customFormat="1" x14ac:dyDescent="0.2">
      <c r="A254" s="61"/>
      <c r="O254" s="61"/>
      <c r="AU254" s="281">
        <v>51424</v>
      </c>
      <c r="AV254" s="75"/>
      <c r="AW254" s="75"/>
      <c r="AX254" s="75"/>
      <c r="AY254" s="75"/>
      <c r="AZ254" s="75"/>
      <c r="BA254" s="75"/>
      <c r="BB254" s="75"/>
      <c r="BC254" s="75"/>
      <c r="BD254" s="75">
        <v>7.6249999999999998E-2</v>
      </c>
      <c r="BE254" s="75">
        <v>6.8750000000000006E-2</v>
      </c>
      <c r="BF254" s="75">
        <v>7.1249999999999994E-2</v>
      </c>
      <c r="BG254" s="75"/>
      <c r="BH254" s="75"/>
      <c r="BI254" s="74">
        <f t="shared" si="18"/>
        <v>7.2083333333333333E-2</v>
      </c>
      <c r="BJ254" s="78"/>
      <c r="BK254" s="75"/>
      <c r="BL254" s="75"/>
      <c r="BM254" s="75"/>
      <c r="BN254" s="75"/>
      <c r="BO254" s="75">
        <v>6.25E-2</v>
      </c>
      <c r="BP254" s="75"/>
      <c r="BQ254" s="77"/>
      <c r="BR254" s="79">
        <f t="shared" si="19"/>
        <v>6.25E-2</v>
      </c>
      <c r="BT254" s="281">
        <v>51410</v>
      </c>
      <c r="BU254" s="75">
        <v>5.2500000000000005E-2</v>
      </c>
      <c r="BV254" s="75">
        <v>4.9375000000000002E-2</v>
      </c>
      <c r="BW254" s="77">
        <v>4.9375000000000002E-2</v>
      </c>
    </row>
    <row r="255" spans="1:75" s="11" customFormat="1" x14ac:dyDescent="0.2">
      <c r="A255" s="61"/>
      <c r="O255" s="61"/>
      <c r="AU255" s="281">
        <v>51455</v>
      </c>
      <c r="AV255" s="75"/>
      <c r="AW255" s="75"/>
      <c r="AX255" s="75"/>
      <c r="AY255" s="75"/>
      <c r="AZ255" s="75"/>
      <c r="BA255" s="75"/>
      <c r="BB255" s="75"/>
      <c r="BC255" s="75"/>
      <c r="BD255" s="75">
        <v>7.6249999999999998E-2</v>
      </c>
      <c r="BE255" s="75">
        <v>6.8750000000000006E-2</v>
      </c>
      <c r="BF255" s="75">
        <v>7.1249999999999994E-2</v>
      </c>
      <c r="BG255" s="75"/>
      <c r="BH255" s="75"/>
      <c r="BI255" s="74">
        <f t="shared" si="18"/>
        <v>7.2083333333333333E-2</v>
      </c>
      <c r="BJ255" s="78"/>
      <c r="BK255" s="75"/>
      <c r="BL255" s="75"/>
      <c r="BM255" s="75"/>
      <c r="BN255" s="75"/>
      <c r="BO255" s="75">
        <v>6.25E-2</v>
      </c>
      <c r="BP255" s="75"/>
      <c r="BQ255" s="77"/>
      <c r="BR255" s="79">
        <f t="shared" si="19"/>
        <v>6.25E-2</v>
      </c>
      <c r="BT255" s="281">
        <v>51441</v>
      </c>
      <c r="BU255" s="75">
        <v>5.2500000000000005E-2</v>
      </c>
      <c r="BV255" s="75">
        <v>4.9375000000000002E-2</v>
      </c>
      <c r="BW255" s="77">
        <v>4.9375000000000002E-2</v>
      </c>
    </row>
    <row r="256" spans="1:75" s="11" customFormat="1" x14ac:dyDescent="0.2">
      <c r="A256" s="61"/>
      <c r="O256" s="61"/>
      <c r="AU256" s="281">
        <v>51485</v>
      </c>
      <c r="AV256" s="75"/>
      <c r="AW256" s="75"/>
      <c r="AX256" s="75"/>
      <c r="AY256" s="75"/>
      <c r="AZ256" s="75"/>
      <c r="BA256" s="75"/>
      <c r="BB256" s="75"/>
      <c r="BC256" s="75"/>
      <c r="BD256" s="75">
        <v>7.6249999999999998E-2</v>
      </c>
      <c r="BE256" s="75">
        <v>6.8750000000000006E-2</v>
      </c>
      <c r="BF256" s="75">
        <v>7.1249999999999994E-2</v>
      </c>
      <c r="BG256" s="75"/>
      <c r="BH256" s="75"/>
      <c r="BI256" s="74">
        <f t="shared" si="18"/>
        <v>7.2083333333333333E-2</v>
      </c>
      <c r="BJ256" s="78"/>
      <c r="BK256" s="75"/>
      <c r="BL256" s="75"/>
      <c r="BM256" s="75"/>
      <c r="BN256" s="75"/>
      <c r="BO256" s="75">
        <v>6.25E-2</v>
      </c>
      <c r="BP256" s="75"/>
      <c r="BQ256" s="77"/>
      <c r="BR256" s="79">
        <f t="shared" si="19"/>
        <v>6.25E-2</v>
      </c>
      <c r="BT256" s="281">
        <v>51471</v>
      </c>
      <c r="BU256" s="75">
        <v>5.2500000000000005E-2</v>
      </c>
      <c r="BV256" s="75">
        <v>4.9375000000000002E-2</v>
      </c>
      <c r="BW256" s="77">
        <v>4.9375000000000002E-2</v>
      </c>
    </row>
    <row r="257" spans="1:75" s="11" customFormat="1" x14ac:dyDescent="0.2">
      <c r="A257" s="61"/>
      <c r="O257" s="61"/>
      <c r="AU257" s="281">
        <v>51516</v>
      </c>
      <c r="AV257" s="75"/>
      <c r="AW257" s="75"/>
      <c r="AX257" s="75"/>
      <c r="AY257" s="75"/>
      <c r="AZ257" s="75"/>
      <c r="BA257" s="75"/>
      <c r="BB257" s="75"/>
      <c r="BC257" s="75"/>
      <c r="BD257" s="75">
        <v>7.6249999999999998E-2</v>
      </c>
      <c r="BE257" s="75">
        <v>6.8750000000000006E-2</v>
      </c>
      <c r="BF257" s="75">
        <v>7.1249999999999994E-2</v>
      </c>
      <c r="BG257" s="75"/>
      <c r="BH257" s="75"/>
      <c r="BI257" s="74">
        <f t="shared" si="18"/>
        <v>7.2083333333333333E-2</v>
      </c>
      <c r="BJ257" s="78"/>
      <c r="BK257" s="75"/>
      <c r="BL257" s="75"/>
      <c r="BM257" s="75"/>
      <c r="BN257" s="75"/>
      <c r="BO257" s="75">
        <v>6.25E-2</v>
      </c>
      <c r="BP257" s="75"/>
      <c r="BQ257" s="77"/>
      <c r="BR257" s="79">
        <f t="shared" si="19"/>
        <v>6.25E-2</v>
      </c>
      <c r="BT257" s="281">
        <v>51502</v>
      </c>
      <c r="BU257" s="75">
        <v>5.2500000000000005E-2</v>
      </c>
      <c r="BV257" s="75">
        <v>4.9375000000000002E-2</v>
      </c>
      <c r="BW257" s="77">
        <v>4.9375000000000002E-2</v>
      </c>
    </row>
    <row r="258" spans="1:75" s="11" customFormat="1" x14ac:dyDescent="0.2">
      <c r="A258" s="61"/>
      <c r="O258" s="61"/>
      <c r="AU258" s="281">
        <v>51547</v>
      </c>
      <c r="AV258" s="75"/>
      <c r="AW258" s="75"/>
      <c r="AX258" s="75"/>
      <c r="AY258" s="75"/>
      <c r="AZ258" s="75"/>
      <c r="BA258" s="75"/>
      <c r="BB258" s="75"/>
      <c r="BC258" s="75"/>
      <c r="BD258" s="75">
        <v>7.6249999999999998E-2</v>
      </c>
      <c r="BE258" s="75">
        <v>6.8750000000000006E-2</v>
      </c>
      <c r="BF258" s="75">
        <v>7.1249999999999994E-2</v>
      </c>
      <c r="BG258" s="75"/>
      <c r="BH258" s="75"/>
      <c r="BI258" s="74">
        <f t="shared" si="18"/>
        <v>7.2083333333333333E-2</v>
      </c>
      <c r="BJ258" s="78"/>
      <c r="BK258" s="75"/>
      <c r="BL258" s="75"/>
      <c r="BM258" s="75"/>
      <c r="BN258" s="75"/>
      <c r="BO258" s="75">
        <v>6.25E-2</v>
      </c>
      <c r="BP258" s="75"/>
      <c r="BQ258" s="77"/>
      <c r="BR258" s="79">
        <f t="shared" si="19"/>
        <v>6.25E-2</v>
      </c>
      <c r="BT258" s="281">
        <v>51533</v>
      </c>
      <c r="BU258" s="75">
        <v>5.2500000000000005E-2</v>
      </c>
      <c r="BV258" s="75">
        <v>4.9375000000000002E-2</v>
      </c>
      <c r="BW258" s="77">
        <v>4.9375000000000002E-2</v>
      </c>
    </row>
    <row r="259" spans="1:75" s="11" customFormat="1" x14ac:dyDescent="0.2">
      <c r="A259" s="61"/>
      <c r="O259" s="61"/>
      <c r="AU259" s="281">
        <v>51575</v>
      </c>
      <c r="AV259" s="75"/>
      <c r="AW259" s="75"/>
      <c r="AX259" s="75"/>
      <c r="AY259" s="75"/>
      <c r="AZ259" s="75"/>
      <c r="BA259" s="75"/>
      <c r="BB259" s="75"/>
      <c r="BC259" s="75"/>
      <c r="BD259" s="75">
        <v>7.6249999999999998E-2</v>
      </c>
      <c r="BE259" s="75">
        <v>6.8750000000000006E-2</v>
      </c>
      <c r="BF259" s="75">
        <v>7.1249999999999994E-2</v>
      </c>
      <c r="BG259" s="75"/>
      <c r="BH259" s="75"/>
      <c r="BI259" s="74">
        <f t="shared" si="18"/>
        <v>7.2083333333333333E-2</v>
      </c>
      <c r="BJ259" s="78"/>
      <c r="BK259" s="75"/>
      <c r="BL259" s="75"/>
      <c r="BM259" s="75"/>
      <c r="BN259" s="75"/>
      <c r="BO259" s="75">
        <v>6.25E-2</v>
      </c>
      <c r="BP259" s="75"/>
      <c r="BQ259" s="77"/>
      <c r="BR259" s="79">
        <f t="shared" si="19"/>
        <v>6.25E-2</v>
      </c>
      <c r="BT259" s="281">
        <v>51561</v>
      </c>
      <c r="BU259" s="75">
        <v>5.2500000000000005E-2</v>
      </c>
      <c r="BV259" s="75">
        <v>4.9375000000000002E-2</v>
      </c>
      <c r="BW259" s="77">
        <v>4.9375000000000002E-2</v>
      </c>
    </row>
    <row r="260" spans="1:75" s="11" customFormat="1" x14ac:dyDescent="0.2">
      <c r="A260" s="61"/>
      <c r="O260" s="61"/>
      <c r="AU260" s="281">
        <v>51606</v>
      </c>
      <c r="AV260" s="75"/>
      <c r="AW260" s="75"/>
      <c r="AX260" s="75"/>
      <c r="AY260" s="75"/>
      <c r="AZ260" s="75"/>
      <c r="BA260" s="75"/>
      <c r="BB260" s="75"/>
      <c r="BC260" s="75"/>
      <c r="BD260" s="75">
        <v>7.6249999999999998E-2</v>
      </c>
      <c r="BE260" s="75">
        <v>6.8750000000000006E-2</v>
      </c>
      <c r="BF260" s="75">
        <v>7.1249999999999994E-2</v>
      </c>
      <c r="BG260" s="75"/>
      <c r="BH260" s="75"/>
      <c r="BI260" s="74">
        <f t="shared" si="18"/>
        <v>7.2083333333333333E-2</v>
      </c>
      <c r="BJ260" s="78"/>
      <c r="BK260" s="75"/>
      <c r="BL260" s="75"/>
      <c r="BM260" s="75"/>
      <c r="BN260" s="75"/>
      <c r="BO260" s="75">
        <v>6.25E-2</v>
      </c>
      <c r="BP260" s="75"/>
      <c r="BQ260" s="77"/>
      <c r="BR260" s="79">
        <f t="shared" si="19"/>
        <v>6.25E-2</v>
      </c>
      <c r="BT260" s="281">
        <v>51592</v>
      </c>
      <c r="BU260" s="75">
        <v>5.2500000000000005E-2</v>
      </c>
      <c r="BV260" s="75">
        <v>4.9375000000000002E-2</v>
      </c>
      <c r="BW260" s="77">
        <v>4.9375000000000002E-2</v>
      </c>
    </row>
    <row r="261" spans="1:75" s="11" customFormat="1" x14ac:dyDescent="0.2">
      <c r="A261" s="61"/>
      <c r="O261" s="61"/>
      <c r="AU261" s="281">
        <v>51636</v>
      </c>
      <c r="AV261" s="75"/>
      <c r="AW261" s="75"/>
      <c r="AX261" s="75"/>
      <c r="AY261" s="75"/>
      <c r="AZ261" s="75"/>
      <c r="BA261" s="75"/>
      <c r="BB261" s="75"/>
      <c r="BC261" s="75"/>
      <c r="BD261" s="75">
        <v>7.6249999999999998E-2</v>
      </c>
      <c r="BE261" s="75">
        <v>6.8750000000000006E-2</v>
      </c>
      <c r="BF261" s="75">
        <v>7.1249999999999994E-2</v>
      </c>
      <c r="BG261" s="75"/>
      <c r="BH261" s="75"/>
      <c r="BI261" s="74">
        <f t="shared" si="18"/>
        <v>7.2083333333333333E-2</v>
      </c>
      <c r="BJ261" s="78"/>
      <c r="BK261" s="75"/>
      <c r="BL261" s="75"/>
      <c r="BM261" s="75"/>
      <c r="BN261" s="75"/>
      <c r="BO261" s="75">
        <v>6.25E-2</v>
      </c>
      <c r="BP261" s="75"/>
      <c r="BQ261" s="77"/>
      <c r="BR261" s="79">
        <f t="shared" si="19"/>
        <v>6.25E-2</v>
      </c>
      <c r="BT261" s="281">
        <v>51622</v>
      </c>
      <c r="BU261" s="75">
        <v>5.2500000000000005E-2</v>
      </c>
      <c r="BV261" s="75">
        <v>4.9375000000000002E-2</v>
      </c>
      <c r="BW261" s="77">
        <v>4.9375000000000002E-2</v>
      </c>
    </row>
    <row r="262" spans="1:75" s="11" customFormat="1" x14ac:dyDescent="0.2">
      <c r="A262" s="61"/>
      <c r="O262" s="61"/>
      <c r="AU262" s="281">
        <v>51667</v>
      </c>
      <c r="AV262" s="75"/>
      <c r="AW262" s="75"/>
      <c r="AX262" s="75"/>
      <c r="AY262" s="75"/>
      <c r="AZ262" s="75"/>
      <c r="BA262" s="75"/>
      <c r="BB262" s="75"/>
      <c r="BC262" s="75"/>
      <c r="BD262" s="75">
        <v>7.6249999999999998E-2</v>
      </c>
      <c r="BE262" s="75">
        <v>6.8750000000000006E-2</v>
      </c>
      <c r="BF262" s="75">
        <v>7.1249999999999994E-2</v>
      </c>
      <c r="BG262" s="75"/>
      <c r="BH262" s="75"/>
      <c r="BI262" s="74">
        <f t="shared" si="18"/>
        <v>7.2083333333333333E-2</v>
      </c>
      <c r="BJ262" s="78"/>
      <c r="BK262" s="75"/>
      <c r="BL262" s="75"/>
      <c r="BM262" s="75"/>
      <c r="BN262" s="75"/>
      <c r="BO262" s="75">
        <v>6.25E-2</v>
      </c>
      <c r="BP262" s="75"/>
      <c r="BQ262" s="77"/>
      <c r="BR262" s="79">
        <f t="shared" si="19"/>
        <v>6.25E-2</v>
      </c>
      <c r="BT262" s="281">
        <v>51653</v>
      </c>
      <c r="BU262" s="75">
        <v>5.2500000000000005E-2</v>
      </c>
      <c r="BV262" s="75">
        <v>4.9375000000000002E-2</v>
      </c>
      <c r="BW262" s="77">
        <v>4.9375000000000002E-2</v>
      </c>
    </row>
    <row r="263" spans="1:75" s="11" customFormat="1" x14ac:dyDescent="0.2">
      <c r="A263" s="61"/>
      <c r="O263" s="61"/>
      <c r="AU263" s="281">
        <v>51697</v>
      </c>
      <c r="AV263" s="75"/>
      <c r="AW263" s="75"/>
      <c r="AX263" s="75"/>
      <c r="AY263" s="75"/>
      <c r="AZ263" s="75"/>
      <c r="BA263" s="75"/>
      <c r="BB263" s="75"/>
      <c r="BC263" s="75"/>
      <c r="BD263" s="75">
        <v>7.6249999999999998E-2</v>
      </c>
      <c r="BE263" s="75">
        <v>6.8750000000000006E-2</v>
      </c>
      <c r="BF263" s="75">
        <v>7.1249999999999994E-2</v>
      </c>
      <c r="BG263" s="75"/>
      <c r="BH263" s="75"/>
      <c r="BI263" s="74">
        <f t="shared" si="18"/>
        <v>7.2083333333333333E-2</v>
      </c>
      <c r="BJ263" s="78"/>
      <c r="BK263" s="75"/>
      <c r="BL263" s="75"/>
      <c r="BM263" s="75"/>
      <c r="BN263" s="75"/>
      <c r="BO263" s="75">
        <v>6.25E-2</v>
      </c>
      <c r="BP263" s="75"/>
      <c r="BQ263" s="77"/>
      <c r="BR263" s="79">
        <f t="shared" si="19"/>
        <v>6.25E-2</v>
      </c>
      <c r="BT263" s="281">
        <v>51683</v>
      </c>
      <c r="BU263" s="75">
        <v>5.2500000000000005E-2</v>
      </c>
      <c r="BV263" s="75">
        <v>4.9375000000000002E-2</v>
      </c>
      <c r="BW263" s="77">
        <v>4.9375000000000002E-2</v>
      </c>
    </row>
    <row r="264" spans="1:75" s="11" customFormat="1" x14ac:dyDescent="0.2">
      <c r="A264" s="61"/>
      <c r="O264" s="61"/>
      <c r="AU264" s="281">
        <v>51728</v>
      </c>
      <c r="AV264" s="75"/>
      <c r="AW264" s="75"/>
      <c r="AX264" s="75"/>
      <c r="AY264" s="75"/>
      <c r="AZ264" s="75"/>
      <c r="BA264" s="75"/>
      <c r="BB264" s="75"/>
      <c r="BC264" s="75"/>
      <c r="BD264" s="75">
        <v>7.6249999999999998E-2</v>
      </c>
      <c r="BE264" s="75">
        <v>6.8750000000000006E-2</v>
      </c>
      <c r="BF264" s="75">
        <v>7.1249999999999994E-2</v>
      </c>
      <c r="BG264" s="75"/>
      <c r="BH264" s="75"/>
      <c r="BI264" s="74">
        <f t="shared" si="18"/>
        <v>7.2083333333333333E-2</v>
      </c>
      <c r="BJ264" s="78"/>
      <c r="BK264" s="75"/>
      <c r="BL264" s="75"/>
      <c r="BM264" s="75"/>
      <c r="BN264" s="75"/>
      <c r="BO264" s="75">
        <v>6.25E-2</v>
      </c>
      <c r="BP264" s="75"/>
      <c r="BQ264" s="77"/>
      <c r="BR264" s="79">
        <f t="shared" si="19"/>
        <v>6.25E-2</v>
      </c>
      <c r="BT264" s="281">
        <v>51714</v>
      </c>
      <c r="BU264" s="75">
        <v>5.2500000000000005E-2</v>
      </c>
      <c r="BV264" s="75">
        <v>4.9375000000000002E-2</v>
      </c>
      <c r="BW264" s="77">
        <v>4.9375000000000002E-2</v>
      </c>
    </row>
    <row r="265" spans="1:75" s="11" customFormat="1" x14ac:dyDescent="0.2">
      <c r="A265" s="61"/>
      <c r="O265" s="61"/>
      <c r="AU265" s="281">
        <v>51759</v>
      </c>
      <c r="AV265" s="75"/>
      <c r="AW265" s="75"/>
      <c r="AX265" s="75"/>
      <c r="AY265" s="75"/>
      <c r="AZ265" s="75"/>
      <c r="BA265" s="75"/>
      <c r="BB265" s="75"/>
      <c r="BC265" s="75"/>
      <c r="BD265" s="75">
        <v>7.6249999999999998E-2</v>
      </c>
      <c r="BE265" s="75">
        <v>6.8750000000000006E-2</v>
      </c>
      <c r="BF265" s="75">
        <v>7.1249999999999994E-2</v>
      </c>
      <c r="BG265" s="75"/>
      <c r="BH265" s="75"/>
      <c r="BI265" s="74">
        <f t="shared" ref="BI265:BI328" si="20">+AVERAGE(AV265:BH265)</f>
        <v>7.2083333333333333E-2</v>
      </c>
      <c r="BJ265" s="78"/>
      <c r="BK265" s="75"/>
      <c r="BL265" s="75"/>
      <c r="BM265" s="75"/>
      <c r="BN265" s="75"/>
      <c r="BO265" s="75">
        <v>6.25E-2</v>
      </c>
      <c r="BP265" s="75"/>
      <c r="BQ265" s="77"/>
      <c r="BR265" s="79">
        <f t="shared" ref="BR265:BR328" si="21">+AVERAGE(BJ265:BQ265)</f>
        <v>6.25E-2</v>
      </c>
      <c r="BT265" s="281">
        <v>51745</v>
      </c>
      <c r="BU265" s="75">
        <v>5.2500000000000005E-2</v>
      </c>
      <c r="BV265" s="75">
        <v>4.9375000000000002E-2</v>
      </c>
      <c r="BW265" s="77">
        <v>4.9375000000000002E-2</v>
      </c>
    </row>
    <row r="266" spans="1:75" s="11" customFormat="1" x14ac:dyDescent="0.2">
      <c r="A266" s="61"/>
      <c r="O266" s="61"/>
      <c r="AU266" s="281">
        <v>51789</v>
      </c>
      <c r="AV266" s="75"/>
      <c r="AW266" s="75"/>
      <c r="AX266" s="75"/>
      <c r="AY266" s="75"/>
      <c r="AZ266" s="75"/>
      <c r="BA266" s="75"/>
      <c r="BB266" s="75"/>
      <c r="BC266" s="75"/>
      <c r="BD266" s="75">
        <v>7.6249999999999998E-2</v>
      </c>
      <c r="BE266" s="75">
        <v>6.8750000000000006E-2</v>
      </c>
      <c r="BF266" s="75">
        <v>7.1249999999999994E-2</v>
      </c>
      <c r="BG266" s="75"/>
      <c r="BH266" s="75"/>
      <c r="BI266" s="74">
        <f t="shared" si="20"/>
        <v>7.2083333333333333E-2</v>
      </c>
      <c r="BJ266" s="78"/>
      <c r="BK266" s="75"/>
      <c r="BL266" s="75"/>
      <c r="BM266" s="75"/>
      <c r="BN266" s="75"/>
      <c r="BO266" s="75">
        <v>6.25E-2</v>
      </c>
      <c r="BP266" s="75"/>
      <c r="BQ266" s="77"/>
      <c r="BR266" s="79">
        <f t="shared" si="21"/>
        <v>6.25E-2</v>
      </c>
      <c r="BT266" s="281">
        <v>51775</v>
      </c>
      <c r="BU266" s="75">
        <v>5.2500000000000005E-2</v>
      </c>
      <c r="BV266" s="75">
        <v>4.9375000000000002E-2</v>
      </c>
      <c r="BW266" s="77">
        <v>4.9375000000000002E-2</v>
      </c>
    </row>
    <row r="267" spans="1:75" s="11" customFormat="1" x14ac:dyDescent="0.2">
      <c r="A267" s="61"/>
      <c r="O267" s="61"/>
      <c r="AU267" s="281">
        <v>51820</v>
      </c>
      <c r="AV267" s="75"/>
      <c r="AW267" s="75"/>
      <c r="AX267" s="75"/>
      <c r="AY267" s="75"/>
      <c r="AZ267" s="75"/>
      <c r="BA267" s="75"/>
      <c r="BB267" s="75"/>
      <c r="BC267" s="75"/>
      <c r="BD267" s="75">
        <v>7.6249999999999998E-2</v>
      </c>
      <c r="BE267" s="75">
        <v>6.8750000000000006E-2</v>
      </c>
      <c r="BF267" s="75">
        <v>7.1249999999999994E-2</v>
      </c>
      <c r="BG267" s="75"/>
      <c r="BH267" s="75"/>
      <c r="BI267" s="74">
        <f t="shared" si="20"/>
        <v>7.2083333333333333E-2</v>
      </c>
      <c r="BJ267" s="78"/>
      <c r="BK267" s="75"/>
      <c r="BL267" s="75"/>
      <c r="BM267" s="75"/>
      <c r="BN267" s="75"/>
      <c r="BO267" s="75">
        <v>6.25E-2</v>
      </c>
      <c r="BP267" s="75"/>
      <c r="BQ267" s="77"/>
      <c r="BR267" s="79">
        <f t="shared" si="21"/>
        <v>6.25E-2</v>
      </c>
      <c r="BT267" s="281">
        <v>51806</v>
      </c>
      <c r="BU267" s="75">
        <v>5.2500000000000005E-2</v>
      </c>
      <c r="BV267" s="75">
        <v>4.9375000000000002E-2</v>
      </c>
      <c r="BW267" s="77">
        <v>4.9375000000000002E-2</v>
      </c>
    </row>
    <row r="268" spans="1:75" s="11" customFormat="1" x14ac:dyDescent="0.2">
      <c r="A268" s="61"/>
      <c r="O268" s="61"/>
      <c r="AU268" s="281">
        <v>51850</v>
      </c>
      <c r="AV268" s="75"/>
      <c r="AW268" s="75"/>
      <c r="AX268" s="75"/>
      <c r="AY268" s="75"/>
      <c r="AZ268" s="75"/>
      <c r="BA268" s="75"/>
      <c r="BB268" s="75"/>
      <c r="BC268" s="75"/>
      <c r="BD268" s="75">
        <v>7.6249999999999998E-2</v>
      </c>
      <c r="BE268" s="75">
        <v>6.8750000000000006E-2</v>
      </c>
      <c r="BF268" s="75">
        <v>7.1249999999999994E-2</v>
      </c>
      <c r="BG268" s="75"/>
      <c r="BH268" s="75"/>
      <c r="BI268" s="74">
        <f t="shared" si="20"/>
        <v>7.2083333333333333E-2</v>
      </c>
      <c r="BJ268" s="78"/>
      <c r="BK268" s="75"/>
      <c r="BL268" s="75"/>
      <c r="BM268" s="75"/>
      <c r="BN268" s="75"/>
      <c r="BO268" s="75">
        <v>6.25E-2</v>
      </c>
      <c r="BP268" s="75"/>
      <c r="BQ268" s="77"/>
      <c r="BR268" s="79">
        <f t="shared" si="21"/>
        <v>6.25E-2</v>
      </c>
      <c r="BT268" s="281">
        <v>51836</v>
      </c>
      <c r="BU268" s="75">
        <v>5.2500000000000005E-2</v>
      </c>
      <c r="BV268" s="75">
        <v>4.9375000000000002E-2</v>
      </c>
      <c r="BW268" s="77">
        <v>4.9375000000000002E-2</v>
      </c>
    </row>
    <row r="269" spans="1:75" s="11" customFormat="1" x14ac:dyDescent="0.2">
      <c r="A269" s="61"/>
      <c r="O269" s="61"/>
      <c r="AU269" s="281">
        <v>51881</v>
      </c>
      <c r="AV269" s="75"/>
      <c r="AW269" s="75"/>
      <c r="AX269" s="75"/>
      <c r="AY269" s="75"/>
      <c r="AZ269" s="75"/>
      <c r="BA269" s="75"/>
      <c r="BB269" s="75"/>
      <c r="BC269" s="75"/>
      <c r="BD269" s="75">
        <v>7.6249999999999998E-2</v>
      </c>
      <c r="BE269" s="75">
        <v>6.8750000000000006E-2</v>
      </c>
      <c r="BF269" s="75">
        <v>7.1249999999999994E-2</v>
      </c>
      <c r="BG269" s="75"/>
      <c r="BH269" s="75"/>
      <c r="BI269" s="74">
        <f t="shared" si="20"/>
        <v>7.2083333333333333E-2</v>
      </c>
      <c r="BJ269" s="78"/>
      <c r="BK269" s="75"/>
      <c r="BL269" s="75"/>
      <c r="BM269" s="75"/>
      <c r="BN269" s="75"/>
      <c r="BO269" s="75">
        <v>6.25E-2</v>
      </c>
      <c r="BP269" s="75"/>
      <c r="BQ269" s="77"/>
      <c r="BR269" s="79">
        <f t="shared" si="21"/>
        <v>6.25E-2</v>
      </c>
      <c r="BT269" s="281">
        <v>51867</v>
      </c>
      <c r="BU269" s="75">
        <v>5.7500000000000002E-2</v>
      </c>
      <c r="BV269" s="75">
        <v>0.05</v>
      </c>
      <c r="BW269" s="77">
        <v>4.9375000000000002E-2</v>
      </c>
    </row>
    <row r="270" spans="1:75" s="11" customFormat="1" x14ac:dyDescent="0.2">
      <c r="A270" s="61"/>
      <c r="O270" s="61"/>
      <c r="AU270" s="281">
        <v>51912</v>
      </c>
      <c r="AV270" s="75"/>
      <c r="AW270" s="75"/>
      <c r="AX270" s="75"/>
      <c r="AY270" s="75"/>
      <c r="AZ270" s="75"/>
      <c r="BA270" s="75"/>
      <c r="BB270" s="75"/>
      <c r="BC270" s="75"/>
      <c r="BD270" s="75">
        <v>7.6249999999999998E-2</v>
      </c>
      <c r="BE270" s="75">
        <v>6.8750000000000006E-2</v>
      </c>
      <c r="BF270" s="75">
        <v>7.1249999999999994E-2</v>
      </c>
      <c r="BG270" s="75"/>
      <c r="BH270" s="75"/>
      <c r="BI270" s="74">
        <f t="shared" si="20"/>
        <v>7.2083333333333333E-2</v>
      </c>
      <c r="BJ270" s="78"/>
      <c r="BK270" s="75"/>
      <c r="BL270" s="75"/>
      <c r="BM270" s="75"/>
      <c r="BN270" s="75"/>
      <c r="BO270" s="75">
        <v>6.25E-2</v>
      </c>
      <c r="BP270" s="75"/>
      <c r="BQ270" s="77"/>
      <c r="BR270" s="79">
        <f t="shared" si="21"/>
        <v>6.25E-2</v>
      </c>
      <c r="BT270" s="281">
        <v>51898</v>
      </c>
      <c r="BU270" s="75">
        <v>5.7500000000000002E-2</v>
      </c>
      <c r="BV270" s="75">
        <v>0.05</v>
      </c>
      <c r="BW270" s="77">
        <v>4.9375000000000002E-2</v>
      </c>
    </row>
    <row r="271" spans="1:75" s="11" customFormat="1" x14ac:dyDescent="0.2">
      <c r="A271" s="61"/>
      <c r="O271" s="61"/>
      <c r="AU271" s="281">
        <v>51940</v>
      </c>
      <c r="AV271" s="75"/>
      <c r="AW271" s="75"/>
      <c r="AX271" s="75"/>
      <c r="AY271" s="75"/>
      <c r="AZ271" s="75"/>
      <c r="BA271" s="75"/>
      <c r="BB271" s="75"/>
      <c r="BC271" s="75"/>
      <c r="BD271" s="75">
        <v>7.6249999999999998E-2</v>
      </c>
      <c r="BE271" s="75">
        <v>6.8750000000000006E-2</v>
      </c>
      <c r="BF271" s="75">
        <v>7.1249999999999994E-2</v>
      </c>
      <c r="BG271" s="75"/>
      <c r="BH271" s="75"/>
      <c r="BI271" s="74">
        <f t="shared" si="20"/>
        <v>7.2083333333333333E-2</v>
      </c>
      <c r="BJ271" s="78"/>
      <c r="BK271" s="75"/>
      <c r="BL271" s="75"/>
      <c r="BM271" s="75"/>
      <c r="BN271" s="75"/>
      <c r="BO271" s="75">
        <v>6.25E-2</v>
      </c>
      <c r="BP271" s="75"/>
      <c r="BQ271" s="77"/>
      <c r="BR271" s="79">
        <f t="shared" si="21"/>
        <v>6.25E-2</v>
      </c>
      <c r="BT271" s="281">
        <v>51926</v>
      </c>
      <c r="BU271" s="75">
        <v>5.7500000000000002E-2</v>
      </c>
      <c r="BV271" s="75">
        <v>0.05</v>
      </c>
      <c r="BW271" s="77">
        <v>0.05</v>
      </c>
    </row>
    <row r="272" spans="1:75" s="11" customFormat="1" x14ac:dyDescent="0.2">
      <c r="A272" s="61"/>
      <c r="O272" s="61"/>
      <c r="AU272" s="281">
        <v>51971</v>
      </c>
      <c r="AV272" s="75"/>
      <c r="AW272" s="75"/>
      <c r="AX272" s="75"/>
      <c r="AY272" s="75"/>
      <c r="AZ272" s="75"/>
      <c r="BA272" s="75"/>
      <c r="BB272" s="75"/>
      <c r="BC272" s="75"/>
      <c r="BD272" s="75">
        <v>7.6249999999999998E-2</v>
      </c>
      <c r="BE272" s="75">
        <v>6.8750000000000006E-2</v>
      </c>
      <c r="BF272" s="75">
        <v>7.1249999999999994E-2</v>
      </c>
      <c r="BG272" s="75"/>
      <c r="BH272" s="75"/>
      <c r="BI272" s="74">
        <f t="shared" si="20"/>
        <v>7.2083333333333333E-2</v>
      </c>
      <c r="BJ272" s="78"/>
      <c r="BK272" s="75"/>
      <c r="BL272" s="75"/>
      <c r="BM272" s="75"/>
      <c r="BN272" s="75"/>
      <c r="BO272" s="75">
        <v>6.25E-2</v>
      </c>
      <c r="BP272" s="75"/>
      <c r="BQ272" s="77"/>
      <c r="BR272" s="79">
        <f t="shared" si="21"/>
        <v>6.25E-2</v>
      </c>
      <c r="BT272" s="281">
        <v>51957</v>
      </c>
      <c r="BU272" s="75">
        <v>5.7500000000000002E-2</v>
      </c>
      <c r="BV272" s="75">
        <v>0.05</v>
      </c>
      <c r="BW272" s="77">
        <v>0.05</v>
      </c>
    </row>
    <row r="273" spans="1:75" s="11" customFormat="1" x14ac:dyDescent="0.2">
      <c r="A273" s="61"/>
      <c r="O273" s="61"/>
      <c r="AU273" s="281">
        <v>52001</v>
      </c>
      <c r="AV273" s="75"/>
      <c r="AW273" s="75"/>
      <c r="AX273" s="75"/>
      <c r="AY273" s="75"/>
      <c r="AZ273" s="75"/>
      <c r="BA273" s="75"/>
      <c r="BB273" s="75"/>
      <c r="BC273" s="75"/>
      <c r="BD273" s="75">
        <v>7.6249999999999998E-2</v>
      </c>
      <c r="BE273" s="75">
        <v>6.8750000000000006E-2</v>
      </c>
      <c r="BF273" s="75">
        <v>7.1249999999999994E-2</v>
      </c>
      <c r="BG273" s="75"/>
      <c r="BH273" s="75"/>
      <c r="BI273" s="74">
        <f t="shared" si="20"/>
        <v>7.2083333333333333E-2</v>
      </c>
      <c r="BJ273" s="78"/>
      <c r="BK273" s="75"/>
      <c r="BL273" s="75"/>
      <c r="BM273" s="75"/>
      <c r="BN273" s="75"/>
      <c r="BO273" s="75">
        <v>6.25E-2</v>
      </c>
      <c r="BP273" s="75"/>
      <c r="BQ273" s="77"/>
      <c r="BR273" s="79">
        <f t="shared" si="21"/>
        <v>6.25E-2</v>
      </c>
      <c r="BT273" s="281">
        <v>51987</v>
      </c>
      <c r="BU273" s="75">
        <v>5.7500000000000002E-2</v>
      </c>
      <c r="BV273" s="75">
        <v>0.05</v>
      </c>
      <c r="BW273" s="77">
        <v>0.05</v>
      </c>
    </row>
    <row r="274" spans="1:75" s="11" customFormat="1" x14ac:dyDescent="0.2">
      <c r="A274" s="61"/>
      <c r="O274" s="61"/>
      <c r="AU274" s="281">
        <v>52032</v>
      </c>
      <c r="AV274" s="75"/>
      <c r="AW274" s="75"/>
      <c r="AX274" s="75"/>
      <c r="AY274" s="75"/>
      <c r="AZ274" s="75"/>
      <c r="BA274" s="75"/>
      <c r="BB274" s="75"/>
      <c r="BC274" s="75"/>
      <c r="BD274" s="75">
        <v>7.6249999999999998E-2</v>
      </c>
      <c r="BE274" s="75">
        <v>6.8750000000000006E-2</v>
      </c>
      <c r="BF274" s="75">
        <v>7.1249999999999994E-2</v>
      </c>
      <c r="BG274" s="75"/>
      <c r="BH274" s="75"/>
      <c r="BI274" s="74">
        <f t="shared" si="20"/>
        <v>7.2083333333333333E-2</v>
      </c>
      <c r="BJ274" s="78"/>
      <c r="BK274" s="75"/>
      <c r="BL274" s="75"/>
      <c r="BM274" s="75"/>
      <c r="BN274" s="75"/>
      <c r="BO274" s="75">
        <v>6.25E-2</v>
      </c>
      <c r="BP274" s="75"/>
      <c r="BQ274" s="77"/>
      <c r="BR274" s="79">
        <f t="shared" si="21"/>
        <v>6.25E-2</v>
      </c>
      <c r="BT274" s="281">
        <v>52018</v>
      </c>
      <c r="BU274" s="75">
        <v>5.7500000000000002E-2</v>
      </c>
      <c r="BV274" s="75">
        <v>0.05</v>
      </c>
      <c r="BW274" s="77">
        <v>0.05</v>
      </c>
    </row>
    <row r="275" spans="1:75" s="11" customFormat="1" x14ac:dyDescent="0.2">
      <c r="A275" s="61"/>
      <c r="O275" s="61"/>
      <c r="AU275" s="281">
        <v>52062</v>
      </c>
      <c r="AV275" s="75"/>
      <c r="AW275" s="75"/>
      <c r="AX275" s="75"/>
      <c r="AY275" s="75"/>
      <c r="AZ275" s="75"/>
      <c r="BA275" s="75"/>
      <c r="BB275" s="75"/>
      <c r="BC275" s="75"/>
      <c r="BD275" s="75">
        <v>7.6249999999999998E-2</v>
      </c>
      <c r="BE275" s="75">
        <v>6.8750000000000006E-2</v>
      </c>
      <c r="BF275" s="75">
        <v>7.1249999999999994E-2</v>
      </c>
      <c r="BG275" s="75"/>
      <c r="BH275" s="75"/>
      <c r="BI275" s="74">
        <f t="shared" si="20"/>
        <v>7.2083333333333333E-2</v>
      </c>
      <c r="BJ275" s="78"/>
      <c r="BK275" s="75"/>
      <c r="BL275" s="75"/>
      <c r="BM275" s="75"/>
      <c r="BN275" s="75"/>
      <c r="BO275" s="75">
        <v>6.25E-2</v>
      </c>
      <c r="BP275" s="75"/>
      <c r="BQ275" s="77"/>
      <c r="BR275" s="79">
        <f t="shared" si="21"/>
        <v>6.25E-2</v>
      </c>
      <c r="BT275" s="281">
        <v>52048</v>
      </c>
      <c r="BU275" s="75">
        <v>5.7500000000000002E-2</v>
      </c>
      <c r="BV275" s="75">
        <v>0.05</v>
      </c>
      <c r="BW275" s="77">
        <v>0.05</v>
      </c>
    </row>
    <row r="276" spans="1:75" s="11" customFormat="1" x14ac:dyDescent="0.2">
      <c r="A276" s="61"/>
      <c r="O276" s="61"/>
      <c r="AU276" s="281">
        <v>52093</v>
      </c>
      <c r="AV276" s="75"/>
      <c r="AW276" s="75"/>
      <c r="AX276" s="75"/>
      <c r="AY276" s="75"/>
      <c r="AZ276" s="75"/>
      <c r="BA276" s="75"/>
      <c r="BB276" s="75"/>
      <c r="BC276" s="75"/>
      <c r="BD276" s="75">
        <v>7.6249999999999998E-2</v>
      </c>
      <c r="BE276" s="75">
        <v>6.8750000000000006E-2</v>
      </c>
      <c r="BF276" s="75">
        <v>7.1249999999999994E-2</v>
      </c>
      <c r="BG276" s="75"/>
      <c r="BH276" s="75"/>
      <c r="BI276" s="74">
        <f t="shared" si="20"/>
        <v>7.2083333333333333E-2</v>
      </c>
      <c r="BJ276" s="78"/>
      <c r="BK276" s="75"/>
      <c r="BL276" s="75"/>
      <c r="BM276" s="75"/>
      <c r="BN276" s="75"/>
      <c r="BO276" s="75">
        <v>6.25E-2</v>
      </c>
      <c r="BP276" s="75"/>
      <c r="BQ276" s="77"/>
      <c r="BR276" s="79">
        <f t="shared" si="21"/>
        <v>6.25E-2</v>
      </c>
      <c r="BT276" s="281">
        <v>52079</v>
      </c>
      <c r="BU276" s="75">
        <v>5.7500000000000002E-2</v>
      </c>
      <c r="BV276" s="75">
        <v>0.05</v>
      </c>
      <c r="BW276" s="77">
        <v>0.05</v>
      </c>
    </row>
    <row r="277" spans="1:75" s="11" customFormat="1" x14ac:dyDescent="0.2">
      <c r="A277" s="61"/>
      <c r="O277" s="61"/>
      <c r="AU277" s="281">
        <v>52124</v>
      </c>
      <c r="AV277" s="75"/>
      <c r="AW277" s="75"/>
      <c r="AX277" s="75"/>
      <c r="AY277" s="75"/>
      <c r="AZ277" s="75"/>
      <c r="BA277" s="75"/>
      <c r="BB277" s="75"/>
      <c r="BC277" s="75"/>
      <c r="BD277" s="75">
        <v>7.6249999999999998E-2</v>
      </c>
      <c r="BE277" s="75">
        <v>6.8750000000000006E-2</v>
      </c>
      <c r="BF277" s="75">
        <v>7.1249999999999994E-2</v>
      </c>
      <c r="BG277" s="75"/>
      <c r="BH277" s="75"/>
      <c r="BI277" s="74">
        <f t="shared" si="20"/>
        <v>7.2083333333333333E-2</v>
      </c>
      <c r="BJ277" s="78"/>
      <c r="BK277" s="75"/>
      <c r="BL277" s="75"/>
      <c r="BM277" s="75"/>
      <c r="BN277" s="75"/>
      <c r="BO277" s="75">
        <v>6.25E-2</v>
      </c>
      <c r="BP277" s="75"/>
      <c r="BQ277" s="77"/>
      <c r="BR277" s="79">
        <f t="shared" si="21"/>
        <v>6.25E-2</v>
      </c>
      <c r="BT277" s="281">
        <v>52110</v>
      </c>
      <c r="BU277" s="75">
        <v>5.7500000000000002E-2</v>
      </c>
      <c r="BV277" s="75">
        <v>0.05</v>
      </c>
      <c r="BW277" s="77">
        <v>0.05</v>
      </c>
    </row>
    <row r="278" spans="1:75" s="11" customFormat="1" x14ac:dyDescent="0.2">
      <c r="A278" s="61"/>
      <c r="O278" s="61"/>
      <c r="AU278" s="281">
        <v>52154</v>
      </c>
      <c r="AV278" s="75"/>
      <c r="AW278" s="75"/>
      <c r="AX278" s="75"/>
      <c r="AY278" s="75"/>
      <c r="AZ278" s="75"/>
      <c r="BA278" s="75"/>
      <c r="BB278" s="75"/>
      <c r="BC278" s="75"/>
      <c r="BD278" s="75">
        <v>7.6249999999999998E-2</v>
      </c>
      <c r="BE278" s="75">
        <v>6.8750000000000006E-2</v>
      </c>
      <c r="BF278" s="75">
        <v>7.1249999999999994E-2</v>
      </c>
      <c r="BG278" s="75"/>
      <c r="BH278" s="75"/>
      <c r="BI278" s="74">
        <f t="shared" si="20"/>
        <v>7.2083333333333333E-2</v>
      </c>
      <c r="BJ278" s="78"/>
      <c r="BK278" s="75"/>
      <c r="BL278" s="75"/>
      <c r="BM278" s="75"/>
      <c r="BN278" s="75"/>
      <c r="BO278" s="75">
        <v>6.25E-2</v>
      </c>
      <c r="BP278" s="75"/>
      <c r="BQ278" s="77"/>
      <c r="BR278" s="79">
        <f t="shared" si="21"/>
        <v>6.25E-2</v>
      </c>
      <c r="BT278" s="281">
        <v>52140</v>
      </c>
      <c r="BU278" s="75">
        <v>5.7500000000000002E-2</v>
      </c>
      <c r="BV278" s="75">
        <v>0.05</v>
      </c>
      <c r="BW278" s="77">
        <v>0.05</v>
      </c>
    </row>
    <row r="279" spans="1:75" s="11" customFormat="1" x14ac:dyDescent="0.2">
      <c r="A279" s="61"/>
      <c r="O279" s="61"/>
      <c r="AU279" s="281">
        <v>52185</v>
      </c>
      <c r="AV279" s="75"/>
      <c r="AW279" s="75"/>
      <c r="AX279" s="75"/>
      <c r="AY279" s="75"/>
      <c r="AZ279" s="75"/>
      <c r="BA279" s="75"/>
      <c r="BB279" s="75"/>
      <c r="BC279" s="75"/>
      <c r="BD279" s="75">
        <v>7.6249999999999998E-2</v>
      </c>
      <c r="BE279" s="75">
        <v>6.8750000000000006E-2</v>
      </c>
      <c r="BF279" s="75">
        <v>7.1249999999999994E-2</v>
      </c>
      <c r="BG279" s="75"/>
      <c r="BH279" s="75"/>
      <c r="BI279" s="74">
        <f t="shared" si="20"/>
        <v>7.2083333333333333E-2</v>
      </c>
      <c r="BJ279" s="78"/>
      <c r="BK279" s="75"/>
      <c r="BL279" s="75"/>
      <c r="BM279" s="75"/>
      <c r="BN279" s="75"/>
      <c r="BO279" s="75">
        <v>6.25E-2</v>
      </c>
      <c r="BP279" s="75"/>
      <c r="BQ279" s="77"/>
      <c r="BR279" s="79">
        <f t="shared" si="21"/>
        <v>6.25E-2</v>
      </c>
      <c r="BT279" s="281">
        <v>52171</v>
      </c>
      <c r="BU279" s="75">
        <v>5.7500000000000002E-2</v>
      </c>
      <c r="BV279" s="75">
        <v>0.05</v>
      </c>
      <c r="BW279" s="77">
        <v>0.05</v>
      </c>
    </row>
    <row r="280" spans="1:75" s="11" customFormat="1" x14ac:dyDescent="0.2">
      <c r="A280" s="61"/>
      <c r="O280" s="61"/>
      <c r="AU280" s="281">
        <v>52215</v>
      </c>
      <c r="AV280" s="75"/>
      <c r="AW280" s="75"/>
      <c r="AX280" s="75"/>
      <c r="AY280" s="75"/>
      <c r="AZ280" s="75"/>
      <c r="BA280" s="75"/>
      <c r="BB280" s="75"/>
      <c r="BC280" s="75"/>
      <c r="BD280" s="75">
        <v>7.6249999999999998E-2</v>
      </c>
      <c r="BE280" s="75">
        <v>6.8750000000000006E-2</v>
      </c>
      <c r="BF280" s="75">
        <v>7.1249999999999994E-2</v>
      </c>
      <c r="BG280" s="75"/>
      <c r="BH280" s="75"/>
      <c r="BI280" s="74">
        <f t="shared" si="20"/>
        <v>7.2083333333333333E-2</v>
      </c>
      <c r="BJ280" s="78"/>
      <c r="BK280" s="75"/>
      <c r="BL280" s="75"/>
      <c r="BM280" s="75"/>
      <c r="BN280" s="75"/>
      <c r="BO280" s="75">
        <v>6.25E-2</v>
      </c>
      <c r="BP280" s="75"/>
      <c r="BQ280" s="77"/>
      <c r="BR280" s="79">
        <f t="shared" si="21"/>
        <v>6.25E-2</v>
      </c>
      <c r="BT280" s="281">
        <v>52201</v>
      </c>
      <c r="BU280" s="75">
        <v>5.7500000000000002E-2</v>
      </c>
      <c r="BV280" s="75">
        <v>0.05</v>
      </c>
      <c r="BW280" s="77">
        <v>0.05</v>
      </c>
    </row>
    <row r="281" spans="1:75" s="11" customFormat="1" x14ac:dyDescent="0.2">
      <c r="A281" s="61"/>
      <c r="O281" s="61"/>
      <c r="AU281" s="281">
        <v>52246</v>
      </c>
      <c r="AV281" s="75"/>
      <c r="AW281" s="75"/>
      <c r="AX281" s="75"/>
      <c r="AY281" s="75"/>
      <c r="AZ281" s="75"/>
      <c r="BA281" s="75"/>
      <c r="BB281" s="75"/>
      <c r="BC281" s="75"/>
      <c r="BD281" s="75">
        <v>7.6249999999999998E-2</v>
      </c>
      <c r="BE281" s="75">
        <v>6.8750000000000006E-2</v>
      </c>
      <c r="BF281" s="75">
        <v>7.1249999999999994E-2</v>
      </c>
      <c r="BG281" s="75"/>
      <c r="BH281" s="75"/>
      <c r="BI281" s="74">
        <f t="shared" si="20"/>
        <v>7.2083333333333333E-2</v>
      </c>
      <c r="BJ281" s="78"/>
      <c r="BK281" s="75"/>
      <c r="BL281" s="75"/>
      <c r="BM281" s="75"/>
      <c r="BN281" s="75"/>
      <c r="BO281" s="75">
        <v>6.25E-2</v>
      </c>
      <c r="BP281" s="75"/>
      <c r="BQ281" s="77"/>
      <c r="BR281" s="79">
        <f t="shared" si="21"/>
        <v>6.25E-2</v>
      </c>
      <c r="BT281" s="281">
        <v>52232</v>
      </c>
      <c r="BU281" s="75">
        <v>5.7500000000000002E-2</v>
      </c>
      <c r="BV281" s="75">
        <v>0.05</v>
      </c>
      <c r="BW281" s="77">
        <v>0.05</v>
      </c>
    </row>
    <row r="282" spans="1:75" s="11" customFormat="1" x14ac:dyDescent="0.2">
      <c r="A282" s="61"/>
      <c r="O282" s="61"/>
      <c r="AU282" s="281">
        <v>52277</v>
      </c>
      <c r="AV282" s="75"/>
      <c r="AW282" s="75"/>
      <c r="AX282" s="75"/>
      <c r="AY282" s="75"/>
      <c r="AZ282" s="75"/>
      <c r="BA282" s="75"/>
      <c r="BB282" s="75"/>
      <c r="BC282" s="75"/>
      <c r="BD282" s="75">
        <v>7.6249999999999998E-2</v>
      </c>
      <c r="BE282" s="75">
        <v>6.8750000000000006E-2</v>
      </c>
      <c r="BF282" s="75">
        <v>7.1249999999999994E-2</v>
      </c>
      <c r="BG282" s="75"/>
      <c r="BH282" s="75"/>
      <c r="BI282" s="74">
        <f t="shared" si="20"/>
        <v>7.2083333333333333E-2</v>
      </c>
      <c r="BJ282" s="78"/>
      <c r="BK282" s="75"/>
      <c r="BL282" s="75"/>
      <c r="BM282" s="75"/>
      <c r="BN282" s="75"/>
      <c r="BO282" s="75">
        <v>6.25E-2</v>
      </c>
      <c r="BP282" s="75"/>
      <c r="BQ282" s="77"/>
      <c r="BR282" s="79">
        <f t="shared" si="21"/>
        <v>6.25E-2</v>
      </c>
      <c r="BT282" s="281">
        <v>52263</v>
      </c>
      <c r="BU282" s="75">
        <v>5.7500000000000002E-2</v>
      </c>
      <c r="BV282" s="75">
        <v>0.05</v>
      </c>
      <c r="BW282" s="77">
        <v>0.05</v>
      </c>
    </row>
    <row r="283" spans="1:75" s="11" customFormat="1" x14ac:dyDescent="0.2">
      <c r="A283" s="61"/>
      <c r="O283" s="61"/>
      <c r="AU283" s="281">
        <v>52305</v>
      </c>
      <c r="AV283" s="75"/>
      <c r="AW283" s="75"/>
      <c r="AX283" s="75"/>
      <c r="AY283" s="75"/>
      <c r="AZ283" s="75"/>
      <c r="BA283" s="75"/>
      <c r="BB283" s="75"/>
      <c r="BC283" s="75"/>
      <c r="BD283" s="75">
        <v>7.6249999999999998E-2</v>
      </c>
      <c r="BE283" s="75">
        <v>6.8750000000000006E-2</v>
      </c>
      <c r="BF283" s="75">
        <v>7.1249999999999994E-2</v>
      </c>
      <c r="BG283" s="75"/>
      <c r="BH283" s="75"/>
      <c r="BI283" s="74">
        <f t="shared" si="20"/>
        <v>7.2083333333333333E-2</v>
      </c>
      <c r="BJ283" s="78"/>
      <c r="BK283" s="75"/>
      <c r="BL283" s="75"/>
      <c r="BM283" s="75"/>
      <c r="BN283" s="75"/>
      <c r="BO283" s="75">
        <v>6.25E-2</v>
      </c>
      <c r="BP283" s="75"/>
      <c r="BQ283" s="77"/>
      <c r="BR283" s="79">
        <f t="shared" si="21"/>
        <v>6.25E-2</v>
      </c>
      <c r="BT283" s="281">
        <v>52291</v>
      </c>
      <c r="BU283" s="75">
        <v>5.7500000000000002E-2</v>
      </c>
      <c r="BV283" s="75">
        <v>0.05</v>
      </c>
      <c r="BW283" s="77">
        <v>0.05</v>
      </c>
    </row>
    <row r="284" spans="1:75" s="11" customFormat="1" x14ac:dyDescent="0.2">
      <c r="A284" s="61"/>
      <c r="O284" s="61"/>
      <c r="AU284" s="281">
        <v>52336</v>
      </c>
      <c r="AV284" s="75"/>
      <c r="AW284" s="75"/>
      <c r="AX284" s="75"/>
      <c r="AY284" s="75"/>
      <c r="AZ284" s="75"/>
      <c r="BA284" s="75"/>
      <c r="BB284" s="75"/>
      <c r="BC284" s="75"/>
      <c r="BD284" s="75">
        <v>7.6249999999999998E-2</v>
      </c>
      <c r="BE284" s="75">
        <v>6.8750000000000006E-2</v>
      </c>
      <c r="BF284" s="75">
        <v>7.1249999999999994E-2</v>
      </c>
      <c r="BG284" s="75"/>
      <c r="BH284" s="75"/>
      <c r="BI284" s="74">
        <f t="shared" si="20"/>
        <v>7.2083333333333333E-2</v>
      </c>
      <c r="BJ284" s="78"/>
      <c r="BK284" s="75"/>
      <c r="BL284" s="75"/>
      <c r="BM284" s="75"/>
      <c r="BN284" s="75"/>
      <c r="BO284" s="75">
        <v>6.25E-2</v>
      </c>
      <c r="BP284" s="75"/>
      <c r="BQ284" s="77"/>
      <c r="BR284" s="79">
        <f t="shared" si="21"/>
        <v>6.25E-2</v>
      </c>
      <c r="BT284" s="281">
        <v>52322</v>
      </c>
      <c r="BU284" s="75">
        <v>5.7500000000000002E-2</v>
      </c>
      <c r="BV284" s="75">
        <v>0.05</v>
      </c>
      <c r="BW284" s="77">
        <v>0.05</v>
      </c>
    </row>
    <row r="285" spans="1:75" s="11" customFormat="1" x14ac:dyDescent="0.2">
      <c r="A285" s="61"/>
      <c r="O285" s="61"/>
      <c r="AU285" s="281">
        <v>52366</v>
      </c>
      <c r="AV285" s="75"/>
      <c r="AW285" s="75"/>
      <c r="AX285" s="75"/>
      <c r="AY285" s="75"/>
      <c r="AZ285" s="75"/>
      <c r="BA285" s="75"/>
      <c r="BB285" s="75"/>
      <c r="BC285" s="75"/>
      <c r="BD285" s="75">
        <v>7.6249999999999998E-2</v>
      </c>
      <c r="BE285" s="75">
        <v>6.8750000000000006E-2</v>
      </c>
      <c r="BF285" s="75">
        <v>7.1249999999999994E-2</v>
      </c>
      <c r="BG285" s="75"/>
      <c r="BH285" s="75"/>
      <c r="BI285" s="74">
        <f t="shared" si="20"/>
        <v>7.2083333333333333E-2</v>
      </c>
      <c r="BJ285" s="78"/>
      <c r="BK285" s="75"/>
      <c r="BL285" s="75"/>
      <c r="BM285" s="75"/>
      <c r="BN285" s="75"/>
      <c r="BO285" s="75">
        <v>6.25E-2</v>
      </c>
      <c r="BP285" s="75"/>
      <c r="BQ285" s="77"/>
      <c r="BR285" s="79">
        <f t="shared" si="21"/>
        <v>6.25E-2</v>
      </c>
      <c r="BT285" s="281">
        <v>52352</v>
      </c>
      <c r="BU285" s="75">
        <v>5.7500000000000002E-2</v>
      </c>
      <c r="BV285" s="75">
        <v>0.05</v>
      </c>
      <c r="BW285" s="77">
        <v>0.05</v>
      </c>
    </row>
    <row r="286" spans="1:75" s="11" customFormat="1" x14ac:dyDescent="0.2">
      <c r="A286" s="61"/>
      <c r="O286" s="61"/>
      <c r="AU286" s="281">
        <v>52397</v>
      </c>
      <c r="AV286" s="75"/>
      <c r="AW286" s="75"/>
      <c r="AX286" s="75"/>
      <c r="AY286" s="75"/>
      <c r="AZ286" s="75"/>
      <c r="BA286" s="75"/>
      <c r="BB286" s="75"/>
      <c r="BC286" s="75"/>
      <c r="BD286" s="75">
        <v>7.6249999999999998E-2</v>
      </c>
      <c r="BE286" s="75">
        <v>6.8750000000000006E-2</v>
      </c>
      <c r="BF286" s="75">
        <v>7.1249999999999994E-2</v>
      </c>
      <c r="BG286" s="75"/>
      <c r="BH286" s="75"/>
      <c r="BI286" s="74">
        <f t="shared" si="20"/>
        <v>7.2083333333333333E-2</v>
      </c>
      <c r="BJ286" s="78"/>
      <c r="BK286" s="75"/>
      <c r="BL286" s="75"/>
      <c r="BM286" s="75"/>
      <c r="BN286" s="75"/>
      <c r="BO286" s="75">
        <v>6.25E-2</v>
      </c>
      <c r="BP286" s="75"/>
      <c r="BQ286" s="77"/>
      <c r="BR286" s="79">
        <f t="shared" si="21"/>
        <v>6.25E-2</v>
      </c>
      <c r="BT286" s="281">
        <v>52383</v>
      </c>
      <c r="BU286" s="75">
        <v>5.7500000000000002E-2</v>
      </c>
      <c r="BV286" s="75">
        <v>0.05</v>
      </c>
      <c r="BW286" s="77">
        <v>0.05</v>
      </c>
    </row>
    <row r="287" spans="1:75" s="11" customFormat="1" x14ac:dyDescent="0.2">
      <c r="A287" s="61"/>
      <c r="O287" s="61"/>
      <c r="AU287" s="281">
        <v>52427</v>
      </c>
      <c r="AV287" s="75"/>
      <c r="AW287" s="75"/>
      <c r="AX287" s="75"/>
      <c r="AY287" s="75"/>
      <c r="AZ287" s="75"/>
      <c r="BA287" s="75"/>
      <c r="BB287" s="75"/>
      <c r="BC287" s="75"/>
      <c r="BD287" s="75">
        <v>7.6249999999999998E-2</v>
      </c>
      <c r="BE287" s="75">
        <v>6.8750000000000006E-2</v>
      </c>
      <c r="BF287" s="75">
        <v>7.1249999999999994E-2</v>
      </c>
      <c r="BG287" s="75"/>
      <c r="BH287" s="75"/>
      <c r="BI287" s="74">
        <f t="shared" si="20"/>
        <v>7.2083333333333333E-2</v>
      </c>
      <c r="BJ287" s="78"/>
      <c r="BK287" s="75"/>
      <c r="BL287" s="75"/>
      <c r="BM287" s="75"/>
      <c r="BN287" s="75"/>
      <c r="BO287" s="75">
        <v>6.25E-2</v>
      </c>
      <c r="BP287" s="75"/>
      <c r="BQ287" s="77"/>
      <c r="BR287" s="79">
        <f t="shared" si="21"/>
        <v>6.25E-2</v>
      </c>
      <c r="BT287" s="281">
        <v>52413</v>
      </c>
      <c r="BU287" s="75">
        <v>5.7500000000000002E-2</v>
      </c>
      <c r="BV287" s="75">
        <v>0.05</v>
      </c>
      <c r="BW287" s="77">
        <v>0.05</v>
      </c>
    </row>
    <row r="288" spans="1:75" s="11" customFormat="1" x14ac:dyDescent="0.2">
      <c r="A288" s="61"/>
      <c r="O288" s="61"/>
      <c r="AU288" s="281">
        <v>52458</v>
      </c>
      <c r="AV288" s="75"/>
      <c r="AW288" s="75"/>
      <c r="AX288" s="75"/>
      <c r="AY288" s="75"/>
      <c r="AZ288" s="75"/>
      <c r="BA288" s="75"/>
      <c r="BB288" s="75"/>
      <c r="BC288" s="75"/>
      <c r="BD288" s="75">
        <v>7.6249999999999998E-2</v>
      </c>
      <c r="BE288" s="75">
        <v>6.8750000000000006E-2</v>
      </c>
      <c r="BF288" s="75">
        <v>7.1249999999999994E-2</v>
      </c>
      <c r="BG288" s="75"/>
      <c r="BH288" s="75"/>
      <c r="BI288" s="74">
        <f t="shared" si="20"/>
        <v>7.2083333333333333E-2</v>
      </c>
      <c r="BJ288" s="78"/>
      <c r="BK288" s="75"/>
      <c r="BL288" s="75"/>
      <c r="BM288" s="75"/>
      <c r="BN288" s="75"/>
      <c r="BO288" s="75">
        <v>6.25E-2</v>
      </c>
      <c r="BP288" s="75"/>
      <c r="BQ288" s="77"/>
      <c r="BR288" s="79">
        <f t="shared" si="21"/>
        <v>6.25E-2</v>
      </c>
      <c r="BT288" s="281">
        <v>52444</v>
      </c>
      <c r="BU288" s="75">
        <v>5.7500000000000002E-2</v>
      </c>
      <c r="BV288" s="75">
        <v>0.05</v>
      </c>
      <c r="BW288" s="77">
        <v>0.05</v>
      </c>
    </row>
    <row r="289" spans="1:75" s="11" customFormat="1" x14ac:dyDescent="0.2">
      <c r="A289" s="61"/>
      <c r="O289" s="61"/>
      <c r="AU289" s="281">
        <v>52489</v>
      </c>
      <c r="AV289" s="75"/>
      <c r="AW289" s="75"/>
      <c r="AX289" s="75"/>
      <c r="AY289" s="75"/>
      <c r="AZ289" s="75"/>
      <c r="BA289" s="75"/>
      <c r="BB289" s="75"/>
      <c r="BC289" s="75"/>
      <c r="BD289" s="75">
        <v>7.6249999999999998E-2</v>
      </c>
      <c r="BE289" s="75">
        <v>6.8750000000000006E-2</v>
      </c>
      <c r="BF289" s="75">
        <v>7.1249999999999994E-2</v>
      </c>
      <c r="BG289" s="75"/>
      <c r="BH289" s="75"/>
      <c r="BI289" s="74">
        <f t="shared" si="20"/>
        <v>7.2083333333333333E-2</v>
      </c>
      <c r="BJ289" s="78"/>
      <c r="BK289" s="75"/>
      <c r="BL289" s="75"/>
      <c r="BM289" s="75"/>
      <c r="BN289" s="75"/>
      <c r="BO289" s="75">
        <v>6.25E-2</v>
      </c>
      <c r="BP289" s="75"/>
      <c r="BQ289" s="77"/>
      <c r="BR289" s="79">
        <f t="shared" si="21"/>
        <v>6.25E-2</v>
      </c>
      <c r="BT289" s="281">
        <v>52475</v>
      </c>
      <c r="BU289" s="75">
        <v>5.7500000000000002E-2</v>
      </c>
      <c r="BV289" s="75">
        <v>0.05</v>
      </c>
      <c r="BW289" s="77">
        <v>0.05</v>
      </c>
    </row>
    <row r="290" spans="1:75" s="11" customFormat="1" x14ac:dyDescent="0.2">
      <c r="A290" s="61"/>
      <c r="O290" s="61"/>
      <c r="AU290" s="281">
        <v>52519</v>
      </c>
      <c r="AV290" s="75"/>
      <c r="AW290" s="75"/>
      <c r="AX290" s="75"/>
      <c r="AY290" s="75"/>
      <c r="AZ290" s="75"/>
      <c r="BA290" s="75"/>
      <c r="BB290" s="75"/>
      <c r="BC290" s="75"/>
      <c r="BD290" s="75">
        <v>7.6249999999999998E-2</v>
      </c>
      <c r="BE290" s="75">
        <v>6.8750000000000006E-2</v>
      </c>
      <c r="BF290" s="75">
        <v>7.1249999999999994E-2</v>
      </c>
      <c r="BG290" s="75"/>
      <c r="BH290" s="75"/>
      <c r="BI290" s="74">
        <f t="shared" si="20"/>
        <v>7.2083333333333333E-2</v>
      </c>
      <c r="BJ290" s="78"/>
      <c r="BK290" s="75"/>
      <c r="BL290" s="75"/>
      <c r="BM290" s="75"/>
      <c r="BN290" s="75"/>
      <c r="BO290" s="75">
        <v>6.25E-2</v>
      </c>
      <c r="BP290" s="75"/>
      <c r="BQ290" s="77"/>
      <c r="BR290" s="79">
        <f t="shared" si="21"/>
        <v>6.25E-2</v>
      </c>
      <c r="BT290" s="281">
        <v>52505</v>
      </c>
      <c r="BU290" s="75">
        <v>5.7500000000000002E-2</v>
      </c>
      <c r="BV290" s="75">
        <v>0.05</v>
      </c>
      <c r="BW290" s="77">
        <v>0.05</v>
      </c>
    </row>
    <row r="291" spans="1:75" s="11" customFormat="1" x14ac:dyDescent="0.2">
      <c r="A291" s="61"/>
      <c r="O291" s="61"/>
      <c r="AU291" s="281">
        <v>52550</v>
      </c>
      <c r="AV291" s="75"/>
      <c r="AW291" s="75"/>
      <c r="AX291" s="75"/>
      <c r="AY291" s="75"/>
      <c r="AZ291" s="75"/>
      <c r="BA291" s="75"/>
      <c r="BB291" s="75"/>
      <c r="BC291" s="75"/>
      <c r="BD291" s="75">
        <v>7.6249999999999998E-2</v>
      </c>
      <c r="BE291" s="75">
        <v>6.8750000000000006E-2</v>
      </c>
      <c r="BF291" s="75">
        <v>7.1249999999999994E-2</v>
      </c>
      <c r="BG291" s="75"/>
      <c r="BH291" s="75"/>
      <c r="BI291" s="74">
        <f t="shared" si="20"/>
        <v>7.2083333333333333E-2</v>
      </c>
      <c r="BJ291" s="78"/>
      <c r="BK291" s="75"/>
      <c r="BL291" s="75"/>
      <c r="BM291" s="75"/>
      <c r="BN291" s="75"/>
      <c r="BO291" s="75">
        <v>6.25E-2</v>
      </c>
      <c r="BP291" s="75"/>
      <c r="BQ291" s="77"/>
      <c r="BR291" s="79">
        <f t="shared" si="21"/>
        <v>6.25E-2</v>
      </c>
      <c r="BT291" s="281">
        <v>52536</v>
      </c>
      <c r="BU291" s="75">
        <v>5.7500000000000002E-2</v>
      </c>
      <c r="BV291" s="75">
        <v>0.05</v>
      </c>
      <c r="BW291" s="77">
        <v>0.05</v>
      </c>
    </row>
    <row r="292" spans="1:75" s="11" customFormat="1" x14ac:dyDescent="0.2">
      <c r="A292" s="61"/>
      <c r="O292" s="61"/>
      <c r="AU292" s="281">
        <v>52580</v>
      </c>
      <c r="AV292" s="75"/>
      <c r="AW292" s="75"/>
      <c r="AX292" s="75"/>
      <c r="AY292" s="75"/>
      <c r="AZ292" s="75"/>
      <c r="BA292" s="75"/>
      <c r="BB292" s="75"/>
      <c r="BC292" s="75"/>
      <c r="BD292" s="75">
        <v>7.6249999999999998E-2</v>
      </c>
      <c r="BE292" s="75">
        <v>6.8750000000000006E-2</v>
      </c>
      <c r="BF292" s="75">
        <v>7.1249999999999994E-2</v>
      </c>
      <c r="BG292" s="75"/>
      <c r="BH292" s="75"/>
      <c r="BI292" s="74">
        <f t="shared" si="20"/>
        <v>7.2083333333333333E-2</v>
      </c>
      <c r="BJ292" s="78"/>
      <c r="BK292" s="75"/>
      <c r="BL292" s="75"/>
      <c r="BM292" s="75"/>
      <c r="BN292" s="75"/>
      <c r="BO292" s="75">
        <v>6.25E-2</v>
      </c>
      <c r="BP292" s="75"/>
      <c r="BQ292" s="77"/>
      <c r="BR292" s="79">
        <f t="shared" si="21"/>
        <v>6.25E-2</v>
      </c>
      <c r="BT292" s="281">
        <v>52566</v>
      </c>
      <c r="BU292" s="75">
        <v>5.7500000000000002E-2</v>
      </c>
      <c r="BV292" s="75">
        <v>0.05</v>
      </c>
      <c r="BW292" s="77">
        <v>0.05</v>
      </c>
    </row>
    <row r="293" spans="1:75" s="11" customFormat="1" x14ac:dyDescent="0.2">
      <c r="A293" s="61"/>
      <c r="O293" s="61"/>
      <c r="AU293" s="281">
        <v>52611</v>
      </c>
      <c r="AV293" s="75"/>
      <c r="AW293" s="75"/>
      <c r="AX293" s="75"/>
      <c r="AY293" s="75"/>
      <c r="AZ293" s="75"/>
      <c r="BA293" s="75"/>
      <c r="BB293" s="75"/>
      <c r="BC293" s="75"/>
      <c r="BD293" s="75">
        <v>7.6249999999999998E-2</v>
      </c>
      <c r="BE293" s="75">
        <v>6.8750000000000006E-2</v>
      </c>
      <c r="BF293" s="75">
        <v>7.1249999999999994E-2</v>
      </c>
      <c r="BG293" s="75"/>
      <c r="BH293" s="75"/>
      <c r="BI293" s="74">
        <f t="shared" si="20"/>
        <v>7.2083333333333333E-2</v>
      </c>
      <c r="BJ293" s="78"/>
      <c r="BK293" s="75"/>
      <c r="BL293" s="75"/>
      <c r="BM293" s="75"/>
      <c r="BN293" s="75"/>
      <c r="BO293" s="75">
        <v>6.25E-2</v>
      </c>
      <c r="BP293" s="75"/>
      <c r="BQ293" s="77"/>
      <c r="BR293" s="79">
        <f t="shared" si="21"/>
        <v>6.25E-2</v>
      </c>
      <c r="BT293" s="281">
        <v>52597</v>
      </c>
      <c r="BU293" s="75">
        <v>5.7500000000000002E-2</v>
      </c>
      <c r="BV293" s="75">
        <v>0.05</v>
      </c>
      <c r="BW293" s="77">
        <v>0.05</v>
      </c>
    </row>
    <row r="294" spans="1:75" s="11" customFormat="1" x14ac:dyDescent="0.2">
      <c r="A294" s="61"/>
      <c r="O294" s="61"/>
      <c r="AU294" s="281">
        <v>52642</v>
      </c>
      <c r="AV294" s="75"/>
      <c r="AW294" s="75"/>
      <c r="AX294" s="75"/>
      <c r="AY294" s="75"/>
      <c r="AZ294" s="75"/>
      <c r="BA294" s="75"/>
      <c r="BB294" s="75"/>
      <c r="BC294" s="75"/>
      <c r="BD294" s="75">
        <v>7.6249999999999998E-2</v>
      </c>
      <c r="BE294" s="75">
        <v>6.8750000000000006E-2</v>
      </c>
      <c r="BF294" s="75">
        <v>7.1249999999999994E-2</v>
      </c>
      <c r="BG294" s="75"/>
      <c r="BH294" s="75"/>
      <c r="BI294" s="74">
        <f t="shared" si="20"/>
        <v>7.2083333333333333E-2</v>
      </c>
      <c r="BJ294" s="78"/>
      <c r="BK294" s="75"/>
      <c r="BL294" s="75"/>
      <c r="BM294" s="75"/>
      <c r="BN294" s="75"/>
      <c r="BO294" s="75">
        <v>6.25E-2</v>
      </c>
      <c r="BP294" s="75"/>
      <c r="BQ294" s="77"/>
      <c r="BR294" s="79">
        <f t="shared" si="21"/>
        <v>6.25E-2</v>
      </c>
      <c r="BT294" s="281">
        <v>52628</v>
      </c>
      <c r="BU294" s="75">
        <v>5.7500000000000002E-2</v>
      </c>
      <c r="BV294" s="75">
        <v>0.05</v>
      </c>
      <c r="BW294" s="77">
        <v>0.05</v>
      </c>
    </row>
    <row r="295" spans="1:75" s="11" customFormat="1" x14ac:dyDescent="0.2">
      <c r="A295" s="61"/>
      <c r="O295" s="61"/>
      <c r="AU295" s="281">
        <v>52671</v>
      </c>
      <c r="AV295" s="75"/>
      <c r="AW295" s="75"/>
      <c r="AX295" s="75"/>
      <c r="AY295" s="75"/>
      <c r="AZ295" s="75"/>
      <c r="BA295" s="75"/>
      <c r="BB295" s="75"/>
      <c r="BC295" s="75"/>
      <c r="BD295" s="75">
        <v>7.6249999999999998E-2</v>
      </c>
      <c r="BE295" s="75">
        <v>6.8750000000000006E-2</v>
      </c>
      <c r="BF295" s="75">
        <v>7.1249999999999994E-2</v>
      </c>
      <c r="BG295" s="75"/>
      <c r="BH295" s="75"/>
      <c r="BI295" s="74">
        <f t="shared" si="20"/>
        <v>7.2083333333333333E-2</v>
      </c>
      <c r="BJ295" s="78"/>
      <c r="BK295" s="75"/>
      <c r="BL295" s="75"/>
      <c r="BM295" s="75"/>
      <c r="BN295" s="75"/>
      <c r="BO295" s="75">
        <v>6.25E-2</v>
      </c>
      <c r="BP295" s="75"/>
      <c r="BQ295" s="77"/>
      <c r="BR295" s="79">
        <f t="shared" si="21"/>
        <v>6.25E-2</v>
      </c>
      <c r="BT295" s="281">
        <v>52657</v>
      </c>
      <c r="BU295" s="75">
        <v>5.7500000000000002E-2</v>
      </c>
      <c r="BV295" s="75">
        <v>0.05</v>
      </c>
      <c r="BW295" s="77">
        <v>0.05</v>
      </c>
    </row>
    <row r="296" spans="1:75" s="11" customFormat="1" x14ac:dyDescent="0.2">
      <c r="A296" s="61"/>
      <c r="O296" s="61"/>
      <c r="AU296" s="281">
        <v>52702</v>
      </c>
      <c r="AV296" s="75"/>
      <c r="AW296" s="75"/>
      <c r="AX296" s="75"/>
      <c r="AY296" s="75"/>
      <c r="AZ296" s="75"/>
      <c r="BA296" s="75"/>
      <c r="BB296" s="75"/>
      <c r="BC296" s="75"/>
      <c r="BD296" s="75">
        <v>7.6249999999999998E-2</v>
      </c>
      <c r="BE296" s="75">
        <v>6.8750000000000006E-2</v>
      </c>
      <c r="BF296" s="75">
        <v>7.1249999999999994E-2</v>
      </c>
      <c r="BG296" s="75"/>
      <c r="BH296" s="75"/>
      <c r="BI296" s="74">
        <f t="shared" si="20"/>
        <v>7.2083333333333333E-2</v>
      </c>
      <c r="BJ296" s="78"/>
      <c r="BK296" s="75"/>
      <c r="BL296" s="75"/>
      <c r="BM296" s="75"/>
      <c r="BN296" s="75"/>
      <c r="BO296" s="75">
        <v>6.25E-2</v>
      </c>
      <c r="BP296" s="75"/>
      <c r="BQ296" s="77"/>
      <c r="BR296" s="79">
        <f t="shared" si="21"/>
        <v>6.25E-2</v>
      </c>
      <c r="BT296" s="281">
        <v>52688</v>
      </c>
      <c r="BU296" s="75">
        <v>5.7500000000000002E-2</v>
      </c>
      <c r="BV296" s="75">
        <v>0.05</v>
      </c>
      <c r="BW296" s="77">
        <v>0.05</v>
      </c>
    </row>
    <row r="297" spans="1:75" s="11" customFormat="1" x14ac:dyDescent="0.2">
      <c r="A297" s="61"/>
      <c r="O297" s="61"/>
      <c r="AU297" s="281">
        <v>52732</v>
      </c>
      <c r="AV297" s="75"/>
      <c r="AW297" s="75"/>
      <c r="AX297" s="75"/>
      <c r="AY297" s="75"/>
      <c r="AZ297" s="75"/>
      <c r="BA297" s="75"/>
      <c r="BB297" s="75"/>
      <c r="BC297" s="75"/>
      <c r="BD297" s="75">
        <v>7.6249999999999998E-2</v>
      </c>
      <c r="BE297" s="75">
        <v>6.8750000000000006E-2</v>
      </c>
      <c r="BF297" s="75">
        <v>7.1249999999999994E-2</v>
      </c>
      <c r="BG297" s="75"/>
      <c r="BH297" s="75"/>
      <c r="BI297" s="74">
        <f t="shared" si="20"/>
        <v>7.2083333333333333E-2</v>
      </c>
      <c r="BJ297" s="78"/>
      <c r="BK297" s="75"/>
      <c r="BL297" s="75"/>
      <c r="BM297" s="75"/>
      <c r="BN297" s="75"/>
      <c r="BO297" s="75">
        <v>6.25E-2</v>
      </c>
      <c r="BP297" s="75"/>
      <c r="BQ297" s="77"/>
      <c r="BR297" s="79">
        <f t="shared" si="21"/>
        <v>6.25E-2</v>
      </c>
      <c r="BT297" s="281">
        <v>52718</v>
      </c>
      <c r="BU297" s="75">
        <v>5.7500000000000002E-2</v>
      </c>
      <c r="BV297" s="75">
        <v>0.05</v>
      </c>
      <c r="BW297" s="77">
        <v>0.05</v>
      </c>
    </row>
    <row r="298" spans="1:75" s="11" customFormat="1" x14ac:dyDescent="0.2">
      <c r="A298" s="61"/>
      <c r="O298" s="61"/>
      <c r="AU298" s="281">
        <v>52763</v>
      </c>
      <c r="AV298" s="75"/>
      <c r="AW298" s="75"/>
      <c r="AX298" s="75"/>
      <c r="AY298" s="75"/>
      <c r="AZ298" s="75"/>
      <c r="BA298" s="75"/>
      <c r="BB298" s="75"/>
      <c r="BC298" s="75"/>
      <c r="BD298" s="75">
        <v>7.6249999999999998E-2</v>
      </c>
      <c r="BE298" s="75">
        <v>6.8750000000000006E-2</v>
      </c>
      <c r="BF298" s="75">
        <v>7.1249999999999994E-2</v>
      </c>
      <c r="BG298" s="75"/>
      <c r="BH298" s="75"/>
      <c r="BI298" s="74">
        <f t="shared" si="20"/>
        <v>7.2083333333333333E-2</v>
      </c>
      <c r="BJ298" s="78"/>
      <c r="BK298" s="75"/>
      <c r="BL298" s="75"/>
      <c r="BM298" s="75"/>
      <c r="BN298" s="75"/>
      <c r="BO298" s="75">
        <v>6.25E-2</v>
      </c>
      <c r="BP298" s="75"/>
      <c r="BQ298" s="77"/>
      <c r="BR298" s="79">
        <f t="shared" si="21"/>
        <v>6.25E-2</v>
      </c>
      <c r="BT298" s="281">
        <v>52749</v>
      </c>
      <c r="BU298" s="75">
        <v>5.7500000000000002E-2</v>
      </c>
      <c r="BV298" s="75">
        <v>0.05</v>
      </c>
      <c r="BW298" s="77">
        <v>0.05</v>
      </c>
    </row>
    <row r="299" spans="1:75" s="11" customFormat="1" x14ac:dyDescent="0.2">
      <c r="A299" s="61"/>
      <c r="O299" s="61"/>
      <c r="AU299" s="281">
        <v>52793</v>
      </c>
      <c r="AV299" s="75"/>
      <c r="AW299" s="75"/>
      <c r="AX299" s="75"/>
      <c r="AY299" s="75"/>
      <c r="AZ299" s="75"/>
      <c r="BA299" s="75"/>
      <c r="BB299" s="75"/>
      <c r="BC299" s="75"/>
      <c r="BD299" s="75">
        <v>7.6249999999999998E-2</v>
      </c>
      <c r="BE299" s="75">
        <v>6.8750000000000006E-2</v>
      </c>
      <c r="BF299" s="75">
        <v>7.1249999999999994E-2</v>
      </c>
      <c r="BG299" s="75"/>
      <c r="BH299" s="75"/>
      <c r="BI299" s="74">
        <f t="shared" si="20"/>
        <v>7.2083333333333333E-2</v>
      </c>
      <c r="BJ299" s="78"/>
      <c r="BK299" s="75"/>
      <c r="BL299" s="75"/>
      <c r="BM299" s="75"/>
      <c r="BN299" s="75"/>
      <c r="BO299" s="75">
        <v>6.25E-2</v>
      </c>
      <c r="BP299" s="75"/>
      <c r="BQ299" s="77"/>
      <c r="BR299" s="79">
        <f t="shared" si="21"/>
        <v>6.25E-2</v>
      </c>
      <c r="BT299" s="281">
        <v>52779</v>
      </c>
      <c r="BU299" s="75">
        <v>5.7500000000000002E-2</v>
      </c>
      <c r="BV299" s="75">
        <v>0.05</v>
      </c>
      <c r="BW299" s="77">
        <v>0.05</v>
      </c>
    </row>
    <row r="300" spans="1:75" s="11" customFormat="1" x14ac:dyDescent="0.2">
      <c r="A300" s="61"/>
      <c r="O300" s="61"/>
      <c r="AU300" s="281">
        <v>52824</v>
      </c>
      <c r="AV300" s="75"/>
      <c r="AW300" s="75"/>
      <c r="AX300" s="75"/>
      <c r="AY300" s="75"/>
      <c r="AZ300" s="75"/>
      <c r="BA300" s="75"/>
      <c r="BB300" s="75"/>
      <c r="BC300" s="75"/>
      <c r="BD300" s="75">
        <v>7.6249999999999998E-2</v>
      </c>
      <c r="BE300" s="75">
        <v>6.8750000000000006E-2</v>
      </c>
      <c r="BF300" s="75">
        <v>7.1249999999999994E-2</v>
      </c>
      <c r="BG300" s="75"/>
      <c r="BH300" s="75"/>
      <c r="BI300" s="74">
        <f t="shared" si="20"/>
        <v>7.2083333333333333E-2</v>
      </c>
      <c r="BJ300" s="78"/>
      <c r="BK300" s="75"/>
      <c r="BL300" s="75"/>
      <c r="BM300" s="75"/>
      <c r="BN300" s="75"/>
      <c r="BO300" s="75">
        <v>6.25E-2</v>
      </c>
      <c r="BP300" s="75"/>
      <c r="BQ300" s="77"/>
      <c r="BR300" s="79">
        <f t="shared" si="21"/>
        <v>6.25E-2</v>
      </c>
      <c r="BT300" s="281">
        <v>52810</v>
      </c>
      <c r="BU300" s="75">
        <v>5.7500000000000002E-2</v>
      </c>
      <c r="BV300" s="75">
        <v>0.05</v>
      </c>
      <c r="BW300" s="77">
        <v>0.05</v>
      </c>
    </row>
    <row r="301" spans="1:75" s="11" customFormat="1" x14ac:dyDescent="0.2">
      <c r="A301" s="61"/>
      <c r="O301" s="61"/>
      <c r="AU301" s="281">
        <v>52855</v>
      </c>
      <c r="AV301" s="75"/>
      <c r="AW301" s="75"/>
      <c r="AX301" s="75"/>
      <c r="AY301" s="75"/>
      <c r="AZ301" s="75"/>
      <c r="BA301" s="75"/>
      <c r="BB301" s="75"/>
      <c r="BC301" s="75"/>
      <c r="BD301" s="75">
        <v>7.6249999999999998E-2</v>
      </c>
      <c r="BE301" s="75">
        <v>6.8750000000000006E-2</v>
      </c>
      <c r="BF301" s="75">
        <v>7.1249999999999994E-2</v>
      </c>
      <c r="BG301" s="75"/>
      <c r="BH301" s="75"/>
      <c r="BI301" s="74">
        <f t="shared" si="20"/>
        <v>7.2083333333333333E-2</v>
      </c>
      <c r="BJ301" s="78"/>
      <c r="BK301" s="75"/>
      <c r="BL301" s="75"/>
      <c r="BM301" s="75"/>
      <c r="BN301" s="75"/>
      <c r="BO301" s="75">
        <v>6.25E-2</v>
      </c>
      <c r="BP301" s="75"/>
      <c r="BQ301" s="77"/>
      <c r="BR301" s="79">
        <f t="shared" si="21"/>
        <v>6.25E-2</v>
      </c>
      <c r="BT301" s="281">
        <v>52841</v>
      </c>
      <c r="BU301" s="75">
        <v>5.7500000000000002E-2</v>
      </c>
      <c r="BV301" s="75">
        <v>0.05</v>
      </c>
      <c r="BW301" s="77">
        <v>0.05</v>
      </c>
    </row>
    <row r="302" spans="1:75" s="11" customFormat="1" x14ac:dyDescent="0.2">
      <c r="A302" s="61"/>
      <c r="O302" s="61"/>
      <c r="AU302" s="281">
        <v>52885</v>
      </c>
      <c r="AV302" s="75"/>
      <c r="AW302" s="75"/>
      <c r="AX302" s="75"/>
      <c r="AY302" s="75"/>
      <c r="AZ302" s="75"/>
      <c r="BA302" s="75"/>
      <c r="BB302" s="75"/>
      <c r="BC302" s="75"/>
      <c r="BD302" s="75">
        <v>7.6249999999999998E-2</v>
      </c>
      <c r="BE302" s="75">
        <v>6.8750000000000006E-2</v>
      </c>
      <c r="BF302" s="75">
        <v>7.1249999999999994E-2</v>
      </c>
      <c r="BG302" s="75"/>
      <c r="BH302" s="75"/>
      <c r="BI302" s="74">
        <f t="shared" si="20"/>
        <v>7.2083333333333333E-2</v>
      </c>
      <c r="BJ302" s="78"/>
      <c r="BK302" s="75"/>
      <c r="BL302" s="75"/>
      <c r="BM302" s="75"/>
      <c r="BN302" s="75"/>
      <c r="BO302" s="75">
        <v>6.25E-2</v>
      </c>
      <c r="BP302" s="75"/>
      <c r="BQ302" s="77"/>
      <c r="BR302" s="79">
        <f t="shared" si="21"/>
        <v>6.25E-2</v>
      </c>
      <c r="BT302" s="281">
        <v>52871</v>
      </c>
      <c r="BU302" s="75">
        <v>5.7500000000000002E-2</v>
      </c>
      <c r="BV302" s="75">
        <v>0.05</v>
      </c>
      <c r="BW302" s="77">
        <v>0.05</v>
      </c>
    </row>
    <row r="303" spans="1:75" s="11" customFormat="1" x14ac:dyDescent="0.2">
      <c r="A303" s="61"/>
      <c r="O303" s="61"/>
      <c r="AU303" s="281">
        <v>52916</v>
      </c>
      <c r="AV303" s="75"/>
      <c r="AW303" s="75"/>
      <c r="AX303" s="75"/>
      <c r="AY303" s="75"/>
      <c r="AZ303" s="75"/>
      <c r="BA303" s="75"/>
      <c r="BB303" s="75"/>
      <c r="BC303" s="75"/>
      <c r="BD303" s="75">
        <v>7.6249999999999998E-2</v>
      </c>
      <c r="BE303" s="75">
        <v>6.8750000000000006E-2</v>
      </c>
      <c r="BF303" s="75">
        <v>7.1249999999999994E-2</v>
      </c>
      <c r="BG303" s="75"/>
      <c r="BH303" s="75"/>
      <c r="BI303" s="74">
        <f t="shared" si="20"/>
        <v>7.2083333333333333E-2</v>
      </c>
      <c r="BJ303" s="78"/>
      <c r="BK303" s="75"/>
      <c r="BL303" s="75"/>
      <c r="BM303" s="75"/>
      <c r="BN303" s="75"/>
      <c r="BO303" s="75">
        <v>6.25E-2</v>
      </c>
      <c r="BP303" s="75"/>
      <c r="BQ303" s="77"/>
      <c r="BR303" s="79">
        <f t="shared" si="21"/>
        <v>6.25E-2</v>
      </c>
      <c r="BT303" s="281">
        <v>52902</v>
      </c>
      <c r="BU303" s="75">
        <v>5.7500000000000002E-2</v>
      </c>
      <c r="BV303" s="75">
        <v>0.05</v>
      </c>
      <c r="BW303" s="77">
        <v>0.05</v>
      </c>
    </row>
    <row r="304" spans="1:75" s="11" customFormat="1" x14ac:dyDescent="0.2">
      <c r="A304" s="61"/>
      <c r="O304" s="61"/>
      <c r="AU304" s="281">
        <v>52946</v>
      </c>
      <c r="AV304" s="75"/>
      <c r="AW304" s="75"/>
      <c r="AX304" s="75"/>
      <c r="AY304" s="75"/>
      <c r="AZ304" s="75"/>
      <c r="BA304" s="75"/>
      <c r="BB304" s="75"/>
      <c r="BC304" s="75"/>
      <c r="BD304" s="75">
        <v>7.6249999999999998E-2</v>
      </c>
      <c r="BE304" s="75">
        <v>6.8750000000000006E-2</v>
      </c>
      <c r="BF304" s="75">
        <v>7.1249999999999994E-2</v>
      </c>
      <c r="BG304" s="75"/>
      <c r="BH304" s="75"/>
      <c r="BI304" s="74">
        <f t="shared" si="20"/>
        <v>7.2083333333333333E-2</v>
      </c>
      <c r="BJ304" s="78"/>
      <c r="BK304" s="75"/>
      <c r="BL304" s="75"/>
      <c r="BM304" s="75"/>
      <c r="BN304" s="75"/>
      <c r="BO304" s="75">
        <v>6.25E-2</v>
      </c>
      <c r="BP304" s="75"/>
      <c r="BQ304" s="77"/>
      <c r="BR304" s="79">
        <f t="shared" si="21"/>
        <v>6.25E-2</v>
      </c>
      <c r="BT304" s="281">
        <v>52932</v>
      </c>
      <c r="BU304" s="75">
        <v>5.7500000000000002E-2</v>
      </c>
      <c r="BV304" s="75">
        <v>0.05</v>
      </c>
      <c r="BW304" s="77">
        <v>0.05</v>
      </c>
    </row>
    <row r="305" spans="1:75" s="11" customFormat="1" x14ac:dyDescent="0.2">
      <c r="A305" s="61"/>
      <c r="O305" s="61"/>
      <c r="AU305" s="281">
        <v>52977</v>
      </c>
      <c r="AV305" s="75"/>
      <c r="AW305" s="75"/>
      <c r="AX305" s="75"/>
      <c r="AY305" s="75"/>
      <c r="AZ305" s="75"/>
      <c r="BA305" s="75"/>
      <c r="BB305" s="75"/>
      <c r="BC305" s="75"/>
      <c r="BD305" s="75">
        <v>7.6249999999999998E-2</v>
      </c>
      <c r="BE305" s="75">
        <v>6.8750000000000006E-2</v>
      </c>
      <c r="BF305" s="75">
        <v>7.1249999999999994E-2</v>
      </c>
      <c r="BG305" s="75"/>
      <c r="BH305" s="75"/>
      <c r="BI305" s="74">
        <f t="shared" si="20"/>
        <v>7.2083333333333333E-2</v>
      </c>
      <c r="BJ305" s="78"/>
      <c r="BK305" s="75"/>
      <c r="BL305" s="75"/>
      <c r="BM305" s="75"/>
      <c r="BN305" s="75"/>
      <c r="BO305" s="75">
        <v>6.25E-2</v>
      </c>
      <c r="BP305" s="75"/>
      <c r="BQ305" s="77"/>
      <c r="BR305" s="79">
        <f t="shared" si="21"/>
        <v>6.25E-2</v>
      </c>
      <c r="BT305" s="281">
        <v>52963</v>
      </c>
      <c r="BU305" s="75">
        <v>5.7500000000000002E-2</v>
      </c>
      <c r="BV305" s="75">
        <v>0.05</v>
      </c>
      <c r="BW305" s="77">
        <v>0.05</v>
      </c>
    </row>
    <row r="306" spans="1:75" s="11" customFormat="1" x14ac:dyDescent="0.2">
      <c r="A306" s="61"/>
      <c r="O306" s="61"/>
      <c r="AU306" s="281">
        <v>53008</v>
      </c>
      <c r="AV306" s="75"/>
      <c r="AW306" s="75"/>
      <c r="AX306" s="75"/>
      <c r="AY306" s="75"/>
      <c r="AZ306" s="75"/>
      <c r="BA306" s="75"/>
      <c r="BB306" s="75"/>
      <c r="BC306" s="75"/>
      <c r="BD306" s="75">
        <v>7.6249999999999998E-2</v>
      </c>
      <c r="BE306" s="75">
        <v>6.8750000000000006E-2</v>
      </c>
      <c r="BF306" s="75">
        <v>7.1249999999999994E-2</v>
      </c>
      <c r="BG306" s="75"/>
      <c r="BH306" s="75"/>
      <c r="BI306" s="74">
        <f t="shared" si="20"/>
        <v>7.2083333333333333E-2</v>
      </c>
      <c r="BJ306" s="78"/>
      <c r="BK306" s="75"/>
      <c r="BL306" s="75"/>
      <c r="BM306" s="75"/>
      <c r="BN306" s="75"/>
      <c r="BO306" s="75">
        <v>6.25E-2</v>
      </c>
      <c r="BP306" s="75"/>
      <c r="BQ306" s="77"/>
      <c r="BR306" s="79">
        <f t="shared" si="21"/>
        <v>6.25E-2</v>
      </c>
      <c r="BT306" s="281">
        <v>52994</v>
      </c>
      <c r="BU306" s="75">
        <v>5.7500000000000002E-2</v>
      </c>
      <c r="BV306" s="75">
        <v>0.05</v>
      </c>
      <c r="BW306" s="77">
        <v>0.05</v>
      </c>
    </row>
    <row r="307" spans="1:75" s="11" customFormat="1" x14ac:dyDescent="0.2">
      <c r="A307" s="61"/>
      <c r="O307" s="61"/>
      <c r="AU307" s="281">
        <v>53036</v>
      </c>
      <c r="AV307" s="75"/>
      <c r="AW307" s="75"/>
      <c r="AX307" s="75"/>
      <c r="AY307" s="75"/>
      <c r="AZ307" s="75"/>
      <c r="BA307" s="75"/>
      <c r="BB307" s="75"/>
      <c r="BC307" s="75"/>
      <c r="BD307" s="75">
        <v>7.6249999999999998E-2</v>
      </c>
      <c r="BE307" s="75">
        <v>6.8750000000000006E-2</v>
      </c>
      <c r="BF307" s="75">
        <v>7.1249999999999994E-2</v>
      </c>
      <c r="BG307" s="75"/>
      <c r="BH307" s="75"/>
      <c r="BI307" s="74">
        <f t="shared" si="20"/>
        <v>7.2083333333333333E-2</v>
      </c>
      <c r="BJ307" s="78"/>
      <c r="BK307" s="75"/>
      <c r="BL307" s="75"/>
      <c r="BM307" s="75"/>
      <c r="BN307" s="75"/>
      <c r="BO307" s="75">
        <v>6.25E-2</v>
      </c>
      <c r="BP307" s="75"/>
      <c r="BQ307" s="77"/>
      <c r="BR307" s="79">
        <f t="shared" si="21"/>
        <v>6.25E-2</v>
      </c>
      <c r="BT307" s="281">
        <v>53022</v>
      </c>
      <c r="BU307" s="75">
        <v>5.7500000000000002E-2</v>
      </c>
      <c r="BV307" s="75">
        <v>0.05</v>
      </c>
      <c r="BW307" s="77">
        <v>0.05</v>
      </c>
    </row>
    <row r="308" spans="1:75" s="11" customFormat="1" x14ac:dyDescent="0.2">
      <c r="A308" s="61"/>
      <c r="O308" s="61"/>
      <c r="AU308" s="281">
        <v>53067</v>
      </c>
      <c r="AV308" s="75"/>
      <c r="AW308" s="75"/>
      <c r="AX308" s="75"/>
      <c r="AY308" s="75"/>
      <c r="AZ308" s="75"/>
      <c r="BA308" s="75"/>
      <c r="BB308" s="75"/>
      <c r="BC308" s="75"/>
      <c r="BD308" s="75">
        <v>7.6249999999999998E-2</v>
      </c>
      <c r="BE308" s="75">
        <v>6.8750000000000006E-2</v>
      </c>
      <c r="BF308" s="75">
        <v>7.1249999999999994E-2</v>
      </c>
      <c r="BG308" s="75"/>
      <c r="BH308" s="75"/>
      <c r="BI308" s="74">
        <f t="shared" si="20"/>
        <v>7.2083333333333333E-2</v>
      </c>
      <c r="BJ308" s="78"/>
      <c r="BK308" s="75"/>
      <c r="BL308" s="75"/>
      <c r="BM308" s="75"/>
      <c r="BN308" s="75"/>
      <c r="BO308" s="75">
        <v>6.25E-2</v>
      </c>
      <c r="BP308" s="75"/>
      <c r="BQ308" s="77"/>
      <c r="BR308" s="79">
        <f t="shared" si="21"/>
        <v>6.25E-2</v>
      </c>
      <c r="BT308" s="281">
        <v>53053</v>
      </c>
      <c r="BU308" s="75">
        <v>5.7500000000000002E-2</v>
      </c>
      <c r="BV308" s="75">
        <v>0.05</v>
      </c>
      <c r="BW308" s="77">
        <v>0.05</v>
      </c>
    </row>
    <row r="309" spans="1:75" s="11" customFormat="1" x14ac:dyDescent="0.2">
      <c r="A309" s="61"/>
      <c r="O309" s="61"/>
      <c r="AU309" s="281">
        <v>53097</v>
      </c>
      <c r="AV309" s="75"/>
      <c r="AW309" s="75"/>
      <c r="AX309" s="75"/>
      <c r="AY309" s="75"/>
      <c r="AZ309" s="75"/>
      <c r="BA309" s="75"/>
      <c r="BB309" s="75"/>
      <c r="BC309" s="75"/>
      <c r="BD309" s="75">
        <v>7.6249999999999998E-2</v>
      </c>
      <c r="BE309" s="75">
        <v>6.8750000000000006E-2</v>
      </c>
      <c r="BF309" s="75">
        <v>7.1249999999999994E-2</v>
      </c>
      <c r="BG309" s="75"/>
      <c r="BH309" s="75"/>
      <c r="BI309" s="74">
        <f t="shared" si="20"/>
        <v>7.2083333333333333E-2</v>
      </c>
      <c r="BJ309" s="78"/>
      <c r="BK309" s="75"/>
      <c r="BL309" s="75"/>
      <c r="BM309" s="75"/>
      <c r="BN309" s="75"/>
      <c r="BO309" s="75">
        <v>6.25E-2</v>
      </c>
      <c r="BP309" s="75"/>
      <c r="BQ309" s="77"/>
      <c r="BR309" s="79">
        <f t="shared" si="21"/>
        <v>6.25E-2</v>
      </c>
      <c r="BT309" s="281">
        <v>53083</v>
      </c>
      <c r="BU309" s="75">
        <v>5.7500000000000002E-2</v>
      </c>
      <c r="BV309" s="75">
        <v>0.05</v>
      </c>
      <c r="BW309" s="77">
        <v>0.05</v>
      </c>
    </row>
    <row r="310" spans="1:75" s="11" customFormat="1" x14ac:dyDescent="0.2">
      <c r="A310" s="61"/>
      <c r="O310" s="61"/>
      <c r="AU310" s="281">
        <v>53128</v>
      </c>
      <c r="AV310" s="75"/>
      <c r="AW310" s="75"/>
      <c r="AX310" s="75"/>
      <c r="AY310" s="75"/>
      <c r="AZ310" s="75"/>
      <c r="BA310" s="75"/>
      <c r="BB310" s="75"/>
      <c r="BC310" s="75"/>
      <c r="BD310" s="75">
        <v>7.6249999999999998E-2</v>
      </c>
      <c r="BE310" s="75">
        <v>6.8750000000000006E-2</v>
      </c>
      <c r="BF310" s="75">
        <v>7.1249999999999994E-2</v>
      </c>
      <c r="BG310" s="75"/>
      <c r="BH310" s="75"/>
      <c r="BI310" s="74">
        <f t="shared" si="20"/>
        <v>7.2083333333333333E-2</v>
      </c>
      <c r="BJ310" s="78"/>
      <c r="BK310" s="75"/>
      <c r="BL310" s="75"/>
      <c r="BM310" s="75"/>
      <c r="BN310" s="75"/>
      <c r="BO310" s="75">
        <v>6.25E-2</v>
      </c>
      <c r="BP310" s="75"/>
      <c r="BQ310" s="77"/>
      <c r="BR310" s="79">
        <f t="shared" si="21"/>
        <v>6.25E-2</v>
      </c>
      <c r="BT310" s="281">
        <v>53114</v>
      </c>
      <c r="BU310" s="75">
        <v>5.7500000000000002E-2</v>
      </c>
      <c r="BV310" s="75">
        <v>0.05</v>
      </c>
      <c r="BW310" s="77">
        <v>0.05</v>
      </c>
    </row>
    <row r="311" spans="1:75" s="11" customFormat="1" x14ac:dyDescent="0.2">
      <c r="A311" s="61"/>
      <c r="O311" s="61"/>
      <c r="AU311" s="281">
        <v>53158</v>
      </c>
      <c r="AV311" s="75"/>
      <c r="AW311" s="75"/>
      <c r="AX311" s="75"/>
      <c r="AY311" s="75"/>
      <c r="AZ311" s="75"/>
      <c r="BA311" s="75"/>
      <c r="BB311" s="75"/>
      <c r="BC311" s="75"/>
      <c r="BD311" s="75">
        <v>7.6249999999999998E-2</v>
      </c>
      <c r="BE311" s="75">
        <v>6.8750000000000006E-2</v>
      </c>
      <c r="BF311" s="75">
        <v>7.1249999999999994E-2</v>
      </c>
      <c r="BG311" s="75"/>
      <c r="BH311" s="75"/>
      <c r="BI311" s="74">
        <f t="shared" si="20"/>
        <v>7.2083333333333333E-2</v>
      </c>
      <c r="BJ311" s="78"/>
      <c r="BK311" s="75"/>
      <c r="BL311" s="75"/>
      <c r="BM311" s="75"/>
      <c r="BN311" s="75"/>
      <c r="BO311" s="75">
        <v>6.25E-2</v>
      </c>
      <c r="BP311" s="75"/>
      <c r="BQ311" s="77"/>
      <c r="BR311" s="79">
        <f t="shared" si="21"/>
        <v>6.25E-2</v>
      </c>
      <c r="BT311" s="281">
        <v>53144</v>
      </c>
      <c r="BU311" s="75">
        <v>5.7500000000000002E-2</v>
      </c>
      <c r="BV311" s="75">
        <v>0.05</v>
      </c>
      <c r="BW311" s="77">
        <v>0.05</v>
      </c>
    </row>
    <row r="312" spans="1:75" s="11" customFormat="1" x14ac:dyDescent="0.2">
      <c r="A312" s="61"/>
      <c r="O312" s="61"/>
      <c r="AU312" s="281">
        <v>53189</v>
      </c>
      <c r="AV312" s="75"/>
      <c r="AW312" s="75"/>
      <c r="AX312" s="75"/>
      <c r="AY312" s="75"/>
      <c r="AZ312" s="75"/>
      <c r="BA312" s="75"/>
      <c r="BB312" s="75"/>
      <c r="BC312" s="75"/>
      <c r="BD312" s="75">
        <v>7.6249999999999998E-2</v>
      </c>
      <c r="BE312" s="75">
        <v>6.8750000000000006E-2</v>
      </c>
      <c r="BF312" s="75">
        <v>7.1249999999999994E-2</v>
      </c>
      <c r="BG312" s="75"/>
      <c r="BH312" s="75"/>
      <c r="BI312" s="74">
        <f t="shared" si="20"/>
        <v>7.2083333333333333E-2</v>
      </c>
      <c r="BJ312" s="78"/>
      <c r="BK312" s="75"/>
      <c r="BL312" s="75"/>
      <c r="BM312" s="75"/>
      <c r="BN312" s="75"/>
      <c r="BO312" s="75">
        <v>6.25E-2</v>
      </c>
      <c r="BP312" s="75"/>
      <c r="BQ312" s="77"/>
      <c r="BR312" s="79">
        <f t="shared" si="21"/>
        <v>6.25E-2</v>
      </c>
      <c r="BT312" s="281">
        <v>53175</v>
      </c>
      <c r="BU312" s="75"/>
      <c r="BV312" s="75">
        <v>0.05</v>
      </c>
      <c r="BW312" s="77">
        <v>0.05</v>
      </c>
    </row>
    <row r="313" spans="1:75" s="11" customFormat="1" x14ac:dyDescent="0.2">
      <c r="A313" s="61"/>
      <c r="O313" s="61"/>
      <c r="AU313" s="281">
        <v>53220</v>
      </c>
      <c r="AV313" s="75"/>
      <c r="AW313" s="75"/>
      <c r="AX313" s="75"/>
      <c r="AY313" s="75"/>
      <c r="AZ313" s="75"/>
      <c r="BA313" s="75"/>
      <c r="BB313" s="75"/>
      <c r="BC313" s="75"/>
      <c r="BD313" s="75">
        <v>7.6249999999999998E-2</v>
      </c>
      <c r="BE313" s="75">
        <v>6.8750000000000006E-2</v>
      </c>
      <c r="BF313" s="75">
        <v>7.1249999999999994E-2</v>
      </c>
      <c r="BG313" s="75"/>
      <c r="BH313" s="75"/>
      <c r="BI313" s="74">
        <f t="shared" si="20"/>
        <v>7.2083333333333333E-2</v>
      </c>
      <c r="BJ313" s="78"/>
      <c r="BK313" s="75"/>
      <c r="BL313" s="75"/>
      <c r="BM313" s="75"/>
      <c r="BN313" s="75"/>
      <c r="BO313" s="75">
        <v>6.25E-2</v>
      </c>
      <c r="BP313" s="75"/>
      <c r="BQ313" s="77"/>
      <c r="BR313" s="79">
        <f t="shared" si="21"/>
        <v>6.25E-2</v>
      </c>
      <c r="BT313" s="281">
        <v>53206</v>
      </c>
      <c r="BU313" s="75"/>
      <c r="BV313" s="75">
        <v>0.05</v>
      </c>
      <c r="BW313" s="77">
        <v>0.05</v>
      </c>
    </row>
    <row r="314" spans="1:75" s="11" customFormat="1" x14ac:dyDescent="0.2">
      <c r="A314" s="61"/>
      <c r="O314" s="61"/>
      <c r="AU314" s="281">
        <v>53250</v>
      </c>
      <c r="AV314" s="75"/>
      <c r="AW314" s="75"/>
      <c r="AX314" s="75"/>
      <c r="AY314" s="75"/>
      <c r="AZ314" s="75"/>
      <c r="BA314" s="75"/>
      <c r="BB314" s="75"/>
      <c r="BC314" s="75"/>
      <c r="BD314" s="75">
        <v>7.6249999999999998E-2</v>
      </c>
      <c r="BE314" s="75">
        <v>6.8750000000000006E-2</v>
      </c>
      <c r="BF314" s="75">
        <v>7.1249999999999994E-2</v>
      </c>
      <c r="BG314" s="75"/>
      <c r="BH314" s="75"/>
      <c r="BI314" s="74">
        <f t="shared" si="20"/>
        <v>7.2083333333333333E-2</v>
      </c>
      <c r="BJ314" s="78"/>
      <c r="BK314" s="75"/>
      <c r="BL314" s="75"/>
      <c r="BM314" s="75"/>
      <c r="BN314" s="75"/>
      <c r="BO314" s="75">
        <v>6.25E-2</v>
      </c>
      <c r="BP314" s="75"/>
      <c r="BQ314" s="77"/>
      <c r="BR314" s="79">
        <f t="shared" si="21"/>
        <v>6.25E-2</v>
      </c>
      <c r="BT314" s="281">
        <v>53236</v>
      </c>
      <c r="BU314" s="75"/>
      <c r="BV314" s="75">
        <v>0.05</v>
      </c>
      <c r="BW314" s="77">
        <v>0.05</v>
      </c>
    </row>
    <row r="315" spans="1:75" s="11" customFormat="1" x14ac:dyDescent="0.2">
      <c r="A315" s="61"/>
      <c r="O315" s="61"/>
      <c r="AU315" s="281">
        <v>53281</v>
      </c>
      <c r="AV315" s="75"/>
      <c r="AW315" s="75"/>
      <c r="AX315" s="75"/>
      <c r="AY315" s="75"/>
      <c r="AZ315" s="75"/>
      <c r="BA315" s="75"/>
      <c r="BB315" s="75"/>
      <c r="BC315" s="75"/>
      <c r="BD315" s="75">
        <v>7.6249999999999998E-2</v>
      </c>
      <c r="BE315" s="75">
        <v>6.8750000000000006E-2</v>
      </c>
      <c r="BF315" s="75">
        <v>7.1249999999999994E-2</v>
      </c>
      <c r="BG315" s="75"/>
      <c r="BH315" s="75"/>
      <c r="BI315" s="74">
        <f t="shared" si="20"/>
        <v>7.2083333333333333E-2</v>
      </c>
      <c r="BJ315" s="78"/>
      <c r="BK315" s="75"/>
      <c r="BL315" s="75"/>
      <c r="BM315" s="75"/>
      <c r="BN315" s="75"/>
      <c r="BO315" s="75">
        <v>6.25E-2</v>
      </c>
      <c r="BP315" s="75"/>
      <c r="BQ315" s="77"/>
      <c r="BR315" s="79">
        <f t="shared" si="21"/>
        <v>6.25E-2</v>
      </c>
      <c r="BT315" s="281">
        <v>53267</v>
      </c>
      <c r="BU315" s="75"/>
      <c r="BV315" s="75">
        <v>0.05</v>
      </c>
      <c r="BW315" s="77">
        <v>0.05</v>
      </c>
    </row>
    <row r="316" spans="1:75" s="11" customFormat="1" x14ac:dyDescent="0.2">
      <c r="A316" s="61"/>
      <c r="O316" s="61"/>
      <c r="AU316" s="281">
        <v>53311</v>
      </c>
      <c r="AV316" s="75"/>
      <c r="AW316" s="75"/>
      <c r="AX316" s="75"/>
      <c r="AY316" s="75"/>
      <c r="AZ316" s="75"/>
      <c r="BA316" s="75"/>
      <c r="BB316" s="75"/>
      <c r="BC316" s="75"/>
      <c r="BD316" s="75">
        <v>7.6249999999999998E-2</v>
      </c>
      <c r="BE316" s="75">
        <v>6.8750000000000006E-2</v>
      </c>
      <c r="BF316" s="75">
        <v>7.1249999999999994E-2</v>
      </c>
      <c r="BG316" s="75"/>
      <c r="BH316" s="75"/>
      <c r="BI316" s="74">
        <f t="shared" si="20"/>
        <v>7.2083333333333333E-2</v>
      </c>
      <c r="BJ316" s="78"/>
      <c r="BK316" s="75"/>
      <c r="BL316" s="75"/>
      <c r="BM316" s="75"/>
      <c r="BN316" s="75"/>
      <c r="BO316" s="75">
        <v>6.25E-2</v>
      </c>
      <c r="BP316" s="75"/>
      <c r="BQ316" s="77"/>
      <c r="BR316" s="79">
        <f t="shared" si="21"/>
        <v>6.25E-2</v>
      </c>
      <c r="BT316" s="281">
        <v>53297</v>
      </c>
      <c r="BU316" s="75"/>
      <c r="BV316" s="75">
        <v>0.05</v>
      </c>
      <c r="BW316" s="77">
        <v>0.05</v>
      </c>
    </row>
    <row r="317" spans="1:75" s="11" customFormat="1" x14ac:dyDescent="0.2">
      <c r="A317" s="61"/>
      <c r="O317" s="61"/>
      <c r="AU317" s="281">
        <v>53342</v>
      </c>
      <c r="AV317" s="75"/>
      <c r="AW317" s="75"/>
      <c r="AX317" s="75"/>
      <c r="AY317" s="75"/>
      <c r="AZ317" s="75"/>
      <c r="BA317" s="75"/>
      <c r="BB317" s="75"/>
      <c r="BC317" s="75"/>
      <c r="BD317" s="75">
        <v>7.6249999999999998E-2</v>
      </c>
      <c r="BE317" s="75">
        <v>6.8750000000000006E-2</v>
      </c>
      <c r="BF317" s="75">
        <v>7.1249999999999994E-2</v>
      </c>
      <c r="BG317" s="75"/>
      <c r="BH317" s="75"/>
      <c r="BI317" s="74">
        <f t="shared" si="20"/>
        <v>7.2083333333333333E-2</v>
      </c>
      <c r="BJ317" s="78"/>
      <c r="BK317" s="75"/>
      <c r="BL317" s="75"/>
      <c r="BM317" s="75"/>
      <c r="BN317" s="75"/>
      <c r="BO317" s="75">
        <v>6.25E-2</v>
      </c>
      <c r="BP317" s="75"/>
      <c r="BQ317" s="77"/>
      <c r="BR317" s="79">
        <f t="shared" si="21"/>
        <v>6.25E-2</v>
      </c>
      <c r="BT317" s="281">
        <v>53328</v>
      </c>
      <c r="BU317" s="75"/>
      <c r="BV317" s="75">
        <v>0.05</v>
      </c>
      <c r="BW317" s="77">
        <v>0.05</v>
      </c>
    </row>
    <row r="318" spans="1:75" s="11" customFormat="1" x14ac:dyDescent="0.2">
      <c r="A318" s="61"/>
      <c r="O318" s="61"/>
      <c r="AU318" s="281">
        <v>53373</v>
      </c>
      <c r="AV318" s="75"/>
      <c r="AW318" s="75"/>
      <c r="AX318" s="75"/>
      <c r="AY318" s="75"/>
      <c r="AZ318" s="75"/>
      <c r="BA318" s="75"/>
      <c r="BB318" s="75"/>
      <c r="BC318" s="75"/>
      <c r="BD318" s="75">
        <v>7.6249999999999998E-2</v>
      </c>
      <c r="BE318" s="75">
        <v>6.8750000000000006E-2</v>
      </c>
      <c r="BF318" s="75">
        <v>7.1249999999999994E-2</v>
      </c>
      <c r="BG318" s="75"/>
      <c r="BH318" s="75"/>
      <c r="BI318" s="74">
        <f t="shared" si="20"/>
        <v>7.2083333333333333E-2</v>
      </c>
      <c r="BJ318" s="78"/>
      <c r="BK318" s="75"/>
      <c r="BL318" s="75"/>
      <c r="BM318" s="75"/>
      <c r="BN318" s="75"/>
      <c r="BO318" s="75">
        <v>6.25E-2</v>
      </c>
      <c r="BP318" s="75"/>
      <c r="BQ318" s="77"/>
      <c r="BR318" s="79">
        <f t="shared" si="21"/>
        <v>6.25E-2</v>
      </c>
      <c r="BT318" s="281">
        <v>53359</v>
      </c>
      <c r="BU318" s="75"/>
      <c r="BV318" s="75">
        <v>0.05</v>
      </c>
      <c r="BW318" s="77">
        <v>0.05</v>
      </c>
    </row>
    <row r="319" spans="1:75" s="11" customFormat="1" x14ac:dyDescent="0.2">
      <c r="A319" s="61"/>
      <c r="O319" s="61"/>
      <c r="AU319" s="281">
        <v>53401</v>
      </c>
      <c r="AV319" s="75"/>
      <c r="AW319" s="75"/>
      <c r="AX319" s="75"/>
      <c r="AY319" s="75"/>
      <c r="AZ319" s="75"/>
      <c r="BA319" s="75"/>
      <c r="BB319" s="75"/>
      <c r="BC319" s="75"/>
      <c r="BD319" s="75">
        <v>7.6249999999999998E-2</v>
      </c>
      <c r="BE319" s="75">
        <v>6.8750000000000006E-2</v>
      </c>
      <c r="BF319" s="75">
        <v>7.1249999999999994E-2</v>
      </c>
      <c r="BG319" s="75"/>
      <c r="BH319" s="75"/>
      <c r="BI319" s="74">
        <f t="shared" si="20"/>
        <v>7.2083333333333333E-2</v>
      </c>
      <c r="BJ319" s="78"/>
      <c r="BK319" s="75"/>
      <c r="BL319" s="75"/>
      <c r="BM319" s="75"/>
      <c r="BN319" s="75"/>
      <c r="BO319" s="75">
        <v>6.25E-2</v>
      </c>
      <c r="BP319" s="75"/>
      <c r="BQ319" s="77"/>
      <c r="BR319" s="79">
        <f t="shared" si="21"/>
        <v>6.25E-2</v>
      </c>
      <c r="BT319" s="281">
        <v>53387</v>
      </c>
      <c r="BU319" s="75"/>
      <c r="BV319" s="75">
        <v>0.05</v>
      </c>
      <c r="BW319" s="77">
        <v>0.05</v>
      </c>
    </row>
    <row r="320" spans="1:75" s="11" customFormat="1" x14ac:dyDescent="0.2">
      <c r="A320" s="61"/>
      <c r="O320" s="61"/>
      <c r="AU320" s="281">
        <v>53432</v>
      </c>
      <c r="AV320" s="75"/>
      <c r="AW320" s="75"/>
      <c r="AX320" s="75"/>
      <c r="AY320" s="75"/>
      <c r="AZ320" s="75"/>
      <c r="BA320" s="75"/>
      <c r="BB320" s="75"/>
      <c r="BC320" s="75"/>
      <c r="BD320" s="75">
        <v>7.6249999999999998E-2</v>
      </c>
      <c r="BE320" s="75">
        <v>6.8750000000000006E-2</v>
      </c>
      <c r="BF320" s="75">
        <v>7.1249999999999994E-2</v>
      </c>
      <c r="BG320" s="75"/>
      <c r="BH320" s="75"/>
      <c r="BI320" s="74">
        <f t="shared" si="20"/>
        <v>7.2083333333333333E-2</v>
      </c>
      <c r="BJ320" s="78"/>
      <c r="BK320" s="75"/>
      <c r="BL320" s="75"/>
      <c r="BM320" s="75"/>
      <c r="BN320" s="75"/>
      <c r="BO320" s="75">
        <v>6.25E-2</v>
      </c>
      <c r="BP320" s="75"/>
      <c r="BQ320" s="77"/>
      <c r="BR320" s="79">
        <f t="shared" si="21"/>
        <v>6.25E-2</v>
      </c>
      <c r="BT320" s="281">
        <v>53418</v>
      </c>
      <c r="BU320" s="75"/>
      <c r="BV320" s="75">
        <v>0.05</v>
      </c>
      <c r="BW320" s="77">
        <v>0.05</v>
      </c>
    </row>
    <row r="321" spans="1:75" s="11" customFormat="1" x14ac:dyDescent="0.2">
      <c r="A321" s="61"/>
      <c r="O321" s="61"/>
      <c r="AU321" s="281">
        <v>53462</v>
      </c>
      <c r="AV321" s="75"/>
      <c r="AW321" s="75"/>
      <c r="AX321" s="75"/>
      <c r="AY321" s="75"/>
      <c r="AZ321" s="75"/>
      <c r="BA321" s="75"/>
      <c r="BB321" s="75"/>
      <c r="BC321" s="75"/>
      <c r="BD321" s="75"/>
      <c r="BE321" s="75">
        <v>6.8750000000000006E-2</v>
      </c>
      <c r="BF321" s="75">
        <v>7.1249999999999994E-2</v>
      </c>
      <c r="BG321" s="75"/>
      <c r="BH321" s="75"/>
      <c r="BI321" s="74">
        <f t="shared" si="20"/>
        <v>7.0000000000000007E-2</v>
      </c>
      <c r="BJ321" s="78"/>
      <c r="BK321" s="75"/>
      <c r="BL321" s="75"/>
      <c r="BM321" s="75"/>
      <c r="BN321" s="75"/>
      <c r="BO321" s="75">
        <v>6.25E-2</v>
      </c>
      <c r="BP321" s="75"/>
      <c r="BQ321" s="77"/>
      <c r="BR321" s="79">
        <f t="shared" si="21"/>
        <v>6.25E-2</v>
      </c>
      <c r="BT321" s="281">
        <v>53448</v>
      </c>
      <c r="BU321" s="75"/>
      <c r="BV321" s="75">
        <v>0.05</v>
      </c>
      <c r="BW321" s="77">
        <v>0.05</v>
      </c>
    </row>
    <row r="322" spans="1:75" s="11" customFormat="1" x14ac:dyDescent="0.2">
      <c r="A322" s="61"/>
      <c r="O322" s="61"/>
      <c r="AU322" s="281">
        <v>53493</v>
      </c>
      <c r="AV322" s="75"/>
      <c r="AW322" s="75"/>
      <c r="AX322" s="75"/>
      <c r="AY322" s="75"/>
      <c r="AZ322" s="75"/>
      <c r="BA322" s="75"/>
      <c r="BB322" s="75"/>
      <c r="BC322" s="75"/>
      <c r="BD322" s="75"/>
      <c r="BE322" s="75">
        <v>6.8750000000000006E-2</v>
      </c>
      <c r="BF322" s="75">
        <v>7.1249999999999994E-2</v>
      </c>
      <c r="BG322" s="75"/>
      <c r="BH322" s="75"/>
      <c r="BI322" s="74">
        <f t="shared" si="20"/>
        <v>7.0000000000000007E-2</v>
      </c>
      <c r="BJ322" s="78"/>
      <c r="BK322" s="75"/>
      <c r="BL322" s="75"/>
      <c r="BM322" s="75"/>
      <c r="BN322" s="75"/>
      <c r="BO322" s="75">
        <v>6.25E-2</v>
      </c>
      <c r="BP322" s="75"/>
      <c r="BQ322" s="77"/>
      <c r="BR322" s="79">
        <f t="shared" si="21"/>
        <v>6.25E-2</v>
      </c>
      <c r="BT322" s="281">
        <v>53479</v>
      </c>
      <c r="BU322" s="75"/>
      <c r="BV322" s="75">
        <v>0.05</v>
      </c>
      <c r="BW322" s="77">
        <v>0.05</v>
      </c>
    </row>
    <row r="323" spans="1:75" s="11" customFormat="1" x14ac:dyDescent="0.2">
      <c r="A323" s="61"/>
      <c r="O323" s="61"/>
      <c r="AU323" s="281">
        <v>53523</v>
      </c>
      <c r="AV323" s="75"/>
      <c r="AW323" s="75"/>
      <c r="AX323" s="75"/>
      <c r="AY323" s="75"/>
      <c r="AZ323" s="75"/>
      <c r="BA323" s="75"/>
      <c r="BB323" s="75"/>
      <c r="BC323" s="75"/>
      <c r="BD323" s="75"/>
      <c r="BE323" s="75">
        <v>6.8750000000000006E-2</v>
      </c>
      <c r="BF323" s="75">
        <v>7.1249999999999994E-2</v>
      </c>
      <c r="BG323" s="75"/>
      <c r="BH323" s="75"/>
      <c r="BI323" s="74">
        <f t="shared" si="20"/>
        <v>7.0000000000000007E-2</v>
      </c>
      <c r="BJ323" s="78"/>
      <c r="BK323" s="75"/>
      <c r="BL323" s="75"/>
      <c r="BM323" s="75"/>
      <c r="BN323" s="75"/>
      <c r="BO323" s="75">
        <v>6.25E-2</v>
      </c>
      <c r="BP323" s="75"/>
      <c r="BQ323" s="77"/>
      <c r="BR323" s="79">
        <f t="shared" si="21"/>
        <v>6.25E-2</v>
      </c>
      <c r="BT323" s="281">
        <v>53509</v>
      </c>
      <c r="BU323" s="75"/>
      <c r="BV323" s="75">
        <v>0.05</v>
      </c>
      <c r="BW323" s="77">
        <v>0.05</v>
      </c>
    </row>
    <row r="324" spans="1:75" s="11" customFormat="1" x14ac:dyDescent="0.2">
      <c r="A324" s="61"/>
      <c r="O324" s="61"/>
      <c r="AU324" s="281">
        <v>53554</v>
      </c>
      <c r="AV324" s="75"/>
      <c r="AW324" s="75"/>
      <c r="AX324" s="75"/>
      <c r="AY324" s="75"/>
      <c r="AZ324" s="75"/>
      <c r="BA324" s="75"/>
      <c r="BB324" s="75"/>
      <c r="BC324" s="75"/>
      <c r="BD324" s="75"/>
      <c r="BE324" s="75">
        <v>6.8750000000000006E-2</v>
      </c>
      <c r="BF324" s="75">
        <v>7.1249999999999994E-2</v>
      </c>
      <c r="BG324" s="75"/>
      <c r="BH324" s="75"/>
      <c r="BI324" s="74">
        <f t="shared" si="20"/>
        <v>7.0000000000000007E-2</v>
      </c>
      <c r="BJ324" s="78"/>
      <c r="BK324" s="75"/>
      <c r="BL324" s="75"/>
      <c r="BM324" s="75"/>
      <c r="BN324" s="75"/>
      <c r="BO324" s="75">
        <v>6.25E-2</v>
      </c>
      <c r="BP324" s="75"/>
      <c r="BQ324" s="77"/>
      <c r="BR324" s="79">
        <f t="shared" si="21"/>
        <v>6.25E-2</v>
      </c>
      <c r="BT324" s="281">
        <v>53540</v>
      </c>
      <c r="BU324" s="75"/>
      <c r="BV324" s="75"/>
      <c r="BW324" s="77">
        <v>0.05</v>
      </c>
    </row>
    <row r="325" spans="1:75" s="11" customFormat="1" x14ac:dyDescent="0.2">
      <c r="A325" s="61"/>
      <c r="O325" s="61"/>
      <c r="AU325" s="281">
        <v>53585</v>
      </c>
      <c r="AV325" s="75"/>
      <c r="AW325" s="75"/>
      <c r="AX325" s="75"/>
      <c r="AY325" s="75"/>
      <c r="AZ325" s="75"/>
      <c r="BA325" s="75"/>
      <c r="BB325" s="75"/>
      <c r="BC325" s="75"/>
      <c r="BD325" s="75"/>
      <c r="BE325" s="75">
        <v>6.8750000000000006E-2</v>
      </c>
      <c r="BF325" s="75">
        <v>7.1249999999999994E-2</v>
      </c>
      <c r="BG325" s="75"/>
      <c r="BH325" s="75"/>
      <c r="BI325" s="74">
        <f t="shared" si="20"/>
        <v>7.0000000000000007E-2</v>
      </c>
      <c r="BJ325" s="78"/>
      <c r="BK325" s="75"/>
      <c r="BL325" s="75"/>
      <c r="BM325" s="75"/>
      <c r="BN325" s="75"/>
      <c r="BO325" s="75">
        <v>6.25E-2</v>
      </c>
      <c r="BP325" s="75"/>
      <c r="BQ325" s="77"/>
      <c r="BR325" s="79">
        <f t="shared" si="21"/>
        <v>6.25E-2</v>
      </c>
      <c r="BT325" s="281">
        <v>53571</v>
      </c>
      <c r="BU325" s="75"/>
      <c r="BV325" s="75"/>
      <c r="BW325" s="77">
        <v>0.05</v>
      </c>
    </row>
    <row r="326" spans="1:75" s="11" customFormat="1" x14ac:dyDescent="0.2">
      <c r="A326" s="61"/>
      <c r="O326" s="61"/>
      <c r="AU326" s="281">
        <v>53615</v>
      </c>
      <c r="AV326" s="75"/>
      <c r="AW326" s="75"/>
      <c r="AX326" s="75"/>
      <c r="AY326" s="75"/>
      <c r="AZ326" s="75"/>
      <c r="BA326" s="75"/>
      <c r="BB326" s="75"/>
      <c r="BC326" s="75"/>
      <c r="BD326" s="75"/>
      <c r="BE326" s="75">
        <v>6.8750000000000006E-2</v>
      </c>
      <c r="BF326" s="75">
        <v>7.1249999999999994E-2</v>
      </c>
      <c r="BG326" s="75"/>
      <c r="BH326" s="75"/>
      <c r="BI326" s="74">
        <f t="shared" si="20"/>
        <v>7.0000000000000007E-2</v>
      </c>
      <c r="BJ326" s="78"/>
      <c r="BK326" s="75"/>
      <c r="BL326" s="75"/>
      <c r="BM326" s="75"/>
      <c r="BN326" s="75"/>
      <c r="BO326" s="75">
        <v>6.25E-2</v>
      </c>
      <c r="BP326" s="75"/>
      <c r="BQ326" s="77"/>
      <c r="BR326" s="79">
        <f t="shared" si="21"/>
        <v>6.25E-2</v>
      </c>
      <c r="BT326" s="281">
        <v>53601</v>
      </c>
      <c r="BU326" s="75"/>
      <c r="BV326" s="75"/>
      <c r="BW326" s="77"/>
    </row>
    <row r="327" spans="1:75" s="11" customFormat="1" x14ac:dyDescent="0.2">
      <c r="A327" s="61"/>
      <c r="O327" s="61"/>
      <c r="AU327" s="281">
        <v>53646</v>
      </c>
      <c r="AV327" s="75"/>
      <c r="AW327" s="75"/>
      <c r="AX327" s="75"/>
      <c r="AY327" s="75"/>
      <c r="AZ327" s="75"/>
      <c r="BA327" s="75"/>
      <c r="BB327" s="75"/>
      <c r="BC327" s="75"/>
      <c r="BD327" s="75"/>
      <c r="BE327" s="75">
        <v>6.8750000000000006E-2</v>
      </c>
      <c r="BF327" s="75">
        <v>7.1249999999999994E-2</v>
      </c>
      <c r="BG327" s="75"/>
      <c r="BH327" s="75"/>
      <c r="BI327" s="74">
        <f t="shared" si="20"/>
        <v>7.0000000000000007E-2</v>
      </c>
      <c r="BJ327" s="78"/>
      <c r="BK327" s="75"/>
      <c r="BL327" s="75"/>
      <c r="BM327" s="75"/>
      <c r="BN327" s="75"/>
      <c r="BO327" s="75">
        <v>6.25E-2</v>
      </c>
      <c r="BP327" s="75"/>
      <c r="BQ327" s="77"/>
      <c r="BR327" s="79">
        <f t="shared" si="21"/>
        <v>6.25E-2</v>
      </c>
      <c r="BT327" s="281">
        <v>53632</v>
      </c>
      <c r="BU327" s="75"/>
      <c r="BV327" s="75"/>
      <c r="BW327" s="77"/>
    </row>
    <row r="328" spans="1:75" s="11" customFormat="1" x14ac:dyDescent="0.2">
      <c r="A328" s="61"/>
      <c r="O328" s="61"/>
      <c r="AU328" s="281">
        <v>53676</v>
      </c>
      <c r="AV328" s="75"/>
      <c r="AW328" s="75"/>
      <c r="AX328" s="75"/>
      <c r="AY328" s="75"/>
      <c r="AZ328" s="75"/>
      <c r="BA328" s="75"/>
      <c r="BB328" s="75"/>
      <c r="BC328" s="75"/>
      <c r="BD328" s="75"/>
      <c r="BE328" s="75">
        <v>6.8750000000000006E-2</v>
      </c>
      <c r="BF328" s="75">
        <v>7.1249999999999994E-2</v>
      </c>
      <c r="BG328" s="75"/>
      <c r="BH328" s="75"/>
      <c r="BI328" s="74">
        <f t="shared" si="20"/>
        <v>7.0000000000000007E-2</v>
      </c>
      <c r="BJ328" s="78"/>
      <c r="BK328" s="75"/>
      <c r="BL328" s="75"/>
      <c r="BM328" s="75"/>
      <c r="BN328" s="75"/>
      <c r="BO328" s="75">
        <v>6.25E-2</v>
      </c>
      <c r="BP328" s="75"/>
      <c r="BQ328" s="77"/>
      <c r="BR328" s="79">
        <f t="shared" si="21"/>
        <v>6.25E-2</v>
      </c>
      <c r="BT328" s="281">
        <v>53662</v>
      </c>
      <c r="BU328" s="75"/>
      <c r="BV328" s="75"/>
      <c r="BW328" s="77"/>
    </row>
    <row r="329" spans="1:75" s="11" customFormat="1" x14ac:dyDescent="0.2">
      <c r="A329" s="61"/>
      <c r="O329" s="61"/>
      <c r="AU329" s="281">
        <v>53707</v>
      </c>
      <c r="AV329" s="75"/>
      <c r="AW329" s="75"/>
      <c r="AX329" s="75"/>
      <c r="AY329" s="75"/>
      <c r="AZ329" s="75"/>
      <c r="BA329" s="75"/>
      <c r="BB329" s="75"/>
      <c r="BC329" s="75"/>
      <c r="BD329" s="75"/>
      <c r="BE329" s="75">
        <v>6.8750000000000006E-2</v>
      </c>
      <c r="BF329" s="75">
        <v>7.1249999999999994E-2</v>
      </c>
      <c r="BG329" s="75"/>
      <c r="BH329" s="75"/>
      <c r="BI329" s="74">
        <f t="shared" ref="BI329:BI392" si="22">+AVERAGE(AV329:BH329)</f>
        <v>7.0000000000000007E-2</v>
      </c>
      <c r="BJ329" s="78"/>
      <c r="BK329" s="75"/>
      <c r="BL329" s="75"/>
      <c r="BM329" s="75"/>
      <c r="BN329" s="75"/>
      <c r="BO329" s="75">
        <v>6.25E-2</v>
      </c>
      <c r="BP329" s="75"/>
      <c r="BQ329" s="77"/>
      <c r="BR329" s="79">
        <f t="shared" ref="BR329:BR338" si="23">+AVERAGE(BJ329:BQ329)</f>
        <v>6.25E-2</v>
      </c>
      <c r="BT329" s="281">
        <v>53693</v>
      </c>
      <c r="BU329" s="75"/>
      <c r="BV329" s="75"/>
      <c r="BW329" s="77"/>
    </row>
    <row r="330" spans="1:75" s="11" customFormat="1" x14ac:dyDescent="0.2">
      <c r="A330" s="61"/>
      <c r="O330" s="61"/>
      <c r="AU330" s="281">
        <v>53738</v>
      </c>
      <c r="AV330" s="75"/>
      <c r="AW330" s="75"/>
      <c r="AX330" s="75"/>
      <c r="AY330" s="75"/>
      <c r="AZ330" s="75"/>
      <c r="BA330" s="75"/>
      <c r="BB330" s="75"/>
      <c r="BC330" s="75"/>
      <c r="BD330" s="75"/>
      <c r="BE330" s="75">
        <v>6.8750000000000006E-2</v>
      </c>
      <c r="BF330" s="75">
        <v>7.1249999999999994E-2</v>
      </c>
      <c r="BG330" s="75"/>
      <c r="BH330" s="75"/>
      <c r="BI330" s="74">
        <f t="shared" si="22"/>
        <v>7.0000000000000007E-2</v>
      </c>
      <c r="BJ330" s="78"/>
      <c r="BK330" s="75"/>
      <c r="BL330" s="75"/>
      <c r="BM330" s="75"/>
      <c r="BN330" s="75"/>
      <c r="BO330" s="75">
        <v>6.25E-2</v>
      </c>
      <c r="BP330" s="75"/>
      <c r="BQ330" s="77"/>
      <c r="BR330" s="79">
        <f t="shared" si="23"/>
        <v>6.25E-2</v>
      </c>
      <c r="BT330" s="281">
        <v>53724</v>
      </c>
      <c r="BU330" s="75"/>
      <c r="BV330" s="75"/>
      <c r="BW330" s="77"/>
    </row>
    <row r="331" spans="1:75" s="11" customFormat="1" x14ac:dyDescent="0.2">
      <c r="A331" s="61"/>
      <c r="O331" s="61"/>
      <c r="AU331" s="281">
        <v>53766</v>
      </c>
      <c r="AV331" s="75"/>
      <c r="AW331" s="75"/>
      <c r="AX331" s="75"/>
      <c r="AY331" s="75"/>
      <c r="AZ331" s="75"/>
      <c r="BA331" s="75"/>
      <c r="BB331" s="75"/>
      <c r="BC331" s="75"/>
      <c r="BD331" s="75"/>
      <c r="BE331" s="75">
        <v>6.8750000000000006E-2</v>
      </c>
      <c r="BF331" s="75">
        <v>7.1249999999999994E-2</v>
      </c>
      <c r="BG331" s="75"/>
      <c r="BH331" s="75"/>
      <c r="BI331" s="74">
        <f t="shared" si="22"/>
        <v>7.0000000000000007E-2</v>
      </c>
      <c r="BJ331" s="78"/>
      <c r="BK331" s="75"/>
      <c r="BL331" s="75"/>
      <c r="BM331" s="75"/>
      <c r="BN331" s="75"/>
      <c r="BO331" s="75">
        <v>6.25E-2</v>
      </c>
      <c r="BP331" s="75"/>
      <c r="BQ331" s="77"/>
      <c r="BR331" s="79">
        <f t="shared" si="23"/>
        <v>6.25E-2</v>
      </c>
      <c r="BT331" s="281">
        <v>53752</v>
      </c>
      <c r="BU331" s="75"/>
      <c r="BV331" s="75"/>
      <c r="BW331" s="77"/>
    </row>
    <row r="332" spans="1:75" s="11" customFormat="1" x14ac:dyDescent="0.2">
      <c r="A332" s="61"/>
      <c r="O332" s="61"/>
      <c r="AU332" s="281">
        <v>53797</v>
      </c>
      <c r="AV332" s="75"/>
      <c r="AW332" s="75"/>
      <c r="AX332" s="75"/>
      <c r="AY332" s="75"/>
      <c r="AZ332" s="75"/>
      <c r="BA332" s="75"/>
      <c r="BB332" s="75"/>
      <c r="BC332" s="75"/>
      <c r="BD332" s="75"/>
      <c r="BE332" s="75">
        <v>6.8750000000000006E-2</v>
      </c>
      <c r="BF332" s="75">
        <v>7.1249999999999994E-2</v>
      </c>
      <c r="BG332" s="75"/>
      <c r="BH332" s="75"/>
      <c r="BI332" s="74">
        <f t="shared" si="22"/>
        <v>7.0000000000000007E-2</v>
      </c>
      <c r="BJ332" s="78"/>
      <c r="BK332" s="75"/>
      <c r="BL332" s="75"/>
      <c r="BM332" s="75"/>
      <c r="BN332" s="75"/>
      <c r="BO332" s="75">
        <v>6.25E-2</v>
      </c>
      <c r="BP332" s="75"/>
      <c r="BQ332" s="77"/>
      <c r="BR332" s="79">
        <f t="shared" si="23"/>
        <v>6.25E-2</v>
      </c>
      <c r="BT332" s="281">
        <v>53783</v>
      </c>
      <c r="BU332" s="75"/>
      <c r="BV332" s="75"/>
      <c r="BW332" s="77"/>
    </row>
    <row r="333" spans="1:75" s="11" customFormat="1" x14ac:dyDescent="0.2">
      <c r="A333" s="61"/>
      <c r="O333" s="61"/>
      <c r="AU333" s="281">
        <v>53827</v>
      </c>
      <c r="AV333" s="75"/>
      <c r="AW333" s="75"/>
      <c r="AX333" s="75"/>
      <c r="AY333" s="75"/>
      <c r="AZ333" s="75"/>
      <c r="BA333" s="75"/>
      <c r="BB333" s="75"/>
      <c r="BC333" s="75"/>
      <c r="BD333" s="75"/>
      <c r="BE333" s="75">
        <v>6.8750000000000006E-2</v>
      </c>
      <c r="BF333" s="75">
        <v>7.1249999999999994E-2</v>
      </c>
      <c r="BG333" s="75"/>
      <c r="BH333" s="75"/>
      <c r="BI333" s="74">
        <f t="shared" si="22"/>
        <v>7.0000000000000007E-2</v>
      </c>
      <c r="BJ333" s="78"/>
      <c r="BK333" s="75"/>
      <c r="BL333" s="75"/>
      <c r="BM333" s="75"/>
      <c r="BN333" s="75"/>
      <c r="BO333" s="75">
        <v>6.25E-2</v>
      </c>
      <c r="BP333" s="75"/>
      <c r="BQ333" s="77"/>
      <c r="BR333" s="79">
        <f t="shared" si="23"/>
        <v>6.25E-2</v>
      </c>
      <c r="BT333" s="281">
        <v>53813</v>
      </c>
      <c r="BU333" s="75"/>
      <c r="BV333" s="75"/>
      <c r="BW333" s="77"/>
    </row>
    <row r="334" spans="1:75" s="11" customFormat="1" x14ac:dyDescent="0.2">
      <c r="A334" s="61"/>
      <c r="O334" s="61"/>
      <c r="AU334" s="281">
        <v>53858</v>
      </c>
      <c r="AV334" s="75"/>
      <c r="AW334" s="75"/>
      <c r="AX334" s="75"/>
      <c r="AY334" s="75"/>
      <c r="AZ334" s="75"/>
      <c r="BA334" s="75"/>
      <c r="BB334" s="75"/>
      <c r="BC334" s="75"/>
      <c r="BD334" s="75"/>
      <c r="BE334" s="75">
        <v>6.8750000000000006E-2</v>
      </c>
      <c r="BF334" s="75">
        <v>7.1249999999999994E-2</v>
      </c>
      <c r="BG334" s="75"/>
      <c r="BH334" s="75"/>
      <c r="BI334" s="74">
        <f t="shared" si="22"/>
        <v>7.0000000000000007E-2</v>
      </c>
      <c r="BJ334" s="78"/>
      <c r="BK334" s="75"/>
      <c r="BL334" s="75"/>
      <c r="BM334" s="75"/>
      <c r="BN334" s="75"/>
      <c r="BO334" s="75">
        <v>6.25E-2</v>
      </c>
      <c r="BP334" s="75"/>
      <c r="BQ334" s="77"/>
      <c r="BR334" s="79">
        <f t="shared" si="23"/>
        <v>6.25E-2</v>
      </c>
      <c r="BT334" s="281">
        <v>53844</v>
      </c>
      <c r="BU334" s="75"/>
      <c r="BV334" s="75"/>
      <c r="BW334" s="77"/>
    </row>
    <row r="335" spans="1:75" s="11" customFormat="1" x14ac:dyDescent="0.2">
      <c r="A335" s="61"/>
      <c r="O335" s="61"/>
      <c r="AU335" s="281">
        <v>53888</v>
      </c>
      <c r="AV335" s="75"/>
      <c r="AW335" s="75"/>
      <c r="AX335" s="75"/>
      <c r="AY335" s="75"/>
      <c r="AZ335" s="75"/>
      <c r="BA335" s="75"/>
      <c r="BB335" s="75"/>
      <c r="BC335" s="75"/>
      <c r="BD335" s="75"/>
      <c r="BE335" s="75">
        <v>6.8750000000000006E-2</v>
      </c>
      <c r="BF335" s="75">
        <v>7.1249999999999994E-2</v>
      </c>
      <c r="BG335" s="75"/>
      <c r="BH335" s="75"/>
      <c r="BI335" s="74">
        <f t="shared" si="22"/>
        <v>7.0000000000000007E-2</v>
      </c>
      <c r="BJ335" s="78"/>
      <c r="BK335" s="75"/>
      <c r="BL335" s="75"/>
      <c r="BM335" s="75"/>
      <c r="BN335" s="75"/>
      <c r="BO335" s="75">
        <v>6.25E-2</v>
      </c>
      <c r="BP335" s="75"/>
      <c r="BQ335" s="77"/>
      <c r="BR335" s="79">
        <f t="shared" si="23"/>
        <v>6.25E-2</v>
      </c>
      <c r="BT335" s="281">
        <v>53874</v>
      </c>
      <c r="BU335" s="75"/>
      <c r="BV335" s="75"/>
      <c r="BW335" s="77"/>
    </row>
    <row r="336" spans="1:75" s="11" customFormat="1" x14ac:dyDescent="0.2">
      <c r="A336" s="61"/>
      <c r="O336" s="61"/>
      <c r="AU336" s="281">
        <v>53919</v>
      </c>
      <c r="AV336" s="75"/>
      <c r="AW336" s="75"/>
      <c r="AX336" s="75"/>
      <c r="AY336" s="75"/>
      <c r="AZ336" s="75"/>
      <c r="BA336" s="75"/>
      <c r="BB336" s="75"/>
      <c r="BC336" s="75"/>
      <c r="BD336" s="75"/>
      <c r="BE336" s="75">
        <v>6.8750000000000006E-2</v>
      </c>
      <c r="BF336" s="75">
        <v>7.1249999999999994E-2</v>
      </c>
      <c r="BG336" s="75"/>
      <c r="BH336" s="75"/>
      <c r="BI336" s="74">
        <f t="shared" si="22"/>
        <v>7.0000000000000007E-2</v>
      </c>
      <c r="BJ336" s="78"/>
      <c r="BK336" s="75"/>
      <c r="BL336" s="75"/>
      <c r="BM336" s="75"/>
      <c r="BN336" s="75"/>
      <c r="BO336" s="75">
        <v>6.25E-2</v>
      </c>
      <c r="BP336" s="75"/>
      <c r="BQ336" s="77"/>
      <c r="BR336" s="79">
        <f t="shared" si="23"/>
        <v>6.25E-2</v>
      </c>
      <c r="BT336" s="281">
        <v>53905</v>
      </c>
      <c r="BU336" s="75"/>
      <c r="BV336" s="75"/>
      <c r="BW336" s="77"/>
    </row>
    <row r="337" spans="1:75" s="11" customFormat="1" x14ac:dyDescent="0.2">
      <c r="A337" s="61"/>
      <c r="O337" s="61"/>
      <c r="AU337" s="281">
        <v>53950</v>
      </c>
      <c r="AV337" s="75"/>
      <c r="AW337" s="75"/>
      <c r="AX337" s="75"/>
      <c r="AY337" s="75"/>
      <c r="AZ337" s="75"/>
      <c r="BA337" s="75"/>
      <c r="BB337" s="75"/>
      <c r="BC337" s="75"/>
      <c r="BD337" s="75"/>
      <c r="BE337" s="75">
        <v>6.8750000000000006E-2</v>
      </c>
      <c r="BF337" s="75">
        <v>7.1249999999999994E-2</v>
      </c>
      <c r="BG337" s="75"/>
      <c r="BH337" s="75"/>
      <c r="BI337" s="74">
        <f t="shared" si="22"/>
        <v>7.0000000000000007E-2</v>
      </c>
      <c r="BJ337" s="78"/>
      <c r="BK337" s="75"/>
      <c r="BL337" s="75"/>
      <c r="BM337" s="75"/>
      <c r="BN337" s="75"/>
      <c r="BO337" s="75">
        <v>6.25E-2</v>
      </c>
      <c r="BP337" s="75"/>
      <c r="BQ337" s="77"/>
      <c r="BR337" s="79">
        <f t="shared" si="23"/>
        <v>6.25E-2</v>
      </c>
      <c r="BT337" s="281">
        <v>53936</v>
      </c>
      <c r="BU337" s="75"/>
      <c r="BV337" s="75"/>
      <c r="BW337" s="77"/>
    </row>
    <row r="338" spans="1:75" s="11" customFormat="1" x14ac:dyDescent="0.2">
      <c r="A338" s="61"/>
      <c r="O338" s="61"/>
      <c r="AU338" s="281">
        <v>53980</v>
      </c>
      <c r="AV338" s="75"/>
      <c r="AW338" s="75"/>
      <c r="AX338" s="75"/>
      <c r="AY338" s="75"/>
      <c r="AZ338" s="75"/>
      <c r="BA338" s="75"/>
      <c r="BB338" s="75"/>
      <c r="BC338" s="75"/>
      <c r="BD338" s="75"/>
      <c r="BE338" s="75">
        <v>6.8750000000000006E-2</v>
      </c>
      <c r="BF338" s="75">
        <v>7.1249999999999994E-2</v>
      </c>
      <c r="BG338" s="75"/>
      <c r="BH338" s="75"/>
      <c r="BI338" s="74">
        <f t="shared" si="22"/>
        <v>7.0000000000000007E-2</v>
      </c>
      <c r="BJ338" s="78"/>
      <c r="BK338" s="75"/>
      <c r="BL338" s="75"/>
      <c r="BM338" s="75"/>
      <c r="BN338" s="75"/>
      <c r="BO338" s="75">
        <v>6.25E-2</v>
      </c>
      <c r="BP338" s="75"/>
      <c r="BQ338" s="77"/>
      <c r="BR338" s="79">
        <f t="shared" si="23"/>
        <v>6.25E-2</v>
      </c>
      <c r="BT338" s="281">
        <v>53966</v>
      </c>
      <c r="BU338" s="75"/>
      <c r="BV338" s="75"/>
      <c r="BW338" s="77"/>
    </row>
    <row r="339" spans="1:75" s="11" customFormat="1" x14ac:dyDescent="0.2">
      <c r="A339" s="61"/>
      <c r="O339" s="61"/>
      <c r="AU339" s="281">
        <v>54011</v>
      </c>
      <c r="AV339" s="75"/>
      <c r="AW339" s="75"/>
      <c r="AX339" s="75"/>
      <c r="AY339" s="75"/>
      <c r="AZ339" s="75"/>
      <c r="BA339" s="75"/>
      <c r="BB339" s="75"/>
      <c r="BC339" s="75"/>
      <c r="BD339" s="75"/>
      <c r="BE339" s="75">
        <v>6.8750000000000006E-2</v>
      </c>
      <c r="BF339" s="75">
        <v>7.1249999999999994E-2</v>
      </c>
      <c r="BG339" s="75"/>
      <c r="BH339" s="75"/>
      <c r="BI339" s="74">
        <f t="shared" si="22"/>
        <v>7.0000000000000007E-2</v>
      </c>
      <c r="BJ339" s="83"/>
      <c r="BK339" s="80"/>
      <c r="BL339" s="80"/>
      <c r="BM339" s="80"/>
      <c r="BN339" s="80"/>
      <c r="BO339" s="80"/>
      <c r="BP339" s="80"/>
      <c r="BQ339" s="81"/>
      <c r="BR339" s="84"/>
      <c r="BT339" s="282">
        <v>54011</v>
      </c>
      <c r="BU339" s="80"/>
      <c r="BV339" s="80"/>
      <c r="BW339" s="81"/>
    </row>
    <row r="340" spans="1:75" s="11" customFormat="1" x14ac:dyDescent="0.2">
      <c r="A340" s="61"/>
      <c r="O340" s="61"/>
      <c r="AU340" s="281">
        <v>54041</v>
      </c>
      <c r="AV340" s="75"/>
      <c r="AW340" s="75"/>
      <c r="AX340" s="75"/>
      <c r="AY340" s="75"/>
      <c r="AZ340" s="75"/>
      <c r="BA340" s="75"/>
      <c r="BB340" s="75"/>
      <c r="BC340" s="75"/>
      <c r="BD340" s="75"/>
      <c r="BE340" s="75">
        <v>6.8750000000000006E-2</v>
      </c>
      <c r="BF340" s="75">
        <v>7.1249999999999994E-2</v>
      </c>
      <c r="BG340" s="75"/>
      <c r="BH340" s="75"/>
      <c r="BI340" s="74">
        <f t="shared" si="22"/>
        <v>7.0000000000000007E-2</v>
      </c>
    </row>
    <row r="341" spans="1:75" s="11" customFormat="1" x14ac:dyDescent="0.2">
      <c r="A341" s="61"/>
      <c r="O341" s="61"/>
      <c r="AU341" s="281">
        <v>54072</v>
      </c>
      <c r="AV341" s="75"/>
      <c r="AW341" s="75"/>
      <c r="AX341" s="75"/>
      <c r="AY341" s="75"/>
      <c r="AZ341" s="75"/>
      <c r="BA341" s="75"/>
      <c r="BB341" s="75"/>
      <c r="BC341" s="75"/>
      <c r="BD341" s="75"/>
      <c r="BE341" s="75">
        <v>6.8750000000000006E-2</v>
      </c>
      <c r="BF341" s="75">
        <v>7.1249999999999994E-2</v>
      </c>
      <c r="BG341" s="75"/>
      <c r="BH341" s="75"/>
      <c r="BI341" s="74">
        <f t="shared" si="22"/>
        <v>7.0000000000000007E-2</v>
      </c>
    </row>
    <row r="342" spans="1:75" s="11" customFormat="1" x14ac:dyDescent="0.2">
      <c r="A342" s="61"/>
      <c r="O342" s="61"/>
      <c r="AU342" s="281">
        <v>54103</v>
      </c>
      <c r="AV342" s="75"/>
      <c r="AW342" s="75"/>
      <c r="AX342" s="75"/>
      <c r="AY342" s="75"/>
      <c r="AZ342" s="75"/>
      <c r="BA342" s="75"/>
      <c r="BB342" s="75"/>
      <c r="BC342" s="75"/>
      <c r="BD342" s="75"/>
      <c r="BE342" s="75"/>
      <c r="BF342" s="75">
        <v>7.1249999999999994E-2</v>
      </c>
      <c r="BG342" s="75"/>
      <c r="BH342" s="75"/>
      <c r="BI342" s="74">
        <f t="shared" si="22"/>
        <v>7.1249999999999994E-2</v>
      </c>
    </row>
    <row r="343" spans="1:75" s="11" customFormat="1" x14ac:dyDescent="0.2">
      <c r="A343" s="61"/>
      <c r="O343" s="61"/>
      <c r="AU343" s="281">
        <v>54132</v>
      </c>
      <c r="AV343" s="75"/>
      <c r="AW343" s="75"/>
      <c r="AX343" s="75"/>
      <c r="AY343" s="75"/>
      <c r="AZ343" s="75"/>
      <c r="BA343" s="75"/>
      <c r="BB343" s="75"/>
      <c r="BC343" s="75"/>
      <c r="BD343" s="75"/>
      <c r="BE343" s="75"/>
      <c r="BF343" s="75">
        <v>7.1249999999999994E-2</v>
      </c>
      <c r="BG343" s="75"/>
      <c r="BH343" s="75"/>
      <c r="BI343" s="74">
        <f t="shared" si="22"/>
        <v>7.1249999999999994E-2</v>
      </c>
    </row>
    <row r="344" spans="1:75" s="11" customFormat="1" x14ac:dyDescent="0.2">
      <c r="A344" s="61"/>
      <c r="O344" s="61"/>
      <c r="AU344" s="281">
        <v>54163</v>
      </c>
      <c r="AV344" s="75"/>
      <c r="AW344" s="75"/>
      <c r="AX344" s="75"/>
      <c r="AY344" s="75"/>
      <c r="AZ344" s="75"/>
      <c r="BA344" s="75"/>
      <c r="BB344" s="75"/>
      <c r="BC344" s="75"/>
      <c r="BD344" s="75"/>
      <c r="BE344" s="75"/>
      <c r="BF344" s="75">
        <v>7.1249999999999994E-2</v>
      </c>
      <c r="BG344" s="75"/>
      <c r="BH344" s="75"/>
      <c r="BI344" s="74">
        <f t="shared" si="22"/>
        <v>7.1249999999999994E-2</v>
      </c>
    </row>
    <row r="345" spans="1:75" s="11" customFormat="1" x14ac:dyDescent="0.2">
      <c r="A345" s="61"/>
      <c r="O345" s="61"/>
      <c r="AU345" s="281">
        <v>54193</v>
      </c>
      <c r="AV345" s="75"/>
      <c r="AW345" s="75"/>
      <c r="AX345" s="75"/>
      <c r="AY345" s="75"/>
      <c r="AZ345" s="75"/>
      <c r="BA345" s="75"/>
      <c r="BB345" s="75"/>
      <c r="BC345" s="75"/>
      <c r="BD345" s="75"/>
      <c r="BE345" s="75"/>
      <c r="BF345" s="75">
        <v>7.1249999999999994E-2</v>
      </c>
      <c r="BG345" s="75"/>
      <c r="BH345" s="75"/>
      <c r="BI345" s="74">
        <f t="shared" si="22"/>
        <v>7.1249999999999994E-2</v>
      </c>
    </row>
    <row r="346" spans="1:75" s="11" customFormat="1" x14ac:dyDescent="0.2">
      <c r="A346" s="61"/>
      <c r="O346" s="61"/>
      <c r="AU346" s="281">
        <v>54224</v>
      </c>
      <c r="AV346" s="75"/>
      <c r="AW346" s="75"/>
      <c r="AX346" s="75"/>
      <c r="AY346" s="75"/>
      <c r="AZ346" s="75"/>
      <c r="BA346" s="75"/>
      <c r="BB346" s="75"/>
      <c r="BC346" s="75"/>
      <c r="BD346" s="75"/>
      <c r="BE346" s="75"/>
      <c r="BF346" s="75">
        <v>7.1249999999999994E-2</v>
      </c>
      <c r="BG346" s="75"/>
      <c r="BH346" s="75"/>
      <c r="BI346" s="74">
        <f t="shared" si="22"/>
        <v>7.1249999999999994E-2</v>
      </c>
    </row>
    <row r="347" spans="1:75" s="11" customFormat="1" x14ac:dyDescent="0.2">
      <c r="A347" s="61"/>
      <c r="O347" s="61"/>
      <c r="AU347" s="281">
        <v>54254</v>
      </c>
      <c r="AV347" s="75"/>
      <c r="AW347" s="75"/>
      <c r="AX347" s="75"/>
      <c r="AY347" s="75"/>
      <c r="AZ347" s="75"/>
      <c r="BA347" s="75"/>
      <c r="BB347" s="75"/>
      <c r="BC347" s="75"/>
      <c r="BD347" s="75"/>
      <c r="BE347" s="75"/>
      <c r="BF347" s="75">
        <v>7.1249999999999994E-2</v>
      </c>
      <c r="BG347" s="75"/>
      <c r="BH347" s="75"/>
      <c r="BI347" s="74">
        <f t="shared" si="22"/>
        <v>7.1249999999999994E-2</v>
      </c>
    </row>
    <row r="348" spans="1:75" s="11" customFormat="1" x14ac:dyDescent="0.2">
      <c r="A348" s="61"/>
      <c r="O348" s="61"/>
      <c r="AU348" s="281">
        <v>54285</v>
      </c>
      <c r="AV348" s="75"/>
      <c r="AW348" s="75"/>
      <c r="AX348" s="75"/>
      <c r="AY348" s="75"/>
      <c r="AZ348" s="75"/>
      <c r="BA348" s="75"/>
      <c r="BB348" s="75"/>
      <c r="BC348" s="75"/>
      <c r="BD348" s="75"/>
      <c r="BE348" s="75"/>
      <c r="BF348" s="75">
        <v>7.1249999999999994E-2</v>
      </c>
      <c r="BG348" s="75"/>
      <c r="BH348" s="75"/>
      <c r="BI348" s="74">
        <f t="shared" si="22"/>
        <v>7.1249999999999994E-2</v>
      </c>
    </row>
    <row r="349" spans="1:75" s="11" customFormat="1" x14ac:dyDescent="0.2">
      <c r="A349" s="61"/>
      <c r="O349" s="61"/>
      <c r="AU349" s="281">
        <v>54316</v>
      </c>
      <c r="AV349" s="75"/>
      <c r="AW349" s="75"/>
      <c r="AX349" s="75"/>
      <c r="AY349" s="75"/>
      <c r="AZ349" s="75"/>
      <c r="BA349" s="75"/>
      <c r="BB349" s="75"/>
      <c r="BC349" s="75"/>
      <c r="BD349" s="75"/>
      <c r="BE349" s="75"/>
      <c r="BF349" s="75">
        <v>7.1249999999999994E-2</v>
      </c>
      <c r="BG349" s="75"/>
      <c r="BH349" s="75"/>
      <c r="BI349" s="74">
        <f t="shared" si="22"/>
        <v>7.1249999999999994E-2</v>
      </c>
    </row>
    <row r="350" spans="1:75" s="11" customFormat="1" x14ac:dyDescent="0.2">
      <c r="A350" s="61"/>
      <c r="O350" s="61"/>
      <c r="AU350" s="281">
        <v>54346</v>
      </c>
      <c r="AV350" s="75"/>
      <c r="AW350" s="75"/>
      <c r="AX350" s="75"/>
      <c r="AY350" s="75"/>
      <c r="AZ350" s="75"/>
      <c r="BA350" s="75"/>
      <c r="BB350" s="75"/>
      <c r="BC350" s="75"/>
      <c r="BD350" s="75"/>
      <c r="BE350" s="75"/>
      <c r="BF350" s="75">
        <v>7.1249999999999994E-2</v>
      </c>
      <c r="BG350" s="75"/>
      <c r="BH350" s="75"/>
      <c r="BI350" s="74">
        <f t="shared" si="22"/>
        <v>7.1249999999999994E-2</v>
      </c>
    </row>
    <row r="351" spans="1:75" s="11" customFormat="1" x14ac:dyDescent="0.2">
      <c r="A351" s="61"/>
      <c r="O351" s="61"/>
      <c r="AU351" s="281">
        <v>54377</v>
      </c>
      <c r="AV351" s="75"/>
      <c r="AW351" s="75"/>
      <c r="AX351" s="75"/>
      <c r="AY351" s="75"/>
      <c r="AZ351" s="75"/>
      <c r="BA351" s="75"/>
      <c r="BB351" s="75"/>
      <c r="BC351" s="75"/>
      <c r="BD351" s="75"/>
      <c r="BE351" s="75"/>
      <c r="BF351" s="75">
        <v>7.1249999999999994E-2</v>
      </c>
      <c r="BG351" s="75"/>
      <c r="BH351" s="75"/>
      <c r="BI351" s="74">
        <f t="shared" si="22"/>
        <v>7.1249999999999994E-2</v>
      </c>
    </row>
    <row r="352" spans="1:75" s="11" customFormat="1" x14ac:dyDescent="0.2">
      <c r="A352" s="61"/>
      <c r="O352" s="61"/>
      <c r="AU352" s="281">
        <v>54407</v>
      </c>
      <c r="AV352" s="75"/>
      <c r="AW352" s="75"/>
      <c r="AX352" s="75"/>
      <c r="AY352" s="75"/>
      <c r="AZ352" s="75"/>
      <c r="BA352" s="75"/>
      <c r="BB352" s="75"/>
      <c r="BC352" s="75"/>
      <c r="BD352" s="75"/>
      <c r="BE352" s="75"/>
      <c r="BF352" s="75">
        <v>7.1249999999999994E-2</v>
      </c>
      <c r="BG352" s="75"/>
      <c r="BH352" s="75"/>
      <c r="BI352" s="74">
        <f t="shared" si="22"/>
        <v>7.1249999999999994E-2</v>
      </c>
    </row>
    <row r="353" spans="1:61" s="11" customFormat="1" x14ac:dyDescent="0.2">
      <c r="A353" s="61"/>
      <c r="O353" s="61"/>
      <c r="AU353" s="281">
        <v>54438</v>
      </c>
      <c r="AV353" s="75"/>
      <c r="AW353" s="75"/>
      <c r="AX353" s="75"/>
      <c r="AY353" s="75"/>
      <c r="AZ353" s="75"/>
      <c r="BA353" s="75"/>
      <c r="BB353" s="75"/>
      <c r="BC353" s="75"/>
      <c r="BD353" s="75"/>
      <c r="BE353" s="75"/>
      <c r="BF353" s="75">
        <v>7.1249999999999994E-2</v>
      </c>
      <c r="BG353" s="75"/>
      <c r="BH353" s="75"/>
      <c r="BI353" s="74">
        <f t="shared" si="22"/>
        <v>7.1249999999999994E-2</v>
      </c>
    </row>
    <row r="354" spans="1:61" s="11" customFormat="1" x14ac:dyDescent="0.2">
      <c r="A354" s="61"/>
      <c r="O354" s="61"/>
      <c r="AU354" s="281">
        <v>54469</v>
      </c>
      <c r="AV354" s="75"/>
      <c r="AW354" s="75"/>
      <c r="AX354" s="75"/>
      <c r="AY354" s="75"/>
      <c r="AZ354" s="75"/>
      <c r="BA354" s="75"/>
      <c r="BB354" s="75"/>
      <c r="BC354" s="75"/>
      <c r="BD354" s="75"/>
      <c r="BE354" s="75"/>
      <c r="BF354" s="75">
        <v>7.1249999999999994E-2</v>
      </c>
      <c r="BG354" s="75"/>
      <c r="BH354" s="75"/>
      <c r="BI354" s="74">
        <f t="shared" si="22"/>
        <v>7.1249999999999994E-2</v>
      </c>
    </row>
    <row r="355" spans="1:61" s="11" customFormat="1" x14ac:dyDescent="0.2">
      <c r="A355" s="61"/>
      <c r="O355" s="61"/>
      <c r="AU355" s="281">
        <v>54497</v>
      </c>
      <c r="AV355" s="75"/>
      <c r="AW355" s="75"/>
      <c r="AX355" s="75"/>
      <c r="AY355" s="75"/>
      <c r="AZ355" s="75"/>
      <c r="BA355" s="75"/>
      <c r="BB355" s="75"/>
      <c r="BC355" s="75"/>
      <c r="BD355" s="75"/>
      <c r="BE355" s="75"/>
      <c r="BF355" s="75">
        <v>7.1249999999999994E-2</v>
      </c>
      <c r="BG355" s="75"/>
      <c r="BH355" s="75"/>
      <c r="BI355" s="74">
        <f t="shared" si="22"/>
        <v>7.1249999999999994E-2</v>
      </c>
    </row>
    <row r="356" spans="1:61" s="11" customFormat="1" x14ac:dyDescent="0.2">
      <c r="A356" s="61"/>
      <c r="O356" s="61"/>
      <c r="AU356" s="281">
        <v>54528</v>
      </c>
      <c r="AV356" s="75"/>
      <c r="AW356" s="75"/>
      <c r="AX356" s="75"/>
      <c r="AY356" s="75"/>
      <c r="AZ356" s="75"/>
      <c r="BA356" s="75"/>
      <c r="BB356" s="75"/>
      <c r="BC356" s="75"/>
      <c r="BD356" s="75"/>
      <c r="BE356" s="75"/>
      <c r="BF356" s="75">
        <v>7.1249999999999994E-2</v>
      </c>
      <c r="BG356" s="75"/>
      <c r="BH356" s="75"/>
      <c r="BI356" s="74">
        <f t="shared" si="22"/>
        <v>7.1249999999999994E-2</v>
      </c>
    </row>
    <row r="357" spans="1:61" s="11" customFormat="1" x14ac:dyDescent="0.2">
      <c r="A357" s="61"/>
      <c r="O357" s="61"/>
      <c r="AU357" s="281">
        <v>54558</v>
      </c>
      <c r="AV357" s="75"/>
      <c r="AW357" s="75"/>
      <c r="AX357" s="75"/>
      <c r="AY357" s="75"/>
      <c r="AZ357" s="75"/>
      <c r="BA357" s="75"/>
      <c r="BB357" s="75"/>
      <c r="BC357" s="75"/>
      <c r="BD357" s="75"/>
      <c r="BE357" s="75"/>
      <c r="BF357" s="75">
        <v>7.1249999999999994E-2</v>
      </c>
      <c r="BG357" s="75"/>
      <c r="BH357" s="75"/>
      <c r="BI357" s="74">
        <f t="shared" si="22"/>
        <v>7.1249999999999994E-2</v>
      </c>
    </row>
    <row r="358" spans="1:61" s="11" customFormat="1" x14ac:dyDescent="0.2">
      <c r="A358" s="61"/>
      <c r="O358" s="61"/>
      <c r="AU358" s="281">
        <v>54589</v>
      </c>
      <c r="AV358" s="75"/>
      <c r="AW358" s="75"/>
      <c r="AX358" s="75"/>
      <c r="AY358" s="75"/>
      <c r="AZ358" s="75"/>
      <c r="BA358" s="75"/>
      <c r="BB358" s="75"/>
      <c r="BC358" s="75"/>
      <c r="BD358" s="75"/>
      <c r="BE358" s="75"/>
      <c r="BF358" s="75">
        <v>7.1249999999999994E-2</v>
      </c>
      <c r="BG358" s="75"/>
      <c r="BH358" s="75"/>
      <c r="BI358" s="74">
        <f t="shared" si="22"/>
        <v>7.1249999999999994E-2</v>
      </c>
    </row>
    <row r="359" spans="1:61" s="11" customFormat="1" x14ac:dyDescent="0.2">
      <c r="A359" s="61"/>
      <c r="O359" s="61"/>
      <c r="AU359" s="281">
        <v>54619</v>
      </c>
      <c r="AV359" s="75"/>
      <c r="AW359" s="75"/>
      <c r="AX359" s="75"/>
      <c r="AY359" s="75"/>
      <c r="AZ359" s="75"/>
      <c r="BA359" s="75"/>
      <c r="BB359" s="75"/>
      <c r="BC359" s="75"/>
      <c r="BD359" s="75"/>
      <c r="BE359" s="75"/>
      <c r="BF359" s="75">
        <v>7.1249999999999994E-2</v>
      </c>
      <c r="BG359" s="75"/>
      <c r="BH359" s="75"/>
      <c r="BI359" s="74">
        <f t="shared" si="22"/>
        <v>7.1249999999999994E-2</v>
      </c>
    </row>
    <row r="360" spans="1:61" s="11" customFormat="1" x14ac:dyDescent="0.2">
      <c r="A360" s="61"/>
      <c r="O360" s="61"/>
      <c r="AU360" s="281">
        <v>54650</v>
      </c>
      <c r="AV360" s="75"/>
      <c r="AW360" s="75"/>
      <c r="AX360" s="75"/>
      <c r="AY360" s="75"/>
      <c r="AZ360" s="75"/>
      <c r="BA360" s="75"/>
      <c r="BB360" s="75"/>
      <c r="BC360" s="75"/>
      <c r="BD360" s="75"/>
      <c r="BE360" s="75"/>
      <c r="BF360" s="75">
        <v>7.1249999999999994E-2</v>
      </c>
      <c r="BG360" s="75"/>
      <c r="BH360" s="75"/>
      <c r="BI360" s="74">
        <f t="shared" si="22"/>
        <v>7.1249999999999994E-2</v>
      </c>
    </row>
    <row r="361" spans="1:61" s="11" customFormat="1" x14ac:dyDescent="0.2">
      <c r="A361" s="61"/>
      <c r="O361" s="61"/>
      <c r="AU361" s="281">
        <v>54681</v>
      </c>
      <c r="AV361" s="75"/>
      <c r="AW361" s="75"/>
      <c r="AX361" s="75"/>
      <c r="AY361" s="75"/>
      <c r="AZ361" s="75"/>
      <c r="BA361" s="75"/>
      <c r="BB361" s="75"/>
      <c r="BC361" s="75"/>
      <c r="BD361" s="75"/>
      <c r="BE361" s="75"/>
      <c r="BF361" s="75">
        <v>7.1249999999999994E-2</v>
      </c>
      <c r="BG361" s="75"/>
      <c r="BH361" s="75"/>
      <c r="BI361" s="74">
        <f t="shared" si="22"/>
        <v>7.1249999999999994E-2</v>
      </c>
    </row>
    <row r="362" spans="1:61" s="11" customFormat="1" x14ac:dyDescent="0.2">
      <c r="A362" s="61"/>
      <c r="O362" s="61"/>
      <c r="AU362" s="281">
        <v>54711</v>
      </c>
      <c r="AV362" s="75"/>
      <c r="AW362" s="75"/>
      <c r="AX362" s="75"/>
      <c r="AY362" s="75"/>
      <c r="AZ362" s="75"/>
      <c r="BA362" s="75"/>
      <c r="BB362" s="75"/>
      <c r="BC362" s="75"/>
      <c r="BD362" s="75"/>
      <c r="BE362" s="75"/>
      <c r="BF362" s="75">
        <v>7.1249999999999994E-2</v>
      </c>
      <c r="BG362" s="75"/>
      <c r="BH362" s="75"/>
      <c r="BI362" s="74">
        <f t="shared" si="22"/>
        <v>7.1249999999999994E-2</v>
      </c>
    </row>
    <row r="363" spans="1:61" s="11" customFormat="1" x14ac:dyDescent="0.2">
      <c r="A363" s="61"/>
      <c r="O363" s="61"/>
      <c r="AU363" s="281">
        <v>54742</v>
      </c>
      <c r="AV363" s="75"/>
      <c r="AW363" s="75"/>
      <c r="AX363" s="75"/>
      <c r="AY363" s="75"/>
      <c r="AZ363" s="75"/>
      <c r="BA363" s="75"/>
      <c r="BB363" s="75"/>
      <c r="BC363" s="75"/>
      <c r="BD363" s="75"/>
      <c r="BE363" s="75"/>
      <c r="BF363" s="75">
        <v>7.1249999999999994E-2</v>
      </c>
      <c r="BG363" s="75"/>
      <c r="BH363" s="75"/>
      <c r="BI363" s="74">
        <f t="shared" si="22"/>
        <v>7.1249999999999994E-2</v>
      </c>
    </row>
    <row r="364" spans="1:61" s="11" customFormat="1" x14ac:dyDescent="0.2">
      <c r="A364" s="61"/>
      <c r="O364" s="61"/>
      <c r="AU364" s="281">
        <v>54772</v>
      </c>
      <c r="AV364" s="75"/>
      <c r="AW364" s="75"/>
      <c r="AX364" s="75"/>
      <c r="AY364" s="75"/>
      <c r="AZ364" s="75"/>
      <c r="BA364" s="75"/>
      <c r="BB364" s="75"/>
      <c r="BC364" s="75"/>
      <c r="BD364" s="75"/>
      <c r="BE364" s="75"/>
      <c r="BF364" s="75">
        <v>7.1249999999999994E-2</v>
      </c>
      <c r="BG364" s="75"/>
      <c r="BH364" s="75"/>
      <c r="BI364" s="74">
        <f t="shared" si="22"/>
        <v>7.1249999999999994E-2</v>
      </c>
    </row>
    <row r="365" spans="1:61" s="11" customFormat="1" x14ac:dyDescent="0.2">
      <c r="A365" s="61"/>
      <c r="O365" s="61"/>
      <c r="AU365" s="281">
        <v>54803</v>
      </c>
      <c r="AV365" s="75"/>
      <c r="AW365" s="75"/>
      <c r="AX365" s="75"/>
      <c r="AY365" s="75"/>
      <c r="AZ365" s="75"/>
      <c r="BA365" s="75"/>
      <c r="BB365" s="75"/>
      <c r="BC365" s="75"/>
      <c r="BD365" s="75"/>
      <c r="BE365" s="75"/>
      <c r="BF365" s="75">
        <v>7.1249999999999994E-2</v>
      </c>
      <c r="BG365" s="75"/>
      <c r="BH365" s="75"/>
      <c r="BI365" s="74">
        <f t="shared" si="22"/>
        <v>7.1249999999999994E-2</v>
      </c>
    </row>
    <row r="366" spans="1:61" s="11" customFormat="1" x14ac:dyDescent="0.2">
      <c r="A366" s="61"/>
      <c r="O366" s="61"/>
      <c r="AU366" s="281">
        <v>54834</v>
      </c>
      <c r="AV366" s="75"/>
      <c r="AW366" s="75"/>
      <c r="AX366" s="75"/>
      <c r="AY366" s="75"/>
      <c r="AZ366" s="75"/>
      <c r="BA366" s="75"/>
      <c r="BB366" s="75"/>
      <c r="BC366" s="75"/>
      <c r="BD366" s="75"/>
      <c r="BE366" s="75"/>
      <c r="BF366" s="75">
        <v>7.1249999999999994E-2</v>
      </c>
      <c r="BG366" s="75"/>
      <c r="BH366" s="75"/>
      <c r="BI366" s="74">
        <f t="shared" si="22"/>
        <v>7.1249999999999994E-2</v>
      </c>
    </row>
    <row r="367" spans="1:61" s="11" customFormat="1" x14ac:dyDescent="0.2">
      <c r="A367" s="61"/>
      <c r="O367" s="61"/>
      <c r="AU367" s="281">
        <v>54862</v>
      </c>
      <c r="AV367" s="75"/>
      <c r="AW367" s="75"/>
      <c r="AX367" s="75"/>
      <c r="AY367" s="75"/>
      <c r="AZ367" s="75"/>
      <c r="BA367" s="75"/>
      <c r="BB367" s="75"/>
      <c r="BC367" s="75"/>
      <c r="BD367" s="75"/>
      <c r="BE367" s="75"/>
      <c r="BF367" s="75">
        <v>7.1249999999999994E-2</v>
      </c>
      <c r="BG367" s="75"/>
      <c r="BH367" s="75"/>
      <c r="BI367" s="74">
        <f t="shared" si="22"/>
        <v>7.1249999999999994E-2</v>
      </c>
    </row>
    <row r="368" spans="1:61" s="11" customFormat="1" x14ac:dyDescent="0.2">
      <c r="A368" s="61"/>
      <c r="O368" s="61"/>
      <c r="AU368" s="281">
        <v>54893</v>
      </c>
      <c r="AV368" s="75"/>
      <c r="AW368" s="75"/>
      <c r="AX368" s="75"/>
      <c r="AY368" s="75"/>
      <c r="AZ368" s="75"/>
      <c r="BA368" s="75"/>
      <c r="BB368" s="75"/>
      <c r="BC368" s="75"/>
      <c r="BD368" s="75"/>
      <c r="BE368" s="75"/>
      <c r="BF368" s="75">
        <v>7.1249999999999994E-2</v>
      </c>
      <c r="BG368" s="75"/>
      <c r="BH368" s="75"/>
      <c r="BI368" s="74">
        <f t="shared" si="22"/>
        <v>7.1249999999999994E-2</v>
      </c>
    </row>
    <row r="369" spans="1:61" s="11" customFormat="1" x14ac:dyDescent="0.2">
      <c r="A369" s="61"/>
      <c r="O369" s="61"/>
      <c r="AU369" s="281">
        <v>54923</v>
      </c>
      <c r="AV369" s="75"/>
      <c r="AW369" s="75"/>
      <c r="AX369" s="75"/>
      <c r="AY369" s="75"/>
      <c r="AZ369" s="75"/>
      <c r="BA369" s="75"/>
      <c r="BB369" s="75"/>
      <c r="BC369" s="75"/>
      <c r="BD369" s="75"/>
      <c r="BE369" s="75"/>
      <c r="BF369" s="75">
        <v>7.1249999999999994E-2</v>
      </c>
      <c r="BG369" s="75"/>
      <c r="BH369" s="75"/>
      <c r="BI369" s="74">
        <f t="shared" si="22"/>
        <v>7.1249999999999994E-2</v>
      </c>
    </row>
    <row r="370" spans="1:61" s="11" customFormat="1" x14ac:dyDescent="0.2">
      <c r="A370" s="61"/>
      <c r="O370" s="61"/>
      <c r="AU370" s="281">
        <v>54954</v>
      </c>
      <c r="AV370" s="75"/>
      <c r="AW370" s="75"/>
      <c r="AX370" s="75"/>
      <c r="AY370" s="75"/>
      <c r="AZ370" s="75"/>
      <c r="BA370" s="75"/>
      <c r="BB370" s="75"/>
      <c r="BC370" s="75"/>
      <c r="BD370" s="75"/>
      <c r="BE370" s="75"/>
      <c r="BF370" s="75">
        <v>7.1249999999999994E-2</v>
      </c>
      <c r="BG370" s="75"/>
      <c r="BH370" s="75"/>
      <c r="BI370" s="74">
        <f t="shared" si="22"/>
        <v>7.1249999999999994E-2</v>
      </c>
    </row>
    <row r="371" spans="1:61" s="11" customFormat="1" x14ac:dyDescent="0.2">
      <c r="A371" s="61"/>
      <c r="O371" s="61"/>
      <c r="AU371" s="281">
        <v>54984</v>
      </c>
      <c r="AV371" s="75"/>
      <c r="AW371" s="75"/>
      <c r="AX371" s="75"/>
      <c r="AY371" s="75"/>
      <c r="AZ371" s="75"/>
      <c r="BA371" s="75"/>
      <c r="BB371" s="75"/>
      <c r="BC371" s="75"/>
      <c r="BD371" s="75"/>
      <c r="BE371" s="75"/>
      <c r="BF371" s="75">
        <v>7.1249999999999994E-2</v>
      </c>
      <c r="BG371" s="75"/>
      <c r="BH371" s="75"/>
      <c r="BI371" s="74">
        <f t="shared" si="22"/>
        <v>7.1249999999999994E-2</v>
      </c>
    </row>
    <row r="372" spans="1:61" s="11" customFormat="1" x14ac:dyDescent="0.2">
      <c r="A372" s="61"/>
      <c r="O372" s="61"/>
      <c r="AU372" s="281">
        <v>55015</v>
      </c>
      <c r="AV372" s="75"/>
      <c r="AW372" s="75"/>
      <c r="AX372" s="75"/>
      <c r="AY372" s="75"/>
      <c r="AZ372" s="75"/>
      <c r="BA372" s="75"/>
      <c r="BB372" s="75"/>
      <c r="BC372" s="75"/>
      <c r="BD372" s="75"/>
      <c r="BE372" s="75"/>
      <c r="BF372" s="75">
        <v>7.1249999999999994E-2</v>
      </c>
      <c r="BG372" s="75"/>
      <c r="BH372" s="75"/>
      <c r="BI372" s="74">
        <f t="shared" si="22"/>
        <v>7.1249999999999994E-2</v>
      </c>
    </row>
    <row r="373" spans="1:61" s="11" customFormat="1" x14ac:dyDescent="0.2">
      <c r="A373" s="61"/>
      <c r="O373" s="61"/>
      <c r="AU373" s="281">
        <v>55046</v>
      </c>
      <c r="AV373" s="75"/>
      <c r="AW373" s="75"/>
      <c r="AX373" s="75"/>
      <c r="AY373" s="75"/>
      <c r="AZ373" s="75"/>
      <c r="BA373" s="75"/>
      <c r="BB373" s="75"/>
      <c r="BC373" s="75"/>
      <c r="BD373" s="75"/>
      <c r="BE373" s="75"/>
      <c r="BF373" s="75">
        <v>7.1249999999999994E-2</v>
      </c>
      <c r="BG373" s="75"/>
      <c r="BH373" s="75"/>
      <c r="BI373" s="74">
        <f t="shared" si="22"/>
        <v>7.1249999999999994E-2</v>
      </c>
    </row>
    <row r="374" spans="1:61" s="11" customFormat="1" x14ac:dyDescent="0.2">
      <c r="A374" s="61"/>
      <c r="O374" s="61"/>
      <c r="AU374" s="281">
        <v>55076</v>
      </c>
      <c r="AV374" s="75"/>
      <c r="AW374" s="75"/>
      <c r="AX374" s="75"/>
      <c r="AY374" s="75"/>
      <c r="AZ374" s="75"/>
      <c r="BA374" s="75"/>
      <c r="BB374" s="75"/>
      <c r="BC374" s="75"/>
      <c r="BD374" s="75"/>
      <c r="BE374" s="75"/>
      <c r="BF374" s="75">
        <v>7.1249999999999994E-2</v>
      </c>
      <c r="BG374" s="75"/>
      <c r="BH374" s="75"/>
      <c r="BI374" s="74">
        <f t="shared" si="22"/>
        <v>7.1249999999999994E-2</v>
      </c>
    </row>
    <row r="375" spans="1:61" s="11" customFormat="1" x14ac:dyDescent="0.2">
      <c r="A375" s="61"/>
      <c r="O375" s="61"/>
      <c r="AU375" s="281">
        <v>55107</v>
      </c>
      <c r="AV375" s="75"/>
      <c r="AW375" s="75"/>
      <c r="AX375" s="75"/>
      <c r="AY375" s="75"/>
      <c r="AZ375" s="75"/>
      <c r="BA375" s="75"/>
      <c r="BB375" s="75"/>
      <c r="BC375" s="75"/>
      <c r="BD375" s="75"/>
      <c r="BE375" s="75"/>
      <c r="BF375" s="75">
        <v>7.1249999999999994E-2</v>
      </c>
      <c r="BG375" s="75"/>
      <c r="BH375" s="75"/>
      <c r="BI375" s="74">
        <f t="shared" si="22"/>
        <v>7.1249999999999994E-2</v>
      </c>
    </row>
    <row r="376" spans="1:61" s="11" customFormat="1" x14ac:dyDescent="0.2">
      <c r="A376" s="61"/>
      <c r="O376" s="61"/>
      <c r="AU376" s="281">
        <v>55137</v>
      </c>
      <c r="AV376" s="75"/>
      <c r="AW376" s="75"/>
      <c r="AX376" s="75"/>
      <c r="AY376" s="75"/>
      <c r="AZ376" s="75"/>
      <c r="BA376" s="75"/>
      <c r="BB376" s="75"/>
      <c r="BC376" s="75"/>
      <c r="BD376" s="75"/>
      <c r="BE376" s="75"/>
      <c r="BF376" s="75">
        <v>7.1249999999999994E-2</v>
      </c>
      <c r="BG376" s="75"/>
      <c r="BH376" s="75"/>
      <c r="BI376" s="74">
        <f t="shared" si="22"/>
        <v>7.1249999999999994E-2</v>
      </c>
    </row>
    <row r="377" spans="1:61" s="11" customFormat="1" x14ac:dyDescent="0.2">
      <c r="A377" s="61"/>
      <c r="O377" s="61"/>
      <c r="AU377" s="281">
        <v>55168</v>
      </c>
      <c r="AV377" s="75"/>
      <c r="AW377" s="75"/>
      <c r="AX377" s="75"/>
      <c r="AY377" s="75"/>
      <c r="AZ377" s="75"/>
      <c r="BA377" s="75"/>
      <c r="BB377" s="75"/>
      <c r="BC377" s="75"/>
      <c r="BD377" s="75"/>
      <c r="BE377" s="75"/>
      <c r="BF377" s="75">
        <v>7.1249999999999994E-2</v>
      </c>
      <c r="BG377" s="75"/>
      <c r="BH377" s="75"/>
      <c r="BI377" s="74">
        <f t="shared" si="22"/>
        <v>7.1249999999999994E-2</v>
      </c>
    </row>
    <row r="378" spans="1:61" s="11" customFormat="1" x14ac:dyDescent="0.2">
      <c r="A378" s="61"/>
      <c r="O378" s="61"/>
      <c r="AU378" s="281">
        <v>55199</v>
      </c>
      <c r="AV378" s="75"/>
      <c r="AW378" s="75"/>
      <c r="AX378" s="75"/>
      <c r="AY378" s="75"/>
      <c r="AZ378" s="75"/>
      <c r="BA378" s="75"/>
      <c r="BB378" s="75"/>
      <c r="BC378" s="75"/>
      <c r="BD378" s="75"/>
      <c r="BE378" s="75"/>
      <c r="BF378" s="75">
        <v>7.1249999999999994E-2</v>
      </c>
      <c r="BG378" s="75"/>
      <c r="BH378" s="75"/>
      <c r="BI378" s="74">
        <f t="shared" si="22"/>
        <v>7.1249999999999994E-2</v>
      </c>
    </row>
    <row r="379" spans="1:61" s="11" customFormat="1" x14ac:dyDescent="0.2">
      <c r="A379" s="61"/>
      <c r="O379" s="61"/>
      <c r="AU379" s="281">
        <v>55227</v>
      </c>
      <c r="AV379" s="75"/>
      <c r="AW379" s="75"/>
      <c r="AX379" s="75"/>
      <c r="AY379" s="75"/>
      <c r="AZ379" s="75"/>
      <c r="BA379" s="75"/>
      <c r="BB379" s="75"/>
      <c r="BC379" s="75"/>
      <c r="BD379" s="75"/>
      <c r="BE379" s="75"/>
      <c r="BF379" s="75">
        <v>7.1249999999999994E-2</v>
      </c>
      <c r="BG379" s="75"/>
      <c r="BH379" s="75"/>
      <c r="BI379" s="74">
        <f t="shared" si="22"/>
        <v>7.1249999999999994E-2</v>
      </c>
    </row>
    <row r="380" spans="1:61" s="11" customFormat="1" x14ac:dyDescent="0.2">
      <c r="A380" s="61"/>
      <c r="O380" s="61"/>
      <c r="AU380" s="281">
        <v>55258</v>
      </c>
      <c r="AV380" s="75"/>
      <c r="AW380" s="75"/>
      <c r="AX380" s="75"/>
      <c r="AY380" s="75"/>
      <c r="AZ380" s="75"/>
      <c r="BA380" s="75"/>
      <c r="BB380" s="75"/>
      <c r="BC380" s="75"/>
      <c r="BD380" s="75"/>
      <c r="BE380" s="75"/>
      <c r="BF380" s="75">
        <v>7.1249999999999994E-2</v>
      </c>
      <c r="BG380" s="75"/>
      <c r="BH380" s="75"/>
      <c r="BI380" s="74">
        <f t="shared" si="22"/>
        <v>7.1249999999999994E-2</v>
      </c>
    </row>
    <row r="381" spans="1:61" s="11" customFormat="1" x14ac:dyDescent="0.2">
      <c r="A381" s="61"/>
      <c r="O381" s="61"/>
      <c r="AU381" s="281">
        <v>55288</v>
      </c>
      <c r="AV381" s="75"/>
      <c r="AW381" s="75"/>
      <c r="AX381" s="75"/>
      <c r="AY381" s="75"/>
      <c r="AZ381" s="75"/>
      <c r="BA381" s="75"/>
      <c r="BB381" s="75"/>
      <c r="BC381" s="75"/>
      <c r="BD381" s="75"/>
      <c r="BE381" s="75"/>
      <c r="BF381" s="75">
        <v>7.1249999999999994E-2</v>
      </c>
      <c r="BG381" s="75"/>
      <c r="BH381" s="75"/>
      <c r="BI381" s="74">
        <f t="shared" si="22"/>
        <v>7.1249999999999994E-2</v>
      </c>
    </row>
    <row r="382" spans="1:61" s="11" customFormat="1" x14ac:dyDescent="0.2">
      <c r="A382" s="61"/>
      <c r="O382" s="61"/>
      <c r="AU382" s="281">
        <v>55319</v>
      </c>
      <c r="AV382" s="75"/>
      <c r="AW382" s="75"/>
      <c r="AX382" s="75"/>
      <c r="AY382" s="75"/>
      <c r="AZ382" s="75"/>
      <c r="BA382" s="75"/>
      <c r="BB382" s="75"/>
      <c r="BC382" s="75"/>
      <c r="BD382" s="75"/>
      <c r="BE382" s="75"/>
      <c r="BF382" s="75">
        <v>7.1249999999999994E-2</v>
      </c>
      <c r="BG382" s="75"/>
      <c r="BH382" s="75"/>
      <c r="BI382" s="74">
        <f t="shared" si="22"/>
        <v>7.1249999999999994E-2</v>
      </c>
    </row>
    <row r="383" spans="1:61" s="11" customFormat="1" x14ac:dyDescent="0.2">
      <c r="A383" s="61"/>
      <c r="O383" s="61"/>
      <c r="AU383" s="281">
        <v>55349</v>
      </c>
      <c r="AV383" s="75"/>
      <c r="AW383" s="75"/>
      <c r="AX383" s="75"/>
      <c r="AY383" s="75"/>
      <c r="AZ383" s="75"/>
      <c r="BA383" s="75"/>
      <c r="BB383" s="75"/>
      <c r="BC383" s="75"/>
      <c r="BD383" s="75"/>
      <c r="BE383" s="75"/>
      <c r="BF383" s="75">
        <v>7.1249999999999994E-2</v>
      </c>
      <c r="BG383" s="75"/>
      <c r="BH383" s="75"/>
      <c r="BI383" s="74">
        <f t="shared" si="22"/>
        <v>7.1249999999999994E-2</v>
      </c>
    </row>
    <row r="384" spans="1:61" s="11" customFormat="1" x14ac:dyDescent="0.2">
      <c r="A384" s="61"/>
      <c r="O384" s="61"/>
      <c r="AU384" s="281">
        <v>55380</v>
      </c>
      <c r="AV384" s="75"/>
      <c r="AW384" s="75"/>
      <c r="AX384" s="75"/>
      <c r="AY384" s="75"/>
      <c r="AZ384" s="75"/>
      <c r="BA384" s="75"/>
      <c r="BB384" s="75"/>
      <c r="BC384" s="75"/>
      <c r="BD384" s="75"/>
      <c r="BE384" s="75"/>
      <c r="BF384" s="75">
        <v>7.1249999999999994E-2</v>
      </c>
      <c r="BG384" s="75"/>
      <c r="BH384" s="75"/>
      <c r="BI384" s="74">
        <f t="shared" si="22"/>
        <v>7.1249999999999994E-2</v>
      </c>
    </row>
    <row r="385" spans="1:61" s="11" customFormat="1" x14ac:dyDescent="0.2">
      <c r="A385" s="61"/>
      <c r="O385" s="61"/>
      <c r="AU385" s="281">
        <v>55411</v>
      </c>
      <c r="AV385" s="75"/>
      <c r="AW385" s="75"/>
      <c r="AX385" s="75"/>
      <c r="AY385" s="75"/>
      <c r="AZ385" s="75"/>
      <c r="BA385" s="75"/>
      <c r="BB385" s="75"/>
      <c r="BC385" s="75"/>
      <c r="BD385" s="75"/>
      <c r="BE385" s="75"/>
      <c r="BF385" s="75">
        <v>7.1249999999999994E-2</v>
      </c>
      <c r="BG385" s="75"/>
      <c r="BH385" s="75"/>
      <c r="BI385" s="74">
        <f t="shared" si="22"/>
        <v>7.1249999999999994E-2</v>
      </c>
    </row>
    <row r="386" spans="1:61" s="11" customFormat="1" x14ac:dyDescent="0.2">
      <c r="A386" s="61"/>
      <c r="O386" s="61"/>
      <c r="AU386" s="281">
        <v>55441</v>
      </c>
      <c r="AV386" s="75"/>
      <c r="AW386" s="75"/>
      <c r="AX386" s="75"/>
      <c r="AY386" s="75"/>
      <c r="AZ386" s="75"/>
      <c r="BA386" s="75"/>
      <c r="BB386" s="75"/>
      <c r="BC386" s="75"/>
      <c r="BD386" s="75"/>
      <c r="BE386" s="75"/>
      <c r="BF386" s="75">
        <v>7.1249999999999994E-2</v>
      </c>
      <c r="BG386" s="75"/>
      <c r="BH386" s="75"/>
      <c r="BI386" s="74">
        <f t="shared" si="22"/>
        <v>7.1249999999999994E-2</v>
      </c>
    </row>
    <row r="387" spans="1:61" s="11" customFormat="1" x14ac:dyDescent="0.2">
      <c r="A387" s="61"/>
      <c r="O387" s="61"/>
      <c r="AU387" s="281">
        <v>55472</v>
      </c>
      <c r="AV387" s="75"/>
      <c r="AW387" s="75"/>
      <c r="AX387" s="75"/>
      <c r="AY387" s="75"/>
      <c r="AZ387" s="75"/>
      <c r="BA387" s="75"/>
      <c r="BB387" s="75"/>
      <c r="BC387" s="75"/>
      <c r="BD387" s="75"/>
      <c r="BE387" s="75"/>
      <c r="BF387" s="75">
        <v>7.1249999999999994E-2</v>
      </c>
      <c r="BG387" s="75"/>
      <c r="BH387" s="75"/>
      <c r="BI387" s="74">
        <f t="shared" si="22"/>
        <v>7.1249999999999994E-2</v>
      </c>
    </row>
    <row r="388" spans="1:61" s="11" customFormat="1" x14ac:dyDescent="0.2">
      <c r="A388" s="61"/>
      <c r="O388" s="61"/>
      <c r="AU388" s="281">
        <v>55502</v>
      </c>
      <c r="AV388" s="75"/>
      <c r="AW388" s="75"/>
      <c r="AX388" s="75"/>
      <c r="AY388" s="75"/>
      <c r="AZ388" s="75"/>
      <c r="BA388" s="75"/>
      <c r="BB388" s="75"/>
      <c r="BC388" s="75"/>
      <c r="BD388" s="75"/>
      <c r="BE388" s="75"/>
      <c r="BF388" s="75">
        <v>7.1249999999999994E-2</v>
      </c>
      <c r="BG388" s="75"/>
      <c r="BH388" s="75"/>
      <c r="BI388" s="74">
        <f t="shared" si="22"/>
        <v>7.1249999999999994E-2</v>
      </c>
    </row>
    <row r="389" spans="1:61" s="11" customFormat="1" x14ac:dyDescent="0.2">
      <c r="A389" s="61"/>
      <c r="O389" s="61"/>
      <c r="AU389" s="281">
        <v>55533</v>
      </c>
      <c r="AV389" s="75"/>
      <c r="AW389" s="75"/>
      <c r="AX389" s="75"/>
      <c r="AY389" s="75"/>
      <c r="AZ389" s="75"/>
      <c r="BA389" s="75"/>
      <c r="BB389" s="75"/>
      <c r="BC389" s="75"/>
      <c r="BD389" s="75"/>
      <c r="BE389" s="75"/>
      <c r="BF389" s="75">
        <v>7.1249999999999994E-2</v>
      </c>
      <c r="BG389" s="75"/>
      <c r="BH389" s="75"/>
      <c r="BI389" s="74">
        <f t="shared" si="22"/>
        <v>7.1249999999999994E-2</v>
      </c>
    </row>
    <row r="390" spans="1:61" s="11" customFormat="1" x14ac:dyDescent="0.2">
      <c r="A390" s="61"/>
      <c r="O390" s="61"/>
      <c r="AU390" s="281">
        <v>55564</v>
      </c>
      <c r="AV390" s="75"/>
      <c r="AW390" s="75"/>
      <c r="AX390" s="75"/>
      <c r="AY390" s="75"/>
      <c r="AZ390" s="75"/>
      <c r="BA390" s="75"/>
      <c r="BB390" s="75"/>
      <c r="BC390" s="75"/>
      <c r="BD390" s="75"/>
      <c r="BE390" s="75"/>
      <c r="BF390" s="75">
        <v>7.1249999999999994E-2</v>
      </c>
      <c r="BG390" s="75"/>
      <c r="BH390" s="75"/>
      <c r="BI390" s="74">
        <f t="shared" si="22"/>
        <v>7.1249999999999994E-2</v>
      </c>
    </row>
    <row r="391" spans="1:61" s="11" customFormat="1" x14ac:dyDescent="0.2">
      <c r="A391" s="61"/>
      <c r="O391" s="61"/>
      <c r="AU391" s="281">
        <v>55593</v>
      </c>
      <c r="AV391" s="75"/>
      <c r="AW391" s="75"/>
      <c r="AX391" s="75"/>
      <c r="AY391" s="75"/>
      <c r="AZ391" s="75"/>
      <c r="BA391" s="75"/>
      <c r="BB391" s="75"/>
      <c r="BC391" s="75"/>
      <c r="BD391" s="75"/>
      <c r="BE391" s="75"/>
      <c r="BF391" s="75">
        <v>7.1249999999999994E-2</v>
      </c>
      <c r="BG391" s="75"/>
      <c r="BH391" s="75"/>
      <c r="BI391" s="74">
        <f t="shared" si="22"/>
        <v>7.1249999999999994E-2</v>
      </c>
    </row>
    <row r="392" spans="1:61" s="11" customFormat="1" x14ac:dyDescent="0.2">
      <c r="A392" s="61"/>
      <c r="O392" s="61"/>
      <c r="AU392" s="281">
        <v>55624</v>
      </c>
      <c r="AV392" s="75"/>
      <c r="AW392" s="75"/>
      <c r="AX392" s="75"/>
      <c r="AY392" s="75"/>
      <c r="AZ392" s="75"/>
      <c r="BA392" s="75"/>
      <c r="BB392" s="75"/>
      <c r="BC392" s="75"/>
      <c r="BD392" s="75"/>
      <c r="BE392" s="75"/>
      <c r="BF392" s="75">
        <v>7.1249999999999994E-2</v>
      </c>
      <c r="BG392" s="75"/>
      <c r="BH392" s="75"/>
      <c r="BI392" s="74">
        <f t="shared" si="22"/>
        <v>7.1249999999999994E-2</v>
      </c>
    </row>
    <row r="393" spans="1:61" s="11" customFormat="1" x14ac:dyDescent="0.2">
      <c r="A393" s="61"/>
      <c r="O393" s="61"/>
      <c r="AU393" s="281">
        <v>55654</v>
      </c>
      <c r="AV393" s="75"/>
      <c r="AW393" s="75"/>
      <c r="AX393" s="75"/>
      <c r="AY393" s="75"/>
      <c r="AZ393" s="75"/>
      <c r="BA393" s="75"/>
      <c r="BB393" s="75"/>
      <c r="BC393" s="75"/>
      <c r="BD393" s="75"/>
      <c r="BE393" s="75"/>
      <c r="BF393" s="75">
        <v>7.1249999999999994E-2</v>
      </c>
      <c r="BG393" s="75"/>
      <c r="BH393" s="75"/>
      <c r="BI393" s="74">
        <f t="shared" ref="BI393:BI456" si="24">+AVERAGE(AV393:BH393)</f>
        <v>7.1249999999999994E-2</v>
      </c>
    </row>
    <row r="394" spans="1:61" s="11" customFormat="1" x14ac:dyDescent="0.2">
      <c r="A394" s="61"/>
      <c r="O394" s="61"/>
      <c r="AU394" s="281">
        <v>55685</v>
      </c>
      <c r="AV394" s="75"/>
      <c r="AW394" s="75"/>
      <c r="AX394" s="75"/>
      <c r="AY394" s="75"/>
      <c r="AZ394" s="75"/>
      <c r="BA394" s="75"/>
      <c r="BB394" s="75"/>
      <c r="BC394" s="75"/>
      <c r="BD394" s="75"/>
      <c r="BE394" s="75"/>
      <c r="BF394" s="75">
        <v>7.1249999999999994E-2</v>
      </c>
      <c r="BG394" s="75"/>
      <c r="BH394" s="75"/>
      <c r="BI394" s="74">
        <f t="shared" si="24"/>
        <v>7.1249999999999994E-2</v>
      </c>
    </row>
    <row r="395" spans="1:61" s="11" customFormat="1" x14ac:dyDescent="0.2">
      <c r="A395" s="61"/>
      <c r="O395" s="61"/>
      <c r="AU395" s="281">
        <v>55715</v>
      </c>
      <c r="AV395" s="75"/>
      <c r="AW395" s="75"/>
      <c r="AX395" s="75"/>
      <c r="AY395" s="75"/>
      <c r="AZ395" s="75"/>
      <c r="BA395" s="75"/>
      <c r="BB395" s="75"/>
      <c r="BC395" s="75"/>
      <c r="BD395" s="75"/>
      <c r="BE395" s="75"/>
      <c r="BF395" s="75">
        <v>7.1249999999999994E-2</v>
      </c>
      <c r="BG395" s="75"/>
      <c r="BH395" s="75"/>
      <c r="BI395" s="74">
        <f t="shared" si="24"/>
        <v>7.1249999999999994E-2</v>
      </c>
    </row>
    <row r="396" spans="1:61" s="11" customFormat="1" x14ac:dyDescent="0.2">
      <c r="A396" s="61"/>
      <c r="O396" s="61"/>
      <c r="AU396" s="281">
        <v>55746</v>
      </c>
      <c r="AV396" s="75"/>
      <c r="AW396" s="75"/>
      <c r="AX396" s="75"/>
      <c r="AY396" s="75"/>
      <c r="AZ396" s="75"/>
      <c r="BA396" s="75"/>
      <c r="BB396" s="75"/>
      <c r="BC396" s="75"/>
      <c r="BD396" s="75"/>
      <c r="BE396" s="75"/>
      <c r="BF396" s="75">
        <v>7.1249999999999994E-2</v>
      </c>
      <c r="BG396" s="75"/>
      <c r="BH396" s="75"/>
      <c r="BI396" s="74">
        <f t="shared" si="24"/>
        <v>7.1249999999999994E-2</v>
      </c>
    </row>
    <row r="397" spans="1:61" s="11" customFormat="1" x14ac:dyDescent="0.2">
      <c r="A397" s="61"/>
      <c r="O397" s="61"/>
      <c r="AU397" s="281">
        <v>55777</v>
      </c>
      <c r="AV397" s="75"/>
      <c r="AW397" s="75"/>
      <c r="AX397" s="75"/>
      <c r="AY397" s="75"/>
      <c r="AZ397" s="75"/>
      <c r="BA397" s="75"/>
      <c r="BB397" s="75"/>
      <c r="BC397" s="75"/>
      <c r="BD397" s="75"/>
      <c r="BE397" s="75"/>
      <c r="BF397" s="75">
        <v>7.1249999999999994E-2</v>
      </c>
      <c r="BG397" s="75"/>
      <c r="BH397" s="75"/>
      <c r="BI397" s="74">
        <f t="shared" si="24"/>
        <v>7.1249999999999994E-2</v>
      </c>
    </row>
    <row r="398" spans="1:61" s="11" customFormat="1" x14ac:dyDescent="0.2">
      <c r="A398" s="61"/>
      <c r="O398" s="61"/>
      <c r="AU398" s="281">
        <v>55807</v>
      </c>
      <c r="AV398" s="75"/>
      <c r="AW398" s="75"/>
      <c r="AX398" s="75"/>
      <c r="AY398" s="75"/>
      <c r="AZ398" s="75"/>
      <c r="BA398" s="75"/>
      <c r="BB398" s="75"/>
      <c r="BC398" s="75"/>
      <c r="BD398" s="75"/>
      <c r="BE398" s="75"/>
      <c r="BF398" s="75">
        <v>7.1249999999999994E-2</v>
      </c>
      <c r="BG398" s="75"/>
      <c r="BH398" s="75"/>
      <c r="BI398" s="74">
        <f t="shared" si="24"/>
        <v>7.1249999999999994E-2</v>
      </c>
    </row>
    <row r="399" spans="1:61" s="11" customFormat="1" x14ac:dyDescent="0.2">
      <c r="A399" s="61"/>
      <c r="O399" s="61"/>
      <c r="AU399" s="281">
        <v>55838</v>
      </c>
      <c r="AV399" s="75"/>
      <c r="AW399" s="75"/>
      <c r="AX399" s="75"/>
      <c r="AY399" s="75"/>
      <c r="AZ399" s="75"/>
      <c r="BA399" s="75"/>
      <c r="BB399" s="75"/>
      <c r="BC399" s="75"/>
      <c r="BD399" s="75"/>
      <c r="BE399" s="75"/>
      <c r="BF399" s="75">
        <v>7.1249999999999994E-2</v>
      </c>
      <c r="BG399" s="75"/>
      <c r="BH399" s="75"/>
      <c r="BI399" s="74">
        <f t="shared" si="24"/>
        <v>7.1249999999999994E-2</v>
      </c>
    </row>
    <row r="400" spans="1:61" s="11" customFormat="1" x14ac:dyDescent="0.2">
      <c r="A400" s="61"/>
      <c r="O400" s="61"/>
      <c r="AU400" s="281">
        <v>55868</v>
      </c>
      <c r="AV400" s="75"/>
      <c r="AW400" s="75"/>
      <c r="AX400" s="75"/>
      <c r="AY400" s="75"/>
      <c r="AZ400" s="75"/>
      <c r="BA400" s="75"/>
      <c r="BB400" s="75"/>
      <c r="BC400" s="75"/>
      <c r="BD400" s="75"/>
      <c r="BE400" s="75"/>
      <c r="BF400" s="75">
        <v>7.1249999999999994E-2</v>
      </c>
      <c r="BG400" s="75"/>
      <c r="BH400" s="75"/>
      <c r="BI400" s="74">
        <f t="shared" si="24"/>
        <v>7.1249999999999994E-2</v>
      </c>
    </row>
    <row r="401" spans="1:61" s="11" customFormat="1" x14ac:dyDescent="0.2">
      <c r="A401" s="61"/>
      <c r="O401" s="61"/>
      <c r="AU401" s="281">
        <v>55899</v>
      </c>
      <c r="AV401" s="75"/>
      <c r="AW401" s="75"/>
      <c r="AX401" s="75"/>
      <c r="AY401" s="75"/>
      <c r="AZ401" s="75"/>
      <c r="BA401" s="75"/>
      <c r="BB401" s="75"/>
      <c r="BC401" s="75"/>
      <c r="BD401" s="75"/>
      <c r="BE401" s="75"/>
      <c r="BF401" s="75">
        <v>7.1249999999999994E-2</v>
      </c>
      <c r="BG401" s="75"/>
      <c r="BH401" s="75"/>
      <c r="BI401" s="74">
        <f t="shared" si="24"/>
        <v>7.1249999999999994E-2</v>
      </c>
    </row>
    <row r="402" spans="1:61" s="11" customFormat="1" x14ac:dyDescent="0.2">
      <c r="A402" s="61"/>
      <c r="O402" s="61"/>
      <c r="AU402" s="281">
        <v>55930</v>
      </c>
      <c r="AV402" s="75"/>
      <c r="AW402" s="75"/>
      <c r="AX402" s="75"/>
      <c r="AY402" s="75"/>
      <c r="AZ402" s="75"/>
      <c r="BA402" s="75"/>
      <c r="BB402" s="75"/>
      <c r="BC402" s="75"/>
      <c r="BD402" s="75"/>
      <c r="BE402" s="75"/>
      <c r="BF402" s="75">
        <v>7.1249999999999994E-2</v>
      </c>
      <c r="BG402" s="75"/>
      <c r="BH402" s="75"/>
      <c r="BI402" s="74">
        <f t="shared" si="24"/>
        <v>7.1249999999999994E-2</v>
      </c>
    </row>
    <row r="403" spans="1:61" s="11" customFormat="1" x14ac:dyDescent="0.2">
      <c r="A403" s="61"/>
      <c r="O403" s="61"/>
      <c r="AU403" s="281">
        <v>55958</v>
      </c>
      <c r="AV403" s="75"/>
      <c r="AW403" s="75"/>
      <c r="AX403" s="75"/>
      <c r="AY403" s="75"/>
      <c r="AZ403" s="75"/>
      <c r="BA403" s="75"/>
      <c r="BB403" s="75"/>
      <c r="BC403" s="75"/>
      <c r="BD403" s="75"/>
      <c r="BE403" s="75"/>
      <c r="BF403" s="75">
        <v>7.1249999999999994E-2</v>
      </c>
      <c r="BG403" s="75"/>
      <c r="BH403" s="75"/>
      <c r="BI403" s="74">
        <f t="shared" si="24"/>
        <v>7.1249999999999994E-2</v>
      </c>
    </row>
    <row r="404" spans="1:61" s="11" customFormat="1" x14ac:dyDescent="0.2">
      <c r="A404" s="61"/>
      <c r="O404" s="61"/>
      <c r="AU404" s="281">
        <v>55989</v>
      </c>
      <c r="AV404" s="75"/>
      <c r="AW404" s="75"/>
      <c r="AX404" s="75"/>
      <c r="AY404" s="75"/>
      <c r="AZ404" s="75"/>
      <c r="BA404" s="75"/>
      <c r="BB404" s="75"/>
      <c r="BC404" s="75"/>
      <c r="BD404" s="75"/>
      <c r="BE404" s="75"/>
      <c r="BF404" s="75">
        <v>7.1249999999999994E-2</v>
      </c>
      <c r="BG404" s="75"/>
      <c r="BH404" s="75"/>
      <c r="BI404" s="74">
        <f t="shared" si="24"/>
        <v>7.1249999999999994E-2</v>
      </c>
    </row>
    <row r="405" spans="1:61" s="11" customFormat="1" x14ac:dyDescent="0.2">
      <c r="A405" s="61"/>
      <c r="O405" s="61"/>
      <c r="AU405" s="281">
        <v>56019</v>
      </c>
      <c r="AV405" s="75"/>
      <c r="AW405" s="75"/>
      <c r="AX405" s="75"/>
      <c r="AY405" s="75"/>
      <c r="AZ405" s="75"/>
      <c r="BA405" s="75"/>
      <c r="BB405" s="75"/>
      <c r="BC405" s="75"/>
      <c r="BD405" s="75"/>
      <c r="BE405" s="75"/>
      <c r="BF405" s="75">
        <v>7.1249999999999994E-2</v>
      </c>
      <c r="BG405" s="75"/>
      <c r="BH405" s="75"/>
      <c r="BI405" s="74">
        <f t="shared" si="24"/>
        <v>7.1249999999999994E-2</v>
      </c>
    </row>
    <row r="406" spans="1:61" s="11" customFormat="1" x14ac:dyDescent="0.2">
      <c r="A406" s="61"/>
      <c r="O406" s="61"/>
      <c r="AU406" s="281">
        <v>56050</v>
      </c>
      <c r="AV406" s="75"/>
      <c r="AW406" s="75"/>
      <c r="AX406" s="75"/>
      <c r="AY406" s="75"/>
      <c r="AZ406" s="75"/>
      <c r="BA406" s="75"/>
      <c r="BB406" s="75"/>
      <c r="BC406" s="75"/>
      <c r="BD406" s="75"/>
      <c r="BE406" s="75"/>
      <c r="BF406" s="75">
        <v>7.1249999999999994E-2</v>
      </c>
      <c r="BG406" s="75"/>
      <c r="BH406" s="75"/>
      <c r="BI406" s="74">
        <f t="shared" si="24"/>
        <v>7.1249999999999994E-2</v>
      </c>
    </row>
    <row r="407" spans="1:61" s="11" customFormat="1" x14ac:dyDescent="0.2">
      <c r="A407" s="61"/>
      <c r="O407" s="61"/>
      <c r="AU407" s="281">
        <v>56080</v>
      </c>
      <c r="AV407" s="75"/>
      <c r="AW407" s="75"/>
      <c r="AX407" s="75"/>
      <c r="AY407" s="75"/>
      <c r="AZ407" s="75"/>
      <c r="BA407" s="75"/>
      <c r="BB407" s="75"/>
      <c r="BC407" s="75"/>
      <c r="BD407" s="75"/>
      <c r="BE407" s="75"/>
      <c r="BF407" s="75">
        <v>7.1249999999999994E-2</v>
      </c>
      <c r="BG407" s="75"/>
      <c r="BH407" s="75"/>
      <c r="BI407" s="74">
        <f t="shared" si="24"/>
        <v>7.1249999999999994E-2</v>
      </c>
    </row>
    <row r="408" spans="1:61" s="11" customFormat="1" x14ac:dyDescent="0.2">
      <c r="A408" s="61"/>
      <c r="O408" s="61"/>
      <c r="AU408" s="281">
        <v>56111</v>
      </c>
      <c r="AV408" s="75"/>
      <c r="AW408" s="75"/>
      <c r="AX408" s="75"/>
      <c r="AY408" s="75"/>
      <c r="AZ408" s="75"/>
      <c r="BA408" s="75"/>
      <c r="BB408" s="75"/>
      <c r="BC408" s="75"/>
      <c r="BD408" s="75"/>
      <c r="BE408" s="75"/>
      <c r="BF408" s="75">
        <v>7.1249999999999994E-2</v>
      </c>
      <c r="BG408" s="75"/>
      <c r="BH408" s="75"/>
      <c r="BI408" s="74">
        <f t="shared" si="24"/>
        <v>7.1249999999999994E-2</v>
      </c>
    </row>
    <row r="409" spans="1:61" s="11" customFormat="1" x14ac:dyDescent="0.2">
      <c r="A409" s="61"/>
      <c r="O409" s="61"/>
      <c r="AU409" s="281">
        <v>56142</v>
      </c>
      <c r="AV409" s="75"/>
      <c r="AW409" s="75"/>
      <c r="AX409" s="75"/>
      <c r="AY409" s="75"/>
      <c r="AZ409" s="75"/>
      <c r="BA409" s="75"/>
      <c r="BB409" s="75"/>
      <c r="BC409" s="75"/>
      <c r="BD409" s="75"/>
      <c r="BE409" s="75"/>
      <c r="BF409" s="75">
        <v>7.1249999999999994E-2</v>
      </c>
      <c r="BG409" s="75"/>
      <c r="BH409" s="75"/>
      <c r="BI409" s="74">
        <f t="shared" si="24"/>
        <v>7.1249999999999994E-2</v>
      </c>
    </row>
    <row r="410" spans="1:61" s="11" customFormat="1" x14ac:dyDescent="0.2">
      <c r="A410" s="61"/>
      <c r="O410" s="61"/>
      <c r="AU410" s="281">
        <v>56172</v>
      </c>
      <c r="AV410" s="75"/>
      <c r="AW410" s="75"/>
      <c r="AX410" s="75"/>
      <c r="AY410" s="75"/>
      <c r="AZ410" s="75"/>
      <c r="BA410" s="75"/>
      <c r="BB410" s="75"/>
      <c r="BC410" s="75"/>
      <c r="BD410" s="75"/>
      <c r="BE410" s="75"/>
      <c r="BF410" s="75">
        <v>7.1249999999999994E-2</v>
      </c>
      <c r="BG410" s="75"/>
      <c r="BH410" s="75"/>
      <c r="BI410" s="74">
        <f t="shared" si="24"/>
        <v>7.1249999999999994E-2</v>
      </c>
    </row>
    <row r="411" spans="1:61" s="11" customFormat="1" x14ac:dyDescent="0.2">
      <c r="A411" s="61"/>
      <c r="O411" s="61"/>
      <c r="AU411" s="281">
        <v>56203</v>
      </c>
      <c r="AV411" s="75"/>
      <c r="AW411" s="75"/>
      <c r="AX411" s="75"/>
      <c r="AY411" s="75"/>
      <c r="AZ411" s="75"/>
      <c r="BA411" s="75"/>
      <c r="BB411" s="75"/>
      <c r="BC411" s="75"/>
      <c r="BD411" s="75"/>
      <c r="BE411" s="75"/>
      <c r="BF411" s="75">
        <v>7.1249999999999994E-2</v>
      </c>
      <c r="BG411" s="75"/>
      <c r="BH411" s="75"/>
      <c r="BI411" s="74">
        <f t="shared" si="24"/>
        <v>7.1249999999999994E-2</v>
      </c>
    </row>
    <row r="412" spans="1:61" s="11" customFormat="1" x14ac:dyDescent="0.2">
      <c r="A412" s="61"/>
      <c r="O412" s="61"/>
      <c r="AU412" s="281">
        <v>56233</v>
      </c>
      <c r="AV412" s="75"/>
      <c r="AW412" s="75"/>
      <c r="AX412" s="75"/>
      <c r="AY412" s="75"/>
      <c r="AZ412" s="75"/>
      <c r="BA412" s="75"/>
      <c r="BB412" s="75"/>
      <c r="BC412" s="75"/>
      <c r="BD412" s="75"/>
      <c r="BE412" s="75"/>
      <c r="BF412" s="75">
        <v>7.1249999999999994E-2</v>
      </c>
      <c r="BG412" s="75"/>
      <c r="BH412" s="75"/>
      <c r="BI412" s="74">
        <f t="shared" si="24"/>
        <v>7.1249999999999994E-2</v>
      </c>
    </row>
    <row r="413" spans="1:61" s="11" customFormat="1" x14ac:dyDescent="0.2">
      <c r="A413" s="61"/>
      <c r="O413" s="61"/>
      <c r="AU413" s="281">
        <v>56264</v>
      </c>
      <c r="AV413" s="75"/>
      <c r="AW413" s="75"/>
      <c r="AX413" s="75"/>
      <c r="AY413" s="75"/>
      <c r="AZ413" s="75"/>
      <c r="BA413" s="75"/>
      <c r="BB413" s="75"/>
      <c r="BC413" s="75"/>
      <c r="BD413" s="75"/>
      <c r="BE413" s="75"/>
      <c r="BF413" s="75">
        <v>7.1249999999999994E-2</v>
      </c>
      <c r="BG413" s="75"/>
      <c r="BH413" s="75"/>
      <c r="BI413" s="74">
        <f t="shared" si="24"/>
        <v>7.1249999999999994E-2</v>
      </c>
    </row>
    <row r="414" spans="1:61" s="11" customFormat="1" x14ac:dyDescent="0.2">
      <c r="A414" s="61"/>
      <c r="O414" s="61"/>
      <c r="AU414" s="281">
        <v>56295</v>
      </c>
      <c r="AV414" s="75"/>
      <c r="AW414" s="75"/>
      <c r="AX414" s="75"/>
      <c r="AY414" s="75"/>
      <c r="AZ414" s="75"/>
      <c r="BA414" s="75"/>
      <c r="BB414" s="75"/>
      <c r="BC414" s="75"/>
      <c r="BD414" s="75"/>
      <c r="BE414" s="75"/>
      <c r="BF414" s="75">
        <v>7.1249999999999994E-2</v>
      </c>
      <c r="BG414" s="75"/>
      <c r="BH414" s="75"/>
      <c r="BI414" s="74">
        <f t="shared" si="24"/>
        <v>7.1249999999999994E-2</v>
      </c>
    </row>
    <row r="415" spans="1:61" s="11" customFormat="1" x14ac:dyDescent="0.2">
      <c r="A415" s="61"/>
      <c r="O415" s="61"/>
      <c r="AU415" s="281">
        <v>56323</v>
      </c>
      <c r="AV415" s="75"/>
      <c r="AW415" s="75"/>
      <c r="AX415" s="75"/>
      <c r="AY415" s="75"/>
      <c r="AZ415" s="75"/>
      <c r="BA415" s="75"/>
      <c r="BB415" s="75"/>
      <c r="BC415" s="75"/>
      <c r="BD415" s="75"/>
      <c r="BE415" s="75"/>
      <c r="BF415" s="75">
        <v>7.1249999999999994E-2</v>
      </c>
      <c r="BG415" s="75"/>
      <c r="BH415" s="75"/>
      <c r="BI415" s="74">
        <f t="shared" si="24"/>
        <v>7.1249999999999994E-2</v>
      </c>
    </row>
    <row r="416" spans="1:61" s="11" customFormat="1" x14ac:dyDescent="0.2">
      <c r="A416" s="61"/>
      <c r="O416" s="61"/>
      <c r="AU416" s="281">
        <v>56354</v>
      </c>
      <c r="AV416" s="75"/>
      <c r="AW416" s="75"/>
      <c r="AX416" s="75"/>
      <c r="AY416" s="75"/>
      <c r="AZ416" s="75"/>
      <c r="BA416" s="75"/>
      <c r="BB416" s="75"/>
      <c r="BC416" s="75"/>
      <c r="BD416" s="75"/>
      <c r="BE416" s="75"/>
      <c r="BF416" s="75">
        <v>7.1249999999999994E-2</v>
      </c>
      <c r="BG416" s="75"/>
      <c r="BH416" s="75"/>
      <c r="BI416" s="74">
        <f t="shared" si="24"/>
        <v>7.1249999999999994E-2</v>
      </c>
    </row>
    <row r="417" spans="1:61" s="11" customFormat="1" x14ac:dyDescent="0.2">
      <c r="A417" s="61"/>
      <c r="O417" s="61"/>
      <c r="AU417" s="281">
        <v>56384</v>
      </c>
      <c r="AV417" s="75"/>
      <c r="AW417" s="75"/>
      <c r="AX417" s="75"/>
      <c r="AY417" s="75"/>
      <c r="AZ417" s="75"/>
      <c r="BA417" s="75"/>
      <c r="BB417" s="75"/>
      <c r="BC417" s="75"/>
      <c r="BD417" s="75"/>
      <c r="BE417" s="75"/>
      <c r="BF417" s="75">
        <v>7.1249999999999994E-2</v>
      </c>
      <c r="BG417" s="75"/>
      <c r="BH417" s="75"/>
      <c r="BI417" s="74">
        <f t="shared" si="24"/>
        <v>7.1249999999999994E-2</v>
      </c>
    </row>
    <row r="418" spans="1:61" s="11" customFormat="1" x14ac:dyDescent="0.2">
      <c r="A418" s="61"/>
      <c r="O418" s="61"/>
      <c r="AU418" s="281">
        <v>56415</v>
      </c>
      <c r="AV418" s="75"/>
      <c r="AW418" s="75"/>
      <c r="AX418" s="75"/>
      <c r="AY418" s="75"/>
      <c r="AZ418" s="75"/>
      <c r="BA418" s="75"/>
      <c r="BB418" s="75"/>
      <c r="BC418" s="75"/>
      <c r="BD418" s="75"/>
      <c r="BE418" s="75"/>
      <c r="BF418" s="75">
        <v>7.1249999999999994E-2</v>
      </c>
      <c r="BG418" s="75"/>
      <c r="BH418" s="75"/>
      <c r="BI418" s="74">
        <f t="shared" si="24"/>
        <v>7.1249999999999994E-2</v>
      </c>
    </row>
    <row r="419" spans="1:61" s="11" customFormat="1" x14ac:dyDescent="0.2">
      <c r="A419" s="61"/>
      <c r="O419" s="61"/>
      <c r="AU419" s="281">
        <v>56445</v>
      </c>
      <c r="AV419" s="75"/>
      <c r="AW419" s="75"/>
      <c r="AX419" s="75"/>
      <c r="AY419" s="75"/>
      <c r="AZ419" s="75"/>
      <c r="BA419" s="75"/>
      <c r="BB419" s="75"/>
      <c r="BC419" s="75"/>
      <c r="BD419" s="75"/>
      <c r="BE419" s="75"/>
      <c r="BF419" s="75">
        <v>7.1249999999999994E-2</v>
      </c>
      <c r="BG419" s="75"/>
      <c r="BH419" s="75"/>
      <c r="BI419" s="74">
        <f t="shared" si="24"/>
        <v>7.1249999999999994E-2</v>
      </c>
    </row>
    <row r="420" spans="1:61" s="11" customFormat="1" x14ac:dyDescent="0.2">
      <c r="A420" s="61"/>
      <c r="O420" s="61"/>
      <c r="AU420" s="281">
        <v>56476</v>
      </c>
      <c r="AV420" s="75"/>
      <c r="AW420" s="75"/>
      <c r="AX420" s="75"/>
      <c r="AY420" s="75"/>
      <c r="AZ420" s="75"/>
      <c r="BA420" s="75"/>
      <c r="BB420" s="75"/>
      <c r="BC420" s="75"/>
      <c r="BD420" s="75"/>
      <c r="BE420" s="75"/>
      <c r="BF420" s="75">
        <v>7.1249999999999994E-2</v>
      </c>
      <c r="BG420" s="75"/>
      <c r="BH420" s="75"/>
      <c r="BI420" s="74">
        <f t="shared" si="24"/>
        <v>7.1249999999999994E-2</v>
      </c>
    </row>
    <row r="421" spans="1:61" s="11" customFormat="1" x14ac:dyDescent="0.2">
      <c r="A421" s="61"/>
      <c r="O421" s="61"/>
      <c r="AU421" s="281">
        <v>56507</v>
      </c>
      <c r="AV421" s="75"/>
      <c r="AW421" s="75"/>
      <c r="AX421" s="75"/>
      <c r="AY421" s="75"/>
      <c r="AZ421" s="75"/>
      <c r="BA421" s="75"/>
      <c r="BB421" s="75"/>
      <c r="BC421" s="75"/>
      <c r="BD421" s="75"/>
      <c r="BE421" s="75"/>
      <c r="BF421" s="75">
        <v>7.1249999999999994E-2</v>
      </c>
      <c r="BG421" s="75"/>
      <c r="BH421" s="75"/>
      <c r="BI421" s="74">
        <f t="shared" si="24"/>
        <v>7.1249999999999994E-2</v>
      </c>
    </row>
    <row r="422" spans="1:61" s="11" customFormat="1" x14ac:dyDescent="0.2">
      <c r="A422" s="61"/>
      <c r="O422" s="61"/>
      <c r="AU422" s="281">
        <v>56537</v>
      </c>
      <c r="AV422" s="75"/>
      <c r="AW422" s="75"/>
      <c r="AX422" s="75"/>
      <c r="AY422" s="75"/>
      <c r="AZ422" s="75"/>
      <c r="BA422" s="75"/>
      <c r="BB422" s="75"/>
      <c r="BC422" s="75"/>
      <c r="BD422" s="75"/>
      <c r="BE422" s="75"/>
      <c r="BF422" s="75">
        <v>7.1249999999999994E-2</v>
      </c>
      <c r="BG422" s="75"/>
      <c r="BH422" s="75"/>
      <c r="BI422" s="74">
        <f t="shared" si="24"/>
        <v>7.1249999999999994E-2</v>
      </c>
    </row>
    <row r="423" spans="1:61" s="11" customFormat="1" x14ac:dyDescent="0.2">
      <c r="A423" s="61"/>
      <c r="O423" s="61"/>
      <c r="AU423" s="281">
        <v>56568</v>
      </c>
      <c r="AV423" s="75"/>
      <c r="AW423" s="75"/>
      <c r="AX423" s="75"/>
      <c r="AY423" s="75"/>
      <c r="AZ423" s="75"/>
      <c r="BA423" s="75"/>
      <c r="BB423" s="75"/>
      <c r="BC423" s="75"/>
      <c r="BD423" s="75"/>
      <c r="BE423" s="75"/>
      <c r="BF423" s="75">
        <v>7.1249999999999994E-2</v>
      </c>
      <c r="BG423" s="75"/>
      <c r="BH423" s="75"/>
      <c r="BI423" s="74">
        <f t="shared" si="24"/>
        <v>7.1249999999999994E-2</v>
      </c>
    </row>
    <row r="424" spans="1:61" s="11" customFormat="1" x14ac:dyDescent="0.2">
      <c r="A424" s="61"/>
      <c r="O424" s="61"/>
      <c r="AU424" s="281">
        <v>56598</v>
      </c>
      <c r="AV424" s="75"/>
      <c r="AW424" s="75"/>
      <c r="AX424" s="75"/>
      <c r="AY424" s="75"/>
      <c r="AZ424" s="75"/>
      <c r="BA424" s="75"/>
      <c r="BB424" s="75"/>
      <c r="BC424" s="75"/>
      <c r="BD424" s="75"/>
      <c r="BE424" s="75"/>
      <c r="BF424" s="75">
        <v>7.1249999999999994E-2</v>
      </c>
      <c r="BG424" s="75"/>
      <c r="BH424" s="75"/>
      <c r="BI424" s="74">
        <f t="shared" si="24"/>
        <v>7.1249999999999994E-2</v>
      </c>
    </row>
    <row r="425" spans="1:61" s="11" customFormat="1" x14ac:dyDescent="0.2">
      <c r="A425" s="61"/>
      <c r="O425" s="61"/>
      <c r="AU425" s="281">
        <v>56629</v>
      </c>
      <c r="AV425" s="75"/>
      <c r="AW425" s="75"/>
      <c r="AX425" s="75"/>
      <c r="AY425" s="75"/>
      <c r="AZ425" s="75"/>
      <c r="BA425" s="75"/>
      <c r="BB425" s="75"/>
      <c r="BC425" s="75"/>
      <c r="BD425" s="75"/>
      <c r="BE425" s="75"/>
      <c r="BF425" s="75">
        <v>7.1249999999999994E-2</v>
      </c>
      <c r="BG425" s="75"/>
      <c r="BH425" s="75"/>
      <c r="BI425" s="74">
        <f t="shared" si="24"/>
        <v>7.1249999999999994E-2</v>
      </c>
    </row>
    <row r="426" spans="1:61" s="11" customFormat="1" x14ac:dyDescent="0.2">
      <c r="A426" s="61"/>
      <c r="O426" s="61"/>
      <c r="AU426" s="281">
        <v>56660</v>
      </c>
      <c r="AV426" s="75"/>
      <c r="AW426" s="75"/>
      <c r="AX426" s="75"/>
      <c r="AY426" s="75"/>
      <c r="AZ426" s="75"/>
      <c r="BA426" s="75"/>
      <c r="BB426" s="75"/>
      <c r="BC426" s="75"/>
      <c r="BD426" s="75"/>
      <c r="BE426" s="75"/>
      <c r="BF426" s="75">
        <v>7.1249999999999994E-2</v>
      </c>
      <c r="BG426" s="75"/>
      <c r="BH426" s="75"/>
      <c r="BI426" s="74">
        <f t="shared" si="24"/>
        <v>7.1249999999999994E-2</v>
      </c>
    </row>
    <row r="427" spans="1:61" s="11" customFormat="1" x14ac:dyDescent="0.2">
      <c r="A427" s="61"/>
      <c r="O427" s="61"/>
      <c r="AU427" s="281">
        <v>56688</v>
      </c>
      <c r="AV427" s="75"/>
      <c r="AW427" s="75"/>
      <c r="AX427" s="75"/>
      <c r="AY427" s="75"/>
      <c r="AZ427" s="75"/>
      <c r="BA427" s="75"/>
      <c r="BB427" s="75"/>
      <c r="BC427" s="75"/>
      <c r="BD427" s="75"/>
      <c r="BE427" s="75"/>
      <c r="BF427" s="75">
        <v>7.1249999999999994E-2</v>
      </c>
      <c r="BG427" s="75"/>
      <c r="BH427" s="75"/>
      <c r="BI427" s="74">
        <f t="shared" si="24"/>
        <v>7.1249999999999994E-2</v>
      </c>
    </row>
    <row r="428" spans="1:61" s="11" customFormat="1" x14ac:dyDescent="0.2">
      <c r="A428" s="61"/>
      <c r="O428" s="61"/>
      <c r="AU428" s="281">
        <v>56719</v>
      </c>
      <c r="AV428" s="75"/>
      <c r="AW428" s="75"/>
      <c r="AX428" s="75"/>
      <c r="AY428" s="75"/>
      <c r="AZ428" s="75"/>
      <c r="BA428" s="75"/>
      <c r="BB428" s="75"/>
      <c r="BC428" s="75"/>
      <c r="BD428" s="75"/>
      <c r="BE428" s="75"/>
      <c r="BF428" s="75">
        <v>7.1249999999999994E-2</v>
      </c>
      <c r="BG428" s="75"/>
      <c r="BH428" s="75"/>
      <c r="BI428" s="74">
        <f t="shared" si="24"/>
        <v>7.1249999999999994E-2</v>
      </c>
    </row>
    <row r="429" spans="1:61" s="11" customFormat="1" x14ac:dyDescent="0.2">
      <c r="A429" s="61"/>
      <c r="O429" s="61"/>
      <c r="AU429" s="281">
        <v>56749</v>
      </c>
      <c r="AV429" s="75"/>
      <c r="AW429" s="75"/>
      <c r="AX429" s="75"/>
      <c r="AY429" s="75"/>
      <c r="AZ429" s="75"/>
      <c r="BA429" s="75"/>
      <c r="BB429" s="75"/>
      <c r="BC429" s="75"/>
      <c r="BD429" s="75"/>
      <c r="BE429" s="75"/>
      <c r="BF429" s="75">
        <v>7.1249999999999994E-2</v>
      </c>
      <c r="BG429" s="75"/>
      <c r="BH429" s="75"/>
      <c r="BI429" s="74">
        <f t="shared" si="24"/>
        <v>7.1249999999999994E-2</v>
      </c>
    </row>
    <row r="430" spans="1:61" s="11" customFormat="1" x14ac:dyDescent="0.2">
      <c r="A430" s="61"/>
      <c r="O430" s="61"/>
      <c r="AU430" s="281">
        <v>56780</v>
      </c>
      <c r="AV430" s="75"/>
      <c r="AW430" s="75"/>
      <c r="AX430" s="75"/>
      <c r="AY430" s="75"/>
      <c r="AZ430" s="75"/>
      <c r="BA430" s="75"/>
      <c r="BB430" s="75"/>
      <c r="BC430" s="75"/>
      <c r="BD430" s="75"/>
      <c r="BE430" s="75"/>
      <c r="BF430" s="75">
        <v>7.1249999999999994E-2</v>
      </c>
      <c r="BG430" s="75"/>
      <c r="BH430" s="75"/>
      <c r="BI430" s="74">
        <f t="shared" si="24"/>
        <v>7.1249999999999994E-2</v>
      </c>
    </row>
    <row r="431" spans="1:61" s="11" customFormat="1" x14ac:dyDescent="0.2">
      <c r="A431" s="61"/>
      <c r="O431" s="61"/>
      <c r="AU431" s="281">
        <v>56810</v>
      </c>
      <c r="AV431" s="75"/>
      <c r="AW431" s="75"/>
      <c r="AX431" s="75"/>
      <c r="AY431" s="75"/>
      <c r="AZ431" s="75"/>
      <c r="BA431" s="75"/>
      <c r="BB431" s="75"/>
      <c r="BC431" s="75"/>
      <c r="BD431" s="75"/>
      <c r="BE431" s="75"/>
      <c r="BF431" s="75">
        <v>7.1249999999999994E-2</v>
      </c>
      <c r="BG431" s="75"/>
      <c r="BH431" s="75"/>
      <c r="BI431" s="74">
        <f t="shared" si="24"/>
        <v>7.1249999999999994E-2</v>
      </c>
    </row>
    <row r="432" spans="1:61" s="11" customFormat="1" x14ac:dyDescent="0.2">
      <c r="A432" s="61"/>
      <c r="O432" s="61"/>
      <c r="AU432" s="281">
        <v>56841</v>
      </c>
      <c r="AV432" s="75"/>
      <c r="AW432" s="75"/>
      <c r="AX432" s="75"/>
      <c r="AY432" s="75"/>
      <c r="AZ432" s="75"/>
      <c r="BA432" s="75"/>
      <c r="BB432" s="75"/>
      <c r="BC432" s="75"/>
      <c r="BD432" s="75"/>
      <c r="BE432" s="75"/>
      <c r="BF432" s="75">
        <v>7.1249999999999994E-2</v>
      </c>
      <c r="BG432" s="75"/>
      <c r="BH432" s="75"/>
      <c r="BI432" s="74">
        <f t="shared" si="24"/>
        <v>7.1249999999999994E-2</v>
      </c>
    </row>
    <row r="433" spans="1:61" s="11" customFormat="1" x14ac:dyDescent="0.2">
      <c r="A433" s="61"/>
      <c r="O433" s="61"/>
      <c r="AU433" s="281">
        <v>56872</v>
      </c>
      <c r="AV433" s="75"/>
      <c r="AW433" s="75"/>
      <c r="AX433" s="75"/>
      <c r="AY433" s="75"/>
      <c r="AZ433" s="75"/>
      <c r="BA433" s="75"/>
      <c r="BB433" s="75"/>
      <c r="BC433" s="75"/>
      <c r="BD433" s="75"/>
      <c r="BE433" s="75"/>
      <c r="BF433" s="75">
        <v>7.1249999999999994E-2</v>
      </c>
      <c r="BG433" s="75"/>
      <c r="BH433" s="75"/>
      <c r="BI433" s="74">
        <f t="shared" si="24"/>
        <v>7.1249999999999994E-2</v>
      </c>
    </row>
    <row r="434" spans="1:61" s="11" customFormat="1" x14ac:dyDescent="0.2">
      <c r="A434" s="61"/>
      <c r="O434" s="61"/>
      <c r="AU434" s="281">
        <v>56902</v>
      </c>
      <c r="AV434" s="75"/>
      <c r="AW434" s="75"/>
      <c r="AX434" s="75"/>
      <c r="AY434" s="75"/>
      <c r="AZ434" s="75"/>
      <c r="BA434" s="75"/>
      <c r="BB434" s="75"/>
      <c r="BC434" s="75"/>
      <c r="BD434" s="75"/>
      <c r="BE434" s="75"/>
      <c r="BF434" s="75">
        <v>7.1249999999999994E-2</v>
      </c>
      <c r="BG434" s="75"/>
      <c r="BH434" s="75"/>
      <c r="BI434" s="74">
        <f t="shared" si="24"/>
        <v>7.1249999999999994E-2</v>
      </c>
    </row>
    <row r="435" spans="1:61" s="11" customFormat="1" x14ac:dyDescent="0.2">
      <c r="A435" s="61"/>
      <c r="O435" s="61"/>
      <c r="AU435" s="281">
        <v>56933</v>
      </c>
      <c r="AV435" s="75"/>
      <c r="AW435" s="75"/>
      <c r="AX435" s="75"/>
      <c r="AY435" s="75"/>
      <c r="AZ435" s="75"/>
      <c r="BA435" s="75"/>
      <c r="BB435" s="75"/>
      <c r="BC435" s="75"/>
      <c r="BD435" s="75"/>
      <c r="BE435" s="75"/>
      <c r="BF435" s="75">
        <v>7.1249999999999994E-2</v>
      </c>
      <c r="BG435" s="75"/>
      <c r="BH435" s="75"/>
      <c r="BI435" s="74">
        <f t="shared" si="24"/>
        <v>7.1249999999999994E-2</v>
      </c>
    </row>
    <row r="436" spans="1:61" s="11" customFormat="1" x14ac:dyDescent="0.2">
      <c r="A436" s="61"/>
      <c r="O436" s="61"/>
      <c r="AU436" s="281">
        <v>56963</v>
      </c>
      <c r="AV436" s="75"/>
      <c r="AW436" s="75"/>
      <c r="AX436" s="75"/>
      <c r="AY436" s="75"/>
      <c r="AZ436" s="75"/>
      <c r="BA436" s="75"/>
      <c r="BB436" s="75"/>
      <c r="BC436" s="75"/>
      <c r="BD436" s="75"/>
      <c r="BE436" s="75"/>
      <c r="BF436" s="75">
        <v>7.1249999999999994E-2</v>
      </c>
      <c r="BG436" s="75"/>
      <c r="BH436" s="75"/>
      <c r="BI436" s="74">
        <f t="shared" si="24"/>
        <v>7.1249999999999994E-2</v>
      </c>
    </row>
    <row r="437" spans="1:61" s="11" customFormat="1" x14ac:dyDescent="0.2">
      <c r="A437" s="61"/>
      <c r="O437" s="61"/>
      <c r="AU437" s="281">
        <v>56994</v>
      </c>
      <c r="AV437" s="75"/>
      <c r="AW437" s="75"/>
      <c r="AX437" s="75"/>
      <c r="AY437" s="75"/>
      <c r="AZ437" s="75"/>
      <c r="BA437" s="75"/>
      <c r="BB437" s="75"/>
      <c r="BC437" s="75"/>
      <c r="BD437" s="75"/>
      <c r="BE437" s="75"/>
      <c r="BF437" s="75">
        <v>7.1249999999999994E-2</v>
      </c>
      <c r="BG437" s="75"/>
      <c r="BH437" s="75"/>
      <c r="BI437" s="74">
        <f t="shared" si="24"/>
        <v>7.1249999999999994E-2</v>
      </c>
    </row>
    <row r="438" spans="1:61" s="11" customFormat="1" x14ac:dyDescent="0.2">
      <c r="A438" s="61"/>
      <c r="O438" s="61"/>
      <c r="AU438" s="281">
        <v>57025</v>
      </c>
      <c r="AV438" s="75"/>
      <c r="AW438" s="75"/>
      <c r="AX438" s="75"/>
      <c r="AY438" s="75"/>
      <c r="AZ438" s="75"/>
      <c r="BA438" s="75"/>
      <c r="BB438" s="75"/>
      <c r="BC438" s="75"/>
      <c r="BD438" s="75"/>
      <c r="BE438" s="75"/>
      <c r="BF438" s="75">
        <v>7.1249999999999994E-2</v>
      </c>
      <c r="BG438" s="75"/>
      <c r="BH438" s="75"/>
      <c r="BI438" s="74">
        <f t="shared" si="24"/>
        <v>7.1249999999999994E-2</v>
      </c>
    </row>
    <row r="439" spans="1:61" s="11" customFormat="1" x14ac:dyDescent="0.2">
      <c r="A439" s="61"/>
      <c r="O439" s="61"/>
      <c r="AU439" s="281">
        <v>57054</v>
      </c>
      <c r="AV439" s="75"/>
      <c r="AW439" s="75"/>
      <c r="AX439" s="75"/>
      <c r="AY439" s="75"/>
      <c r="AZ439" s="75"/>
      <c r="BA439" s="75"/>
      <c r="BB439" s="75"/>
      <c r="BC439" s="75"/>
      <c r="BD439" s="75"/>
      <c r="BE439" s="75"/>
      <c r="BF439" s="75">
        <v>7.1249999999999994E-2</v>
      </c>
      <c r="BG439" s="75"/>
      <c r="BH439" s="75"/>
      <c r="BI439" s="74">
        <f t="shared" si="24"/>
        <v>7.1249999999999994E-2</v>
      </c>
    </row>
    <row r="440" spans="1:61" s="11" customFormat="1" x14ac:dyDescent="0.2">
      <c r="A440" s="61"/>
      <c r="O440" s="61"/>
      <c r="AU440" s="281">
        <v>57085</v>
      </c>
      <c r="AV440" s="75"/>
      <c r="AW440" s="75"/>
      <c r="AX440" s="75"/>
      <c r="AY440" s="75"/>
      <c r="AZ440" s="75"/>
      <c r="BA440" s="75"/>
      <c r="BB440" s="75"/>
      <c r="BC440" s="75"/>
      <c r="BD440" s="75"/>
      <c r="BE440" s="75"/>
      <c r="BF440" s="75">
        <v>7.1249999999999994E-2</v>
      </c>
      <c r="BG440" s="75"/>
      <c r="BH440" s="75"/>
      <c r="BI440" s="74">
        <f t="shared" si="24"/>
        <v>7.1249999999999994E-2</v>
      </c>
    </row>
    <row r="441" spans="1:61" s="11" customFormat="1" x14ac:dyDescent="0.2">
      <c r="A441" s="61"/>
      <c r="O441" s="61"/>
      <c r="AU441" s="281">
        <v>57115</v>
      </c>
      <c r="AV441" s="75"/>
      <c r="AW441" s="75"/>
      <c r="AX441" s="75"/>
      <c r="AY441" s="75"/>
      <c r="AZ441" s="75"/>
      <c r="BA441" s="75"/>
      <c r="BB441" s="75"/>
      <c r="BC441" s="75"/>
      <c r="BD441" s="75"/>
      <c r="BE441" s="75"/>
      <c r="BF441" s="75">
        <v>7.1249999999999994E-2</v>
      </c>
      <c r="BG441" s="75"/>
      <c r="BH441" s="75"/>
      <c r="BI441" s="74">
        <f t="shared" si="24"/>
        <v>7.1249999999999994E-2</v>
      </c>
    </row>
    <row r="442" spans="1:61" s="11" customFormat="1" x14ac:dyDescent="0.2">
      <c r="A442" s="61"/>
      <c r="O442" s="61"/>
      <c r="AU442" s="281">
        <v>57146</v>
      </c>
      <c r="AV442" s="75"/>
      <c r="AW442" s="75"/>
      <c r="AX442" s="75"/>
      <c r="AY442" s="75"/>
      <c r="AZ442" s="75"/>
      <c r="BA442" s="75"/>
      <c r="BB442" s="75"/>
      <c r="BC442" s="75"/>
      <c r="BD442" s="75"/>
      <c r="BE442" s="75"/>
      <c r="BF442" s="75">
        <v>7.1249999999999994E-2</v>
      </c>
      <c r="BG442" s="75"/>
      <c r="BH442" s="75"/>
      <c r="BI442" s="74">
        <f t="shared" si="24"/>
        <v>7.1249999999999994E-2</v>
      </c>
    </row>
    <row r="443" spans="1:61" s="11" customFormat="1" x14ac:dyDescent="0.2">
      <c r="A443" s="61"/>
      <c r="O443" s="61"/>
      <c r="AU443" s="281">
        <v>57176</v>
      </c>
      <c r="AV443" s="75"/>
      <c r="AW443" s="75"/>
      <c r="AX443" s="75"/>
      <c r="AY443" s="75"/>
      <c r="AZ443" s="75"/>
      <c r="BA443" s="75"/>
      <c r="BB443" s="75"/>
      <c r="BC443" s="75"/>
      <c r="BD443" s="75"/>
      <c r="BE443" s="75"/>
      <c r="BF443" s="75">
        <v>7.1249999999999994E-2</v>
      </c>
      <c r="BG443" s="75"/>
      <c r="BH443" s="75"/>
      <c r="BI443" s="74">
        <f t="shared" si="24"/>
        <v>7.1249999999999994E-2</v>
      </c>
    </row>
    <row r="444" spans="1:61" s="11" customFormat="1" x14ac:dyDescent="0.2">
      <c r="A444" s="61"/>
      <c r="O444" s="61"/>
      <c r="AU444" s="281">
        <v>57207</v>
      </c>
      <c r="AV444" s="75"/>
      <c r="AW444" s="75"/>
      <c r="AX444" s="75"/>
      <c r="AY444" s="75"/>
      <c r="AZ444" s="75"/>
      <c r="BA444" s="75"/>
      <c r="BB444" s="75"/>
      <c r="BC444" s="75"/>
      <c r="BD444" s="75"/>
      <c r="BE444" s="75"/>
      <c r="BF444" s="75">
        <v>7.1249999999999994E-2</v>
      </c>
      <c r="BG444" s="75"/>
      <c r="BH444" s="75"/>
      <c r="BI444" s="74">
        <f t="shared" si="24"/>
        <v>7.1249999999999994E-2</v>
      </c>
    </row>
    <row r="445" spans="1:61" s="11" customFormat="1" x14ac:dyDescent="0.2">
      <c r="A445" s="61"/>
      <c r="O445" s="61"/>
      <c r="AU445" s="281">
        <v>57238</v>
      </c>
      <c r="AV445" s="75"/>
      <c r="AW445" s="75"/>
      <c r="AX445" s="75"/>
      <c r="AY445" s="75"/>
      <c r="AZ445" s="75"/>
      <c r="BA445" s="75"/>
      <c r="BB445" s="75"/>
      <c r="BC445" s="75"/>
      <c r="BD445" s="75"/>
      <c r="BE445" s="75"/>
      <c r="BF445" s="75">
        <v>7.1249999999999994E-2</v>
      </c>
      <c r="BG445" s="75"/>
      <c r="BH445" s="75"/>
      <c r="BI445" s="74">
        <f t="shared" si="24"/>
        <v>7.1249999999999994E-2</v>
      </c>
    </row>
    <row r="446" spans="1:61" s="11" customFormat="1" x14ac:dyDescent="0.2">
      <c r="A446" s="61"/>
      <c r="O446" s="61"/>
      <c r="AU446" s="281">
        <v>57268</v>
      </c>
      <c r="AV446" s="75"/>
      <c r="AW446" s="75"/>
      <c r="AX446" s="75"/>
      <c r="AY446" s="75"/>
      <c r="AZ446" s="75"/>
      <c r="BA446" s="75"/>
      <c r="BB446" s="75"/>
      <c r="BC446" s="75"/>
      <c r="BD446" s="75"/>
      <c r="BE446" s="75"/>
      <c r="BF446" s="75">
        <v>7.1249999999999994E-2</v>
      </c>
      <c r="BG446" s="75"/>
      <c r="BH446" s="75"/>
      <c r="BI446" s="74">
        <f t="shared" si="24"/>
        <v>7.1249999999999994E-2</v>
      </c>
    </row>
    <row r="447" spans="1:61" s="11" customFormat="1" x14ac:dyDescent="0.2">
      <c r="A447" s="61"/>
      <c r="O447" s="61"/>
      <c r="AU447" s="281">
        <v>57299</v>
      </c>
      <c r="AV447" s="75"/>
      <c r="AW447" s="75"/>
      <c r="AX447" s="75"/>
      <c r="AY447" s="75"/>
      <c r="AZ447" s="75"/>
      <c r="BA447" s="75"/>
      <c r="BB447" s="75"/>
      <c r="BC447" s="75"/>
      <c r="BD447" s="75"/>
      <c r="BE447" s="75"/>
      <c r="BF447" s="75">
        <v>7.1249999999999994E-2</v>
      </c>
      <c r="BG447" s="75"/>
      <c r="BH447" s="75"/>
      <c r="BI447" s="74">
        <f t="shared" si="24"/>
        <v>7.1249999999999994E-2</v>
      </c>
    </row>
    <row r="448" spans="1:61" s="11" customFormat="1" x14ac:dyDescent="0.2">
      <c r="A448" s="61"/>
      <c r="O448" s="61"/>
      <c r="AU448" s="281">
        <v>57329</v>
      </c>
      <c r="AV448" s="75"/>
      <c r="AW448" s="75"/>
      <c r="AX448" s="75"/>
      <c r="AY448" s="75"/>
      <c r="AZ448" s="75"/>
      <c r="BA448" s="75"/>
      <c r="BB448" s="75"/>
      <c r="BC448" s="75"/>
      <c r="BD448" s="75"/>
      <c r="BE448" s="75"/>
      <c r="BF448" s="75">
        <v>7.1249999999999994E-2</v>
      </c>
      <c r="BG448" s="75"/>
      <c r="BH448" s="75"/>
      <c r="BI448" s="74">
        <f t="shared" si="24"/>
        <v>7.1249999999999994E-2</v>
      </c>
    </row>
    <row r="449" spans="1:61" s="11" customFormat="1" x14ac:dyDescent="0.2">
      <c r="A449" s="61"/>
      <c r="O449" s="61"/>
      <c r="AU449" s="281">
        <v>57360</v>
      </c>
      <c r="AV449" s="75"/>
      <c r="AW449" s="75"/>
      <c r="AX449" s="75"/>
      <c r="AY449" s="75"/>
      <c r="AZ449" s="75"/>
      <c r="BA449" s="75"/>
      <c r="BB449" s="75"/>
      <c r="BC449" s="75"/>
      <c r="BD449" s="75"/>
      <c r="BE449" s="75"/>
      <c r="BF449" s="75">
        <v>7.1249999999999994E-2</v>
      </c>
      <c r="BG449" s="75"/>
      <c r="BH449" s="75"/>
      <c r="BI449" s="74">
        <f t="shared" si="24"/>
        <v>7.1249999999999994E-2</v>
      </c>
    </row>
    <row r="450" spans="1:61" s="11" customFormat="1" x14ac:dyDescent="0.2">
      <c r="A450" s="61"/>
      <c r="O450" s="61"/>
      <c r="AU450" s="281">
        <v>57391</v>
      </c>
      <c r="AV450" s="75"/>
      <c r="AW450" s="75"/>
      <c r="AX450" s="75"/>
      <c r="AY450" s="75"/>
      <c r="AZ450" s="75"/>
      <c r="BA450" s="75"/>
      <c r="BB450" s="75"/>
      <c r="BC450" s="75"/>
      <c r="BD450" s="75"/>
      <c r="BE450" s="75"/>
      <c r="BF450" s="75">
        <v>7.1249999999999994E-2</v>
      </c>
      <c r="BG450" s="75"/>
      <c r="BH450" s="75"/>
      <c r="BI450" s="74">
        <f t="shared" si="24"/>
        <v>7.1249999999999994E-2</v>
      </c>
    </row>
    <row r="451" spans="1:61" s="11" customFormat="1" x14ac:dyDescent="0.2">
      <c r="A451" s="61"/>
      <c r="O451" s="61"/>
      <c r="AU451" s="281">
        <v>57419</v>
      </c>
      <c r="AV451" s="75"/>
      <c r="AW451" s="75"/>
      <c r="AX451" s="75"/>
      <c r="AY451" s="75"/>
      <c r="AZ451" s="75"/>
      <c r="BA451" s="75"/>
      <c r="BB451" s="75"/>
      <c r="BC451" s="75"/>
      <c r="BD451" s="75"/>
      <c r="BE451" s="75"/>
      <c r="BF451" s="75">
        <v>7.1249999999999994E-2</v>
      </c>
      <c r="BG451" s="75"/>
      <c r="BH451" s="75"/>
      <c r="BI451" s="74">
        <f t="shared" si="24"/>
        <v>7.1249999999999994E-2</v>
      </c>
    </row>
    <row r="452" spans="1:61" s="11" customFormat="1" x14ac:dyDescent="0.2">
      <c r="A452" s="61"/>
      <c r="O452" s="61"/>
      <c r="AU452" s="281">
        <v>57450</v>
      </c>
      <c r="AV452" s="75"/>
      <c r="AW452" s="75"/>
      <c r="AX452" s="75"/>
      <c r="AY452" s="75"/>
      <c r="AZ452" s="75"/>
      <c r="BA452" s="75"/>
      <c r="BB452" s="75"/>
      <c r="BC452" s="75"/>
      <c r="BD452" s="75"/>
      <c r="BE452" s="75"/>
      <c r="BF452" s="75">
        <v>7.1249999999999994E-2</v>
      </c>
      <c r="BG452" s="75"/>
      <c r="BH452" s="75"/>
      <c r="BI452" s="74">
        <f t="shared" si="24"/>
        <v>7.1249999999999994E-2</v>
      </c>
    </row>
    <row r="453" spans="1:61" s="11" customFormat="1" x14ac:dyDescent="0.2">
      <c r="A453" s="61"/>
      <c r="O453" s="61"/>
      <c r="AU453" s="281">
        <v>57480</v>
      </c>
      <c r="AV453" s="75"/>
      <c r="AW453" s="75"/>
      <c r="AX453" s="75"/>
      <c r="AY453" s="75"/>
      <c r="AZ453" s="75"/>
      <c r="BA453" s="75"/>
      <c r="BB453" s="75"/>
      <c r="BC453" s="75"/>
      <c r="BD453" s="75"/>
      <c r="BE453" s="75"/>
      <c r="BF453" s="75">
        <v>7.1249999999999994E-2</v>
      </c>
      <c r="BG453" s="75"/>
      <c r="BH453" s="75"/>
      <c r="BI453" s="74">
        <f t="shared" si="24"/>
        <v>7.1249999999999994E-2</v>
      </c>
    </row>
    <row r="454" spans="1:61" s="11" customFormat="1" x14ac:dyDescent="0.2">
      <c r="A454" s="61"/>
      <c r="O454" s="61"/>
      <c r="AU454" s="281">
        <v>57511</v>
      </c>
      <c r="AV454" s="75"/>
      <c r="AW454" s="75"/>
      <c r="AX454" s="75"/>
      <c r="AY454" s="75"/>
      <c r="AZ454" s="75"/>
      <c r="BA454" s="75"/>
      <c r="BB454" s="75"/>
      <c r="BC454" s="75"/>
      <c r="BD454" s="75"/>
      <c r="BE454" s="75"/>
      <c r="BF454" s="75">
        <v>7.1249999999999994E-2</v>
      </c>
      <c r="BG454" s="75"/>
      <c r="BH454" s="75"/>
      <c r="BI454" s="74">
        <f t="shared" si="24"/>
        <v>7.1249999999999994E-2</v>
      </c>
    </row>
    <row r="455" spans="1:61" s="11" customFormat="1" x14ac:dyDescent="0.2">
      <c r="A455" s="61"/>
      <c r="O455" s="61"/>
      <c r="AU455" s="281">
        <v>57541</v>
      </c>
      <c r="AV455" s="75"/>
      <c r="AW455" s="75"/>
      <c r="AX455" s="75"/>
      <c r="AY455" s="75"/>
      <c r="AZ455" s="75"/>
      <c r="BA455" s="75"/>
      <c r="BB455" s="75"/>
      <c r="BC455" s="75"/>
      <c r="BD455" s="75"/>
      <c r="BE455" s="75"/>
      <c r="BF455" s="75">
        <v>7.1249999999999994E-2</v>
      </c>
      <c r="BG455" s="75"/>
      <c r="BH455" s="75"/>
      <c r="BI455" s="74">
        <f t="shared" si="24"/>
        <v>7.1249999999999994E-2</v>
      </c>
    </row>
    <row r="456" spans="1:61" s="11" customFormat="1" x14ac:dyDescent="0.2">
      <c r="A456" s="61"/>
      <c r="O456" s="61"/>
      <c r="AU456" s="281">
        <v>57572</v>
      </c>
      <c r="AV456" s="75"/>
      <c r="AW456" s="75"/>
      <c r="AX456" s="75"/>
      <c r="AY456" s="75"/>
      <c r="AZ456" s="75"/>
      <c r="BA456" s="75"/>
      <c r="BB456" s="75"/>
      <c r="BC456" s="75"/>
      <c r="BD456" s="75"/>
      <c r="BE456" s="75"/>
      <c r="BF456" s="75">
        <v>7.1249999999999994E-2</v>
      </c>
      <c r="BG456" s="75"/>
      <c r="BH456" s="75"/>
      <c r="BI456" s="74">
        <f t="shared" si="24"/>
        <v>7.1249999999999994E-2</v>
      </c>
    </row>
    <row r="457" spans="1:61" s="11" customFormat="1" x14ac:dyDescent="0.2">
      <c r="A457" s="61"/>
      <c r="O457" s="61"/>
      <c r="AU457" s="281">
        <v>57603</v>
      </c>
      <c r="AV457" s="75"/>
      <c r="AW457" s="75"/>
      <c r="AX457" s="75"/>
      <c r="AY457" s="75"/>
      <c r="AZ457" s="75"/>
      <c r="BA457" s="75"/>
      <c r="BB457" s="75"/>
      <c r="BC457" s="75"/>
      <c r="BD457" s="75"/>
      <c r="BE457" s="75"/>
      <c r="BF457" s="75">
        <v>7.1249999999999994E-2</v>
      </c>
      <c r="BG457" s="75"/>
      <c r="BH457" s="75"/>
      <c r="BI457" s="74">
        <f t="shared" ref="BI457:BI520" si="25">+AVERAGE(AV457:BH457)</f>
        <v>7.1249999999999994E-2</v>
      </c>
    </row>
    <row r="458" spans="1:61" s="11" customFormat="1" x14ac:dyDescent="0.2">
      <c r="A458" s="61"/>
      <c r="O458" s="61"/>
      <c r="AU458" s="281">
        <v>57633</v>
      </c>
      <c r="AV458" s="75"/>
      <c r="AW458" s="75"/>
      <c r="AX458" s="75"/>
      <c r="AY458" s="75"/>
      <c r="AZ458" s="75"/>
      <c r="BA458" s="75"/>
      <c r="BB458" s="75"/>
      <c r="BC458" s="75"/>
      <c r="BD458" s="75"/>
      <c r="BE458" s="75"/>
      <c r="BF458" s="75">
        <v>7.1249999999999994E-2</v>
      </c>
      <c r="BG458" s="75"/>
      <c r="BH458" s="75"/>
      <c r="BI458" s="74">
        <f t="shared" si="25"/>
        <v>7.1249999999999994E-2</v>
      </c>
    </row>
    <row r="459" spans="1:61" s="11" customFormat="1" x14ac:dyDescent="0.2">
      <c r="A459" s="61"/>
      <c r="O459" s="61"/>
      <c r="AU459" s="281">
        <v>57664</v>
      </c>
      <c r="AV459" s="75"/>
      <c r="AW459" s="75"/>
      <c r="AX459" s="75"/>
      <c r="AY459" s="75"/>
      <c r="AZ459" s="75"/>
      <c r="BA459" s="75"/>
      <c r="BB459" s="75"/>
      <c r="BC459" s="75"/>
      <c r="BD459" s="75"/>
      <c r="BE459" s="75"/>
      <c r="BF459" s="75">
        <v>7.1249999999999994E-2</v>
      </c>
      <c r="BG459" s="75"/>
      <c r="BH459" s="75"/>
      <c r="BI459" s="74">
        <f t="shared" si="25"/>
        <v>7.1249999999999994E-2</v>
      </c>
    </row>
    <row r="460" spans="1:61" s="11" customFormat="1" x14ac:dyDescent="0.2">
      <c r="A460" s="61"/>
      <c r="O460" s="61"/>
      <c r="AU460" s="281">
        <v>57694</v>
      </c>
      <c r="AV460" s="75"/>
      <c r="AW460" s="75"/>
      <c r="AX460" s="75"/>
      <c r="AY460" s="75"/>
      <c r="AZ460" s="75"/>
      <c r="BA460" s="75"/>
      <c r="BB460" s="75"/>
      <c r="BC460" s="75"/>
      <c r="BD460" s="75"/>
      <c r="BE460" s="75"/>
      <c r="BF460" s="75">
        <v>7.1249999999999994E-2</v>
      </c>
      <c r="BG460" s="75"/>
      <c r="BH460" s="75"/>
      <c r="BI460" s="74">
        <f t="shared" si="25"/>
        <v>7.1249999999999994E-2</v>
      </c>
    </row>
    <row r="461" spans="1:61" s="11" customFormat="1" x14ac:dyDescent="0.2">
      <c r="A461" s="61"/>
      <c r="O461" s="61"/>
      <c r="AU461" s="281">
        <v>57725</v>
      </c>
      <c r="AV461" s="75"/>
      <c r="AW461" s="75"/>
      <c r="AX461" s="75"/>
      <c r="AY461" s="75"/>
      <c r="AZ461" s="75"/>
      <c r="BA461" s="75"/>
      <c r="BB461" s="75"/>
      <c r="BC461" s="75"/>
      <c r="BD461" s="75"/>
      <c r="BE461" s="75"/>
      <c r="BF461" s="75">
        <v>7.1249999999999994E-2</v>
      </c>
      <c r="BG461" s="75"/>
      <c r="BH461" s="75"/>
      <c r="BI461" s="74">
        <f t="shared" si="25"/>
        <v>7.1249999999999994E-2</v>
      </c>
    </row>
    <row r="462" spans="1:61" s="11" customFormat="1" x14ac:dyDescent="0.2">
      <c r="A462" s="61"/>
      <c r="O462" s="61"/>
      <c r="AU462" s="281">
        <v>57756</v>
      </c>
      <c r="AV462" s="75"/>
      <c r="AW462" s="75"/>
      <c r="AX462" s="75"/>
      <c r="AY462" s="75"/>
      <c r="AZ462" s="75"/>
      <c r="BA462" s="75"/>
      <c r="BB462" s="75"/>
      <c r="BC462" s="75"/>
      <c r="BD462" s="75"/>
      <c r="BE462" s="75"/>
      <c r="BF462" s="75">
        <v>7.1249999999999994E-2</v>
      </c>
      <c r="BG462" s="75"/>
      <c r="BH462" s="75"/>
      <c r="BI462" s="74">
        <f t="shared" si="25"/>
        <v>7.1249999999999994E-2</v>
      </c>
    </row>
    <row r="463" spans="1:61" s="11" customFormat="1" x14ac:dyDescent="0.2">
      <c r="A463" s="61"/>
      <c r="O463" s="61"/>
      <c r="AU463" s="281">
        <v>57784</v>
      </c>
      <c r="AV463" s="75"/>
      <c r="AW463" s="75"/>
      <c r="AX463" s="75"/>
      <c r="AY463" s="75"/>
      <c r="AZ463" s="75"/>
      <c r="BA463" s="75"/>
      <c r="BB463" s="75"/>
      <c r="BC463" s="75"/>
      <c r="BD463" s="75"/>
      <c r="BE463" s="75"/>
      <c r="BF463" s="75">
        <v>7.1249999999999994E-2</v>
      </c>
      <c r="BG463" s="75"/>
      <c r="BH463" s="75"/>
      <c r="BI463" s="74">
        <f t="shared" si="25"/>
        <v>7.1249999999999994E-2</v>
      </c>
    </row>
    <row r="464" spans="1:61" s="11" customFormat="1" x14ac:dyDescent="0.2">
      <c r="A464" s="61"/>
      <c r="O464" s="61"/>
      <c r="AU464" s="281">
        <v>57815</v>
      </c>
      <c r="AV464" s="75"/>
      <c r="AW464" s="75"/>
      <c r="AX464" s="75"/>
      <c r="AY464" s="75"/>
      <c r="AZ464" s="75"/>
      <c r="BA464" s="75"/>
      <c r="BB464" s="75"/>
      <c r="BC464" s="75"/>
      <c r="BD464" s="75"/>
      <c r="BE464" s="75"/>
      <c r="BF464" s="75">
        <v>7.1249999999999994E-2</v>
      </c>
      <c r="BG464" s="75"/>
      <c r="BH464" s="75"/>
      <c r="BI464" s="74">
        <f t="shared" si="25"/>
        <v>7.1249999999999994E-2</v>
      </c>
    </row>
    <row r="465" spans="1:61" s="11" customFormat="1" x14ac:dyDescent="0.2">
      <c r="A465" s="61"/>
      <c r="O465" s="61"/>
      <c r="AU465" s="281">
        <v>57845</v>
      </c>
      <c r="AV465" s="75"/>
      <c r="AW465" s="75"/>
      <c r="AX465" s="75"/>
      <c r="AY465" s="75"/>
      <c r="AZ465" s="75"/>
      <c r="BA465" s="75"/>
      <c r="BB465" s="75"/>
      <c r="BC465" s="75"/>
      <c r="BD465" s="75"/>
      <c r="BE465" s="75"/>
      <c r="BF465" s="75">
        <v>7.1249999999999994E-2</v>
      </c>
      <c r="BG465" s="75"/>
      <c r="BH465" s="75"/>
      <c r="BI465" s="74">
        <f t="shared" si="25"/>
        <v>7.1249999999999994E-2</v>
      </c>
    </row>
    <row r="466" spans="1:61" s="11" customFormat="1" x14ac:dyDescent="0.2">
      <c r="A466" s="61"/>
      <c r="O466" s="61"/>
      <c r="AU466" s="281">
        <v>57876</v>
      </c>
      <c r="AV466" s="75"/>
      <c r="AW466" s="75"/>
      <c r="AX466" s="75"/>
      <c r="AY466" s="75"/>
      <c r="AZ466" s="75"/>
      <c r="BA466" s="75"/>
      <c r="BB466" s="75"/>
      <c r="BC466" s="75"/>
      <c r="BD466" s="75"/>
      <c r="BE466" s="75"/>
      <c r="BF466" s="75">
        <v>7.1249999999999994E-2</v>
      </c>
      <c r="BG466" s="75"/>
      <c r="BH466" s="75"/>
      <c r="BI466" s="74">
        <f t="shared" si="25"/>
        <v>7.1249999999999994E-2</v>
      </c>
    </row>
    <row r="467" spans="1:61" s="11" customFormat="1" x14ac:dyDescent="0.2">
      <c r="A467" s="61"/>
      <c r="O467" s="61"/>
      <c r="AU467" s="281">
        <v>57906</v>
      </c>
      <c r="AV467" s="75"/>
      <c r="AW467" s="75"/>
      <c r="AX467" s="75"/>
      <c r="AY467" s="75"/>
      <c r="AZ467" s="75"/>
      <c r="BA467" s="75"/>
      <c r="BB467" s="75"/>
      <c r="BC467" s="75"/>
      <c r="BD467" s="75"/>
      <c r="BE467" s="75"/>
      <c r="BF467" s="75">
        <v>7.1249999999999994E-2</v>
      </c>
      <c r="BG467" s="75"/>
      <c r="BH467" s="75"/>
      <c r="BI467" s="74">
        <f t="shared" si="25"/>
        <v>7.1249999999999994E-2</v>
      </c>
    </row>
    <row r="468" spans="1:61" s="11" customFormat="1" x14ac:dyDescent="0.2">
      <c r="A468" s="61"/>
      <c r="O468" s="61"/>
      <c r="AU468" s="281">
        <v>57937</v>
      </c>
      <c r="AV468" s="75"/>
      <c r="AW468" s="75"/>
      <c r="AX468" s="75"/>
      <c r="AY468" s="75"/>
      <c r="AZ468" s="75"/>
      <c r="BA468" s="75"/>
      <c r="BB468" s="75"/>
      <c r="BC468" s="75"/>
      <c r="BD468" s="75"/>
      <c r="BE468" s="75"/>
      <c r="BF468" s="75">
        <v>7.1249999999999994E-2</v>
      </c>
      <c r="BG468" s="75"/>
      <c r="BH468" s="75"/>
      <c r="BI468" s="74">
        <f t="shared" si="25"/>
        <v>7.1249999999999994E-2</v>
      </c>
    </row>
    <row r="469" spans="1:61" s="11" customFormat="1" x14ac:dyDescent="0.2">
      <c r="A469" s="61"/>
      <c r="O469" s="61"/>
      <c r="AU469" s="281">
        <v>57968</v>
      </c>
      <c r="AV469" s="75"/>
      <c r="AW469" s="75"/>
      <c r="AX469" s="75"/>
      <c r="AY469" s="75"/>
      <c r="AZ469" s="75"/>
      <c r="BA469" s="75"/>
      <c r="BB469" s="75"/>
      <c r="BC469" s="75"/>
      <c r="BD469" s="75"/>
      <c r="BE469" s="75"/>
      <c r="BF469" s="75">
        <v>7.1249999999999994E-2</v>
      </c>
      <c r="BG469" s="75"/>
      <c r="BH469" s="75"/>
      <c r="BI469" s="74">
        <f t="shared" si="25"/>
        <v>7.1249999999999994E-2</v>
      </c>
    </row>
    <row r="470" spans="1:61" s="11" customFormat="1" x14ac:dyDescent="0.2">
      <c r="A470" s="61"/>
      <c r="O470" s="61"/>
      <c r="AU470" s="281">
        <v>57998</v>
      </c>
      <c r="AV470" s="75"/>
      <c r="AW470" s="75"/>
      <c r="AX470" s="75"/>
      <c r="AY470" s="75"/>
      <c r="AZ470" s="75"/>
      <c r="BA470" s="75"/>
      <c r="BB470" s="75"/>
      <c r="BC470" s="75"/>
      <c r="BD470" s="75"/>
      <c r="BE470" s="75"/>
      <c r="BF470" s="75">
        <v>7.1249999999999994E-2</v>
      </c>
      <c r="BG470" s="75"/>
      <c r="BH470" s="75"/>
      <c r="BI470" s="74">
        <f t="shared" si="25"/>
        <v>7.1249999999999994E-2</v>
      </c>
    </row>
    <row r="471" spans="1:61" s="11" customFormat="1" x14ac:dyDescent="0.2">
      <c r="A471" s="61"/>
      <c r="O471" s="61"/>
      <c r="AU471" s="281">
        <v>58029</v>
      </c>
      <c r="AV471" s="75"/>
      <c r="AW471" s="75"/>
      <c r="AX471" s="75"/>
      <c r="AY471" s="75"/>
      <c r="AZ471" s="75"/>
      <c r="BA471" s="75"/>
      <c r="BB471" s="75"/>
      <c r="BC471" s="75"/>
      <c r="BD471" s="75"/>
      <c r="BE471" s="75"/>
      <c r="BF471" s="75">
        <v>7.1249999999999994E-2</v>
      </c>
      <c r="BG471" s="75"/>
      <c r="BH471" s="75"/>
      <c r="BI471" s="74">
        <f t="shared" si="25"/>
        <v>7.1249999999999994E-2</v>
      </c>
    </row>
    <row r="472" spans="1:61" s="11" customFormat="1" x14ac:dyDescent="0.2">
      <c r="A472" s="61"/>
      <c r="O472" s="61"/>
      <c r="AU472" s="281">
        <v>58059</v>
      </c>
      <c r="AV472" s="75"/>
      <c r="AW472" s="75"/>
      <c r="AX472" s="75"/>
      <c r="AY472" s="75"/>
      <c r="AZ472" s="75"/>
      <c r="BA472" s="75"/>
      <c r="BB472" s="75"/>
      <c r="BC472" s="75"/>
      <c r="BD472" s="75"/>
      <c r="BE472" s="75"/>
      <c r="BF472" s="75">
        <v>7.1249999999999994E-2</v>
      </c>
      <c r="BG472" s="75"/>
      <c r="BH472" s="75"/>
      <c r="BI472" s="74">
        <f t="shared" si="25"/>
        <v>7.1249999999999994E-2</v>
      </c>
    </row>
    <row r="473" spans="1:61" s="11" customFormat="1" x14ac:dyDescent="0.2">
      <c r="A473" s="61"/>
      <c r="O473" s="61"/>
      <c r="AU473" s="281">
        <v>58090</v>
      </c>
      <c r="AV473" s="75"/>
      <c r="AW473" s="75"/>
      <c r="AX473" s="75"/>
      <c r="AY473" s="75"/>
      <c r="AZ473" s="75"/>
      <c r="BA473" s="75"/>
      <c r="BB473" s="75"/>
      <c r="BC473" s="75"/>
      <c r="BD473" s="75"/>
      <c r="BE473" s="75"/>
      <c r="BF473" s="75">
        <v>7.1249999999999994E-2</v>
      </c>
      <c r="BG473" s="75"/>
      <c r="BH473" s="75"/>
      <c r="BI473" s="74">
        <f t="shared" si="25"/>
        <v>7.1249999999999994E-2</v>
      </c>
    </row>
    <row r="474" spans="1:61" s="11" customFormat="1" x14ac:dyDescent="0.2">
      <c r="A474" s="61"/>
      <c r="O474" s="61"/>
      <c r="AU474" s="281">
        <v>58121</v>
      </c>
      <c r="AV474" s="75"/>
      <c r="AW474" s="75"/>
      <c r="AX474" s="75"/>
      <c r="AY474" s="75"/>
      <c r="AZ474" s="75"/>
      <c r="BA474" s="75"/>
      <c r="BB474" s="75"/>
      <c r="BC474" s="75"/>
      <c r="BD474" s="75"/>
      <c r="BE474" s="75"/>
      <c r="BF474" s="75">
        <v>7.1249999999999994E-2</v>
      </c>
      <c r="BG474" s="75"/>
      <c r="BH474" s="75"/>
      <c r="BI474" s="74">
        <f t="shared" si="25"/>
        <v>7.1249999999999994E-2</v>
      </c>
    </row>
    <row r="475" spans="1:61" s="11" customFormat="1" x14ac:dyDescent="0.2">
      <c r="A475" s="61"/>
      <c r="O475" s="61"/>
      <c r="AU475" s="281">
        <v>58149</v>
      </c>
      <c r="AV475" s="75"/>
      <c r="AW475" s="75"/>
      <c r="AX475" s="75"/>
      <c r="AY475" s="75"/>
      <c r="AZ475" s="75"/>
      <c r="BA475" s="75"/>
      <c r="BB475" s="75"/>
      <c r="BC475" s="75"/>
      <c r="BD475" s="75"/>
      <c r="BE475" s="75"/>
      <c r="BF475" s="75">
        <v>7.1249999999999994E-2</v>
      </c>
      <c r="BG475" s="75"/>
      <c r="BH475" s="75"/>
      <c r="BI475" s="74">
        <f t="shared" si="25"/>
        <v>7.1249999999999994E-2</v>
      </c>
    </row>
    <row r="476" spans="1:61" s="11" customFormat="1" x14ac:dyDescent="0.2">
      <c r="A476" s="61"/>
      <c r="O476" s="61"/>
      <c r="AU476" s="281">
        <v>58180</v>
      </c>
      <c r="AV476" s="75"/>
      <c r="AW476" s="75"/>
      <c r="AX476" s="75"/>
      <c r="AY476" s="75"/>
      <c r="AZ476" s="75"/>
      <c r="BA476" s="75"/>
      <c r="BB476" s="75"/>
      <c r="BC476" s="75"/>
      <c r="BD476" s="75"/>
      <c r="BE476" s="75"/>
      <c r="BF476" s="75">
        <v>7.1249999999999994E-2</v>
      </c>
      <c r="BG476" s="75"/>
      <c r="BH476" s="75"/>
      <c r="BI476" s="74">
        <f t="shared" si="25"/>
        <v>7.1249999999999994E-2</v>
      </c>
    </row>
    <row r="477" spans="1:61" s="11" customFormat="1" x14ac:dyDescent="0.2">
      <c r="A477" s="61"/>
      <c r="O477" s="61"/>
      <c r="AU477" s="281">
        <v>58210</v>
      </c>
      <c r="AV477" s="75"/>
      <c r="AW477" s="75"/>
      <c r="AX477" s="75"/>
      <c r="AY477" s="75"/>
      <c r="AZ477" s="75"/>
      <c r="BA477" s="75"/>
      <c r="BB477" s="75"/>
      <c r="BC477" s="75"/>
      <c r="BD477" s="75"/>
      <c r="BE477" s="75"/>
      <c r="BF477" s="75">
        <v>7.1249999999999994E-2</v>
      </c>
      <c r="BG477" s="75"/>
      <c r="BH477" s="75"/>
      <c r="BI477" s="74">
        <f t="shared" si="25"/>
        <v>7.1249999999999994E-2</v>
      </c>
    </row>
    <row r="478" spans="1:61" s="11" customFormat="1" x14ac:dyDescent="0.2">
      <c r="A478" s="61"/>
      <c r="O478" s="61"/>
      <c r="AU478" s="281">
        <v>58241</v>
      </c>
      <c r="AV478" s="75"/>
      <c r="AW478" s="75"/>
      <c r="AX478" s="75"/>
      <c r="AY478" s="75"/>
      <c r="AZ478" s="75"/>
      <c r="BA478" s="75"/>
      <c r="BB478" s="75"/>
      <c r="BC478" s="75"/>
      <c r="BD478" s="75"/>
      <c r="BE478" s="75"/>
      <c r="BF478" s="75">
        <v>7.1249999999999994E-2</v>
      </c>
      <c r="BG478" s="75"/>
      <c r="BH478" s="75"/>
      <c r="BI478" s="74">
        <f t="shared" si="25"/>
        <v>7.1249999999999994E-2</v>
      </c>
    </row>
    <row r="479" spans="1:61" s="11" customFormat="1" x14ac:dyDescent="0.2">
      <c r="A479" s="61"/>
      <c r="O479" s="61"/>
      <c r="AU479" s="281">
        <v>58271</v>
      </c>
      <c r="AV479" s="75"/>
      <c r="AW479" s="75"/>
      <c r="AX479" s="75"/>
      <c r="AY479" s="75"/>
      <c r="AZ479" s="75"/>
      <c r="BA479" s="75"/>
      <c r="BB479" s="75"/>
      <c r="BC479" s="75"/>
      <c r="BD479" s="75"/>
      <c r="BE479" s="75"/>
      <c r="BF479" s="75">
        <v>7.1249999999999994E-2</v>
      </c>
      <c r="BG479" s="75"/>
      <c r="BH479" s="75"/>
      <c r="BI479" s="74">
        <f t="shared" si="25"/>
        <v>7.1249999999999994E-2</v>
      </c>
    </row>
    <row r="480" spans="1:61" s="11" customFormat="1" x14ac:dyDescent="0.2">
      <c r="A480" s="61"/>
      <c r="O480" s="61"/>
      <c r="AU480" s="281">
        <v>58302</v>
      </c>
      <c r="AV480" s="75"/>
      <c r="AW480" s="75"/>
      <c r="AX480" s="75"/>
      <c r="AY480" s="75"/>
      <c r="AZ480" s="75"/>
      <c r="BA480" s="75"/>
      <c r="BB480" s="75"/>
      <c r="BC480" s="75"/>
      <c r="BD480" s="75"/>
      <c r="BE480" s="75"/>
      <c r="BF480" s="75">
        <v>7.1249999999999994E-2</v>
      </c>
      <c r="BG480" s="75"/>
      <c r="BH480" s="75"/>
      <c r="BI480" s="74">
        <f t="shared" si="25"/>
        <v>7.1249999999999994E-2</v>
      </c>
    </row>
    <row r="481" spans="1:61" s="11" customFormat="1" x14ac:dyDescent="0.2">
      <c r="A481" s="61"/>
      <c r="O481" s="61"/>
      <c r="AU481" s="281">
        <v>58333</v>
      </c>
      <c r="AV481" s="75"/>
      <c r="AW481" s="75"/>
      <c r="AX481" s="75"/>
      <c r="AY481" s="75"/>
      <c r="AZ481" s="75"/>
      <c r="BA481" s="75"/>
      <c r="BB481" s="75"/>
      <c r="BC481" s="75"/>
      <c r="BD481" s="75"/>
      <c r="BE481" s="75"/>
      <c r="BF481" s="75">
        <v>7.1249999999999994E-2</v>
      </c>
      <c r="BG481" s="75"/>
      <c r="BH481" s="75"/>
      <c r="BI481" s="74">
        <f t="shared" si="25"/>
        <v>7.1249999999999994E-2</v>
      </c>
    </row>
    <row r="482" spans="1:61" s="11" customFormat="1" x14ac:dyDescent="0.2">
      <c r="A482" s="61"/>
      <c r="O482" s="61"/>
      <c r="AU482" s="281">
        <v>58363</v>
      </c>
      <c r="AV482" s="75"/>
      <c r="AW482" s="75"/>
      <c r="AX482" s="75"/>
      <c r="AY482" s="75"/>
      <c r="AZ482" s="75"/>
      <c r="BA482" s="75"/>
      <c r="BB482" s="75"/>
      <c r="BC482" s="75"/>
      <c r="BD482" s="75"/>
      <c r="BE482" s="75"/>
      <c r="BF482" s="75">
        <v>7.1249999999999994E-2</v>
      </c>
      <c r="BG482" s="75"/>
      <c r="BH482" s="75"/>
      <c r="BI482" s="74">
        <f t="shared" si="25"/>
        <v>7.1249999999999994E-2</v>
      </c>
    </row>
    <row r="483" spans="1:61" s="11" customFormat="1" x14ac:dyDescent="0.2">
      <c r="A483" s="61"/>
      <c r="O483" s="61"/>
      <c r="AU483" s="281">
        <v>58394</v>
      </c>
      <c r="AV483" s="75"/>
      <c r="AW483" s="75"/>
      <c r="AX483" s="75"/>
      <c r="AY483" s="75"/>
      <c r="AZ483" s="75"/>
      <c r="BA483" s="75"/>
      <c r="BB483" s="75"/>
      <c r="BC483" s="75"/>
      <c r="BD483" s="75"/>
      <c r="BE483" s="75"/>
      <c r="BF483" s="75">
        <v>7.1249999999999994E-2</v>
      </c>
      <c r="BG483" s="75"/>
      <c r="BH483" s="75"/>
      <c r="BI483" s="74">
        <f t="shared" si="25"/>
        <v>7.1249999999999994E-2</v>
      </c>
    </row>
    <row r="484" spans="1:61" s="11" customFormat="1" x14ac:dyDescent="0.2">
      <c r="A484" s="61"/>
      <c r="O484" s="61"/>
      <c r="AU484" s="281">
        <v>58424</v>
      </c>
      <c r="AV484" s="75"/>
      <c r="AW484" s="75"/>
      <c r="AX484" s="75"/>
      <c r="AY484" s="75"/>
      <c r="AZ484" s="75"/>
      <c r="BA484" s="75"/>
      <c r="BB484" s="75"/>
      <c r="BC484" s="75"/>
      <c r="BD484" s="75"/>
      <c r="BE484" s="75"/>
      <c r="BF484" s="75">
        <v>7.1249999999999994E-2</v>
      </c>
      <c r="BG484" s="75"/>
      <c r="BH484" s="75"/>
      <c r="BI484" s="74">
        <f t="shared" si="25"/>
        <v>7.1249999999999994E-2</v>
      </c>
    </row>
    <row r="485" spans="1:61" s="11" customFormat="1" x14ac:dyDescent="0.2">
      <c r="A485" s="61"/>
      <c r="O485" s="61"/>
      <c r="AU485" s="281">
        <v>58455</v>
      </c>
      <c r="AV485" s="75"/>
      <c r="AW485" s="75"/>
      <c r="AX485" s="75"/>
      <c r="AY485" s="75"/>
      <c r="AZ485" s="75"/>
      <c r="BA485" s="75"/>
      <c r="BB485" s="75"/>
      <c r="BC485" s="75"/>
      <c r="BD485" s="75"/>
      <c r="BE485" s="75"/>
      <c r="BF485" s="75">
        <v>7.1249999999999994E-2</v>
      </c>
      <c r="BG485" s="75"/>
      <c r="BH485" s="75"/>
      <c r="BI485" s="74">
        <f t="shared" si="25"/>
        <v>7.1249999999999994E-2</v>
      </c>
    </row>
    <row r="486" spans="1:61" s="11" customFormat="1" x14ac:dyDescent="0.2">
      <c r="A486" s="61"/>
      <c r="O486" s="61"/>
      <c r="AU486" s="281">
        <v>58486</v>
      </c>
      <c r="AV486" s="75"/>
      <c r="AW486" s="75"/>
      <c r="AX486" s="75"/>
      <c r="AY486" s="75"/>
      <c r="AZ486" s="75"/>
      <c r="BA486" s="75"/>
      <c r="BB486" s="75"/>
      <c r="BC486" s="75"/>
      <c r="BD486" s="75"/>
      <c r="BE486" s="75"/>
      <c r="BF486" s="75">
        <v>7.1249999999999994E-2</v>
      </c>
      <c r="BG486" s="75"/>
      <c r="BH486" s="75"/>
      <c r="BI486" s="74">
        <f t="shared" si="25"/>
        <v>7.1249999999999994E-2</v>
      </c>
    </row>
    <row r="487" spans="1:61" s="11" customFormat="1" x14ac:dyDescent="0.2">
      <c r="A487" s="61"/>
      <c r="O487" s="61"/>
      <c r="AU487" s="281">
        <v>58515</v>
      </c>
      <c r="AV487" s="75"/>
      <c r="AW487" s="75"/>
      <c r="AX487" s="75"/>
      <c r="AY487" s="75"/>
      <c r="AZ487" s="75"/>
      <c r="BA487" s="75"/>
      <c r="BB487" s="75"/>
      <c r="BC487" s="75"/>
      <c r="BD487" s="75"/>
      <c r="BE487" s="75"/>
      <c r="BF487" s="75">
        <v>7.1249999999999994E-2</v>
      </c>
      <c r="BG487" s="75"/>
      <c r="BH487" s="75"/>
      <c r="BI487" s="74">
        <f t="shared" si="25"/>
        <v>7.1249999999999994E-2</v>
      </c>
    </row>
    <row r="488" spans="1:61" s="11" customFormat="1" x14ac:dyDescent="0.2">
      <c r="A488" s="61"/>
      <c r="O488" s="61"/>
      <c r="AU488" s="281">
        <v>58546</v>
      </c>
      <c r="AV488" s="75"/>
      <c r="AW488" s="75"/>
      <c r="AX488" s="75"/>
      <c r="AY488" s="75"/>
      <c r="AZ488" s="75"/>
      <c r="BA488" s="75"/>
      <c r="BB488" s="75"/>
      <c r="BC488" s="75"/>
      <c r="BD488" s="75"/>
      <c r="BE488" s="75"/>
      <c r="BF488" s="75">
        <v>7.1249999999999994E-2</v>
      </c>
      <c r="BG488" s="75"/>
      <c r="BH488" s="75"/>
      <c r="BI488" s="74">
        <f t="shared" si="25"/>
        <v>7.1249999999999994E-2</v>
      </c>
    </row>
    <row r="489" spans="1:61" s="11" customFormat="1" x14ac:dyDescent="0.2">
      <c r="A489" s="61"/>
      <c r="O489" s="61"/>
      <c r="AU489" s="281">
        <v>58576</v>
      </c>
      <c r="AV489" s="75"/>
      <c r="AW489" s="75"/>
      <c r="AX489" s="75"/>
      <c r="AY489" s="75"/>
      <c r="AZ489" s="75"/>
      <c r="BA489" s="75"/>
      <c r="BB489" s="75"/>
      <c r="BC489" s="75"/>
      <c r="BD489" s="75"/>
      <c r="BE489" s="75"/>
      <c r="BF489" s="75">
        <v>7.1249999999999994E-2</v>
      </c>
      <c r="BG489" s="75"/>
      <c r="BH489" s="75"/>
      <c r="BI489" s="74">
        <f t="shared" si="25"/>
        <v>7.1249999999999994E-2</v>
      </c>
    </row>
    <row r="490" spans="1:61" s="11" customFormat="1" x14ac:dyDescent="0.2">
      <c r="A490" s="61"/>
      <c r="O490" s="61"/>
      <c r="AU490" s="281">
        <v>58607</v>
      </c>
      <c r="AV490" s="75"/>
      <c r="AW490" s="75"/>
      <c r="AX490" s="75"/>
      <c r="AY490" s="75"/>
      <c r="AZ490" s="75"/>
      <c r="BA490" s="75"/>
      <c r="BB490" s="75"/>
      <c r="BC490" s="75"/>
      <c r="BD490" s="75"/>
      <c r="BE490" s="75"/>
      <c r="BF490" s="75">
        <v>7.1249999999999994E-2</v>
      </c>
      <c r="BG490" s="75"/>
      <c r="BH490" s="75"/>
      <c r="BI490" s="74">
        <f t="shared" si="25"/>
        <v>7.1249999999999994E-2</v>
      </c>
    </row>
    <row r="491" spans="1:61" s="11" customFormat="1" x14ac:dyDescent="0.2">
      <c r="A491" s="61"/>
      <c r="O491" s="61"/>
      <c r="AU491" s="281">
        <v>58637</v>
      </c>
      <c r="AV491" s="75"/>
      <c r="AW491" s="75"/>
      <c r="AX491" s="75"/>
      <c r="AY491" s="75"/>
      <c r="AZ491" s="75"/>
      <c r="BA491" s="75"/>
      <c r="BB491" s="75"/>
      <c r="BC491" s="75"/>
      <c r="BD491" s="75"/>
      <c r="BE491" s="75"/>
      <c r="BF491" s="75">
        <v>7.1249999999999994E-2</v>
      </c>
      <c r="BG491" s="75"/>
      <c r="BH491" s="75"/>
      <c r="BI491" s="74">
        <f t="shared" si="25"/>
        <v>7.1249999999999994E-2</v>
      </c>
    </row>
    <row r="492" spans="1:61" s="11" customFormat="1" x14ac:dyDescent="0.2">
      <c r="A492" s="61"/>
      <c r="O492" s="61"/>
      <c r="AU492" s="281">
        <v>58668</v>
      </c>
      <c r="AV492" s="75"/>
      <c r="AW492" s="75"/>
      <c r="AX492" s="75"/>
      <c r="AY492" s="75"/>
      <c r="AZ492" s="75"/>
      <c r="BA492" s="75"/>
      <c r="BB492" s="75"/>
      <c r="BC492" s="75"/>
      <c r="BD492" s="75"/>
      <c r="BE492" s="75"/>
      <c r="BF492" s="75">
        <v>7.1249999999999994E-2</v>
      </c>
      <c r="BG492" s="75"/>
      <c r="BH492" s="75"/>
      <c r="BI492" s="74">
        <f t="shared" si="25"/>
        <v>7.1249999999999994E-2</v>
      </c>
    </row>
    <row r="493" spans="1:61" s="11" customFormat="1" x14ac:dyDescent="0.2">
      <c r="A493" s="61"/>
      <c r="O493" s="61"/>
      <c r="AU493" s="281">
        <v>58699</v>
      </c>
      <c r="AV493" s="75"/>
      <c r="AW493" s="75"/>
      <c r="AX493" s="75"/>
      <c r="AY493" s="75"/>
      <c r="AZ493" s="75"/>
      <c r="BA493" s="75"/>
      <c r="BB493" s="75"/>
      <c r="BC493" s="75"/>
      <c r="BD493" s="75"/>
      <c r="BE493" s="75"/>
      <c r="BF493" s="75">
        <v>7.1249999999999994E-2</v>
      </c>
      <c r="BG493" s="75"/>
      <c r="BH493" s="75"/>
      <c r="BI493" s="74">
        <f t="shared" si="25"/>
        <v>7.1249999999999994E-2</v>
      </c>
    </row>
    <row r="494" spans="1:61" s="11" customFormat="1" x14ac:dyDescent="0.2">
      <c r="A494" s="61"/>
      <c r="O494" s="61"/>
      <c r="AU494" s="281">
        <v>58729</v>
      </c>
      <c r="AV494" s="75"/>
      <c r="AW494" s="75"/>
      <c r="AX494" s="75"/>
      <c r="AY494" s="75"/>
      <c r="AZ494" s="75"/>
      <c r="BA494" s="75"/>
      <c r="BB494" s="75"/>
      <c r="BC494" s="75"/>
      <c r="BD494" s="75"/>
      <c r="BE494" s="75"/>
      <c r="BF494" s="75">
        <v>7.1249999999999994E-2</v>
      </c>
      <c r="BG494" s="75"/>
      <c r="BH494" s="75"/>
      <c r="BI494" s="74">
        <f t="shared" si="25"/>
        <v>7.1249999999999994E-2</v>
      </c>
    </row>
    <row r="495" spans="1:61" s="11" customFormat="1" x14ac:dyDescent="0.2">
      <c r="A495" s="61"/>
      <c r="O495" s="61"/>
      <c r="AU495" s="281">
        <v>58760</v>
      </c>
      <c r="AV495" s="75"/>
      <c r="AW495" s="75"/>
      <c r="AX495" s="75"/>
      <c r="AY495" s="75"/>
      <c r="AZ495" s="75"/>
      <c r="BA495" s="75"/>
      <c r="BB495" s="75"/>
      <c r="BC495" s="75"/>
      <c r="BD495" s="75"/>
      <c r="BE495" s="75"/>
      <c r="BF495" s="75">
        <v>7.1249999999999994E-2</v>
      </c>
      <c r="BG495" s="75"/>
      <c r="BH495" s="75"/>
      <c r="BI495" s="74">
        <f t="shared" si="25"/>
        <v>7.1249999999999994E-2</v>
      </c>
    </row>
    <row r="496" spans="1:61" s="11" customFormat="1" x14ac:dyDescent="0.2">
      <c r="A496" s="61"/>
      <c r="O496" s="61"/>
      <c r="AU496" s="281">
        <v>58790</v>
      </c>
      <c r="AV496" s="75"/>
      <c r="AW496" s="75"/>
      <c r="AX496" s="75"/>
      <c r="AY496" s="75"/>
      <c r="AZ496" s="75"/>
      <c r="BA496" s="75"/>
      <c r="BB496" s="75"/>
      <c r="BC496" s="75"/>
      <c r="BD496" s="75"/>
      <c r="BE496" s="75"/>
      <c r="BF496" s="75">
        <v>7.1249999999999994E-2</v>
      </c>
      <c r="BG496" s="75"/>
      <c r="BH496" s="75"/>
      <c r="BI496" s="74">
        <f t="shared" si="25"/>
        <v>7.1249999999999994E-2</v>
      </c>
    </row>
    <row r="497" spans="1:61" s="11" customFormat="1" x14ac:dyDescent="0.2">
      <c r="A497" s="61"/>
      <c r="O497" s="61"/>
      <c r="AU497" s="281">
        <v>58821</v>
      </c>
      <c r="AV497" s="75"/>
      <c r="AW497" s="75"/>
      <c r="AX497" s="75"/>
      <c r="AY497" s="75"/>
      <c r="AZ497" s="75"/>
      <c r="BA497" s="75"/>
      <c r="BB497" s="75"/>
      <c r="BC497" s="75"/>
      <c r="BD497" s="75"/>
      <c r="BE497" s="75"/>
      <c r="BF497" s="75">
        <v>7.1249999999999994E-2</v>
      </c>
      <c r="BG497" s="75"/>
      <c r="BH497" s="75"/>
      <c r="BI497" s="74">
        <f t="shared" si="25"/>
        <v>7.1249999999999994E-2</v>
      </c>
    </row>
    <row r="498" spans="1:61" s="11" customFormat="1" x14ac:dyDescent="0.2">
      <c r="A498" s="61"/>
      <c r="O498" s="61"/>
      <c r="AU498" s="281">
        <v>58852</v>
      </c>
      <c r="AV498" s="75"/>
      <c r="AW498" s="75"/>
      <c r="AX498" s="75"/>
      <c r="AY498" s="75"/>
      <c r="AZ498" s="75"/>
      <c r="BA498" s="75"/>
      <c r="BB498" s="75"/>
      <c r="BC498" s="75"/>
      <c r="BD498" s="75"/>
      <c r="BE498" s="75"/>
      <c r="BF498" s="75">
        <v>7.1249999999999994E-2</v>
      </c>
      <c r="BG498" s="75"/>
      <c r="BH498" s="75"/>
      <c r="BI498" s="74">
        <f t="shared" si="25"/>
        <v>7.1249999999999994E-2</v>
      </c>
    </row>
    <row r="499" spans="1:61" s="11" customFormat="1" x14ac:dyDescent="0.2">
      <c r="A499" s="61"/>
      <c r="O499" s="61"/>
      <c r="AU499" s="281">
        <v>58880</v>
      </c>
      <c r="AV499" s="75"/>
      <c r="AW499" s="75"/>
      <c r="AX499" s="75"/>
      <c r="AY499" s="75"/>
      <c r="AZ499" s="75"/>
      <c r="BA499" s="75"/>
      <c r="BB499" s="75"/>
      <c r="BC499" s="75"/>
      <c r="BD499" s="75"/>
      <c r="BE499" s="75"/>
      <c r="BF499" s="75">
        <v>7.1249999999999994E-2</v>
      </c>
      <c r="BG499" s="75"/>
      <c r="BH499" s="75"/>
      <c r="BI499" s="74">
        <f t="shared" si="25"/>
        <v>7.1249999999999994E-2</v>
      </c>
    </row>
    <row r="500" spans="1:61" s="11" customFormat="1" x14ac:dyDescent="0.2">
      <c r="A500" s="61"/>
      <c r="O500" s="61"/>
      <c r="AU500" s="281">
        <v>58911</v>
      </c>
      <c r="AV500" s="75"/>
      <c r="AW500" s="75"/>
      <c r="AX500" s="75"/>
      <c r="AY500" s="75"/>
      <c r="AZ500" s="75"/>
      <c r="BA500" s="75"/>
      <c r="BB500" s="75"/>
      <c r="BC500" s="75"/>
      <c r="BD500" s="75"/>
      <c r="BE500" s="75"/>
      <c r="BF500" s="75">
        <v>7.1249999999999994E-2</v>
      </c>
      <c r="BG500" s="75"/>
      <c r="BH500" s="75"/>
      <c r="BI500" s="74">
        <f t="shared" si="25"/>
        <v>7.1249999999999994E-2</v>
      </c>
    </row>
    <row r="501" spans="1:61" s="11" customFormat="1" x14ac:dyDescent="0.2">
      <c r="A501" s="61"/>
      <c r="O501" s="61"/>
      <c r="AU501" s="281">
        <v>58941</v>
      </c>
      <c r="AV501" s="75"/>
      <c r="AW501" s="75"/>
      <c r="AX501" s="75"/>
      <c r="AY501" s="75"/>
      <c r="AZ501" s="75"/>
      <c r="BA501" s="75"/>
      <c r="BB501" s="75"/>
      <c r="BC501" s="75"/>
      <c r="BD501" s="75"/>
      <c r="BE501" s="75"/>
      <c r="BF501" s="75">
        <v>7.1249999999999994E-2</v>
      </c>
      <c r="BG501" s="75"/>
      <c r="BH501" s="75"/>
      <c r="BI501" s="74">
        <f t="shared" si="25"/>
        <v>7.1249999999999994E-2</v>
      </c>
    </row>
    <row r="502" spans="1:61" s="11" customFormat="1" x14ac:dyDescent="0.2">
      <c r="A502" s="61"/>
      <c r="O502" s="61"/>
      <c r="AU502" s="281">
        <v>58972</v>
      </c>
      <c r="AV502" s="75"/>
      <c r="AW502" s="75"/>
      <c r="AX502" s="75"/>
      <c r="AY502" s="75"/>
      <c r="AZ502" s="75"/>
      <c r="BA502" s="75"/>
      <c r="BB502" s="75"/>
      <c r="BC502" s="75"/>
      <c r="BD502" s="75"/>
      <c r="BE502" s="75"/>
      <c r="BF502" s="75">
        <v>7.1249999999999994E-2</v>
      </c>
      <c r="BG502" s="75"/>
      <c r="BH502" s="75"/>
      <c r="BI502" s="74">
        <f t="shared" si="25"/>
        <v>7.1249999999999994E-2</v>
      </c>
    </row>
    <row r="503" spans="1:61" s="11" customFormat="1" x14ac:dyDescent="0.2">
      <c r="A503" s="61"/>
      <c r="O503" s="61"/>
      <c r="AU503" s="281">
        <v>59002</v>
      </c>
      <c r="AV503" s="75"/>
      <c r="AW503" s="75"/>
      <c r="AX503" s="75"/>
      <c r="AY503" s="75"/>
      <c r="AZ503" s="75"/>
      <c r="BA503" s="75"/>
      <c r="BB503" s="75"/>
      <c r="BC503" s="75"/>
      <c r="BD503" s="75"/>
      <c r="BE503" s="75"/>
      <c r="BF503" s="75">
        <v>7.1249999999999994E-2</v>
      </c>
      <c r="BG503" s="75"/>
      <c r="BH503" s="75"/>
      <c r="BI503" s="74">
        <f t="shared" si="25"/>
        <v>7.1249999999999994E-2</v>
      </c>
    </row>
    <row r="504" spans="1:61" s="11" customFormat="1" x14ac:dyDescent="0.2">
      <c r="A504" s="61"/>
      <c r="O504" s="61"/>
      <c r="AU504" s="281">
        <v>59033</v>
      </c>
      <c r="AV504" s="75"/>
      <c r="AW504" s="75"/>
      <c r="AX504" s="75"/>
      <c r="AY504" s="75"/>
      <c r="AZ504" s="75"/>
      <c r="BA504" s="75"/>
      <c r="BB504" s="75"/>
      <c r="BC504" s="75"/>
      <c r="BD504" s="75"/>
      <c r="BE504" s="75"/>
      <c r="BF504" s="75">
        <v>7.1249999999999994E-2</v>
      </c>
      <c r="BG504" s="75"/>
      <c r="BH504" s="75"/>
      <c r="BI504" s="74">
        <f t="shared" si="25"/>
        <v>7.1249999999999994E-2</v>
      </c>
    </row>
    <row r="505" spans="1:61" s="11" customFormat="1" x14ac:dyDescent="0.2">
      <c r="A505" s="61"/>
      <c r="O505" s="61"/>
      <c r="AU505" s="281">
        <v>59064</v>
      </c>
      <c r="AV505" s="75"/>
      <c r="AW505" s="75"/>
      <c r="AX505" s="75"/>
      <c r="AY505" s="75"/>
      <c r="AZ505" s="75"/>
      <c r="BA505" s="75"/>
      <c r="BB505" s="75"/>
      <c r="BC505" s="75"/>
      <c r="BD505" s="75"/>
      <c r="BE505" s="75"/>
      <c r="BF505" s="75">
        <v>7.1249999999999994E-2</v>
      </c>
      <c r="BG505" s="75"/>
      <c r="BH505" s="75"/>
      <c r="BI505" s="74">
        <f t="shared" si="25"/>
        <v>7.1249999999999994E-2</v>
      </c>
    </row>
    <row r="506" spans="1:61" s="11" customFormat="1" x14ac:dyDescent="0.2">
      <c r="A506" s="61"/>
      <c r="O506" s="61"/>
      <c r="AU506" s="281">
        <v>59094</v>
      </c>
      <c r="AV506" s="75"/>
      <c r="AW506" s="75"/>
      <c r="AX506" s="75"/>
      <c r="AY506" s="75"/>
      <c r="AZ506" s="75"/>
      <c r="BA506" s="75"/>
      <c r="BB506" s="75"/>
      <c r="BC506" s="75"/>
      <c r="BD506" s="75"/>
      <c r="BE506" s="75"/>
      <c r="BF506" s="75">
        <v>7.1249999999999994E-2</v>
      </c>
      <c r="BG506" s="75"/>
      <c r="BH506" s="75"/>
      <c r="BI506" s="74">
        <f t="shared" si="25"/>
        <v>7.1249999999999994E-2</v>
      </c>
    </row>
    <row r="507" spans="1:61" s="11" customFormat="1" x14ac:dyDescent="0.2">
      <c r="A507" s="61"/>
      <c r="O507" s="61"/>
      <c r="AU507" s="281">
        <v>59125</v>
      </c>
      <c r="AV507" s="75"/>
      <c r="AW507" s="75"/>
      <c r="AX507" s="75"/>
      <c r="AY507" s="75"/>
      <c r="AZ507" s="75"/>
      <c r="BA507" s="75"/>
      <c r="BB507" s="75"/>
      <c r="BC507" s="75"/>
      <c r="BD507" s="75"/>
      <c r="BE507" s="75"/>
      <c r="BF507" s="75">
        <v>7.1249999999999994E-2</v>
      </c>
      <c r="BG507" s="75"/>
      <c r="BH507" s="75"/>
      <c r="BI507" s="74">
        <f t="shared" si="25"/>
        <v>7.1249999999999994E-2</v>
      </c>
    </row>
    <row r="508" spans="1:61" s="11" customFormat="1" x14ac:dyDescent="0.2">
      <c r="A508" s="61"/>
      <c r="O508" s="61"/>
      <c r="AU508" s="281">
        <v>59155</v>
      </c>
      <c r="AV508" s="75"/>
      <c r="AW508" s="75"/>
      <c r="AX508" s="75"/>
      <c r="AY508" s="75"/>
      <c r="AZ508" s="75"/>
      <c r="BA508" s="75"/>
      <c r="BB508" s="75"/>
      <c r="BC508" s="75"/>
      <c r="BD508" s="75"/>
      <c r="BE508" s="75"/>
      <c r="BF508" s="75">
        <v>7.1249999999999994E-2</v>
      </c>
      <c r="BG508" s="75"/>
      <c r="BH508" s="75"/>
      <c r="BI508" s="74">
        <f t="shared" si="25"/>
        <v>7.1249999999999994E-2</v>
      </c>
    </row>
    <row r="509" spans="1:61" s="11" customFormat="1" x14ac:dyDescent="0.2">
      <c r="A509" s="61"/>
      <c r="O509" s="61"/>
      <c r="AU509" s="281">
        <v>59186</v>
      </c>
      <c r="AV509" s="75"/>
      <c r="AW509" s="75"/>
      <c r="AX509" s="75"/>
      <c r="AY509" s="75"/>
      <c r="AZ509" s="75"/>
      <c r="BA509" s="75"/>
      <c r="BB509" s="75"/>
      <c r="BC509" s="75"/>
      <c r="BD509" s="75"/>
      <c r="BE509" s="75"/>
      <c r="BF509" s="75">
        <v>7.1249999999999994E-2</v>
      </c>
      <c r="BG509" s="75"/>
      <c r="BH509" s="75"/>
      <c r="BI509" s="74">
        <f t="shared" si="25"/>
        <v>7.1249999999999994E-2</v>
      </c>
    </row>
    <row r="510" spans="1:61" s="11" customFormat="1" x14ac:dyDescent="0.2">
      <c r="A510" s="61"/>
      <c r="O510" s="61"/>
      <c r="AU510" s="281">
        <v>59217</v>
      </c>
      <c r="AV510" s="75"/>
      <c r="AW510" s="75"/>
      <c r="AX510" s="75"/>
      <c r="AY510" s="75"/>
      <c r="AZ510" s="75"/>
      <c r="BA510" s="75"/>
      <c r="BB510" s="75"/>
      <c r="BC510" s="75"/>
      <c r="BD510" s="75"/>
      <c r="BE510" s="75"/>
      <c r="BF510" s="75">
        <v>7.1249999999999994E-2</v>
      </c>
      <c r="BG510" s="75"/>
      <c r="BH510" s="75"/>
      <c r="BI510" s="74">
        <f t="shared" si="25"/>
        <v>7.1249999999999994E-2</v>
      </c>
    </row>
    <row r="511" spans="1:61" s="11" customFormat="1" x14ac:dyDescent="0.2">
      <c r="A511" s="61"/>
      <c r="O511" s="61"/>
      <c r="AU511" s="281">
        <v>59245</v>
      </c>
      <c r="AV511" s="75"/>
      <c r="AW511" s="75"/>
      <c r="AX511" s="75"/>
      <c r="AY511" s="75"/>
      <c r="AZ511" s="75"/>
      <c r="BA511" s="75"/>
      <c r="BB511" s="75"/>
      <c r="BC511" s="75"/>
      <c r="BD511" s="75"/>
      <c r="BE511" s="75"/>
      <c r="BF511" s="75">
        <v>7.1249999999999994E-2</v>
      </c>
      <c r="BG511" s="75"/>
      <c r="BH511" s="75"/>
      <c r="BI511" s="74">
        <f t="shared" si="25"/>
        <v>7.1249999999999994E-2</v>
      </c>
    </row>
    <row r="512" spans="1:61" s="11" customFormat="1" x14ac:dyDescent="0.2">
      <c r="A512" s="61"/>
      <c r="O512" s="61"/>
      <c r="AU512" s="281">
        <v>59276</v>
      </c>
      <c r="AV512" s="75"/>
      <c r="AW512" s="75"/>
      <c r="AX512" s="75"/>
      <c r="AY512" s="75"/>
      <c r="AZ512" s="75"/>
      <c r="BA512" s="75"/>
      <c r="BB512" s="75"/>
      <c r="BC512" s="75"/>
      <c r="BD512" s="75"/>
      <c r="BE512" s="75"/>
      <c r="BF512" s="75">
        <v>7.1249999999999994E-2</v>
      </c>
      <c r="BG512" s="75"/>
      <c r="BH512" s="75"/>
      <c r="BI512" s="74">
        <f t="shared" si="25"/>
        <v>7.1249999999999994E-2</v>
      </c>
    </row>
    <row r="513" spans="1:61" s="11" customFormat="1" x14ac:dyDescent="0.2">
      <c r="A513" s="61"/>
      <c r="O513" s="61"/>
      <c r="AU513" s="281">
        <v>59306</v>
      </c>
      <c r="AV513" s="75"/>
      <c r="AW513" s="75"/>
      <c r="AX513" s="75"/>
      <c r="AY513" s="75"/>
      <c r="AZ513" s="75"/>
      <c r="BA513" s="75"/>
      <c r="BB513" s="75"/>
      <c r="BC513" s="75"/>
      <c r="BD513" s="75"/>
      <c r="BE513" s="75"/>
      <c r="BF513" s="75">
        <v>7.1249999999999994E-2</v>
      </c>
      <c r="BG513" s="75"/>
      <c r="BH513" s="75"/>
      <c r="BI513" s="74">
        <f t="shared" si="25"/>
        <v>7.1249999999999994E-2</v>
      </c>
    </row>
    <row r="514" spans="1:61" s="11" customFormat="1" x14ac:dyDescent="0.2">
      <c r="A514" s="61"/>
      <c r="O514" s="61"/>
      <c r="AU514" s="281">
        <v>59337</v>
      </c>
      <c r="AV514" s="75"/>
      <c r="AW514" s="75"/>
      <c r="AX514" s="75"/>
      <c r="AY514" s="75"/>
      <c r="AZ514" s="75"/>
      <c r="BA514" s="75"/>
      <c r="BB514" s="75"/>
      <c r="BC514" s="75"/>
      <c r="BD514" s="75"/>
      <c r="BE514" s="75"/>
      <c r="BF514" s="75">
        <v>7.1249999999999994E-2</v>
      </c>
      <c r="BG514" s="75"/>
      <c r="BH514" s="75"/>
      <c r="BI514" s="74">
        <f t="shared" si="25"/>
        <v>7.1249999999999994E-2</v>
      </c>
    </row>
    <row r="515" spans="1:61" s="11" customFormat="1" x14ac:dyDescent="0.2">
      <c r="A515" s="61"/>
      <c r="O515" s="61"/>
      <c r="AU515" s="281">
        <v>59367</v>
      </c>
      <c r="AV515" s="75"/>
      <c r="AW515" s="75"/>
      <c r="AX515" s="75"/>
      <c r="AY515" s="75"/>
      <c r="AZ515" s="75"/>
      <c r="BA515" s="75"/>
      <c r="BB515" s="75"/>
      <c r="BC515" s="75"/>
      <c r="BD515" s="75"/>
      <c r="BE515" s="75"/>
      <c r="BF515" s="75">
        <v>7.1249999999999994E-2</v>
      </c>
      <c r="BG515" s="75"/>
      <c r="BH515" s="75"/>
      <c r="BI515" s="74">
        <f t="shared" si="25"/>
        <v>7.1249999999999994E-2</v>
      </c>
    </row>
    <row r="516" spans="1:61" s="11" customFormat="1" x14ac:dyDescent="0.2">
      <c r="A516" s="61"/>
      <c r="O516" s="61"/>
      <c r="AU516" s="281">
        <v>59398</v>
      </c>
      <c r="AV516" s="75"/>
      <c r="AW516" s="75"/>
      <c r="AX516" s="75"/>
      <c r="AY516" s="75"/>
      <c r="AZ516" s="75"/>
      <c r="BA516" s="75"/>
      <c r="BB516" s="75"/>
      <c r="BC516" s="75"/>
      <c r="BD516" s="75"/>
      <c r="BE516" s="75"/>
      <c r="BF516" s="75">
        <v>7.1249999999999994E-2</v>
      </c>
      <c r="BG516" s="75"/>
      <c r="BH516" s="75"/>
      <c r="BI516" s="74">
        <f t="shared" si="25"/>
        <v>7.1249999999999994E-2</v>
      </c>
    </row>
    <row r="517" spans="1:61" s="11" customFormat="1" x14ac:dyDescent="0.2">
      <c r="A517" s="61"/>
      <c r="O517" s="61"/>
      <c r="AU517" s="281">
        <v>59429</v>
      </c>
      <c r="AV517" s="75"/>
      <c r="AW517" s="75"/>
      <c r="AX517" s="75"/>
      <c r="AY517" s="75"/>
      <c r="AZ517" s="75"/>
      <c r="BA517" s="75"/>
      <c r="BB517" s="75"/>
      <c r="BC517" s="75"/>
      <c r="BD517" s="75"/>
      <c r="BE517" s="75"/>
      <c r="BF517" s="75">
        <v>7.1249999999999994E-2</v>
      </c>
      <c r="BG517" s="75"/>
      <c r="BH517" s="75"/>
      <c r="BI517" s="74">
        <f t="shared" si="25"/>
        <v>7.1249999999999994E-2</v>
      </c>
    </row>
    <row r="518" spans="1:61" s="11" customFormat="1" x14ac:dyDescent="0.2">
      <c r="A518" s="61"/>
      <c r="O518" s="61"/>
      <c r="AU518" s="281">
        <v>59459</v>
      </c>
      <c r="AV518" s="75"/>
      <c r="AW518" s="75"/>
      <c r="AX518" s="75"/>
      <c r="AY518" s="75"/>
      <c r="AZ518" s="75"/>
      <c r="BA518" s="75"/>
      <c r="BB518" s="75"/>
      <c r="BC518" s="75"/>
      <c r="BD518" s="75"/>
      <c r="BE518" s="75"/>
      <c r="BF518" s="75">
        <v>7.1249999999999994E-2</v>
      </c>
      <c r="BG518" s="75"/>
      <c r="BH518" s="75"/>
      <c r="BI518" s="74">
        <f t="shared" si="25"/>
        <v>7.1249999999999994E-2</v>
      </c>
    </row>
    <row r="519" spans="1:61" s="11" customFormat="1" x14ac:dyDescent="0.2">
      <c r="A519" s="61"/>
      <c r="O519" s="61"/>
      <c r="AU519" s="281">
        <v>59490</v>
      </c>
      <c r="AV519" s="75"/>
      <c r="AW519" s="75"/>
      <c r="AX519" s="75"/>
      <c r="AY519" s="75"/>
      <c r="AZ519" s="75"/>
      <c r="BA519" s="75"/>
      <c r="BB519" s="75"/>
      <c r="BC519" s="75"/>
      <c r="BD519" s="75"/>
      <c r="BE519" s="75"/>
      <c r="BF519" s="75">
        <v>7.1249999999999994E-2</v>
      </c>
      <c r="BG519" s="75"/>
      <c r="BH519" s="75"/>
      <c r="BI519" s="74">
        <f t="shared" si="25"/>
        <v>7.1249999999999994E-2</v>
      </c>
    </row>
    <row r="520" spans="1:61" s="11" customFormat="1" x14ac:dyDescent="0.2">
      <c r="A520" s="61"/>
      <c r="O520" s="61"/>
      <c r="AU520" s="281">
        <v>59520</v>
      </c>
      <c r="AV520" s="75"/>
      <c r="AW520" s="75"/>
      <c r="AX520" s="75"/>
      <c r="AY520" s="75"/>
      <c r="AZ520" s="75"/>
      <c r="BA520" s="75"/>
      <c r="BB520" s="75"/>
      <c r="BC520" s="75"/>
      <c r="BD520" s="75"/>
      <c r="BE520" s="75"/>
      <c r="BF520" s="75">
        <v>7.1249999999999994E-2</v>
      </c>
      <c r="BG520" s="75"/>
      <c r="BH520" s="75"/>
      <c r="BI520" s="74">
        <f t="shared" si="25"/>
        <v>7.1249999999999994E-2</v>
      </c>
    </row>
    <row r="521" spans="1:61" s="11" customFormat="1" x14ac:dyDescent="0.2">
      <c r="A521" s="61"/>
      <c r="O521" s="61"/>
      <c r="AU521" s="281">
        <v>59551</v>
      </c>
      <c r="AV521" s="75"/>
      <c r="AW521" s="75"/>
      <c r="AX521" s="75"/>
      <c r="AY521" s="75"/>
      <c r="AZ521" s="75"/>
      <c r="BA521" s="75"/>
      <c r="BB521" s="75"/>
      <c r="BC521" s="75"/>
      <c r="BD521" s="75"/>
      <c r="BE521" s="75"/>
      <c r="BF521" s="75">
        <v>7.1249999999999994E-2</v>
      </c>
      <c r="BG521" s="75"/>
      <c r="BH521" s="75"/>
      <c r="BI521" s="74">
        <f t="shared" ref="BI521:BI584" si="26">+AVERAGE(AV521:BH521)</f>
        <v>7.1249999999999994E-2</v>
      </c>
    </row>
    <row r="522" spans="1:61" s="11" customFormat="1" x14ac:dyDescent="0.2">
      <c r="A522" s="61"/>
      <c r="O522" s="61"/>
      <c r="AU522" s="281">
        <v>59582</v>
      </c>
      <c r="AV522" s="75"/>
      <c r="AW522" s="75"/>
      <c r="AX522" s="75"/>
      <c r="AY522" s="75"/>
      <c r="AZ522" s="75"/>
      <c r="BA522" s="75"/>
      <c r="BB522" s="75"/>
      <c r="BC522" s="75"/>
      <c r="BD522" s="75"/>
      <c r="BE522" s="75"/>
      <c r="BF522" s="75">
        <v>7.1249999999999994E-2</v>
      </c>
      <c r="BG522" s="75"/>
      <c r="BH522" s="75"/>
      <c r="BI522" s="74">
        <f t="shared" si="26"/>
        <v>7.1249999999999994E-2</v>
      </c>
    </row>
    <row r="523" spans="1:61" s="11" customFormat="1" x14ac:dyDescent="0.2">
      <c r="A523" s="61"/>
      <c r="O523" s="61"/>
      <c r="AU523" s="281">
        <v>59610</v>
      </c>
      <c r="AV523" s="75"/>
      <c r="AW523" s="75"/>
      <c r="AX523" s="75"/>
      <c r="AY523" s="75"/>
      <c r="AZ523" s="75"/>
      <c r="BA523" s="75"/>
      <c r="BB523" s="75"/>
      <c r="BC523" s="75"/>
      <c r="BD523" s="75"/>
      <c r="BE523" s="75"/>
      <c r="BF523" s="75">
        <v>7.1249999999999994E-2</v>
      </c>
      <c r="BG523" s="75"/>
      <c r="BH523" s="75"/>
      <c r="BI523" s="74">
        <f t="shared" si="26"/>
        <v>7.1249999999999994E-2</v>
      </c>
    </row>
    <row r="524" spans="1:61" s="11" customFormat="1" x14ac:dyDescent="0.2">
      <c r="A524" s="61"/>
      <c r="O524" s="61"/>
      <c r="AU524" s="281">
        <v>59641</v>
      </c>
      <c r="AV524" s="75"/>
      <c r="AW524" s="75"/>
      <c r="AX524" s="75"/>
      <c r="AY524" s="75"/>
      <c r="AZ524" s="75"/>
      <c r="BA524" s="75"/>
      <c r="BB524" s="75"/>
      <c r="BC524" s="75"/>
      <c r="BD524" s="75"/>
      <c r="BE524" s="75"/>
      <c r="BF524" s="75">
        <v>7.1249999999999994E-2</v>
      </c>
      <c r="BG524" s="75"/>
      <c r="BH524" s="75"/>
      <c r="BI524" s="74">
        <f t="shared" si="26"/>
        <v>7.1249999999999994E-2</v>
      </c>
    </row>
    <row r="525" spans="1:61" s="11" customFormat="1" x14ac:dyDescent="0.2">
      <c r="A525" s="61"/>
      <c r="O525" s="61"/>
      <c r="AU525" s="281">
        <v>59671</v>
      </c>
      <c r="AV525" s="75"/>
      <c r="AW525" s="75"/>
      <c r="AX525" s="75"/>
      <c r="AY525" s="75"/>
      <c r="AZ525" s="75"/>
      <c r="BA525" s="75"/>
      <c r="BB525" s="75"/>
      <c r="BC525" s="75"/>
      <c r="BD525" s="75"/>
      <c r="BE525" s="75"/>
      <c r="BF525" s="75">
        <v>7.1249999999999994E-2</v>
      </c>
      <c r="BG525" s="75"/>
      <c r="BH525" s="75"/>
      <c r="BI525" s="74">
        <f t="shared" si="26"/>
        <v>7.1249999999999994E-2</v>
      </c>
    </row>
    <row r="526" spans="1:61" s="11" customFormat="1" x14ac:dyDescent="0.2">
      <c r="A526" s="61"/>
      <c r="O526" s="61"/>
      <c r="AU526" s="281">
        <v>59702</v>
      </c>
      <c r="AV526" s="75"/>
      <c r="AW526" s="75"/>
      <c r="AX526" s="75"/>
      <c r="AY526" s="75"/>
      <c r="AZ526" s="75"/>
      <c r="BA526" s="75"/>
      <c r="BB526" s="75"/>
      <c r="BC526" s="75"/>
      <c r="BD526" s="75"/>
      <c r="BE526" s="75"/>
      <c r="BF526" s="75">
        <v>7.1249999999999994E-2</v>
      </c>
      <c r="BG526" s="75"/>
      <c r="BH526" s="75"/>
      <c r="BI526" s="74">
        <f t="shared" si="26"/>
        <v>7.1249999999999994E-2</v>
      </c>
    </row>
    <row r="527" spans="1:61" s="11" customFormat="1" x14ac:dyDescent="0.2">
      <c r="A527" s="61"/>
      <c r="O527" s="61"/>
      <c r="AU527" s="281">
        <v>59732</v>
      </c>
      <c r="AV527" s="75"/>
      <c r="AW527" s="75"/>
      <c r="AX527" s="75"/>
      <c r="AY527" s="75"/>
      <c r="AZ527" s="75"/>
      <c r="BA527" s="75"/>
      <c r="BB527" s="75"/>
      <c r="BC527" s="75"/>
      <c r="BD527" s="75"/>
      <c r="BE527" s="75"/>
      <c r="BF527" s="75">
        <v>7.1249999999999994E-2</v>
      </c>
      <c r="BG527" s="75"/>
      <c r="BH527" s="75"/>
      <c r="BI527" s="74">
        <f t="shared" si="26"/>
        <v>7.1249999999999994E-2</v>
      </c>
    </row>
    <row r="528" spans="1:61" s="11" customFormat="1" x14ac:dyDescent="0.2">
      <c r="A528" s="61"/>
      <c r="O528" s="61"/>
      <c r="AU528" s="281">
        <v>59763</v>
      </c>
      <c r="AV528" s="75"/>
      <c r="AW528" s="75"/>
      <c r="AX528" s="75"/>
      <c r="AY528" s="75"/>
      <c r="AZ528" s="75"/>
      <c r="BA528" s="75"/>
      <c r="BB528" s="75"/>
      <c r="BC528" s="75"/>
      <c r="BD528" s="75"/>
      <c r="BE528" s="75"/>
      <c r="BF528" s="75">
        <v>7.1249999999999994E-2</v>
      </c>
      <c r="BG528" s="75"/>
      <c r="BH528" s="75"/>
      <c r="BI528" s="74">
        <f t="shared" si="26"/>
        <v>7.1249999999999994E-2</v>
      </c>
    </row>
    <row r="529" spans="1:61" s="11" customFormat="1" x14ac:dyDescent="0.2">
      <c r="A529" s="61"/>
      <c r="O529" s="61"/>
      <c r="AU529" s="281">
        <v>59794</v>
      </c>
      <c r="AV529" s="75"/>
      <c r="AW529" s="75"/>
      <c r="AX529" s="75"/>
      <c r="AY529" s="75"/>
      <c r="AZ529" s="75"/>
      <c r="BA529" s="75"/>
      <c r="BB529" s="75"/>
      <c r="BC529" s="75"/>
      <c r="BD529" s="75"/>
      <c r="BE529" s="75"/>
      <c r="BF529" s="75">
        <v>7.1249999999999994E-2</v>
      </c>
      <c r="BG529" s="75"/>
      <c r="BH529" s="75"/>
      <c r="BI529" s="74">
        <f t="shared" si="26"/>
        <v>7.1249999999999994E-2</v>
      </c>
    </row>
    <row r="530" spans="1:61" s="11" customFormat="1" x14ac:dyDescent="0.2">
      <c r="A530" s="61"/>
      <c r="O530" s="61"/>
      <c r="AU530" s="281">
        <v>59824</v>
      </c>
      <c r="AV530" s="75"/>
      <c r="AW530" s="75"/>
      <c r="AX530" s="75"/>
      <c r="AY530" s="75"/>
      <c r="AZ530" s="75"/>
      <c r="BA530" s="75"/>
      <c r="BB530" s="75"/>
      <c r="BC530" s="75"/>
      <c r="BD530" s="75"/>
      <c r="BE530" s="75"/>
      <c r="BF530" s="75">
        <v>7.1249999999999994E-2</v>
      </c>
      <c r="BG530" s="75"/>
      <c r="BH530" s="75"/>
      <c r="BI530" s="74">
        <f t="shared" si="26"/>
        <v>7.1249999999999994E-2</v>
      </c>
    </row>
    <row r="531" spans="1:61" s="11" customFormat="1" x14ac:dyDescent="0.2">
      <c r="A531" s="61"/>
      <c r="O531" s="61"/>
      <c r="AU531" s="281">
        <v>59855</v>
      </c>
      <c r="AV531" s="75"/>
      <c r="AW531" s="75"/>
      <c r="AX531" s="75"/>
      <c r="AY531" s="75"/>
      <c r="AZ531" s="75"/>
      <c r="BA531" s="75"/>
      <c r="BB531" s="75"/>
      <c r="BC531" s="75"/>
      <c r="BD531" s="75"/>
      <c r="BE531" s="75"/>
      <c r="BF531" s="75">
        <v>7.1249999999999994E-2</v>
      </c>
      <c r="BG531" s="75"/>
      <c r="BH531" s="75"/>
      <c r="BI531" s="74">
        <f t="shared" si="26"/>
        <v>7.1249999999999994E-2</v>
      </c>
    </row>
    <row r="532" spans="1:61" s="11" customFormat="1" x14ac:dyDescent="0.2">
      <c r="A532" s="61"/>
      <c r="O532" s="61"/>
      <c r="AU532" s="281">
        <v>59885</v>
      </c>
      <c r="AV532" s="75"/>
      <c r="AW532" s="75"/>
      <c r="AX532" s="75"/>
      <c r="AY532" s="75"/>
      <c r="AZ532" s="75"/>
      <c r="BA532" s="75"/>
      <c r="BB532" s="75"/>
      <c r="BC532" s="75"/>
      <c r="BD532" s="75"/>
      <c r="BE532" s="75"/>
      <c r="BF532" s="75">
        <v>7.1249999999999994E-2</v>
      </c>
      <c r="BG532" s="75"/>
      <c r="BH532" s="75"/>
      <c r="BI532" s="74">
        <f t="shared" si="26"/>
        <v>7.1249999999999994E-2</v>
      </c>
    </row>
    <row r="533" spans="1:61" s="11" customFormat="1" x14ac:dyDescent="0.2">
      <c r="A533" s="61"/>
      <c r="O533" s="61"/>
      <c r="AU533" s="281">
        <v>59916</v>
      </c>
      <c r="AV533" s="75"/>
      <c r="AW533" s="75"/>
      <c r="AX533" s="75"/>
      <c r="AY533" s="75"/>
      <c r="AZ533" s="75"/>
      <c r="BA533" s="75"/>
      <c r="BB533" s="75"/>
      <c r="BC533" s="75"/>
      <c r="BD533" s="75"/>
      <c r="BE533" s="75"/>
      <c r="BF533" s="75">
        <v>7.1249999999999994E-2</v>
      </c>
      <c r="BG533" s="75"/>
      <c r="BH533" s="75"/>
      <c r="BI533" s="74">
        <f t="shared" si="26"/>
        <v>7.1249999999999994E-2</v>
      </c>
    </row>
    <row r="534" spans="1:61" s="11" customFormat="1" x14ac:dyDescent="0.2">
      <c r="A534" s="61"/>
      <c r="O534" s="61"/>
      <c r="AU534" s="281">
        <v>59947</v>
      </c>
      <c r="AV534" s="75"/>
      <c r="AW534" s="75"/>
      <c r="AX534" s="75"/>
      <c r="AY534" s="75"/>
      <c r="AZ534" s="75"/>
      <c r="BA534" s="75"/>
      <c r="BB534" s="75"/>
      <c r="BC534" s="75"/>
      <c r="BD534" s="75"/>
      <c r="BE534" s="75"/>
      <c r="BF534" s="75">
        <v>7.1249999999999994E-2</v>
      </c>
      <c r="BG534" s="75"/>
      <c r="BH534" s="75"/>
      <c r="BI534" s="74">
        <f t="shared" si="26"/>
        <v>7.1249999999999994E-2</v>
      </c>
    </row>
    <row r="535" spans="1:61" s="11" customFormat="1" x14ac:dyDescent="0.2">
      <c r="A535" s="61"/>
      <c r="O535" s="61"/>
      <c r="AU535" s="281">
        <v>59976</v>
      </c>
      <c r="AV535" s="75"/>
      <c r="AW535" s="75"/>
      <c r="AX535" s="75"/>
      <c r="AY535" s="75"/>
      <c r="AZ535" s="75"/>
      <c r="BA535" s="75"/>
      <c r="BB535" s="75"/>
      <c r="BC535" s="75"/>
      <c r="BD535" s="75"/>
      <c r="BE535" s="75"/>
      <c r="BF535" s="75">
        <v>7.1249999999999994E-2</v>
      </c>
      <c r="BG535" s="75"/>
      <c r="BH535" s="75"/>
      <c r="BI535" s="74">
        <f t="shared" si="26"/>
        <v>7.1249999999999994E-2</v>
      </c>
    </row>
    <row r="536" spans="1:61" s="11" customFormat="1" x14ac:dyDescent="0.2">
      <c r="A536" s="61"/>
      <c r="O536" s="61"/>
      <c r="AU536" s="281">
        <v>60007</v>
      </c>
      <c r="AV536" s="75"/>
      <c r="AW536" s="75"/>
      <c r="AX536" s="75"/>
      <c r="AY536" s="75"/>
      <c r="AZ536" s="75"/>
      <c r="BA536" s="75"/>
      <c r="BB536" s="75"/>
      <c r="BC536" s="75"/>
      <c r="BD536" s="75"/>
      <c r="BE536" s="75"/>
      <c r="BF536" s="75">
        <v>7.1249999999999994E-2</v>
      </c>
      <c r="BG536" s="75"/>
      <c r="BH536" s="75"/>
      <c r="BI536" s="74">
        <f t="shared" si="26"/>
        <v>7.1249999999999994E-2</v>
      </c>
    </row>
    <row r="537" spans="1:61" s="11" customFormat="1" x14ac:dyDescent="0.2">
      <c r="A537" s="61"/>
      <c r="O537" s="61"/>
      <c r="AU537" s="281">
        <v>60037</v>
      </c>
      <c r="AV537" s="75"/>
      <c r="AW537" s="75"/>
      <c r="AX537" s="75"/>
      <c r="AY537" s="75"/>
      <c r="AZ537" s="75"/>
      <c r="BA537" s="75"/>
      <c r="BB537" s="75"/>
      <c r="BC537" s="75"/>
      <c r="BD537" s="75"/>
      <c r="BE537" s="75"/>
      <c r="BF537" s="75">
        <v>7.1249999999999994E-2</v>
      </c>
      <c r="BG537" s="75"/>
      <c r="BH537" s="75"/>
      <c r="BI537" s="74">
        <f t="shared" si="26"/>
        <v>7.1249999999999994E-2</v>
      </c>
    </row>
    <row r="538" spans="1:61" s="11" customFormat="1" x14ac:dyDescent="0.2">
      <c r="A538" s="61"/>
      <c r="O538" s="61"/>
      <c r="AU538" s="281">
        <v>60068</v>
      </c>
      <c r="AV538" s="75"/>
      <c r="AW538" s="75"/>
      <c r="AX538" s="75"/>
      <c r="AY538" s="75"/>
      <c r="AZ538" s="75"/>
      <c r="BA538" s="75"/>
      <c r="BB538" s="75"/>
      <c r="BC538" s="75"/>
      <c r="BD538" s="75"/>
      <c r="BE538" s="75"/>
      <c r="BF538" s="75">
        <v>7.1249999999999994E-2</v>
      </c>
      <c r="BG538" s="75"/>
      <c r="BH538" s="75"/>
      <c r="BI538" s="74">
        <f t="shared" si="26"/>
        <v>7.1249999999999994E-2</v>
      </c>
    </row>
    <row r="539" spans="1:61" s="11" customFormat="1" x14ac:dyDescent="0.2">
      <c r="A539" s="61"/>
      <c r="O539" s="61"/>
      <c r="AU539" s="281">
        <v>60098</v>
      </c>
      <c r="AV539" s="75"/>
      <c r="AW539" s="75"/>
      <c r="AX539" s="75"/>
      <c r="AY539" s="75"/>
      <c r="AZ539" s="75"/>
      <c r="BA539" s="75"/>
      <c r="BB539" s="75"/>
      <c r="BC539" s="75"/>
      <c r="BD539" s="75"/>
      <c r="BE539" s="75"/>
      <c r="BF539" s="75">
        <v>7.1249999999999994E-2</v>
      </c>
      <c r="BG539" s="75"/>
      <c r="BH539" s="75"/>
      <c r="BI539" s="74">
        <f t="shared" si="26"/>
        <v>7.1249999999999994E-2</v>
      </c>
    </row>
    <row r="540" spans="1:61" s="11" customFormat="1" x14ac:dyDescent="0.2">
      <c r="A540" s="61"/>
      <c r="O540" s="61"/>
      <c r="AU540" s="281">
        <v>60129</v>
      </c>
      <c r="AV540" s="75"/>
      <c r="AW540" s="75"/>
      <c r="AX540" s="75"/>
      <c r="AY540" s="75"/>
      <c r="AZ540" s="75"/>
      <c r="BA540" s="75"/>
      <c r="BB540" s="75"/>
      <c r="BC540" s="75"/>
      <c r="BD540" s="75"/>
      <c r="BE540" s="75"/>
      <c r="BF540" s="75">
        <v>7.1249999999999994E-2</v>
      </c>
      <c r="BG540" s="75"/>
      <c r="BH540" s="75"/>
      <c r="BI540" s="74">
        <f t="shared" si="26"/>
        <v>7.1249999999999994E-2</v>
      </c>
    </row>
    <row r="541" spans="1:61" s="11" customFormat="1" x14ac:dyDescent="0.2">
      <c r="A541" s="61"/>
      <c r="O541" s="61"/>
      <c r="AU541" s="281">
        <v>60160</v>
      </c>
      <c r="AV541" s="75"/>
      <c r="AW541" s="75"/>
      <c r="AX541" s="75"/>
      <c r="AY541" s="75"/>
      <c r="AZ541" s="75"/>
      <c r="BA541" s="75"/>
      <c r="BB541" s="75"/>
      <c r="BC541" s="75"/>
      <c r="BD541" s="75"/>
      <c r="BE541" s="75"/>
      <c r="BF541" s="75">
        <v>7.1249999999999994E-2</v>
      </c>
      <c r="BG541" s="75"/>
      <c r="BH541" s="75"/>
      <c r="BI541" s="74">
        <f t="shared" si="26"/>
        <v>7.1249999999999994E-2</v>
      </c>
    </row>
    <row r="542" spans="1:61" s="11" customFormat="1" x14ac:dyDescent="0.2">
      <c r="A542" s="61"/>
      <c r="O542" s="61"/>
      <c r="AU542" s="281">
        <v>60190</v>
      </c>
      <c r="AV542" s="75"/>
      <c r="AW542" s="75"/>
      <c r="AX542" s="75"/>
      <c r="AY542" s="75"/>
      <c r="AZ542" s="75"/>
      <c r="BA542" s="75"/>
      <c r="BB542" s="75"/>
      <c r="BC542" s="75"/>
      <c r="BD542" s="75"/>
      <c r="BE542" s="75"/>
      <c r="BF542" s="75">
        <v>7.1249999999999994E-2</v>
      </c>
      <c r="BG542" s="75"/>
      <c r="BH542" s="75"/>
      <c r="BI542" s="74">
        <f t="shared" si="26"/>
        <v>7.1249999999999994E-2</v>
      </c>
    </row>
    <row r="543" spans="1:61" s="11" customFormat="1" x14ac:dyDescent="0.2">
      <c r="A543" s="61"/>
      <c r="O543" s="61"/>
      <c r="AU543" s="281">
        <v>60221</v>
      </c>
      <c r="AV543" s="75"/>
      <c r="AW543" s="75"/>
      <c r="AX543" s="75"/>
      <c r="AY543" s="75"/>
      <c r="AZ543" s="75"/>
      <c r="BA543" s="75"/>
      <c r="BB543" s="75"/>
      <c r="BC543" s="75"/>
      <c r="BD543" s="75"/>
      <c r="BE543" s="75"/>
      <c r="BF543" s="75">
        <v>7.1249999999999994E-2</v>
      </c>
      <c r="BG543" s="75"/>
      <c r="BH543" s="75"/>
      <c r="BI543" s="74">
        <f t="shared" si="26"/>
        <v>7.1249999999999994E-2</v>
      </c>
    </row>
    <row r="544" spans="1:61" s="11" customFormat="1" x14ac:dyDescent="0.2">
      <c r="A544" s="61"/>
      <c r="O544" s="61"/>
      <c r="AU544" s="281">
        <v>60251</v>
      </c>
      <c r="AV544" s="75"/>
      <c r="AW544" s="75"/>
      <c r="AX544" s="75"/>
      <c r="AY544" s="75"/>
      <c r="AZ544" s="75"/>
      <c r="BA544" s="75"/>
      <c r="BB544" s="75"/>
      <c r="BC544" s="75"/>
      <c r="BD544" s="75"/>
      <c r="BE544" s="75"/>
      <c r="BF544" s="75">
        <v>7.1249999999999994E-2</v>
      </c>
      <c r="BG544" s="75"/>
      <c r="BH544" s="75"/>
      <c r="BI544" s="74">
        <f t="shared" si="26"/>
        <v>7.1249999999999994E-2</v>
      </c>
    </row>
    <row r="545" spans="1:61" s="11" customFormat="1" x14ac:dyDescent="0.2">
      <c r="A545" s="61"/>
      <c r="O545" s="61"/>
      <c r="AU545" s="281">
        <v>60282</v>
      </c>
      <c r="AV545" s="75"/>
      <c r="AW545" s="75"/>
      <c r="AX545" s="75"/>
      <c r="AY545" s="75"/>
      <c r="AZ545" s="75"/>
      <c r="BA545" s="75"/>
      <c r="BB545" s="75"/>
      <c r="BC545" s="75"/>
      <c r="BD545" s="75"/>
      <c r="BE545" s="75"/>
      <c r="BF545" s="75">
        <v>7.1249999999999994E-2</v>
      </c>
      <c r="BG545" s="75"/>
      <c r="BH545" s="75"/>
      <c r="BI545" s="74">
        <f t="shared" si="26"/>
        <v>7.1249999999999994E-2</v>
      </c>
    </row>
    <row r="546" spans="1:61" s="11" customFormat="1" x14ac:dyDescent="0.2">
      <c r="A546" s="61"/>
      <c r="O546" s="61"/>
      <c r="AU546" s="281">
        <v>60313</v>
      </c>
      <c r="AV546" s="75"/>
      <c r="AW546" s="75"/>
      <c r="AX546" s="75"/>
      <c r="AY546" s="75"/>
      <c r="AZ546" s="75"/>
      <c r="BA546" s="75"/>
      <c r="BB546" s="75"/>
      <c r="BC546" s="75"/>
      <c r="BD546" s="75"/>
      <c r="BE546" s="75"/>
      <c r="BF546" s="75">
        <v>7.1249999999999994E-2</v>
      </c>
      <c r="BG546" s="75"/>
      <c r="BH546" s="75"/>
      <c r="BI546" s="74">
        <f t="shared" si="26"/>
        <v>7.1249999999999994E-2</v>
      </c>
    </row>
    <row r="547" spans="1:61" s="11" customFormat="1" x14ac:dyDescent="0.2">
      <c r="A547" s="61"/>
      <c r="O547" s="61"/>
      <c r="AU547" s="281">
        <v>60341</v>
      </c>
      <c r="AV547" s="75"/>
      <c r="AW547" s="75"/>
      <c r="AX547" s="75"/>
      <c r="AY547" s="75"/>
      <c r="AZ547" s="75"/>
      <c r="BA547" s="75"/>
      <c r="BB547" s="75"/>
      <c r="BC547" s="75"/>
      <c r="BD547" s="75"/>
      <c r="BE547" s="75"/>
      <c r="BF547" s="75">
        <v>7.1249999999999994E-2</v>
      </c>
      <c r="BG547" s="75"/>
      <c r="BH547" s="75"/>
      <c r="BI547" s="74">
        <f t="shared" si="26"/>
        <v>7.1249999999999994E-2</v>
      </c>
    </row>
    <row r="548" spans="1:61" s="11" customFormat="1" x14ac:dyDescent="0.2">
      <c r="A548" s="61"/>
      <c r="O548" s="61"/>
      <c r="AU548" s="281">
        <v>60372</v>
      </c>
      <c r="AV548" s="75"/>
      <c r="AW548" s="75"/>
      <c r="AX548" s="75"/>
      <c r="AY548" s="75"/>
      <c r="AZ548" s="75"/>
      <c r="BA548" s="75"/>
      <c r="BB548" s="75"/>
      <c r="BC548" s="75"/>
      <c r="BD548" s="75"/>
      <c r="BE548" s="75"/>
      <c r="BF548" s="75">
        <v>7.1249999999999994E-2</v>
      </c>
      <c r="BG548" s="75"/>
      <c r="BH548" s="75"/>
      <c r="BI548" s="74">
        <f t="shared" si="26"/>
        <v>7.1249999999999994E-2</v>
      </c>
    </row>
    <row r="549" spans="1:61" s="11" customFormat="1" x14ac:dyDescent="0.2">
      <c r="A549" s="61"/>
      <c r="O549" s="61"/>
      <c r="AU549" s="281">
        <v>60402</v>
      </c>
      <c r="AV549" s="75"/>
      <c r="AW549" s="75"/>
      <c r="AX549" s="75"/>
      <c r="AY549" s="75"/>
      <c r="AZ549" s="75"/>
      <c r="BA549" s="75"/>
      <c r="BB549" s="75"/>
      <c r="BC549" s="75"/>
      <c r="BD549" s="75"/>
      <c r="BE549" s="75"/>
      <c r="BF549" s="75">
        <v>7.1249999999999994E-2</v>
      </c>
      <c r="BG549" s="75"/>
      <c r="BH549" s="75"/>
      <c r="BI549" s="74">
        <f t="shared" si="26"/>
        <v>7.1249999999999994E-2</v>
      </c>
    </row>
    <row r="550" spans="1:61" s="11" customFormat="1" x14ac:dyDescent="0.2">
      <c r="A550" s="61"/>
      <c r="O550" s="61"/>
      <c r="AU550" s="281">
        <v>60433</v>
      </c>
      <c r="AV550" s="75"/>
      <c r="AW550" s="75"/>
      <c r="AX550" s="75"/>
      <c r="AY550" s="75"/>
      <c r="AZ550" s="75"/>
      <c r="BA550" s="75"/>
      <c r="BB550" s="75"/>
      <c r="BC550" s="75"/>
      <c r="BD550" s="75"/>
      <c r="BE550" s="75"/>
      <c r="BF550" s="75">
        <v>7.1249999999999994E-2</v>
      </c>
      <c r="BG550" s="75"/>
      <c r="BH550" s="75"/>
      <c r="BI550" s="74">
        <f t="shared" si="26"/>
        <v>7.1249999999999994E-2</v>
      </c>
    </row>
    <row r="551" spans="1:61" s="11" customFormat="1" x14ac:dyDescent="0.2">
      <c r="A551" s="61"/>
      <c r="O551" s="61"/>
      <c r="AU551" s="281">
        <v>60463</v>
      </c>
      <c r="AV551" s="75"/>
      <c r="AW551" s="75"/>
      <c r="AX551" s="75"/>
      <c r="AY551" s="75"/>
      <c r="AZ551" s="75"/>
      <c r="BA551" s="75"/>
      <c r="BB551" s="75"/>
      <c r="BC551" s="75"/>
      <c r="BD551" s="75"/>
      <c r="BE551" s="75"/>
      <c r="BF551" s="75">
        <v>7.1249999999999994E-2</v>
      </c>
      <c r="BG551" s="75"/>
      <c r="BH551" s="75"/>
      <c r="BI551" s="74">
        <f t="shared" si="26"/>
        <v>7.1249999999999994E-2</v>
      </c>
    </row>
    <row r="552" spans="1:61" s="11" customFormat="1" x14ac:dyDescent="0.2">
      <c r="A552" s="61"/>
      <c r="O552" s="61"/>
      <c r="AU552" s="281">
        <v>60494</v>
      </c>
      <c r="AV552" s="75"/>
      <c r="AW552" s="75"/>
      <c r="AX552" s="75"/>
      <c r="AY552" s="75"/>
      <c r="AZ552" s="75"/>
      <c r="BA552" s="75"/>
      <c r="BB552" s="75"/>
      <c r="BC552" s="75"/>
      <c r="BD552" s="75"/>
      <c r="BE552" s="75"/>
      <c r="BF552" s="75">
        <v>7.1249999999999994E-2</v>
      </c>
      <c r="BG552" s="75"/>
      <c r="BH552" s="75"/>
      <c r="BI552" s="74">
        <f t="shared" si="26"/>
        <v>7.1249999999999994E-2</v>
      </c>
    </row>
    <row r="553" spans="1:61" s="11" customFormat="1" x14ac:dyDescent="0.2">
      <c r="A553" s="61"/>
      <c r="O553" s="61"/>
      <c r="AU553" s="281">
        <v>60525</v>
      </c>
      <c r="AV553" s="75"/>
      <c r="AW553" s="75"/>
      <c r="AX553" s="75"/>
      <c r="AY553" s="75"/>
      <c r="AZ553" s="75"/>
      <c r="BA553" s="75"/>
      <c r="BB553" s="75"/>
      <c r="BC553" s="75"/>
      <c r="BD553" s="75"/>
      <c r="BE553" s="75"/>
      <c r="BF553" s="75">
        <v>7.1249999999999994E-2</v>
      </c>
      <c r="BG553" s="75"/>
      <c r="BH553" s="75"/>
      <c r="BI553" s="74">
        <f t="shared" si="26"/>
        <v>7.1249999999999994E-2</v>
      </c>
    </row>
    <row r="554" spans="1:61" s="11" customFormat="1" x14ac:dyDescent="0.2">
      <c r="A554" s="61"/>
      <c r="O554" s="61"/>
      <c r="AU554" s="281">
        <v>60555</v>
      </c>
      <c r="AV554" s="75"/>
      <c r="AW554" s="75"/>
      <c r="AX554" s="75"/>
      <c r="AY554" s="75"/>
      <c r="AZ554" s="75"/>
      <c r="BA554" s="75"/>
      <c r="BB554" s="75"/>
      <c r="BC554" s="75"/>
      <c r="BD554" s="75"/>
      <c r="BE554" s="75"/>
      <c r="BF554" s="75">
        <v>7.1249999999999994E-2</v>
      </c>
      <c r="BG554" s="75"/>
      <c r="BH554" s="75"/>
      <c r="BI554" s="74">
        <f t="shared" si="26"/>
        <v>7.1249999999999994E-2</v>
      </c>
    </row>
    <row r="555" spans="1:61" s="11" customFormat="1" x14ac:dyDescent="0.2">
      <c r="A555" s="61"/>
      <c r="O555" s="61"/>
      <c r="AU555" s="281">
        <v>60586</v>
      </c>
      <c r="AV555" s="75"/>
      <c r="AW555" s="75"/>
      <c r="AX555" s="75"/>
      <c r="AY555" s="75"/>
      <c r="AZ555" s="75"/>
      <c r="BA555" s="75"/>
      <c r="BB555" s="75"/>
      <c r="BC555" s="75"/>
      <c r="BD555" s="75"/>
      <c r="BE555" s="75"/>
      <c r="BF555" s="75">
        <v>7.1249999999999994E-2</v>
      </c>
      <c r="BG555" s="75"/>
      <c r="BH555" s="75"/>
      <c r="BI555" s="74">
        <f t="shared" si="26"/>
        <v>7.1249999999999994E-2</v>
      </c>
    </row>
    <row r="556" spans="1:61" s="11" customFormat="1" x14ac:dyDescent="0.2">
      <c r="A556" s="61"/>
      <c r="O556" s="61"/>
      <c r="AU556" s="281">
        <v>60616</v>
      </c>
      <c r="AV556" s="75"/>
      <c r="AW556" s="75"/>
      <c r="AX556" s="75"/>
      <c r="AY556" s="75"/>
      <c r="AZ556" s="75"/>
      <c r="BA556" s="75"/>
      <c r="BB556" s="75"/>
      <c r="BC556" s="75"/>
      <c r="BD556" s="75"/>
      <c r="BE556" s="75"/>
      <c r="BF556" s="75">
        <v>7.1249999999999994E-2</v>
      </c>
      <c r="BG556" s="75"/>
      <c r="BH556" s="75"/>
      <c r="BI556" s="74">
        <f t="shared" si="26"/>
        <v>7.1249999999999994E-2</v>
      </c>
    </row>
    <row r="557" spans="1:61" s="11" customFormat="1" x14ac:dyDescent="0.2">
      <c r="A557" s="61"/>
      <c r="O557" s="61"/>
      <c r="AU557" s="281">
        <v>60647</v>
      </c>
      <c r="AV557" s="75"/>
      <c r="AW557" s="75"/>
      <c r="AX557" s="75"/>
      <c r="AY557" s="75"/>
      <c r="AZ557" s="75"/>
      <c r="BA557" s="75"/>
      <c r="BB557" s="75"/>
      <c r="BC557" s="75"/>
      <c r="BD557" s="75"/>
      <c r="BE557" s="75"/>
      <c r="BF557" s="75">
        <v>7.1249999999999994E-2</v>
      </c>
      <c r="BG557" s="75"/>
      <c r="BH557" s="75"/>
      <c r="BI557" s="74">
        <f t="shared" si="26"/>
        <v>7.1249999999999994E-2</v>
      </c>
    </row>
    <row r="558" spans="1:61" s="11" customFormat="1" x14ac:dyDescent="0.2">
      <c r="A558" s="61"/>
      <c r="O558" s="61"/>
      <c r="AU558" s="281">
        <v>60678</v>
      </c>
      <c r="AV558" s="75"/>
      <c r="AW558" s="75"/>
      <c r="AX558" s="75"/>
      <c r="AY558" s="75"/>
      <c r="AZ558" s="75"/>
      <c r="BA558" s="75"/>
      <c r="BB558" s="75"/>
      <c r="BC558" s="75"/>
      <c r="BD558" s="75"/>
      <c r="BE558" s="75"/>
      <c r="BF558" s="75">
        <v>7.1249999999999994E-2</v>
      </c>
      <c r="BG558" s="75"/>
      <c r="BH558" s="75"/>
      <c r="BI558" s="74">
        <f t="shared" si="26"/>
        <v>7.1249999999999994E-2</v>
      </c>
    </row>
    <row r="559" spans="1:61" s="11" customFormat="1" x14ac:dyDescent="0.2">
      <c r="A559" s="61"/>
      <c r="O559" s="61"/>
      <c r="AU559" s="281">
        <v>60706</v>
      </c>
      <c r="AV559" s="75"/>
      <c r="AW559" s="75"/>
      <c r="AX559" s="75"/>
      <c r="AY559" s="75"/>
      <c r="AZ559" s="75"/>
      <c r="BA559" s="75"/>
      <c r="BB559" s="75"/>
      <c r="BC559" s="75"/>
      <c r="BD559" s="75"/>
      <c r="BE559" s="75"/>
      <c r="BF559" s="75">
        <v>7.1249999999999994E-2</v>
      </c>
      <c r="BG559" s="75"/>
      <c r="BH559" s="75"/>
      <c r="BI559" s="74">
        <f t="shared" si="26"/>
        <v>7.1249999999999994E-2</v>
      </c>
    </row>
    <row r="560" spans="1:61" s="11" customFormat="1" x14ac:dyDescent="0.2">
      <c r="A560" s="61"/>
      <c r="O560" s="61"/>
      <c r="AU560" s="281">
        <v>60737</v>
      </c>
      <c r="AV560" s="75"/>
      <c r="AW560" s="75"/>
      <c r="AX560" s="75"/>
      <c r="AY560" s="75"/>
      <c r="AZ560" s="75"/>
      <c r="BA560" s="75"/>
      <c r="BB560" s="75"/>
      <c r="BC560" s="75"/>
      <c r="BD560" s="75"/>
      <c r="BE560" s="75"/>
      <c r="BF560" s="75">
        <v>7.1249999999999994E-2</v>
      </c>
      <c r="BG560" s="75"/>
      <c r="BH560" s="75"/>
      <c r="BI560" s="74">
        <f t="shared" si="26"/>
        <v>7.1249999999999994E-2</v>
      </c>
    </row>
    <row r="561" spans="1:61" s="11" customFormat="1" x14ac:dyDescent="0.2">
      <c r="A561" s="61"/>
      <c r="O561" s="61"/>
      <c r="AU561" s="281">
        <v>60767</v>
      </c>
      <c r="AV561" s="75"/>
      <c r="AW561" s="75"/>
      <c r="AX561" s="75"/>
      <c r="AY561" s="75"/>
      <c r="AZ561" s="75"/>
      <c r="BA561" s="75"/>
      <c r="BB561" s="75"/>
      <c r="BC561" s="75"/>
      <c r="BD561" s="75"/>
      <c r="BE561" s="75"/>
      <c r="BF561" s="75">
        <v>7.1249999999999994E-2</v>
      </c>
      <c r="BG561" s="75"/>
      <c r="BH561" s="75"/>
      <c r="BI561" s="74">
        <f t="shared" si="26"/>
        <v>7.1249999999999994E-2</v>
      </c>
    </row>
    <row r="562" spans="1:61" s="11" customFormat="1" x14ac:dyDescent="0.2">
      <c r="A562" s="61"/>
      <c r="O562" s="61"/>
      <c r="AU562" s="281">
        <v>60798</v>
      </c>
      <c r="AV562" s="75"/>
      <c r="AW562" s="75"/>
      <c r="AX562" s="75"/>
      <c r="AY562" s="75"/>
      <c r="AZ562" s="75"/>
      <c r="BA562" s="75"/>
      <c r="BB562" s="75"/>
      <c r="BC562" s="75"/>
      <c r="BD562" s="75"/>
      <c r="BE562" s="75"/>
      <c r="BF562" s="75">
        <v>7.1249999999999994E-2</v>
      </c>
      <c r="BG562" s="75"/>
      <c r="BH562" s="75"/>
      <c r="BI562" s="74">
        <f t="shared" si="26"/>
        <v>7.1249999999999994E-2</v>
      </c>
    </row>
    <row r="563" spans="1:61" s="11" customFormat="1" x14ac:dyDescent="0.2">
      <c r="A563" s="61"/>
      <c r="O563" s="61"/>
      <c r="AU563" s="281">
        <v>60828</v>
      </c>
      <c r="AV563" s="75"/>
      <c r="AW563" s="75"/>
      <c r="AX563" s="75"/>
      <c r="AY563" s="75"/>
      <c r="AZ563" s="75"/>
      <c r="BA563" s="75"/>
      <c r="BB563" s="75"/>
      <c r="BC563" s="75"/>
      <c r="BD563" s="75"/>
      <c r="BE563" s="75"/>
      <c r="BF563" s="75">
        <v>7.1249999999999994E-2</v>
      </c>
      <c r="BG563" s="75"/>
      <c r="BH563" s="75"/>
      <c r="BI563" s="74">
        <f t="shared" si="26"/>
        <v>7.1249999999999994E-2</v>
      </c>
    </row>
    <row r="564" spans="1:61" s="11" customFormat="1" x14ac:dyDescent="0.2">
      <c r="A564" s="61"/>
      <c r="O564" s="61"/>
      <c r="AU564" s="281">
        <v>60859</v>
      </c>
      <c r="AV564" s="75"/>
      <c r="AW564" s="75"/>
      <c r="AX564" s="75"/>
      <c r="AY564" s="75"/>
      <c r="AZ564" s="75"/>
      <c r="BA564" s="75"/>
      <c r="BB564" s="75"/>
      <c r="BC564" s="75"/>
      <c r="BD564" s="75"/>
      <c r="BE564" s="75"/>
      <c r="BF564" s="75">
        <v>7.1249999999999994E-2</v>
      </c>
      <c r="BG564" s="75"/>
      <c r="BH564" s="75"/>
      <c r="BI564" s="74">
        <f t="shared" si="26"/>
        <v>7.1249999999999994E-2</v>
      </c>
    </row>
    <row r="565" spans="1:61" s="11" customFormat="1" x14ac:dyDescent="0.2">
      <c r="A565" s="61"/>
      <c r="O565" s="61"/>
      <c r="AU565" s="281">
        <v>60890</v>
      </c>
      <c r="AV565" s="75"/>
      <c r="AW565" s="75"/>
      <c r="AX565" s="75"/>
      <c r="AY565" s="75"/>
      <c r="AZ565" s="75"/>
      <c r="BA565" s="75"/>
      <c r="BB565" s="75"/>
      <c r="BC565" s="75"/>
      <c r="BD565" s="75"/>
      <c r="BE565" s="75"/>
      <c r="BF565" s="75">
        <v>7.1249999999999994E-2</v>
      </c>
      <c r="BG565" s="75"/>
      <c r="BH565" s="75"/>
      <c r="BI565" s="74">
        <f t="shared" si="26"/>
        <v>7.1249999999999994E-2</v>
      </c>
    </row>
    <row r="566" spans="1:61" s="11" customFormat="1" x14ac:dyDescent="0.2">
      <c r="A566" s="61"/>
      <c r="O566" s="61"/>
      <c r="AU566" s="281">
        <v>60920</v>
      </c>
      <c r="AV566" s="75"/>
      <c r="AW566" s="75"/>
      <c r="AX566" s="75"/>
      <c r="AY566" s="75"/>
      <c r="AZ566" s="75"/>
      <c r="BA566" s="75"/>
      <c r="BB566" s="75"/>
      <c r="BC566" s="75"/>
      <c r="BD566" s="75"/>
      <c r="BE566" s="75"/>
      <c r="BF566" s="75">
        <v>7.1249999999999994E-2</v>
      </c>
      <c r="BG566" s="75"/>
      <c r="BH566" s="75"/>
      <c r="BI566" s="74">
        <f t="shared" si="26"/>
        <v>7.1249999999999994E-2</v>
      </c>
    </row>
    <row r="567" spans="1:61" s="11" customFormat="1" x14ac:dyDescent="0.2">
      <c r="A567" s="61"/>
      <c r="O567" s="61"/>
      <c r="AU567" s="281">
        <v>60951</v>
      </c>
      <c r="AV567" s="75"/>
      <c r="AW567" s="75"/>
      <c r="AX567" s="75"/>
      <c r="AY567" s="75"/>
      <c r="AZ567" s="75"/>
      <c r="BA567" s="75"/>
      <c r="BB567" s="75"/>
      <c r="BC567" s="75"/>
      <c r="BD567" s="75"/>
      <c r="BE567" s="75"/>
      <c r="BF567" s="75">
        <v>7.1249999999999994E-2</v>
      </c>
      <c r="BG567" s="75"/>
      <c r="BH567" s="75"/>
      <c r="BI567" s="74">
        <f t="shared" si="26"/>
        <v>7.1249999999999994E-2</v>
      </c>
    </row>
    <row r="568" spans="1:61" s="11" customFormat="1" x14ac:dyDescent="0.2">
      <c r="A568" s="61"/>
      <c r="O568" s="61"/>
      <c r="AU568" s="281">
        <v>60981</v>
      </c>
      <c r="AV568" s="75"/>
      <c r="AW568" s="75"/>
      <c r="AX568" s="75"/>
      <c r="AY568" s="75"/>
      <c r="AZ568" s="75"/>
      <c r="BA568" s="75"/>
      <c r="BB568" s="75"/>
      <c r="BC568" s="75"/>
      <c r="BD568" s="75"/>
      <c r="BE568" s="75"/>
      <c r="BF568" s="75">
        <v>7.1249999999999994E-2</v>
      </c>
      <c r="BG568" s="75"/>
      <c r="BH568" s="75"/>
      <c r="BI568" s="74">
        <f t="shared" si="26"/>
        <v>7.1249999999999994E-2</v>
      </c>
    </row>
    <row r="569" spans="1:61" s="11" customFormat="1" x14ac:dyDescent="0.2">
      <c r="A569" s="61"/>
      <c r="O569" s="61"/>
      <c r="AU569" s="281">
        <v>61012</v>
      </c>
      <c r="AV569" s="75"/>
      <c r="AW569" s="75"/>
      <c r="AX569" s="75"/>
      <c r="AY569" s="75"/>
      <c r="AZ569" s="75"/>
      <c r="BA569" s="75"/>
      <c r="BB569" s="75"/>
      <c r="BC569" s="75"/>
      <c r="BD569" s="75"/>
      <c r="BE569" s="75"/>
      <c r="BF569" s="75">
        <v>7.1249999999999994E-2</v>
      </c>
      <c r="BG569" s="75"/>
      <c r="BH569" s="75"/>
      <c r="BI569" s="74">
        <f t="shared" si="26"/>
        <v>7.1249999999999994E-2</v>
      </c>
    </row>
    <row r="570" spans="1:61" s="11" customFormat="1" x14ac:dyDescent="0.2">
      <c r="A570" s="61"/>
      <c r="O570" s="61"/>
      <c r="AU570" s="281">
        <v>61043</v>
      </c>
      <c r="AV570" s="75"/>
      <c r="AW570" s="75"/>
      <c r="AX570" s="75"/>
      <c r="AY570" s="75"/>
      <c r="AZ570" s="75"/>
      <c r="BA570" s="75"/>
      <c r="BB570" s="75"/>
      <c r="BC570" s="75"/>
      <c r="BD570" s="75"/>
      <c r="BE570" s="75"/>
      <c r="BF570" s="75">
        <v>7.1249999999999994E-2</v>
      </c>
      <c r="BG570" s="75"/>
      <c r="BH570" s="75"/>
      <c r="BI570" s="74">
        <f t="shared" si="26"/>
        <v>7.1249999999999994E-2</v>
      </c>
    </row>
    <row r="571" spans="1:61" s="11" customFormat="1" x14ac:dyDescent="0.2">
      <c r="A571" s="61"/>
      <c r="O571" s="61"/>
      <c r="AU571" s="281">
        <v>61071</v>
      </c>
      <c r="AV571" s="75"/>
      <c r="AW571" s="75"/>
      <c r="AX571" s="75"/>
      <c r="AY571" s="75"/>
      <c r="AZ571" s="75"/>
      <c r="BA571" s="75"/>
      <c r="BB571" s="75"/>
      <c r="BC571" s="75"/>
      <c r="BD571" s="75"/>
      <c r="BE571" s="75"/>
      <c r="BF571" s="75">
        <v>7.1249999999999994E-2</v>
      </c>
      <c r="BG571" s="75"/>
      <c r="BH571" s="75"/>
      <c r="BI571" s="74">
        <f t="shared" si="26"/>
        <v>7.1249999999999994E-2</v>
      </c>
    </row>
    <row r="572" spans="1:61" s="11" customFormat="1" x14ac:dyDescent="0.2">
      <c r="A572" s="61"/>
      <c r="O572" s="61"/>
      <c r="AU572" s="281">
        <v>61102</v>
      </c>
      <c r="AV572" s="75"/>
      <c r="AW572" s="75"/>
      <c r="AX572" s="75"/>
      <c r="AY572" s="75"/>
      <c r="AZ572" s="75"/>
      <c r="BA572" s="75"/>
      <c r="BB572" s="75"/>
      <c r="BC572" s="75"/>
      <c r="BD572" s="75"/>
      <c r="BE572" s="75"/>
      <c r="BF572" s="75">
        <v>7.1249999999999994E-2</v>
      </c>
      <c r="BG572" s="75"/>
      <c r="BH572" s="75"/>
      <c r="BI572" s="74">
        <f t="shared" si="26"/>
        <v>7.1249999999999994E-2</v>
      </c>
    </row>
    <row r="573" spans="1:61" s="11" customFormat="1" x14ac:dyDescent="0.2">
      <c r="A573" s="61"/>
      <c r="O573" s="61"/>
      <c r="AU573" s="281">
        <v>61132</v>
      </c>
      <c r="AV573" s="75"/>
      <c r="AW573" s="75"/>
      <c r="AX573" s="75"/>
      <c r="AY573" s="75"/>
      <c r="AZ573" s="75"/>
      <c r="BA573" s="75"/>
      <c r="BB573" s="75"/>
      <c r="BC573" s="75"/>
      <c r="BD573" s="75"/>
      <c r="BE573" s="75"/>
      <c r="BF573" s="75">
        <v>7.1249999999999994E-2</v>
      </c>
      <c r="BG573" s="75"/>
      <c r="BH573" s="75"/>
      <c r="BI573" s="74">
        <f t="shared" si="26"/>
        <v>7.1249999999999994E-2</v>
      </c>
    </row>
    <row r="574" spans="1:61" s="11" customFormat="1" x14ac:dyDescent="0.2">
      <c r="A574" s="61"/>
      <c r="O574" s="61"/>
      <c r="AU574" s="281">
        <v>61163</v>
      </c>
      <c r="AV574" s="75"/>
      <c r="AW574" s="75"/>
      <c r="AX574" s="75"/>
      <c r="AY574" s="75"/>
      <c r="AZ574" s="75"/>
      <c r="BA574" s="75"/>
      <c r="BB574" s="75"/>
      <c r="BC574" s="75"/>
      <c r="BD574" s="75"/>
      <c r="BE574" s="75"/>
      <c r="BF574" s="75">
        <v>7.1249999999999994E-2</v>
      </c>
      <c r="BG574" s="75"/>
      <c r="BH574" s="75"/>
      <c r="BI574" s="74">
        <f t="shared" si="26"/>
        <v>7.1249999999999994E-2</v>
      </c>
    </row>
    <row r="575" spans="1:61" s="11" customFormat="1" x14ac:dyDescent="0.2">
      <c r="A575" s="61"/>
      <c r="O575" s="61"/>
      <c r="AU575" s="281">
        <v>61193</v>
      </c>
      <c r="AV575" s="75"/>
      <c r="AW575" s="75"/>
      <c r="AX575" s="75"/>
      <c r="AY575" s="75"/>
      <c r="AZ575" s="75"/>
      <c r="BA575" s="75"/>
      <c r="BB575" s="75"/>
      <c r="BC575" s="75"/>
      <c r="BD575" s="75"/>
      <c r="BE575" s="75"/>
      <c r="BF575" s="75">
        <v>7.1249999999999994E-2</v>
      </c>
      <c r="BG575" s="75"/>
      <c r="BH575" s="75"/>
      <c r="BI575" s="74">
        <f t="shared" si="26"/>
        <v>7.1249999999999994E-2</v>
      </c>
    </row>
    <row r="576" spans="1:61" s="11" customFormat="1" x14ac:dyDescent="0.2">
      <c r="A576" s="61"/>
      <c r="O576" s="61"/>
      <c r="AU576" s="281">
        <v>61224</v>
      </c>
      <c r="AV576" s="75"/>
      <c r="AW576" s="75"/>
      <c r="AX576" s="75"/>
      <c r="AY576" s="75"/>
      <c r="AZ576" s="75"/>
      <c r="BA576" s="75"/>
      <c r="BB576" s="75"/>
      <c r="BC576" s="75"/>
      <c r="BD576" s="75"/>
      <c r="BE576" s="75"/>
      <c r="BF576" s="75">
        <v>7.1249999999999994E-2</v>
      </c>
      <c r="BG576" s="75"/>
      <c r="BH576" s="75"/>
      <c r="BI576" s="74">
        <f t="shared" si="26"/>
        <v>7.1249999999999994E-2</v>
      </c>
    </row>
    <row r="577" spans="1:61" s="11" customFormat="1" x14ac:dyDescent="0.2">
      <c r="A577" s="61"/>
      <c r="O577" s="61"/>
      <c r="AU577" s="281">
        <v>61255</v>
      </c>
      <c r="AV577" s="75"/>
      <c r="AW577" s="75"/>
      <c r="AX577" s="75"/>
      <c r="AY577" s="75"/>
      <c r="AZ577" s="75"/>
      <c r="BA577" s="75"/>
      <c r="BB577" s="75"/>
      <c r="BC577" s="75"/>
      <c r="BD577" s="75"/>
      <c r="BE577" s="75"/>
      <c r="BF577" s="75">
        <v>7.1249999999999994E-2</v>
      </c>
      <c r="BG577" s="75"/>
      <c r="BH577" s="75"/>
      <c r="BI577" s="74">
        <f t="shared" si="26"/>
        <v>7.1249999999999994E-2</v>
      </c>
    </row>
    <row r="578" spans="1:61" s="11" customFormat="1" x14ac:dyDescent="0.2">
      <c r="A578" s="61"/>
      <c r="O578" s="61"/>
      <c r="AU578" s="281">
        <v>61285</v>
      </c>
      <c r="AV578" s="75"/>
      <c r="AW578" s="75"/>
      <c r="AX578" s="75"/>
      <c r="AY578" s="75"/>
      <c r="AZ578" s="75"/>
      <c r="BA578" s="75"/>
      <c r="BB578" s="75"/>
      <c r="BC578" s="75"/>
      <c r="BD578" s="75"/>
      <c r="BE578" s="75"/>
      <c r="BF578" s="75">
        <v>7.1249999999999994E-2</v>
      </c>
      <c r="BG578" s="75"/>
      <c r="BH578" s="75"/>
      <c r="BI578" s="74">
        <f t="shared" si="26"/>
        <v>7.1249999999999994E-2</v>
      </c>
    </row>
    <row r="579" spans="1:61" s="11" customFormat="1" x14ac:dyDescent="0.2">
      <c r="A579" s="61"/>
      <c r="O579" s="61"/>
      <c r="AU579" s="281">
        <v>61316</v>
      </c>
      <c r="AV579" s="75"/>
      <c r="AW579" s="75"/>
      <c r="AX579" s="75"/>
      <c r="AY579" s="75"/>
      <c r="AZ579" s="75"/>
      <c r="BA579" s="75"/>
      <c r="BB579" s="75"/>
      <c r="BC579" s="75"/>
      <c r="BD579" s="75"/>
      <c r="BE579" s="75"/>
      <c r="BF579" s="75">
        <v>7.1249999999999994E-2</v>
      </c>
      <c r="BG579" s="75"/>
      <c r="BH579" s="75"/>
      <c r="BI579" s="74">
        <f t="shared" si="26"/>
        <v>7.1249999999999994E-2</v>
      </c>
    </row>
    <row r="580" spans="1:61" s="11" customFormat="1" x14ac:dyDescent="0.2">
      <c r="A580" s="61"/>
      <c r="O580" s="61"/>
      <c r="AU580" s="281">
        <v>61346</v>
      </c>
      <c r="AV580" s="75"/>
      <c r="AW580" s="75"/>
      <c r="AX580" s="75"/>
      <c r="AY580" s="75"/>
      <c r="AZ580" s="75"/>
      <c r="BA580" s="75"/>
      <c r="BB580" s="75"/>
      <c r="BC580" s="75"/>
      <c r="BD580" s="75"/>
      <c r="BE580" s="75"/>
      <c r="BF580" s="75">
        <v>7.1249999999999994E-2</v>
      </c>
      <c r="BG580" s="75"/>
      <c r="BH580" s="75"/>
      <c r="BI580" s="74">
        <f t="shared" si="26"/>
        <v>7.1249999999999994E-2</v>
      </c>
    </row>
    <row r="581" spans="1:61" s="11" customFormat="1" x14ac:dyDescent="0.2">
      <c r="A581" s="61"/>
      <c r="O581" s="61"/>
      <c r="AU581" s="281">
        <v>61377</v>
      </c>
      <c r="AV581" s="75"/>
      <c r="AW581" s="75"/>
      <c r="AX581" s="75"/>
      <c r="AY581" s="75"/>
      <c r="AZ581" s="75"/>
      <c r="BA581" s="75"/>
      <c r="BB581" s="75"/>
      <c r="BC581" s="75"/>
      <c r="BD581" s="75"/>
      <c r="BE581" s="75"/>
      <c r="BF581" s="75">
        <v>7.1249999999999994E-2</v>
      </c>
      <c r="BG581" s="75"/>
      <c r="BH581" s="75"/>
      <c r="BI581" s="74">
        <f t="shared" si="26"/>
        <v>7.1249999999999994E-2</v>
      </c>
    </row>
    <row r="582" spans="1:61" s="11" customFormat="1" x14ac:dyDescent="0.2">
      <c r="A582" s="61"/>
      <c r="O582" s="61"/>
      <c r="AU582" s="281">
        <v>61408</v>
      </c>
      <c r="AV582" s="75"/>
      <c r="AW582" s="75"/>
      <c r="AX582" s="75"/>
      <c r="AY582" s="75"/>
      <c r="AZ582" s="75"/>
      <c r="BA582" s="75"/>
      <c r="BB582" s="75"/>
      <c r="BC582" s="75"/>
      <c r="BD582" s="75"/>
      <c r="BE582" s="75"/>
      <c r="BF582" s="75">
        <v>7.1249999999999994E-2</v>
      </c>
      <c r="BG582" s="75"/>
      <c r="BH582" s="75"/>
      <c r="BI582" s="74">
        <f t="shared" si="26"/>
        <v>7.1249999999999994E-2</v>
      </c>
    </row>
    <row r="583" spans="1:61" s="11" customFormat="1" x14ac:dyDescent="0.2">
      <c r="A583" s="61"/>
      <c r="O583" s="61"/>
      <c r="AU583" s="281">
        <v>61437</v>
      </c>
      <c r="AV583" s="75"/>
      <c r="AW583" s="75"/>
      <c r="AX583" s="75"/>
      <c r="AY583" s="75"/>
      <c r="AZ583" s="75"/>
      <c r="BA583" s="75"/>
      <c r="BB583" s="75"/>
      <c r="BC583" s="75"/>
      <c r="BD583" s="75"/>
      <c r="BE583" s="75"/>
      <c r="BF583" s="75">
        <v>7.1249999999999994E-2</v>
      </c>
      <c r="BG583" s="75"/>
      <c r="BH583" s="75"/>
      <c r="BI583" s="74">
        <f t="shared" si="26"/>
        <v>7.1249999999999994E-2</v>
      </c>
    </row>
    <row r="584" spans="1:61" s="11" customFormat="1" x14ac:dyDescent="0.2">
      <c r="A584" s="61"/>
      <c r="O584" s="61"/>
      <c r="AU584" s="281">
        <v>61468</v>
      </c>
      <c r="AV584" s="75"/>
      <c r="AW584" s="75"/>
      <c r="AX584" s="75"/>
      <c r="AY584" s="75"/>
      <c r="AZ584" s="75"/>
      <c r="BA584" s="75"/>
      <c r="BB584" s="75"/>
      <c r="BC584" s="75"/>
      <c r="BD584" s="75"/>
      <c r="BE584" s="75"/>
      <c r="BF584" s="75">
        <v>7.1249999999999994E-2</v>
      </c>
      <c r="BG584" s="75"/>
      <c r="BH584" s="75"/>
      <c r="BI584" s="74">
        <f t="shared" si="26"/>
        <v>7.1249999999999994E-2</v>
      </c>
    </row>
    <row r="585" spans="1:61" s="11" customFormat="1" x14ac:dyDescent="0.2">
      <c r="A585" s="61"/>
      <c r="O585" s="61"/>
      <c r="AU585" s="281">
        <v>61498</v>
      </c>
      <c r="AV585" s="75"/>
      <c r="AW585" s="75"/>
      <c r="AX585" s="75"/>
      <c r="AY585" s="75"/>
      <c r="AZ585" s="75"/>
      <c r="BA585" s="75"/>
      <c r="BB585" s="75"/>
      <c r="BC585" s="75"/>
      <c r="BD585" s="75"/>
      <c r="BE585" s="75"/>
      <c r="BF585" s="75">
        <v>7.1249999999999994E-2</v>
      </c>
      <c r="BG585" s="75"/>
      <c r="BH585" s="75"/>
      <c r="BI585" s="74">
        <f t="shared" ref="BI585:BI648" si="27">+AVERAGE(AV585:BH585)</f>
        <v>7.1249999999999994E-2</v>
      </c>
    </row>
    <row r="586" spans="1:61" s="11" customFormat="1" x14ac:dyDescent="0.2">
      <c r="A586" s="61"/>
      <c r="O586" s="61"/>
      <c r="AU586" s="281">
        <v>61529</v>
      </c>
      <c r="AV586" s="75"/>
      <c r="AW586" s="75"/>
      <c r="AX586" s="75"/>
      <c r="AY586" s="75"/>
      <c r="AZ586" s="75"/>
      <c r="BA586" s="75"/>
      <c r="BB586" s="75"/>
      <c r="BC586" s="75"/>
      <c r="BD586" s="75"/>
      <c r="BE586" s="75"/>
      <c r="BF586" s="75">
        <v>7.1249999999999994E-2</v>
      </c>
      <c r="BG586" s="75"/>
      <c r="BH586" s="75"/>
      <c r="BI586" s="74">
        <f t="shared" si="27"/>
        <v>7.1249999999999994E-2</v>
      </c>
    </row>
    <row r="587" spans="1:61" s="11" customFormat="1" x14ac:dyDescent="0.2">
      <c r="A587" s="61"/>
      <c r="O587" s="61"/>
      <c r="AU587" s="281">
        <v>61559</v>
      </c>
      <c r="AV587" s="75"/>
      <c r="AW587" s="75"/>
      <c r="AX587" s="75"/>
      <c r="AY587" s="75"/>
      <c r="AZ587" s="75"/>
      <c r="BA587" s="75"/>
      <c r="BB587" s="75"/>
      <c r="BC587" s="75"/>
      <c r="BD587" s="75"/>
      <c r="BE587" s="75"/>
      <c r="BF587" s="75">
        <v>7.1249999999999994E-2</v>
      </c>
      <c r="BG587" s="75"/>
      <c r="BH587" s="75"/>
      <c r="BI587" s="74">
        <f t="shared" si="27"/>
        <v>7.1249999999999994E-2</v>
      </c>
    </row>
    <row r="588" spans="1:61" s="11" customFormat="1" x14ac:dyDescent="0.2">
      <c r="A588" s="61"/>
      <c r="O588" s="61"/>
      <c r="AU588" s="281">
        <v>61590</v>
      </c>
      <c r="AV588" s="75"/>
      <c r="AW588" s="75"/>
      <c r="AX588" s="75"/>
      <c r="AY588" s="75"/>
      <c r="AZ588" s="75"/>
      <c r="BA588" s="75"/>
      <c r="BB588" s="75"/>
      <c r="BC588" s="75"/>
      <c r="BD588" s="75"/>
      <c r="BE588" s="75"/>
      <c r="BF588" s="75">
        <v>7.1249999999999994E-2</v>
      </c>
      <c r="BG588" s="75"/>
      <c r="BH588" s="75"/>
      <c r="BI588" s="74">
        <f t="shared" si="27"/>
        <v>7.1249999999999994E-2</v>
      </c>
    </row>
    <row r="589" spans="1:61" s="11" customFormat="1" x14ac:dyDescent="0.2">
      <c r="A589" s="61"/>
      <c r="O589" s="61"/>
      <c r="AU589" s="281">
        <v>61621</v>
      </c>
      <c r="AV589" s="75"/>
      <c r="AW589" s="75"/>
      <c r="AX589" s="75"/>
      <c r="AY589" s="75"/>
      <c r="AZ589" s="75"/>
      <c r="BA589" s="75"/>
      <c r="BB589" s="75"/>
      <c r="BC589" s="75"/>
      <c r="BD589" s="75"/>
      <c r="BE589" s="75"/>
      <c r="BF589" s="75">
        <v>7.1249999999999994E-2</v>
      </c>
      <c r="BG589" s="75"/>
      <c r="BH589" s="75"/>
      <c r="BI589" s="74">
        <f t="shared" si="27"/>
        <v>7.1249999999999994E-2</v>
      </c>
    </row>
    <row r="590" spans="1:61" s="11" customFormat="1" x14ac:dyDescent="0.2">
      <c r="A590" s="61"/>
      <c r="O590" s="61"/>
      <c r="AU590" s="281">
        <v>61651</v>
      </c>
      <c r="AV590" s="75"/>
      <c r="AW590" s="75"/>
      <c r="AX590" s="75"/>
      <c r="AY590" s="75"/>
      <c r="AZ590" s="75"/>
      <c r="BA590" s="75"/>
      <c r="BB590" s="75"/>
      <c r="BC590" s="75"/>
      <c r="BD590" s="75"/>
      <c r="BE590" s="75"/>
      <c r="BF590" s="75">
        <v>7.1249999999999994E-2</v>
      </c>
      <c r="BG590" s="75"/>
      <c r="BH590" s="75"/>
      <c r="BI590" s="74">
        <f t="shared" si="27"/>
        <v>7.1249999999999994E-2</v>
      </c>
    </row>
    <row r="591" spans="1:61" s="11" customFormat="1" x14ac:dyDescent="0.2">
      <c r="A591" s="61"/>
      <c r="O591" s="61"/>
      <c r="AU591" s="281">
        <v>61682</v>
      </c>
      <c r="AV591" s="75"/>
      <c r="AW591" s="75"/>
      <c r="AX591" s="75"/>
      <c r="AY591" s="75"/>
      <c r="AZ591" s="75"/>
      <c r="BA591" s="75"/>
      <c r="BB591" s="75"/>
      <c r="BC591" s="75"/>
      <c r="BD591" s="75"/>
      <c r="BE591" s="75"/>
      <c r="BF591" s="75">
        <v>7.1249999999999994E-2</v>
      </c>
      <c r="BG591" s="75"/>
      <c r="BH591" s="75"/>
      <c r="BI591" s="74">
        <f t="shared" si="27"/>
        <v>7.1249999999999994E-2</v>
      </c>
    </row>
    <row r="592" spans="1:61" s="11" customFormat="1" x14ac:dyDescent="0.2">
      <c r="A592" s="61"/>
      <c r="O592" s="61"/>
      <c r="AU592" s="281">
        <v>61712</v>
      </c>
      <c r="AV592" s="75"/>
      <c r="AW592" s="75"/>
      <c r="AX592" s="75"/>
      <c r="AY592" s="75"/>
      <c r="AZ592" s="75"/>
      <c r="BA592" s="75"/>
      <c r="BB592" s="75"/>
      <c r="BC592" s="75"/>
      <c r="BD592" s="75"/>
      <c r="BE592" s="75"/>
      <c r="BF592" s="75">
        <v>7.1249999999999994E-2</v>
      </c>
      <c r="BG592" s="75"/>
      <c r="BH592" s="75"/>
      <c r="BI592" s="74">
        <f t="shared" si="27"/>
        <v>7.1249999999999994E-2</v>
      </c>
    </row>
    <row r="593" spans="1:61" s="11" customFormat="1" x14ac:dyDescent="0.2">
      <c r="A593" s="61"/>
      <c r="O593" s="61"/>
      <c r="AU593" s="281">
        <v>61743</v>
      </c>
      <c r="AV593" s="75"/>
      <c r="AW593" s="75"/>
      <c r="AX593" s="75"/>
      <c r="AY593" s="75"/>
      <c r="AZ593" s="75"/>
      <c r="BA593" s="75"/>
      <c r="BB593" s="75"/>
      <c r="BC593" s="75"/>
      <c r="BD593" s="75"/>
      <c r="BE593" s="75"/>
      <c r="BF593" s="75">
        <v>7.1249999999999994E-2</v>
      </c>
      <c r="BG593" s="75"/>
      <c r="BH593" s="75"/>
      <c r="BI593" s="74">
        <f t="shared" si="27"/>
        <v>7.1249999999999994E-2</v>
      </c>
    </row>
    <row r="594" spans="1:61" s="11" customFormat="1" x14ac:dyDescent="0.2">
      <c r="A594" s="61"/>
      <c r="O594" s="61"/>
      <c r="AU594" s="281">
        <v>61774</v>
      </c>
      <c r="AV594" s="75"/>
      <c r="AW594" s="75"/>
      <c r="AX594" s="75"/>
      <c r="AY594" s="75"/>
      <c r="AZ594" s="75"/>
      <c r="BA594" s="75"/>
      <c r="BB594" s="75"/>
      <c r="BC594" s="75"/>
      <c r="BD594" s="75"/>
      <c r="BE594" s="75"/>
      <c r="BF594" s="75">
        <v>7.1249999999999994E-2</v>
      </c>
      <c r="BG594" s="75"/>
      <c r="BH594" s="75"/>
      <c r="BI594" s="74">
        <f t="shared" si="27"/>
        <v>7.1249999999999994E-2</v>
      </c>
    </row>
    <row r="595" spans="1:61" s="11" customFormat="1" x14ac:dyDescent="0.2">
      <c r="A595" s="61"/>
      <c r="O595" s="61"/>
      <c r="AU595" s="281">
        <v>61802</v>
      </c>
      <c r="AV595" s="75"/>
      <c r="AW595" s="75"/>
      <c r="AX595" s="75"/>
      <c r="AY595" s="75"/>
      <c r="AZ595" s="75"/>
      <c r="BA595" s="75"/>
      <c r="BB595" s="75"/>
      <c r="BC595" s="75"/>
      <c r="BD595" s="75"/>
      <c r="BE595" s="75"/>
      <c r="BF595" s="75">
        <v>7.1249999999999994E-2</v>
      </c>
      <c r="BG595" s="75"/>
      <c r="BH595" s="75"/>
      <c r="BI595" s="74">
        <f t="shared" si="27"/>
        <v>7.1249999999999994E-2</v>
      </c>
    </row>
    <row r="596" spans="1:61" s="11" customFormat="1" x14ac:dyDescent="0.2">
      <c r="A596" s="61"/>
      <c r="O596" s="61"/>
      <c r="AU596" s="281">
        <v>61833</v>
      </c>
      <c r="AV596" s="75"/>
      <c r="AW596" s="75"/>
      <c r="AX596" s="75"/>
      <c r="AY596" s="75"/>
      <c r="AZ596" s="75"/>
      <c r="BA596" s="75"/>
      <c r="BB596" s="75"/>
      <c r="BC596" s="75"/>
      <c r="BD596" s="75"/>
      <c r="BE596" s="75"/>
      <c r="BF596" s="75">
        <v>7.1249999999999994E-2</v>
      </c>
      <c r="BG596" s="75"/>
      <c r="BH596" s="75"/>
      <c r="BI596" s="74">
        <f t="shared" si="27"/>
        <v>7.1249999999999994E-2</v>
      </c>
    </row>
    <row r="597" spans="1:61" s="11" customFormat="1" x14ac:dyDescent="0.2">
      <c r="A597" s="61"/>
      <c r="O597" s="61"/>
      <c r="AU597" s="281">
        <v>61863</v>
      </c>
      <c r="AV597" s="75"/>
      <c r="AW597" s="75"/>
      <c r="AX597" s="75"/>
      <c r="AY597" s="75"/>
      <c r="AZ597" s="75"/>
      <c r="BA597" s="75"/>
      <c r="BB597" s="75"/>
      <c r="BC597" s="75"/>
      <c r="BD597" s="75"/>
      <c r="BE597" s="75"/>
      <c r="BF597" s="75">
        <v>7.1249999999999994E-2</v>
      </c>
      <c r="BG597" s="75"/>
      <c r="BH597" s="75"/>
      <c r="BI597" s="74">
        <f t="shared" si="27"/>
        <v>7.1249999999999994E-2</v>
      </c>
    </row>
    <row r="598" spans="1:61" s="11" customFormat="1" x14ac:dyDescent="0.2">
      <c r="A598" s="61"/>
      <c r="O598" s="61"/>
      <c r="AU598" s="281">
        <v>61894</v>
      </c>
      <c r="AV598" s="75"/>
      <c r="AW598" s="75"/>
      <c r="AX598" s="75"/>
      <c r="AY598" s="75"/>
      <c r="AZ598" s="75"/>
      <c r="BA598" s="75"/>
      <c r="BB598" s="75"/>
      <c r="BC598" s="75"/>
      <c r="BD598" s="75"/>
      <c r="BE598" s="75"/>
      <c r="BF598" s="75">
        <v>7.1249999999999994E-2</v>
      </c>
      <c r="BG598" s="75"/>
      <c r="BH598" s="75"/>
      <c r="BI598" s="74">
        <f t="shared" si="27"/>
        <v>7.1249999999999994E-2</v>
      </c>
    </row>
    <row r="599" spans="1:61" s="11" customFormat="1" x14ac:dyDescent="0.2">
      <c r="A599" s="61"/>
      <c r="O599" s="61"/>
      <c r="AU599" s="281">
        <v>61924</v>
      </c>
      <c r="AV599" s="75"/>
      <c r="AW599" s="75"/>
      <c r="AX599" s="75"/>
      <c r="AY599" s="75"/>
      <c r="AZ599" s="75"/>
      <c r="BA599" s="75"/>
      <c r="BB599" s="75"/>
      <c r="BC599" s="75"/>
      <c r="BD599" s="75"/>
      <c r="BE599" s="75"/>
      <c r="BF599" s="75">
        <v>7.1249999999999994E-2</v>
      </c>
      <c r="BG599" s="75"/>
      <c r="BH599" s="75"/>
      <c r="BI599" s="74">
        <f t="shared" si="27"/>
        <v>7.1249999999999994E-2</v>
      </c>
    </row>
    <row r="600" spans="1:61" s="11" customFormat="1" x14ac:dyDescent="0.2">
      <c r="A600" s="61"/>
      <c r="O600" s="61"/>
      <c r="AU600" s="281">
        <v>61955</v>
      </c>
      <c r="AV600" s="75"/>
      <c r="AW600" s="75"/>
      <c r="AX600" s="75"/>
      <c r="AY600" s="75"/>
      <c r="AZ600" s="75"/>
      <c r="BA600" s="75"/>
      <c r="BB600" s="75"/>
      <c r="BC600" s="75"/>
      <c r="BD600" s="75"/>
      <c r="BE600" s="75"/>
      <c r="BF600" s="75">
        <v>7.1249999999999994E-2</v>
      </c>
      <c r="BG600" s="75"/>
      <c r="BH600" s="75"/>
      <c r="BI600" s="74">
        <f t="shared" si="27"/>
        <v>7.1249999999999994E-2</v>
      </c>
    </row>
    <row r="601" spans="1:61" s="11" customFormat="1" x14ac:dyDescent="0.2">
      <c r="A601" s="61"/>
      <c r="O601" s="61"/>
      <c r="AU601" s="281">
        <v>61986</v>
      </c>
      <c r="AV601" s="75"/>
      <c r="AW601" s="75"/>
      <c r="AX601" s="75"/>
      <c r="AY601" s="75"/>
      <c r="AZ601" s="75"/>
      <c r="BA601" s="75"/>
      <c r="BB601" s="75"/>
      <c r="BC601" s="75"/>
      <c r="BD601" s="75"/>
      <c r="BE601" s="75"/>
      <c r="BF601" s="75">
        <v>7.1249999999999994E-2</v>
      </c>
      <c r="BG601" s="75"/>
      <c r="BH601" s="75"/>
      <c r="BI601" s="74">
        <f t="shared" si="27"/>
        <v>7.1249999999999994E-2</v>
      </c>
    </row>
    <row r="602" spans="1:61" s="11" customFormat="1" x14ac:dyDescent="0.2">
      <c r="A602" s="61"/>
      <c r="O602" s="61"/>
      <c r="AU602" s="281">
        <v>62016</v>
      </c>
      <c r="AV602" s="75"/>
      <c r="AW602" s="75"/>
      <c r="AX602" s="75"/>
      <c r="AY602" s="75"/>
      <c r="AZ602" s="75"/>
      <c r="BA602" s="75"/>
      <c r="BB602" s="75"/>
      <c r="BC602" s="75"/>
      <c r="BD602" s="75"/>
      <c r="BE602" s="75"/>
      <c r="BF602" s="75">
        <v>7.1249999999999994E-2</v>
      </c>
      <c r="BG602" s="75"/>
      <c r="BH602" s="75"/>
      <c r="BI602" s="74">
        <f t="shared" si="27"/>
        <v>7.1249999999999994E-2</v>
      </c>
    </row>
    <row r="603" spans="1:61" s="11" customFormat="1" x14ac:dyDescent="0.2">
      <c r="A603" s="61"/>
      <c r="O603" s="61"/>
      <c r="AU603" s="281">
        <v>62047</v>
      </c>
      <c r="AV603" s="75"/>
      <c r="AW603" s="75"/>
      <c r="AX603" s="75"/>
      <c r="AY603" s="75"/>
      <c r="AZ603" s="75"/>
      <c r="BA603" s="75"/>
      <c r="BB603" s="75"/>
      <c r="BC603" s="75"/>
      <c r="BD603" s="75"/>
      <c r="BE603" s="75"/>
      <c r="BF603" s="75">
        <v>7.1249999999999994E-2</v>
      </c>
      <c r="BG603" s="75"/>
      <c r="BH603" s="75"/>
      <c r="BI603" s="74">
        <f t="shared" si="27"/>
        <v>7.1249999999999994E-2</v>
      </c>
    </row>
    <row r="604" spans="1:61" s="11" customFormat="1" x14ac:dyDescent="0.2">
      <c r="A604" s="61"/>
      <c r="O604" s="61"/>
      <c r="AU604" s="281">
        <v>62077</v>
      </c>
      <c r="AV604" s="75"/>
      <c r="AW604" s="75"/>
      <c r="AX604" s="75"/>
      <c r="AY604" s="75"/>
      <c r="AZ604" s="75"/>
      <c r="BA604" s="75"/>
      <c r="BB604" s="75"/>
      <c r="BC604" s="75"/>
      <c r="BD604" s="75"/>
      <c r="BE604" s="75"/>
      <c r="BF604" s="75">
        <v>7.1249999999999994E-2</v>
      </c>
      <c r="BG604" s="75"/>
      <c r="BH604" s="75"/>
      <c r="BI604" s="74">
        <f t="shared" si="27"/>
        <v>7.1249999999999994E-2</v>
      </c>
    </row>
    <row r="605" spans="1:61" s="11" customFormat="1" x14ac:dyDescent="0.2">
      <c r="A605" s="61"/>
      <c r="O605" s="61"/>
      <c r="AU605" s="281">
        <v>62108</v>
      </c>
      <c r="AV605" s="75"/>
      <c r="AW605" s="75"/>
      <c r="AX605" s="75"/>
      <c r="AY605" s="75"/>
      <c r="AZ605" s="75"/>
      <c r="BA605" s="75"/>
      <c r="BB605" s="75"/>
      <c r="BC605" s="75"/>
      <c r="BD605" s="75"/>
      <c r="BE605" s="75"/>
      <c r="BF605" s="75">
        <v>7.1249999999999994E-2</v>
      </c>
      <c r="BG605" s="75"/>
      <c r="BH605" s="75"/>
      <c r="BI605" s="74">
        <f t="shared" si="27"/>
        <v>7.1249999999999994E-2</v>
      </c>
    </row>
    <row r="606" spans="1:61" s="11" customFormat="1" x14ac:dyDescent="0.2">
      <c r="A606" s="61"/>
      <c r="O606" s="61"/>
      <c r="AU606" s="281">
        <v>62139</v>
      </c>
      <c r="AV606" s="75"/>
      <c r="AW606" s="75"/>
      <c r="AX606" s="75"/>
      <c r="AY606" s="75"/>
      <c r="AZ606" s="75"/>
      <c r="BA606" s="75"/>
      <c r="BB606" s="75"/>
      <c r="BC606" s="75"/>
      <c r="BD606" s="75"/>
      <c r="BE606" s="75"/>
      <c r="BF606" s="75">
        <v>7.1249999999999994E-2</v>
      </c>
      <c r="BG606" s="75"/>
      <c r="BH606" s="75"/>
      <c r="BI606" s="74">
        <f t="shared" si="27"/>
        <v>7.1249999999999994E-2</v>
      </c>
    </row>
    <row r="607" spans="1:61" s="11" customFormat="1" x14ac:dyDescent="0.2">
      <c r="A607" s="61"/>
      <c r="O607" s="61"/>
      <c r="AU607" s="281">
        <v>62167</v>
      </c>
      <c r="AV607" s="75"/>
      <c r="AW607" s="75"/>
      <c r="AX607" s="75"/>
      <c r="AY607" s="75"/>
      <c r="AZ607" s="75"/>
      <c r="BA607" s="75"/>
      <c r="BB607" s="75"/>
      <c r="BC607" s="75"/>
      <c r="BD607" s="75"/>
      <c r="BE607" s="75"/>
      <c r="BF607" s="75">
        <v>7.1249999999999994E-2</v>
      </c>
      <c r="BG607" s="75"/>
      <c r="BH607" s="75"/>
      <c r="BI607" s="74">
        <f t="shared" si="27"/>
        <v>7.1249999999999994E-2</v>
      </c>
    </row>
    <row r="608" spans="1:61" s="11" customFormat="1" x14ac:dyDescent="0.2">
      <c r="A608" s="61"/>
      <c r="O608" s="61"/>
      <c r="AU608" s="281">
        <v>62198</v>
      </c>
      <c r="AV608" s="75"/>
      <c r="AW608" s="75"/>
      <c r="AX608" s="75"/>
      <c r="AY608" s="75"/>
      <c r="AZ608" s="75"/>
      <c r="BA608" s="75"/>
      <c r="BB608" s="75"/>
      <c r="BC608" s="75"/>
      <c r="BD608" s="75"/>
      <c r="BE608" s="75"/>
      <c r="BF608" s="75">
        <v>7.1249999999999994E-2</v>
      </c>
      <c r="BG608" s="75"/>
      <c r="BH608" s="75"/>
      <c r="BI608" s="74">
        <f t="shared" si="27"/>
        <v>7.1249999999999994E-2</v>
      </c>
    </row>
    <row r="609" spans="1:61" s="11" customFormat="1" x14ac:dyDescent="0.2">
      <c r="A609" s="61"/>
      <c r="O609" s="61"/>
      <c r="AU609" s="281">
        <v>62228</v>
      </c>
      <c r="AV609" s="75"/>
      <c r="AW609" s="75"/>
      <c r="AX609" s="75"/>
      <c r="AY609" s="75"/>
      <c r="AZ609" s="75"/>
      <c r="BA609" s="75"/>
      <c r="BB609" s="75"/>
      <c r="BC609" s="75"/>
      <c r="BD609" s="75"/>
      <c r="BE609" s="75"/>
      <c r="BF609" s="75">
        <v>7.1249999999999994E-2</v>
      </c>
      <c r="BG609" s="75"/>
      <c r="BH609" s="75"/>
      <c r="BI609" s="74">
        <f t="shared" si="27"/>
        <v>7.1249999999999994E-2</v>
      </c>
    </row>
    <row r="610" spans="1:61" s="11" customFormat="1" x14ac:dyDescent="0.2">
      <c r="A610" s="61"/>
      <c r="O610" s="61"/>
      <c r="AU610" s="281">
        <v>62259</v>
      </c>
      <c r="AV610" s="75"/>
      <c r="AW610" s="75"/>
      <c r="AX610" s="75"/>
      <c r="AY610" s="75"/>
      <c r="AZ610" s="75"/>
      <c r="BA610" s="75"/>
      <c r="BB610" s="75"/>
      <c r="BC610" s="75"/>
      <c r="BD610" s="75"/>
      <c r="BE610" s="75"/>
      <c r="BF610" s="75">
        <v>7.1249999999999994E-2</v>
      </c>
      <c r="BG610" s="75"/>
      <c r="BH610" s="75"/>
      <c r="BI610" s="74">
        <f t="shared" si="27"/>
        <v>7.1249999999999994E-2</v>
      </c>
    </row>
    <row r="611" spans="1:61" s="11" customFormat="1" x14ac:dyDescent="0.2">
      <c r="A611" s="61"/>
      <c r="O611" s="61"/>
      <c r="AU611" s="281">
        <v>62289</v>
      </c>
      <c r="AV611" s="75"/>
      <c r="AW611" s="75"/>
      <c r="AX611" s="75"/>
      <c r="AY611" s="75"/>
      <c r="AZ611" s="75"/>
      <c r="BA611" s="75"/>
      <c r="BB611" s="75"/>
      <c r="BC611" s="75"/>
      <c r="BD611" s="75"/>
      <c r="BE611" s="75"/>
      <c r="BF611" s="75">
        <v>7.1249999999999994E-2</v>
      </c>
      <c r="BG611" s="75"/>
      <c r="BH611" s="75"/>
      <c r="BI611" s="74">
        <f t="shared" si="27"/>
        <v>7.1249999999999994E-2</v>
      </c>
    </row>
    <row r="612" spans="1:61" s="11" customFormat="1" x14ac:dyDescent="0.2">
      <c r="A612" s="61"/>
      <c r="O612" s="61"/>
      <c r="AU612" s="281">
        <v>62320</v>
      </c>
      <c r="AV612" s="75"/>
      <c r="AW612" s="75"/>
      <c r="AX612" s="75"/>
      <c r="AY612" s="75"/>
      <c r="AZ612" s="75"/>
      <c r="BA612" s="75"/>
      <c r="BB612" s="75"/>
      <c r="BC612" s="75"/>
      <c r="BD612" s="75"/>
      <c r="BE612" s="75"/>
      <c r="BF612" s="75">
        <v>7.1249999999999994E-2</v>
      </c>
      <c r="BG612" s="75"/>
      <c r="BH612" s="75"/>
      <c r="BI612" s="74">
        <f t="shared" si="27"/>
        <v>7.1249999999999994E-2</v>
      </c>
    </row>
    <row r="613" spans="1:61" s="11" customFormat="1" x14ac:dyDescent="0.2">
      <c r="A613" s="61"/>
      <c r="O613" s="61"/>
      <c r="AU613" s="281">
        <v>62351</v>
      </c>
      <c r="AV613" s="75"/>
      <c r="AW613" s="75"/>
      <c r="AX613" s="75"/>
      <c r="AY613" s="75"/>
      <c r="AZ613" s="75"/>
      <c r="BA613" s="75"/>
      <c r="BB613" s="75"/>
      <c r="BC613" s="75"/>
      <c r="BD613" s="75"/>
      <c r="BE613" s="75"/>
      <c r="BF613" s="75">
        <v>7.1249999999999994E-2</v>
      </c>
      <c r="BG613" s="75"/>
      <c r="BH613" s="75"/>
      <c r="BI613" s="74">
        <f t="shared" si="27"/>
        <v>7.1249999999999994E-2</v>
      </c>
    </row>
    <row r="614" spans="1:61" s="11" customFormat="1" x14ac:dyDescent="0.2">
      <c r="A614" s="61"/>
      <c r="O614" s="61"/>
      <c r="AU614" s="281">
        <v>62381</v>
      </c>
      <c r="AV614" s="75"/>
      <c r="AW614" s="75"/>
      <c r="AX614" s="75"/>
      <c r="AY614" s="75"/>
      <c r="AZ614" s="75"/>
      <c r="BA614" s="75"/>
      <c r="BB614" s="75"/>
      <c r="BC614" s="75"/>
      <c r="BD614" s="75"/>
      <c r="BE614" s="75"/>
      <c r="BF614" s="75">
        <v>7.1249999999999994E-2</v>
      </c>
      <c r="BG614" s="75"/>
      <c r="BH614" s="75"/>
      <c r="BI614" s="74">
        <f t="shared" si="27"/>
        <v>7.1249999999999994E-2</v>
      </c>
    </row>
    <row r="615" spans="1:61" s="11" customFormat="1" x14ac:dyDescent="0.2">
      <c r="A615" s="61"/>
      <c r="O615" s="61"/>
      <c r="AU615" s="281">
        <v>62412</v>
      </c>
      <c r="AV615" s="75"/>
      <c r="AW615" s="75"/>
      <c r="AX615" s="75"/>
      <c r="AY615" s="75"/>
      <c r="AZ615" s="75"/>
      <c r="BA615" s="75"/>
      <c r="BB615" s="75"/>
      <c r="BC615" s="75"/>
      <c r="BD615" s="75"/>
      <c r="BE615" s="75"/>
      <c r="BF615" s="75">
        <v>7.1249999999999994E-2</v>
      </c>
      <c r="BG615" s="75"/>
      <c r="BH615" s="75"/>
      <c r="BI615" s="74">
        <f t="shared" si="27"/>
        <v>7.1249999999999994E-2</v>
      </c>
    </row>
    <row r="616" spans="1:61" s="11" customFormat="1" x14ac:dyDescent="0.2">
      <c r="A616" s="61"/>
      <c r="O616" s="61"/>
      <c r="AU616" s="281">
        <v>62442</v>
      </c>
      <c r="AV616" s="75"/>
      <c r="AW616" s="75"/>
      <c r="AX616" s="75"/>
      <c r="AY616" s="75"/>
      <c r="AZ616" s="75"/>
      <c r="BA616" s="75"/>
      <c r="BB616" s="75"/>
      <c r="BC616" s="75"/>
      <c r="BD616" s="75"/>
      <c r="BE616" s="75"/>
      <c r="BF616" s="75">
        <v>7.1249999999999994E-2</v>
      </c>
      <c r="BG616" s="75"/>
      <c r="BH616" s="75"/>
      <c r="BI616" s="74">
        <f t="shared" si="27"/>
        <v>7.1249999999999994E-2</v>
      </c>
    </row>
    <row r="617" spans="1:61" s="11" customFormat="1" x14ac:dyDescent="0.2">
      <c r="A617" s="61"/>
      <c r="O617" s="61"/>
      <c r="AU617" s="281">
        <v>62473</v>
      </c>
      <c r="AV617" s="75"/>
      <c r="AW617" s="75"/>
      <c r="AX617" s="75"/>
      <c r="AY617" s="75"/>
      <c r="AZ617" s="75"/>
      <c r="BA617" s="75"/>
      <c r="BB617" s="75"/>
      <c r="BC617" s="75"/>
      <c r="BD617" s="75"/>
      <c r="BE617" s="75"/>
      <c r="BF617" s="75">
        <v>7.1249999999999994E-2</v>
      </c>
      <c r="BG617" s="75"/>
      <c r="BH617" s="75"/>
      <c r="BI617" s="74">
        <f t="shared" si="27"/>
        <v>7.1249999999999994E-2</v>
      </c>
    </row>
    <row r="618" spans="1:61" s="11" customFormat="1" x14ac:dyDescent="0.2">
      <c r="A618" s="61"/>
      <c r="O618" s="61"/>
      <c r="AU618" s="281">
        <v>62504</v>
      </c>
      <c r="AV618" s="75"/>
      <c r="AW618" s="75"/>
      <c r="AX618" s="75"/>
      <c r="AY618" s="75"/>
      <c r="AZ618" s="75"/>
      <c r="BA618" s="75"/>
      <c r="BB618" s="75"/>
      <c r="BC618" s="75"/>
      <c r="BD618" s="75"/>
      <c r="BE618" s="75"/>
      <c r="BF618" s="75">
        <v>7.1249999999999994E-2</v>
      </c>
      <c r="BG618" s="75"/>
      <c r="BH618" s="75"/>
      <c r="BI618" s="74">
        <f t="shared" si="27"/>
        <v>7.1249999999999994E-2</v>
      </c>
    </row>
    <row r="619" spans="1:61" s="11" customFormat="1" x14ac:dyDescent="0.2">
      <c r="A619" s="61"/>
      <c r="O619" s="61"/>
      <c r="AU619" s="281">
        <v>62532</v>
      </c>
      <c r="AV619" s="75"/>
      <c r="AW619" s="75"/>
      <c r="AX619" s="75"/>
      <c r="AY619" s="75"/>
      <c r="AZ619" s="75"/>
      <c r="BA619" s="75"/>
      <c r="BB619" s="75"/>
      <c r="BC619" s="75"/>
      <c r="BD619" s="75"/>
      <c r="BE619" s="75"/>
      <c r="BF619" s="75">
        <v>7.1249999999999994E-2</v>
      </c>
      <c r="BG619" s="75"/>
      <c r="BH619" s="75"/>
      <c r="BI619" s="74">
        <f t="shared" si="27"/>
        <v>7.1249999999999994E-2</v>
      </c>
    </row>
    <row r="620" spans="1:61" s="11" customFormat="1" x14ac:dyDescent="0.2">
      <c r="A620" s="61"/>
      <c r="O620" s="61"/>
      <c r="AU620" s="281">
        <v>62563</v>
      </c>
      <c r="AV620" s="75"/>
      <c r="AW620" s="75"/>
      <c r="AX620" s="75"/>
      <c r="AY620" s="75"/>
      <c r="AZ620" s="75"/>
      <c r="BA620" s="75"/>
      <c r="BB620" s="75"/>
      <c r="BC620" s="75"/>
      <c r="BD620" s="75"/>
      <c r="BE620" s="75"/>
      <c r="BF620" s="75">
        <v>7.1249999999999994E-2</v>
      </c>
      <c r="BG620" s="75"/>
      <c r="BH620" s="75"/>
      <c r="BI620" s="74">
        <f t="shared" si="27"/>
        <v>7.1249999999999994E-2</v>
      </c>
    </row>
    <row r="621" spans="1:61" s="11" customFormat="1" x14ac:dyDescent="0.2">
      <c r="A621" s="61"/>
      <c r="O621" s="61"/>
      <c r="AU621" s="281">
        <v>62593</v>
      </c>
      <c r="AV621" s="75"/>
      <c r="AW621" s="75"/>
      <c r="AX621" s="75"/>
      <c r="AY621" s="75"/>
      <c r="AZ621" s="75"/>
      <c r="BA621" s="75"/>
      <c r="BB621" s="75"/>
      <c r="BC621" s="75"/>
      <c r="BD621" s="75"/>
      <c r="BE621" s="75"/>
      <c r="BF621" s="75">
        <v>7.1249999999999994E-2</v>
      </c>
      <c r="BG621" s="75"/>
      <c r="BH621" s="75"/>
      <c r="BI621" s="74">
        <f t="shared" si="27"/>
        <v>7.1249999999999994E-2</v>
      </c>
    </row>
    <row r="622" spans="1:61" s="11" customFormat="1" x14ac:dyDescent="0.2">
      <c r="A622" s="61"/>
      <c r="O622" s="61"/>
      <c r="AU622" s="281">
        <v>62624</v>
      </c>
      <c r="AV622" s="75"/>
      <c r="AW622" s="75"/>
      <c r="AX622" s="75"/>
      <c r="AY622" s="75"/>
      <c r="AZ622" s="75"/>
      <c r="BA622" s="75"/>
      <c r="BB622" s="75"/>
      <c r="BC622" s="75"/>
      <c r="BD622" s="75"/>
      <c r="BE622" s="75"/>
      <c r="BF622" s="75">
        <v>7.1249999999999994E-2</v>
      </c>
      <c r="BG622" s="75"/>
      <c r="BH622" s="75"/>
      <c r="BI622" s="74">
        <f t="shared" si="27"/>
        <v>7.1249999999999994E-2</v>
      </c>
    </row>
    <row r="623" spans="1:61" s="11" customFormat="1" x14ac:dyDescent="0.2">
      <c r="A623" s="61"/>
      <c r="O623" s="61"/>
      <c r="AU623" s="281">
        <v>62654</v>
      </c>
      <c r="AV623" s="75"/>
      <c r="AW623" s="75"/>
      <c r="AX623" s="75"/>
      <c r="AY623" s="75"/>
      <c r="AZ623" s="75"/>
      <c r="BA623" s="75"/>
      <c r="BB623" s="75"/>
      <c r="BC623" s="75"/>
      <c r="BD623" s="75"/>
      <c r="BE623" s="75"/>
      <c r="BF623" s="75">
        <v>7.1249999999999994E-2</v>
      </c>
      <c r="BG623" s="75"/>
      <c r="BH623" s="75"/>
      <c r="BI623" s="74">
        <f t="shared" si="27"/>
        <v>7.1249999999999994E-2</v>
      </c>
    </row>
    <row r="624" spans="1:61" s="11" customFormat="1" x14ac:dyDescent="0.2">
      <c r="A624" s="61"/>
      <c r="O624" s="61"/>
      <c r="AU624" s="281">
        <v>62685</v>
      </c>
      <c r="AV624" s="75"/>
      <c r="AW624" s="75"/>
      <c r="AX624" s="75"/>
      <c r="AY624" s="75"/>
      <c r="AZ624" s="75"/>
      <c r="BA624" s="75"/>
      <c r="BB624" s="75"/>
      <c r="BC624" s="75"/>
      <c r="BD624" s="75"/>
      <c r="BE624" s="75"/>
      <c r="BF624" s="75">
        <v>7.1249999999999994E-2</v>
      </c>
      <c r="BG624" s="75"/>
      <c r="BH624" s="75"/>
      <c r="BI624" s="74">
        <f t="shared" si="27"/>
        <v>7.1249999999999994E-2</v>
      </c>
    </row>
    <row r="625" spans="1:61" s="11" customFormat="1" x14ac:dyDescent="0.2">
      <c r="A625" s="61"/>
      <c r="O625" s="61"/>
      <c r="AU625" s="281">
        <v>62716</v>
      </c>
      <c r="AV625" s="75"/>
      <c r="AW625" s="75"/>
      <c r="AX625" s="75"/>
      <c r="AY625" s="75"/>
      <c r="AZ625" s="75"/>
      <c r="BA625" s="75"/>
      <c r="BB625" s="75"/>
      <c r="BC625" s="75"/>
      <c r="BD625" s="75"/>
      <c r="BE625" s="75"/>
      <c r="BF625" s="75">
        <v>7.1249999999999994E-2</v>
      </c>
      <c r="BG625" s="75"/>
      <c r="BH625" s="75"/>
      <c r="BI625" s="74">
        <f t="shared" si="27"/>
        <v>7.1249999999999994E-2</v>
      </c>
    </row>
    <row r="626" spans="1:61" s="11" customFormat="1" x14ac:dyDescent="0.2">
      <c r="A626" s="61"/>
      <c r="O626" s="61"/>
      <c r="AU626" s="281">
        <v>62746</v>
      </c>
      <c r="AV626" s="75"/>
      <c r="AW626" s="75"/>
      <c r="AX626" s="75"/>
      <c r="AY626" s="75"/>
      <c r="AZ626" s="75"/>
      <c r="BA626" s="75"/>
      <c r="BB626" s="75"/>
      <c r="BC626" s="75"/>
      <c r="BD626" s="75"/>
      <c r="BE626" s="75"/>
      <c r="BF626" s="75">
        <v>7.1249999999999994E-2</v>
      </c>
      <c r="BG626" s="75"/>
      <c r="BH626" s="75"/>
      <c r="BI626" s="74">
        <f t="shared" si="27"/>
        <v>7.1249999999999994E-2</v>
      </c>
    </row>
    <row r="627" spans="1:61" s="11" customFormat="1" x14ac:dyDescent="0.2">
      <c r="A627" s="61"/>
      <c r="O627" s="61"/>
      <c r="AU627" s="281">
        <v>62777</v>
      </c>
      <c r="AV627" s="75"/>
      <c r="AW627" s="75"/>
      <c r="AX627" s="75"/>
      <c r="AY627" s="75"/>
      <c r="AZ627" s="75"/>
      <c r="BA627" s="75"/>
      <c r="BB627" s="75"/>
      <c r="BC627" s="75"/>
      <c r="BD627" s="75"/>
      <c r="BE627" s="75"/>
      <c r="BF627" s="75">
        <v>7.1249999999999994E-2</v>
      </c>
      <c r="BG627" s="75"/>
      <c r="BH627" s="75"/>
      <c r="BI627" s="74">
        <f t="shared" si="27"/>
        <v>7.1249999999999994E-2</v>
      </c>
    </row>
    <row r="628" spans="1:61" s="11" customFormat="1" x14ac:dyDescent="0.2">
      <c r="A628" s="61"/>
      <c r="O628" s="61"/>
      <c r="AU628" s="281">
        <v>62807</v>
      </c>
      <c r="AV628" s="75"/>
      <c r="AW628" s="75"/>
      <c r="AX628" s="75"/>
      <c r="AY628" s="75"/>
      <c r="AZ628" s="75"/>
      <c r="BA628" s="75"/>
      <c r="BB628" s="75"/>
      <c r="BC628" s="75"/>
      <c r="BD628" s="75"/>
      <c r="BE628" s="75"/>
      <c r="BF628" s="75">
        <v>7.1249999999999994E-2</v>
      </c>
      <c r="BG628" s="75"/>
      <c r="BH628" s="75"/>
      <c r="BI628" s="74">
        <f t="shared" si="27"/>
        <v>7.1249999999999994E-2</v>
      </c>
    </row>
    <row r="629" spans="1:61" s="11" customFormat="1" x14ac:dyDescent="0.2">
      <c r="A629" s="61"/>
      <c r="O629" s="61"/>
      <c r="AU629" s="281">
        <v>62838</v>
      </c>
      <c r="AV629" s="75"/>
      <c r="AW629" s="75"/>
      <c r="AX629" s="75"/>
      <c r="AY629" s="75"/>
      <c r="AZ629" s="75"/>
      <c r="BA629" s="75"/>
      <c r="BB629" s="75"/>
      <c r="BC629" s="75"/>
      <c r="BD629" s="75"/>
      <c r="BE629" s="75"/>
      <c r="BF629" s="75">
        <v>7.1249999999999994E-2</v>
      </c>
      <c r="BG629" s="75"/>
      <c r="BH629" s="75"/>
      <c r="BI629" s="74">
        <f t="shared" si="27"/>
        <v>7.1249999999999994E-2</v>
      </c>
    </row>
    <row r="630" spans="1:61" s="11" customFormat="1" x14ac:dyDescent="0.2">
      <c r="A630" s="61"/>
      <c r="O630" s="61"/>
      <c r="AU630" s="281">
        <v>62869</v>
      </c>
      <c r="AV630" s="75"/>
      <c r="AW630" s="75"/>
      <c r="AX630" s="75"/>
      <c r="AY630" s="75"/>
      <c r="AZ630" s="75"/>
      <c r="BA630" s="75"/>
      <c r="BB630" s="75"/>
      <c r="BC630" s="75"/>
      <c r="BD630" s="75"/>
      <c r="BE630" s="75"/>
      <c r="BF630" s="75">
        <v>7.1249999999999994E-2</v>
      </c>
      <c r="BG630" s="75"/>
      <c r="BH630" s="75"/>
      <c r="BI630" s="74">
        <f t="shared" si="27"/>
        <v>7.1249999999999994E-2</v>
      </c>
    </row>
    <row r="631" spans="1:61" s="11" customFormat="1" x14ac:dyDescent="0.2">
      <c r="A631" s="61"/>
      <c r="O631" s="61"/>
      <c r="AU631" s="281">
        <v>62898</v>
      </c>
      <c r="AV631" s="75"/>
      <c r="AW631" s="75"/>
      <c r="AX631" s="75"/>
      <c r="AY631" s="75"/>
      <c r="AZ631" s="75"/>
      <c r="BA631" s="75"/>
      <c r="BB631" s="75"/>
      <c r="BC631" s="75"/>
      <c r="BD631" s="75"/>
      <c r="BE631" s="75"/>
      <c r="BF631" s="75">
        <v>7.1249999999999994E-2</v>
      </c>
      <c r="BG631" s="75"/>
      <c r="BH631" s="75"/>
      <c r="BI631" s="74">
        <f t="shared" si="27"/>
        <v>7.1249999999999994E-2</v>
      </c>
    </row>
    <row r="632" spans="1:61" s="11" customFormat="1" x14ac:dyDescent="0.2">
      <c r="A632" s="61"/>
      <c r="O632" s="61"/>
      <c r="AU632" s="281">
        <v>62929</v>
      </c>
      <c r="AV632" s="75"/>
      <c r="AW632" s="75"/>
      <c r="AX632" s="75"/>
      <c r="AY632" s="75"/>
      <c r="AZ632" s="75"/>
      <c r="BA632" s="75"/>
      <c r="BB632" s="75"/>
      <c r="BC632" s="75"/>
      <c r="BD632" s="75"/>
      <c r="BE632" s="75"/>
      <c r="BF632" s="75">
        <v>7.1249999999999994E-2</v>
      </c>
      <c r="BG632" s="75"/>
      <c r="BH632" s="75"/>
      <c r="BI632" s="74">
        <f t="shared" si="27"/>
        <v>7.1249999999999994E-2</v>
      </c>
    </row>
    <row r="633" spans="1:61" s="11" customFormat="1" x14ac:dyDescent="0.2">
      <c r="A633" s="61"/>
      <c r="O633" s="61"/>
      <c r="AU633" s="281">
        <v>62959</v>
      </c>
      <c r="AV633" s="75"/>
      <c r="AW633" s="75"/>
      <c r="AX633" s="75"/>
      <c r="AY633" s="75"/>
      <c r="AZ633" s="75"/>
      <c r="BA633" s="75"/>
      <c r="BB633" s="75"/>
      <c r="BC633" s="75"/>
      <c r="BD633" s="75"/>
      <c r="BE633" s="75"/>
      <c r="BF633" s="75">
        <v>7.1249999999999994E-2</v>
      </c>
      <c r="BG633" s="75"/>
      <c r="BH633" s="75"/>
      <c r="BI633" s="74">
        <f t="shared" si="27"/>
        <v>7.1249999999999994E-2</v>
      </c>
    </row>
    <row r="634" spans="1:61" s="11" customFormat="1" x14ac:dyDescent="0.2">
      <c r="A634" s="61"/>
      <c r="O634" s="61"/>
      <c r="AU634" s="281">
        <v>62990</v>
      </c>
      <c r="AV634" s="75"/>
      <c r="AW634" s="75"/>
      <c r="AX634" s="75"/>
      <c r="AY634" s="75"/>
      <c r="AZ634" s="75"/>
      <c r="BA634" s="75"/>
      <c r="BB634" s="75"/>
      <c r="BC634" s="75"/>
      <c r="BD634" s="75"/>
      <c r="BE634" s="75"/>
      <c r="BF634" s="75">
        <v>7.1249999999999994E-2</v>
      </c>
      <c r="BG634" s="75"/>
      <c r="BH634" s="75"/>
      <c r="BI634" s="74">
        <f t="shared" si="27"/>
        <v>7.1249999999999994E-2</v>
      </c>
    </row>
    <row r="635" spans="1:61" s="11" customFormat="1" x14ac:dyDescent="0.2">
      <c r="A635" s="61"/>
      <c r="O635" s="61"/>
      <c r="AU635" s="281">
        <v>63020</v>
      </c>
      <c r="AV635" s="75"/>
      <c r="AW635" s="75"/>
      <c r="AX635" s="75"/>
      <c r="AY635" s="75"/>
      <c r="AZ635" s="75"/>
      <c r="BA635" s="75"/>
      <c r="BB635" s="75"/>
      <c r="BC635" s="75"/>
      <c r="BD635" s="75"/>
      <c r="BE635" s="75"/>
      <c r="BF635" s="75">
        <v>7.1249999999999994E-2</v>
      </c>
      <c r="BG635" s="75"/>
      <c r="BH635" s="75"/>
      <c r="BI635" s="74">
        <f t="shared" si="27"/>
        <v>7.1249999999999994E-2</v>
      </c>
    </row>
    <row r="636" spans="1:61" s="11" customFormat="1" x14ac:dyDescent="0.2">
      <c r="A636" s="61"/>
      <c r="O636" s="61"/>
      <c r="AU636" s="281">
        <v>63051</v>
      </c>
      <c r="AV636" s="75"/>
      <c r="AW636" s="75"/>
      <c r="AX636" s="75"/>
      <c r="AY636" s="75"/>
      <c r="AZ636" s="75"/>
      <c r="BA636" s="75"/>
      <c r="BB636" s="75"/>
      <c r="BC636" s="75"/>
      <c r="BD636" s="75"/>
      <c r="BE636" s="75"/>
      <c r="BF636" s="75">
        <v>7.1249999999999994E-2</v>
      </c>
      <c r="BG636" s="75"/>
      <c r="BH636" s="75"/>
      <c r="BI636" s="74">
        <f t="shared" si="27"/>
        <v>7.1249999999999994E-2</v>
      </c>
    </row>
    <row r="637" spans="1:61" s="11" customFormat="1" x14ac:dyDescent="0.2">
      <c r="A637" s="61"/>
      <c r="O637" s="61"/>
      <c r="AU637" s="281">
        <v>63082</v>
      </c>
      <c r="AV637" s="75"/>
      <c r="AW637" s="75"/>
      <c r="AX637" s="75"/>
      <c r="AY637" s="75"/>
      <c r="AZ637" s="75"/>
      <c r="BA637" s="75"/>
      <c r="BB637" s="75"/>
      <c r="BC637" s="75"/>
      <c r="BD637" s="75"/>
      <c r="BE637" s="75"/>
      <c r="BF637" s="75">
        <v>7.1249999999999994E-2</v>
      </c>
      <c r="BG637" s="75"/>
      <c r="BH637" s="75"/>
      <c r="BI637" s="74">
        <f t="shared" si="27"/>
        <v>7.1249999999999994E-2</v>
      </c>
    </row>
    <row r="638" spans="1:61" s="11" customFormat="1" x14ac:dyDescent="0.2">
      <c r="A638" s="61"/>
      <c r="O638" s="61"/>
      <c r="AU638" s="281">
        <v>63112</v>
      </c>
      <c r="AV638" s="75"/>
      <c r="AW638" s="75"/>
      <c r="AX638" s="75"/>
      <c r="AY638" s="75"/>
      <c r="AZ638" s="75"/>
      <c r="BA638" s="75"/>
      <c r="BB638" s="75"/>
      <c r="BC638" s="75"/>
      <c r="BD638" s="75"/>
      <c r="BE638" s="75"/>
      <c r="BF638" s="75">
        <v>7.1249999999999994E-2</v>
      </c>
      <c r="BG638" s="75"/>
      <c r="BH638" s="75"/>
      <c r="BI638" s="74">
        <f t="shared" si="27"/>
        <v>7.1249999999999994E-2</v>
      </c>
    </row>
    <row r="639" spans="1:61" s="11" customFormat="1" x14ac:dyDescent="0.2">
      <c r="A639" s="61"/>
      <c r="O639" s="61"/>
      <c r="AU639" s="281">
        <v>63143</v>
      </c>
      <c r="AV639" s="75"/>
      <c r="AW639" s="75"/>
      <c r="AX639" s="75"/>
      <c r="AY639" s="75"/>
      <c r="AZ639" s="75"/>
      <c r="BA639" s="75"/>
      <c r="BB639" s="75"/>
      <c r="BC639" s="75"/>
      <c r="BD639" s="75"/>
      <c r="BE639" s="75"/>
      <c r="BF639" s="75">
        <v>7.1249999999999994E-2</v>
      </c>
      <c r="BG639" s="75"/>
      <c r="BH639" s="75"/>
      <c r="BI639" s="74">
        <f t="shared" si="27"/>
        <v>7.1249999999999994E-2</v>
      </c>
    </row>
    <row r="640" spans="1:61" s="11" customFormat="1" x14ac:dyDescent="0.2">
      <c r="A640" s="61"/>
      <c r="O640" s="61"/>
      <c r="AU640" s="281">
        <v>63173</v>
      </c>
      <c r="AV640" s="75"/>
      <c r="AW640" s="75"/>
      <c r="AX640" s="75"/>
      <c r="AY640" s="75"/>
      <c r="AZ640" s="75"/>
      <c r="BA640" s="75"/>
      <c r="BB640" s="75"/>
      <c r="BC640" s="75"/>
      <c r="BD640" s="75"/>
      <c r="BE640" s="75"/>
      <c r="BF640" s="75">
        <v>7.1249999999999994E-2</v>
      </c>
      <c r="BG640" s="75"/>
      <c r="BH640" s="75"/>
      <c r="BI640" s="74">
        <f t="shared" si="27"/>
        <v>7.1249999999999994E-2</v>
      </c>
    </row>
    <row r="641" spans="1:61" s="11" customFormat="1" x14ac:dyDescent="0.2">
      <c r="A641" s="61"/>
      <c r="O641" s="61"/>
      <c r="AU641" s="281">
        <v>63204</v>
      </c>
      <c r="AV641" s="75"/>
      <c r="AW641" s="75"/>
      <c r="AX641" s="75"/>
      <c r="AY641" s="75"/>
      <c r="AZ641" s="75"/>
      <c r="BA641" s="75"/>
      <c r="BB641" s="75"/>
      <c r="BC641" s="75"/>
      <c r="BD641" s="75"/>
      <c r="BE641" s="75"/>
      <c r="BF641" s="75">
        <v>7.1249999999999994E-2</v>
      </c>
      <c r="BG641" s="75"/>
      <c r="BH641" s="75"/>
      <c r="BI641" s="74">
        <f t="shared" si="27"/>
        <v>7.1249999999999994E-2</v>
      </c>
    </row>
    <row r="642" spans="1:61" s="11" customFormat="1" x14ac:dyDescent="0.2">
      <c r="A642" s="61"/>
      <c r="O642" s="61"/>
      <c r="AU642" s="281">
        <v>63235</v>
      </c>
      <c r="AV642" s="75"/>
      <c r="AW642" s="75"/>
      <c r="AX642" s="75"/>
      <c r="AY642" s="75"/>
      <c r="AZ642" s="75"/>
      <c r="BA642" s="75"/>
      <c r="BB642" s="75"/>
      <c r="BC642" s="75"/>
      <c r="BD642" s="75"/>
      <c r="BE642" s="75"/>
      <c r="BF642" s="75">
        <v>7.1249999999999994E-2</v>
      </c>
      <c r="BG642" s="75"/>
      <c r="BH642" s="75"/>
      <c r="BI642" s="74">
        <f t="shared" si="27"/>
        <v>7.1249999999999994E-2</v>
      </c>
    </row>
    <row r="643" spans="1:61" s="11" customFormat="1" x14ac:dyDescent="0.2">
      <c r="A643" s="61"/>
      <c r="O643" s="61"/>
      <c r="AU643" s="281">
        <v>63263</v>
      </c>
      <c r="AV643" s="75"/>
      <c r="AW643" s="75"/>
      <c r="AX643" s="75"/>
      <c r="AY643" s="75"/>
      <c r="AZ643" s="75"/>
      <c r="BA643" s="75"/>
      <c r="BB643" s="75"/>
      <c r="BC643" s="75"/>
      <c r="BD643" s="75"/>
      <c r="BE643" s="75"/>
      <c r="BF643" s="75">
        <v>7.1249999999999994E-2</v>
      </c>
      <c r="BG643" s="75"/>
      <c r="BH643" s="75"/>
      <c r="BI643" s="74">
        <f t="shared" si="27"/>
        <v>7.1249999999999994E-2</v>
      </c>
    </row>
    <row r="644" spans="1:61" s="11" customFormat="1" x14ac:dyDescent="0.2">
      <c r="A644" s="61"/>
      <c r="O644" s="61"/>
      <c r="AU644" s="281">
        <v>63294</v>
      </c>
      <c r="AV644" s="75"/>
      <c r="AW644" s="75"/>
      <c r="AX644" s="75"/>
      <c r="AY644" s="75"/>
      <c r="AZ644" s="75"/>
      <c r="BA644" s="75"/>
      <c r="BB644" s="75"/>
      <c r="BC644" s="75"/>
      <c r="BD644" s="75"/>
      <c r="BE644" s="75"/>
      <c r="BF644" s="75">
        <v>7.1249999999999994E-2</v>
      </c>
      <c r="BG644" s="75"/>
      <c r="BH644" s="75"/>
      <c r="BI644" s="74">
        <f t="shared" si="27"/>
        <v>7.1249999999999994E-2</v>
      </c>
    </row>
    <row r="645" spans="1:61" s="11" customFormat="1" x14ac:dyDescent="0.2">
      <c r="A645" s="61"/>
      <c r="O645" s="61"/>
      <c r="AU645" s="281">
        <v>63324</v>
      </c>
      <c r="AV645" s="75"/>
      <c r="AW645" s="75"/>
      <c r="AX645" s="75"/>
      <c r="AY645" s="75"/>
      <c r="AZ645" s="75"/>
      <c r="BA645" s="75"/>
      <c r="BB645" s="75"/>
      <c r="BC645" s="75"/>
      <c r="BD645" s="75"/>
      <c r="BE645" s="75"/>
      <c r="BF645" s="75">
        <v>7.1249999999999994E-2</v>
      </c>
      <c r="BG645" s="75"/>
      <c r="BH645" s="75"/>
      <c r="BI645" s="74">
        <f t="shared" si="27"/>
        <v>7.1249999999999994E-2</v>
      </c>
    </row>
    <row r="646" spans="1:61" s="11" customFormat="1" x14ac:dyDescent="0.2">
      <c r="A646" s="61"/>
      <c r="O646" s="61"/>
      <c r="AU646" s="281">
        <v>63355</v>
      </c>
      <c r="AV646" s="75"/>
      <c r="AW646" s="75"/>
      <c r="AX646" s="75"/>
      <c r="AY646" s="75"/>
      <c r="AZ646" s="75"/>
      <c r="BA646" s="75"/>
      <c r="BB646" s="75"/>
      <c r="BC646" s="75"/>
      <c r="BD646" s="75"/>
      <c r="BE646" s="75"/>
      <c r="BF646" s="75">
        <v>7.1249999999999994E-2</v>
      </c>
      <c r="BG646" s="75"/>
      <c r="BH646" s="75"/>
      <c r="BI646" s="74">
        <f t="shared" si="27"/>
        <v>7.1249999999999994E-2</v>
      </c>
    </row>
    <row r="647" spans="1:61" s="11" customFormat="1" x14ac:dyDescent="0.2">
      <c r="A647" s="61"/>
      <c r="O647" s="61"/>
      <c r="AU647" s="281">
        <v>63385</v>
      </c>
      <c r="AV647" s="75"/>
      <c r="AW647" s="75"/>
      <c r="AX647" s="75"/>
      <c r="AY647" s="75"/>
      <c r="AZ647" s="75"/>
      <c r="BA647" s="75"/>
      <c r="BB647" s="75"/>
      <c r="BC647" s="75"/>
      <c r="BD647" s="75"/>
      <c r="BE647" s="75"/>
      <c r="BF647" s="75">
        <v>7.1249999999999994E-2</v>
      </c>
      <c r="BG647" s="75"/>
      <c r="BH647" s="75"/>
      <c r="BI647" s="74">
        <f t="shared" si="27"/>
        <v>7.1249999999999994E-2</v>
      </c>
    </row>
    <row r="648" spans="1:61" s="11" customFormat="1" x14ac:dyDescent="0.2">
      <c r="A648" s="61"/>
      <c r="O648" s="61"/>
      <c r="AU648" s="281">
        <v>63416</v>
      </c>
      <c r="AV648" s="75"/>
      <c r="AW648" s="75"/>
      <c r="AX648" s="75"/>
      <c r="AY648" s="75"/>
      <c r="AZ648" s="75"/>
      <c r="BA648" s="75"/>
      <c r="BB648" s="75"/>
      <c r="BC648" s="75"/>
      <c r="BD648" s="75"/>
      <c r="BE648" s="75"/>
      <c r="BF648" s="75">
        <v>7.1249999999999994E-2</v>
      </c>
      <c r="BG648" s="75"/>
      <c r="BH648" s="75"/>
      <c r="BI648" s="74">
        <f t="shared" si="27"/>
        <v>7.1249999999999994E-2</v>
      </c>
    </row>
    <row r="649" spans="1:61" s="11" customFormat="1" x14ac:dyDescent="0.2">
      <c r="A649" s="61"/>
      <c r="O649" s="61"/>
      <c r="AU649" s="281">
        <v>63447</v>
      </c>
      <c r="AV649" s="75"/>
      <c r="AW649" s="75"/>
      <c r="AX649" s="75"/>
      <c r="AY649" s="75"/>
      <c r="AZ649" s="75"/>
      <c r="BA649" s="75"/>
      <c r="BB649" s="75"/>
      <c r="BC649" s="75"/>
      <c r="BD649" s="75"/>
      <c r="BE649" s="75"/>
      <c r="BF649" s="75">
        <v>7.1249999999999994E-2</v>
      </c>
      <c r="BG649" s="75"/>
      <c r="BH649" s="75"/>
      <c r="BI649" s="74">
        <f t="shared" ref="BI649:BI712" si="28">+AVERAGE(AV649:BH649)</f>
        <v>7.1249999999999994E-2</v>
      </c>
    </row>
    <row r="650" spans="1:61" s="11" customFormat="1" x14ac:dyDescent="0.2">
      <c r="A650" s="61"/>
      <c r="O650" s="61"/>
      <c r="AU650" s="281">
        <v>63477</v>
      </c>
      <c r="AV650" s="75"/>
      <c r="AW650" s="75"/>
      <c r="AX650" s="75"/>
      <c r="AY650" s="75"/>
      <c r="AZ650" s="75"/>
      <c r="BA650" s="75"/>
      <c r="BB650" s="75"/>
      <c r="BC650" s="75"/>
      <c r="BD650" s="75"/>
      <c r="BE650" s="75"/>
      <c r="BF650" s="75">
        <v>7.1249999999999994E-2</v>
      </c>
      <c r="BG650" s="75"/>
      <c r="BH650" s="75"/>
      <c r="BI650" s="74">
        <f t="shared" si="28"/>
        <v>7.1249999999999994E-2</v>
      </c>
    </row>
    <row r="651" spans="1:61" s="11" customFormat="1" x14ac:dyDescent="0.2">
      <c r="A651" s="61"/>
      <c r="O651" s="61"/>
      <c r="AU651" s="281">
        <v>63508</v>
      </c>
      <c r="AV651" s="75"/>
      <c r="AW651" s="75"/>
      <c r="AX651" s="75"/>
      <c r="AY651" s="75"/>
      <c r="AZ651" s="75"/>
      <c r="BA651" s="75"/>
      <c r="BB651" s="75"/>
      <c r="BC651" s="75"/>
      <c r="BD651" s="75"/>
      <c r="BE651" s="75"/>
      <c r="BF651" s="75">
        <v>7.1249999999999994E-2</v>
      </c>
      <c r="BG651" s="75"/>
      <c r="BH651" s="75"/>
      <c r="BI651" s="74">
        <f t="shared" si="28"/>
        <v>7.1249999999999994E-2</v>
      </c>
    </row>
    <row r="652" spans="1:61" s="11" customFormat="1" x14ac:dyDescent="0.2">
      <c r="A652" s="61"/>
      <c r="O652" s="61"/>
      <c r="AU652" s="281">
        <v>63538</v>
      </c>
      <c r="AV652" s="75"/>
      <c r="AW652" s="75"/>
      <c r="AX652" s="75"/>
      <c r="AY652" s="75"/>
      <c r="AZ652" s="75"/>
      <c r="BA652" s="75"/>
      <c r="BB652" s="75"/>
      <c r="BC652" s="75"/>
      <c r="BD652" s="75"/>
      <c r="BE652" s="75"/>
      <c r="BF652" s="75">
        <v>7.1249999999999994E-2</v>
      </c>
      <c r="BG652" s="75"/>
      <c r="BH652" s="75"/>
      <c r="BI652" s="74">
        <f t="shared" si="28"/>
        <v>7.1249999999999994E-2</v>
      </c>
    </row>
    <row r="653" spans="1:61" s="11" customFormat="1" x14ac:dyDescent="0.2">
      <c r="A653" s="61"/>
      <c r="O653" s="61"/>
      <c r="AU653" s="281">
        <v>63569</v>
      </c>
      <c r="AV653" s="75"/>
      <c r="AW653" s="75"/>
      <c r="AX653" s="75"/>
      <c r="AY653" s="75"/>
      <c r="AZ653" s="75"/>
      <c r="BA653" s="75"/>
      <c r="BB653" s="75"/>
      <c r="BC653" s="75"/>
      <c r="BD653" s="75"/>
      <c r="BE653" s="75"/>
      <c r="BF653" s="75">
        <v>7.1249999999999994E-2</v>
      </c>
      <c r="BG653" s="75"/>
      <c r="BH653" s="75"/>
      <c r="BI653" s="74">
        <f t="shared" si="28"/>
        <v>7.1249999999999994E-2</v>
      </c>
    </row>
    <row r="654" spans="1:61" s="11" customFormat="1" x14ac:dyDescent="0.2">
      <c r="A654" s="61"/>
      <c r="O654" s="61"/>
      <c r="AU654" s="281">
        <v>63600</v>
      </c>
      <c r="AV654" s="75"/>
      <c r="AW654" s="75"/>
      <c r="AX654" s="75"/>
      <c r="AY654" s="75"/>
      <c r="AZ654" s="75"/>
      <c r="BA654" s="75"/>
      <c r="BB654" s="75"/>
      <c r="BC654" s="75"/>
      <c r="BD654" s="75"/>
      <c r="BE654" s="75"/>
      <c r="BF654" s="75">
        <v>7.1249999999999994E-2</v>
      </c>
      <c r="BG654" s="75"/>
      <c r="BH654" s="75"/>
      <c r="BI654" s="74">
        <f t="shared" si="28"/>
        <v>7.1249999999999994E-2</v>
      </c>
    </row>
    <row r="655" spans="1:61" s="11" customFormat="1" x14ac:dyDescent="0.2">
      <c r="A655" s="61"/>
      <c r="O655" s="61"/>
      <c r="AU655" s="281">
        <v>63628</v>
      </c>
      <c r="AV655" s="75"/>
      <c r="AW655" s="75"/>
      <c r="AX655" s="75"/>
      <c r="AY655" s="75"/>
      <c r="AZ655" s="75"/>
      <c r="BA655" s="75"/>
      <c r="BB655" s="75"/>
      <c r="BC655" s="75"/>
      <c r="BD655" s="75"/>
      <c r="BE655" s="75"/>
      <c r="BF655" s="75">
        <v>7.1249999999999994E-2</v>
      </c>
      <c r="BG655" s="75"/>
      <c r="BH655" s="75"/>
      <c r="BI655" s="74">
        <f t="shared" si="28"/>
        <v>7.1249999999999994E-2</v>
      </c>
    </row>
    <row r="656" spans="1:61" s="11" customFormat="1" x14ac:dyDescent="0.2">
      <c r="A656" s="61"/>
      <c r="O656" s="61"/>
      <c r="AU656" s="281">
        <v>63659</v>
      </c>
      <c r="AV656" s="75"/>
      <c r="AW656" s="75"/>
      <c r="AX656" s="75"/>
      <c r="AY656" s="75"/>
      <c r="AZ656" s="75"/>
      <c r="BA656" s="75"/>
      <c r="BB656" s="75"/>
      <c r="BC656" s="75"/>
      <c r="BD656" s="75"/>
      <c r="BE656" s="75"/>
      <c r="BF656" s="75">
        <v>7.1249999999999994E-2</v>
      </c>
      <c r="BG656" s="75"/>
      <c r="BH656" s="75"/>
      <c r="BI656" s="74">
        <f t="shared" si="28"/>
        <v>7.1249999999999994E-2</v>
      </c>
    </row>
    <row r="657" spans="1:61" s="11" customFormat="1" x14ac:dyDescent="0.2">
      <c r="A657" s="61"/>
      <c r="O657" s="61"/>
      <c r="AU657" s="281">
        <v>63689</v>
      </c>
      <c r="AV657" s="75"/>
      <c r="AW657" s="75"/>
      <c r="AX657" s="75"/>
      <c r="AY657" s="75"/>
      <c r="AZ657" s="75"/>
      <c r="BA657" s="75"/>
      <c r="BB657" s="75"/>
      <c r="BC657" s="75"/>
      <c r="BD657" s="75"/>
      <c r="BE657" s="75"/>
      <c r="BF657" s="75">
        <v>7.1249999999999994E-2</v>
      </c>
      <c r="BG657" s="75"/>
      <c r="BH657" s="75"/>
      <c r="BI657" s="74">
        <f t="shared" si="28"/>
        <v>7.1249999999999994E-2</v>
      </c>
    </row>
    <row r="658" spans="1:61" s="11" customFormat="1" x14ac:dyDescent="0.2">
      <c r="A658" s="61"/>
      <c r="O658" s="61"/>
      <c r="AU658" s="281">
        <v>63720</v>
      </c>
      <c r="AV658" s="75"/>
      <c r="AW658" s="75"/>
      <c r="AX658" s="75"/>
      <c r="AY658" s="75"/>
      <c r="AZ658" s="75"/>
      <c r="BA658" s="75"/>
      <c r="BB658" s="75"/>
      <c r="BC658" s="75"/>
      <c r="BD658" s="75"/>
      <c r="BE658" s="75"/>
      <c r="BF658" s="75">
        <v>7.1249999999999994E-2</v>
      </c>
      <c r="BG658" s="75"/>
      <c r="BH658" s="75"/>
      <c r="BI658" s="74">
        <f t="shared" si="28"/>
        <v>7.1249999999999994E-2</v>
      </c>
    </row>
    <row r="659" spans="1:61" s="11" customFormat="1" x14ac:dyDescent="0.2">
      <c r="A659" s="61"/>
      <c r="O659" s="61"/>
      <c r="AU659" s="281">
        <v>63750</v>
      </c>
      <c r="AV659" s="75"/>
      <c r="AW659" s="75"/>
      <c r="AX659" s="75"/>
      <c r="AY659" s="75"/>
      <c r="AZ659" s="75"/>
      <c r="BA659" s="75"/>
      <c r="BB659" s="75"/>
      <c r="BC659" s="75"/>
      <c r="BD659" s="75"/>
      <c r="BE659" s="75"/>
      <c r="BF659" s="75">
        <v>7.1249999999999994E-2</v>
      </c>
      <c r="BG659" s="75"/>
      <c r="BH659" s="75"/>
      <c r="BI659" s="74">
        <f t="shared" si="28"/>
        <v>7.1249999999999994E-2</v>
      </c>
    </row>
    <row r="660" spans="1:61" s="11" customFormat="1" x14ac:dyDescent="0.2">
      <c r="A660" s="61"/>
      <c r="O660" s="61"/>
      <c r="AU660" s="281">
        <v>63781</v>
      </c>
      <c r="AV660" s="75"/>
      <c r="AW660" s="75"/>
      <c r="AX660" s="75"/>
      <c r="AY660" s="75"/>
      <c r="AZ660" s="75"/>
      <c r="BA660" s="75"/>
      <c r="BB660" s="75"/>
      <c r="BC660" s="75"/>
      <c r="BD660" s="75"/>
      <c r="BE660" s="75"/>
      <c r="BF660" s="75">
        <v>7.1249999999999994E-2</v>
      </c>
      <c r="BG660" s="75"/>
      <c r="BH660" s="75"/>
      <c r="BI660" s="74">
        <f t="shared" si="28"/>
        <v>7.1249999999999994E-2</v>
      </c>
    </row>
    <row r="661" spans="1:61" s="11" customFormat="1" x14ac:dyDescent="0.2">
      <c r="A661" s="61"/>
      <c r="O661" s="61"/>
      <c r="AU661" s="281">
        <v>63812</v>
      </c>
      <c r="AV661" s="75"/>
      <c r="AW661" s="75"/>
      <c r="AX661" s="75"/>
      <c r="AY661" s="75"/>
      <c r="AZ661" s="75"/>
      <c r="BA661" s="75"/>
      <c r="BB661" s="75"/>
      <c r="BC661" s="75"/>
      <c r="BD661" s="75"/>
      <c r="BE661" s="75"/>
      <c r="BF661" s="75">
        <v>7.1249999999999994E-2</v>
      </c>
      <c r="BG661" s="75"/>
      <c r="BH661" s="75"/>
      <c r="BI661" s="74">
        <f t="shared" si="28"/>
        <v>7.1249999999999994E-2</v>
      </c>
    </row>
    <row r="662" spans="1:61" s="11" customFormat="1" x14ac:dyDescent="0.2">
      <c r="A662" s="61"/>
      <c r="O662" s="61"/>
      <c r="AU662" s="281">
        <v>63842</v>
      </c>
      <c r="AV662" s="75"/>
      <c r="AW662" s="75"/>
      <c r="AX662" s="75"/>
      <c r="AY662" s="75"/>
      <c r="AZ662" s="75"/>
      <c r="BA662" s="75"/>
      <c r="BB662" s="75"/>
      <c r="BC662" s="75"/>
      <c r="BD662" s="75"/>
      <c r="BE662" s="75"/>
      <c r="BF662" s="75">
        <v>7.1249999999999994E-2</v>
      </c>
      <c r="BG662" s="75"/>
      <c r="BH662" s="75"/>
      <c r="BI662" s="74">
        <f t="shared" si="28"/>
        <v>7.1249999999999994E-2</v>
      </c>
    </row>
    <row r="663" spans="1:61" s="11" customFormat="1" x14ac:dyDescent="0.2">
      <c r="A663" s="61"/>
      <c r="O663" s="61"/>
      <c r="AU663" s="281">
        <v>63873</v>
      </c>
      <c r="AV663" s="75"/>
      <c r="AW663" s="75"/>
      <c r="AX663" s="75"/>
      <c r="AY663" s="75"/>
      <c r="AZ663" s="75"/>
      <c r="BA663" s="75"/>
      <c r="BB663" s="75"/>
      <c r="BC663" s="75"/>
      <c r="BD663" s="75"/>
      <c r="BE663" s="75"/>
      <c r="BF663" s="75">
        <v>7.1249999999999994E-2</v>
      </c>
      <c r="BG663" s="75"/>
      <c r="BH663" s="75"/>
      <c r="BI663" s="74">
        <f t="shared" si="28"/>
        <v>7.1249999999999994E-2</v>
      </c>
    </row>
    <row r="664" spans="1:61" s="11" customFormat="1" x14ac:dyDescent="0.2">
      <c r="A664" s="61"/>
      <c r="O664" s="61"/>
      <c r="AU664" s="281">
        <v>63903</v>
      </c>
      <c r="AV664" s="75"/>
      <c r="AW664" s="75"/>
      <c r="AX664" s="75"/>
      <c r="AY664" s="75"/>
      <c r="AZ664" s="75"/>
      <c r="BA664" s="75"/>
      <c r="BB664" s="75"/>
      <c r="BC664" s="75"/>
      <c r="BD664" s="75"/>
      <c r="BE664" s="75"/>
      <c r="BF664" s="75">
        <v>7.1249999999999994E-2</v>
      </c>
      <c r="BG664" s="75"/>
      <c r="BH664" s="75"/>
      <c r="BI664" s="74">
        <f t="shared" si="28"/>
        <v>7.1249999999999994E-2</v>
      </c>
    </row>
    <row r="665" spans="1:61" s="11" customFormat="1" x14ac:dyDescent="0.2">
      <c r="A665" s="61"/>
      <c r="O665" s="61"/>
      <c r="AU665" s="281">
        <v>63934</v>
      </c>
      <c r="AV665" s="75"/>
      <c r="AW665" s="75"/>
      <c r="AX665" s="75"/>
      <c r="AY665" s="75"/>
      <c r="AZ665" s="75"/>
      <c r="BA665" s="75"/>
      <c r="BB665" s="75"/>
      <c r="BC665" s="75"/>
      <c r="BD665" s="75"/>
      <c r="BE665" s="75"/>
      <c r="BF665" s="75">
        <v>7.1249999999999994E-2</v>
      </c>
      <c r="BG665" s="75"/>
      <c r="BH665" s="75"/>
      <c r="BI665" s="74">
        <f t="shared" si="28"/>
        <v>7.1249999999999994E-2</v>
      </c>
    </row>
    <row r="666" spans="1:61" s="11" customFormat="1" x14ac:dyDescent="0.2">
      <c r="A666" s="61"/>
      <c r="O666" s="61"/>
      <c r="AU666" s="281">
        <v>63965</v>
      </c>
      <c r="AV666" s="75"/>
      <c r="AW666" s="75"/>
      <c r="AX666" s="75"/>
      <c r="AY666" s="75"/>
      <c r="AZ666" s="75"/>
      <c r="BA666" s="75"/>
      <c r="BB666" s="75"/>
      <c r="BC666" s="75"/>
      <c r="BD666" s="75"/>
      <c r="BE666" s="75"/>
      <c r="BF666" s="75">
        <v>7.1249999999999994E-2</v>
      </c>
      <c r="BG666" s="75"/>
      <c r="BH666" s="75"/>
      <c r="BI666" s="74">
        <f t="shared" si="28"/>
        <v>7.1249999999999994E-2</v>
      </c>
    </row>
    <row r="667" spans="1:61" s="11" customFormat="1" x14ac:dyDescent="0.2">
      <c r="A667" s="61"/>
      <c r="O667" s="61"/>
      <c r="AU667" s="281">
        <v>63993</v>
      </c>
      <c r="AV667" s="75"/>
      <c r="AW667" s="75"/>
      <c r="AX667" s="75"/>
      <c r="AY667" s="75"/>
      <c r="AZ667" s="75"/>
      <c r="BA667" s="75"/>
      <c r="BB667" s="75"/>
      <c r="BC667" s="75"/>
      <c r="BD667" s="75"/>
      <c r="BE667" s="75"/>
      <c r="BF667" s="75">
        <v>7.1249999999999994E-2</v>
      </c>
      <c r="BG667" s="75"/>
      <c r="BH667" s="75"/>
      <c r="BI667" s="74">
        <f t="shared" si="28"/>
        <v>7.1249999999999994E-2</v>
      </c>
    </row>
    <row r="668" spans="1:61" s="11" customFormat="1" x14ac:dyDescent="0.2">
      <c r="A668" s="61"/>
      <c r="O668" s="61"/>
      <c r="AU668" s="281">
        <v>64024</v>
      </c>
      <c r="AV668" s="75"/>
      <c r="AW668" s="75"/>
      <c r="AX668" s="75"/>
      <c r="AY668" s="75"/>
      <c r="AZ668" s="75"/>
      <c r="BA668" s="75"/>
      <c r="BB668" s="75"/>
      <c r="BC668" s="75"/>
      <c r="BD668" s="75"/>
      <c r="BE668" s="75"/>
      <c r="BF668" s="75">
        <v>7.1249999999999994E-2</v>
      </c>
      <c r="BG668" s="75"/>
      <c r="BH668" s="75"/>
      <c r="BI668" s="74">
        <f t="shared" si="28"/>
        <v>7.1249999999999994E-2</v>
      </c>
    </row>
    <row r="669" spans="1:61" s="11" customFormat="1" x14ac:dyDescent="0.2">
      <c r="A669" s="61"/>
      <c r="O669" s="61"/>
      <c r="AU669" s="281">
        <v>64054</v>
      </c>
      <c r="AV669" s="75"/>
      <c r="AW669" s="75"/>
      <c r="AX669" s="75"/>
      <c r="AY669" s="75"/>
      <c r="AZ669" s="75"/>
      <c r="BA669" s="75"/>
      <c r="BB669" s="75"/>
      <c r="BC669" s="75"/>
      <c r="BD669" s="75"/>
      <c r="BE669" s="75"/>
      <c r="BF669" s="75">
        <v>7.1249999999999994E-2</v>
      </c>
      <c r="BG669" s="75"/>
      <c r="BH669" s="75"/>
      <c r="BI669" s="74">
        <f t="shared" si="28"/>
        <v>7.1249999999999994E-2</v>
      </c>
    </row>
    <row r="670" spans="1:61" s="11" customFormat="1" x14ac:dyDescent="0.2">
      <c r="A670" s="61"/>
      <c r="O670" s="61"/>
      <c r="AU670" s="281">
        <v>64085</v>
      </c>
      <c r="AV670" s="75"/>
      <c r="AW670" s="75"/>
      <c r="AX670" s="75"/>
      <c r="AY670" s="75"/>
      <c r="AZ670" s="75"/>
      <c r="BA670" s="75"/>
      <c r="BB670" s="75"/>
      <c r="BC670" s="75"/>
      <c r="BD670" s="75"/>
      <c r="BE670" s="75"/>
      <c r="BF670" s="75">
        <v>7.1249999999999994E-2</v>
      </c>
      <c r="BG670" s="75"/>
      <c r="BH670" s="75"/>
      <c r="BI670" s="74">
        <f t="shared" si="28"/>
        <v>7.1249999999999994E-2</v>
      </c>
    </row>
    <row r="671" spans="1:61" s="11" customFormat="1" x14ac:dyDescent="0.2">
      <c r="A671" s="61"/>
      <c r="O671" s="61"/>
      <c r="AU671" s="281">
        <v>64115</v>
      </c>
      <c r="AV671" s="75"/>
      <c r="AW671" s="75"/>
      <c r="AX671" s="75"/>
      <c r="AY671" s="75"/>
      <c r="AZ671" s="75"/>
      <c r="BA671" s="75"/>
      <c r="BB671" s="75"/>
      <c r="BC671" s="75"/>
      <c r="BD671" s="75"/>
      <c r="BE671" s="75"/>
      <c r="BF671" s="75">
        <v>7.1249999999999994E-2</v>
      </c>
      <c r="BG671" s="75"/>
      <c r="BH671" s="75"/>
      <c r="BI671" s="74">
        <f t="shared" si="28"/>
        <v>7.1249999999999994E-2</v>
      </c>
    </row>
    <row r="672" spans="1:61" s="11" customFormat="1" x14ac:dyDescent="0.2">
      <c r="A672" s="61"/>
      <c r="O672" s="61"/>
      <c r="AU672" s="281">
        <v>64146</v>
      </c>
      <c r="AV672" s="75"/>
      <c r="AW672" s="75"/>
      <c r="AX672" s="75"/>
      <c r="AY672" s="75"/>
      <c r="AZ672" s="75"/>
      <c r="BA672" s="75"/>
      <c r="BB672" s="75"/>
      <c r="BC672" s="75"/>
      <c r="BD672" s="75"/>
      <c r="BE672" s="75"/>
      <c r="BF672" s="75">
        <v>7.1249999999999994E-2</v>
      </c>
      <c r="BG672" s="75"/>
      <c r="BH672" s="75"/>
      <c r="BI672" s="74">
        <f t="shared" si="28"/>
        <v>7.1249999999999994E-2</v>
      </c>
    </row>
    <row r="673" spans="1:61" s="11" customFormat="1" x14ac:dyDescent="0.2">
      <c r="A673" s="61"/>
      <c r="O673" s="61"/>
      <c r="AU673" s="281">
        <v>64177</v>
      </c>
      <c r="AV673" s="75"/>
      <c r="AW673" s="75"/>
      <c r="AX673" s="75"/>
      <c r="AY673" s="75"/>
      <c r="AZ673" s="75"/>
      <c r="BA673" s="75"/>
      <c r="BB673" s="75"/>
      <c r="BC673" s="75"/>
      <c r="BD673" s="75"/>
      <c r="BE673" s="75"/>
      <c r="BF673" s="75">
        <v>7.1249999999999994E-2</v>
      </c>
      <c r="BG673" s="75"/>
      <c r="BH673" s="75"/>
      <c r="BI673" s="74">
        <f t="shared" si="28"/>
        <v>7.1249999999999994E-2</v>
      </c>
    </row>
    <row r="674" spans="1:61" s="11" customFormat="1" x14ac:dyDescent="0.2">
      <c r="A674" s="61"/>
      <c r="O674" s="61"/>
      <c r="AU674" s="281">
        <v>64207</v>
      </c>
      <c r="AV674" s="75"/>
      <c r="AW674" s="75"/>
      <c r="AX674" s="75"/>
      <c r="AY674" s="75"/>
      <c r="AZ674" s="75"/>
      <c r="BA674" s="75"/>
      <c r="BB674" s="75"/>
      <c r="BC674" s="75"/>
      <c r="BD674" s="75"/>
      <c r="BE674" s="75"/>
      <c r="BF674" s="75">
        <v>7.1249999999999994E-2</v>
      </c>
      <c r="BG674" s="75"/>
      <c r="BH674" s="75"/>
      <c r="BI674" s="74">
        <f t="shared" si="28"/>
        <v>7.1249999999999994E-2</v>
      </c>
    </row>
    <row r="675" spans="1:61" s="11" customFormat="1" x14ac:dyDescent="0.2">
      <c r="A675" s="61"/>
      <c r="O675" s="61"/>
      <c r="AU675" s="281">
        <v>64238</v>
      </c>
      <c r="AV675" s="75"/>
      <c r="AW675" s="75"/>
      <c r="AX675" s="75"/>
      <c r="AY675" s="75"/>
      <c r="AZ675" s="75"/>
      <c r="BA675" s="75"/>
      <c r="BB675" s="75"/>
      <c r="BC675" s="75"/>
      <c r="BD675" s="75"/>
      <c r="BE675" s="75"/>
      <c r="BF675" s="75">
        <v>7.1249999999999994E-2</v>
      </c>
      <c r="BG675" s="75"/>
      <c r="BH675" s="75"/>
      <c r="BI675" s="74">
        <f t="shared" si="28"/>
        <v>7.1249999999999994E-2</v>
      </c>
    </row>
    <row r="676" spans="1:61" s="11" customFormat="1" x14ac:dyDescent="0.2">
      <c r="A676" s="61"/>
      <c r="O676" s="61"/>
      <c r="AU676" s="281">
        <v>64268</v>
      </c>
      <c r="AV676" s="75"/>
      <c r="AW676" s="75"/>
      <c r="AX676" s="75"/>
      <c r="AY676" s="75"/>
      <c r="AZ676" s="75"/>
      <c r="BA676" s="75"/>
      <c r="BB676" s="75"/>
      <c r="BC676" s="75"/>
      <c r="BD676" s="75"/>
      <c r="BE676" s="75"/>
      <c r="BF676" s="75">
        <v>7.1249999999999994E-2</v>
      </c>
      <c r="BG676" s="75"/>
      <c r="BH676" s="75"/>
      <c r="BI676" s="74">
        <f t="shared" si="28"/>
        <v>7.1249999999999994E-2</v>
      </c>
    </row>
    <row r="677" spans="1:61" s="11" customFormat="1" x14ac:dyDescent="0.2">
      <c r="A677" s="61"/>
      <c r="O677" s="61"/>
      <c r="AU677" s="281">
        <v>64299</v>
      </c>
      <c r="AV677" s="75"/>
      <c r="AW677" s="75"/>
      <c r="AX677" s="75"/>
      <c r="AY677" s="75"/>
      <c r="AZ677" s="75"/>
      <c r="BA677" s="75"/>
      <c r="BB677" s="75"/>
      <c r="BC677" s="75"/>
      <c r="BD677" s="75"/>
      <c r="BE677" s="75"/>
      <c r="BF677" s="75">
        <v>7.1249999999999994E-2</v>
      </c>
      <c r="BG677" s="75"/>
      <c r="BH677" s="75"/>
      <c r="BI677" s="74">
        <f t="shared" si="28"/>
        <v>7.1249999999999994E-2</v>
      </c>
    </row>
    <row r="678" spans="1:61" s="11" customFormat="1" x14ac:dyDescent="0.2">
      <c r="A678" s="61"/>
      <c r="O678" s="61"/>
      <c r="AU678" s="281">
        <v>64330</v>
      </c>
      <c r="AV678" s="75"/>
      <c r="AW678" s="75"/>
      <c r="AX678" s="75"/>
      <c r="AY678" s="75"/>
      <c r="AZ678" s="75"/>
      <c r="BA678" s="75"/>
      <c r="BB678" s="75"/>
      <c r="BC678" s="75"/>
      <c r="BD678" s="75"/>
      <c r="BE678" s="75"/>
      <c r="BF678" s="75">
        <v>7.1249999999999994E-2</v>
      </c>
      <c r="BG678" s="75"/>
      <c r="BH678" s="75"/>
      <c r="BI678" s="74">
        <f t="shared" si="28"/>
        <v>7.1249999999999994E-2</v>
      </c>
    </row>
    <row r="679" spans="1:61" s="11" customFormat="1" x14ac:dyDescent="0.2">
      <c r="A679" s="61"/>
      <c r="O679" s="61"/>
      <c r="AU679" s="281">
        <v>64359</v>
      </c>
      <c r="AV679" s="75"/>
      <c r="AW679" s="75"/>
      <c r="AX679" s="75"/>
      <c r="AY679" s="75"/>
      <c r="AZ679" s="75"/>
      <c r="BA679" s="75"/>
      <c r="BB679" s="75"/>
      <c r="BC679" s="75"/>
      <c r="BD679" s="75"/>
      <c r="BE679" s="75"/>
      <c r="BF679" s="75">
        <v>7.1249999999999994E-2</v>
      </c>
      <c r="BG679" s="75"/>
      <c r="BH679" s="75"/>
      <c r="BI679" s="74">
        <f t="shared" si="28"/>
        <v>7.1249999999999994E-2</v>
      </c>
    </row>
    <row r="680" spans="1:61" s="11" customFormat="1" x14ac:dyDescent="0.2">
      <c r="A680" s="61"/>
      <c r="O680" s="61"/>
      <c r="AU680" s="281">
        <v>64390</v>
      </c>
      <c r="AV680" s="75"/>
      <c r="AW680" s="75"/>
      <c r="AX680" s="75"/>
      <c r="AY680" s="75"/>
      <c r="AZ680" s="75"/>
      <c r="BA680" s="75"/>
      <c r="BB680" s="75"/>
      <c r="BC680" s="75"/>
      <c r="BD680" s="75"/>
      <c r="BE680" s="75"/>
      <c r="BF680" s="75">
        <v>7.1249999999999994E-2</v>
      </c>
      <c r="BG680" s="75"/>
      <c r="BH680" s="75"/>
      <c r="BI680" s="74">
        <f t="shared" si="28"/>
        <v>7.1249999999999994E-2</v>
      </c>
    </row>
    <row r="681" spans="1:61" s="11" customFormat="1" x14ac:dyDescent="0.2">
      <c r="A681" s="61"/>
      <c r="O681" s="61"/>
      <c r="AU681" s="281">
        <v>64420</v>
      </c>
      <c r="AV681" s="75"/>
      <c r="AW681" s="75"/>
      <c r="AX681" s="75"/>
      <c r="AY681" s="75"/>
      <c r="AZ681" s="75"/>
      <c r="BA681" s="75"/>
      <c r="BB681" s="75"/>
      <c r="BC681" s="75"/>
      <c r="BD681" s="75"/>
      <c r="BE681" s="75"/>
      <c r="BF681" s="75">
        <v>7.1249999999999994E-2</v>
      </c>
      <c r="BG681" s="75"/>
      <c r="BH681" s="75"/>
      <c r="BI681" s="74">
        <f t="shared" si="28"/>
        <v>7.1249999999999994E-2</v>
      </c>
    </row>
    <row r="682" spans="1:61" s="11" customFormat="1" x14ac:dyDescent="0.2">
      <c r="A682" s="61"/>
      <c r="O682" s="61"/>
      <c r="AU682" s="281">
        <v>64451</v>
      </c>
      <c r="AV682" s="75"/>
      <c r="AW682" s="75"/>
      <c r="AX682" s="75"/>
      <c r="AY682" s="75"/>
      <c r="AZ682" s="75"/>
      <c r="BA682" s="75"/>
      <c r="BB682" s="75"/>
      <c r="BC682" s="75"/>
      <c r="BD682" s="75"/>
      <c r="BE682" s="75"/>
      <c r="BF682" s="75">
        <v>7.1249999999999994E-2</v>
      </c>
      <c r="BG682" s="75"/>
      <c r="BH682" s="75"/>
      <c r="BI682" s="74">
        <f t="shared" si="28"/>
        <v>7.1249999999999994E-2</v>
      </c>
    </row>
    <row r="683" spans="1:61" s="11" customFormat="1" x14ac:dyDescent="0.2">
      <c r="A683" s="61"/>
      <c r="O683" s="61"/>
      <c r="AU683" s="281">
        <v>64481</v>
      </c>
      <c r="AV683" s="75"/>
      <c r="AW683" s="75"/>
      <c r="AX683" s="75"/>
      <c r="AY683" s="75"/>
      <c r="AZ683" s="75"/>
      <c r="BA683" s="75"/>
      <c r="BB683" s="75"/>
      <c r="BC683" s="75"/>
      <c r="BD683" s="75"/>
      <c r="BE683" s="75"/>
      <c r="BF683" s="75">
        <v>7.1249999999999994E-2</v>
      </c>
      <c r="BG683" s="75"/>
      <c r="BH683" s="75"/>
      <c r="BI683" s="74">
        <f t="shared" si="28"/>
        <v>7.1249999999999994E-2</v>
      </c>
    </row>
    <row r="684" spans="1:61" s="11" customFormat="1" x14ac:dyDescent="0.2">
      <c r="A684" s="61"/>
      <c r="O684" s="61"/>
      <c r="AU684" s="281">
        <v>64512</v>
      </c>
      <c r="AV684" s="75"/>
      <c r="AW684" s="75"/>
      <c r="AX684" s="75"/>
      <c r="AY684" s="75"/>
      <c r="AZ684" s="75"/>
      <c r="BA684" s="75"/>
      <c r="BB684" s="75"/>
      <c r="BC684" s="75"/>
      <c r="BD684" s="75"/>
      <c r="BE684" s="75"/>
      <c r="BF684" s="75">
        <v>7.1249999999999994E-2</v>
      </c>
      <c r="BG684" s="75"/>
      <c r="BH684" s="75"/>
      <c r="BI684" s="74">
        <f t="shared" si="28"/>
        <v>7.1249999999999994E-2</v>
      </c>
    </row>
    <row r="685" spans="1:61" s="11" customFormat="1" x14ac:dyDescent="0.2">
      <c r="A685" s="61"/>
      <c r="O685" s="61"/>
      <c r="AU685" s="281">
        <v>64543</v>
      </c>
      <c r="AV685" s="75"/>
      <c r="AW685" s="75"/>
      <c r="AX685" s="75"/>
      <c r="AY685" s="75"/>
      <c r="AZ685" s="75"/>
      <c r="BA685" s="75"/>
      <c r="BB685" s="75"/>
      <c r="BC685" s="75"/>
      <c r="BD685" s="75"/>
      <c r="BE685" s="75"/>
      <c r="BF685" s="75">
        <v>7.1249999999999994E-2</v>
      </c>
      <c r="BG685" s="75"/>
      <c r="BH685" s="75"/>
      <c r="BI685" s="74">
        <f t="shared" si="28"/>
        <v>7.1249999999999994E-2</v>
      </c>
    </row>
    <row r="686" spans="1:61" s="11" customFormat="1" x14ac:dyDescent="0.2">
      <c r="A686" s="61"/>
      <c r="O686" s="61"/>
      <c r="AU686" s="281">
        <v>64573</v>
      </c>
      <c r="AV686" s="75"/>
      <c r="AW686" s="75"/>
      <c r="AX686" s="75"/>
      <c r="AY686" s="75"/>
      <c r="AZ686" s="75"/>
      <c r="BA686" s="75"/>
      <c r="BB686" s="75"/>
      <c r="BC686" s="75"/>
      <c r="BD686" s="75"/>
      <c r="BE686" s="75"/>
      <c r="BF686" s="75">
        <v>7.1249999999999994E-2</v>
      </c>
      <c r="BG686" s="75"/>
      <c r="BH686" s="75"/>
      <c r="BI686" s="74">
        <f t="shared" si="28"/>
        <v>7.1249999999999994E-2</v>
      </c>
    </row>
    <row r="687" spans="1:61" s="11" customFormat="1" x14ac:dyDescent="0.2">
      <c r="A687" s="61"/>
      <c r="O687" s="61"/>
      <c r="AU687" s="281">
        <v>64604</v>
      </c>
      <c r="AV687" s="75"/>
      <c r="AW687" s="75"/>
      <c r="AX687" s="75"/>
      <c r="AY687" s="75"/>
      <c r="AZ687" s="75"/>
      <c r="BA687" s="75"/>
      <c r="BB687" s="75"/>
      <c r="BC687" s="75"/>
      <c r="BD687" s="75"/>
      <c r="BE687" s="75"/>
      <c r="BF687" s="75">
        <v>7.1249999999999994E-2</v>
      </c>
      <c r="BG687" s="75"/>
      <c r="BH687" s="75"/>
      <c r="BI687" s="74">
        <f t="shared" si="28"/>
        <v>7.1249999999999994E-2</v>
      </c>
    </row>
    <row r="688" spans="1:61" s="11" customFormat="1" x14ac:dyDescent="0.2">
      <c r="A688" s="61"/>
      <c r="O688" s="61"/>
      <c r="AU688" s="281">
        <v>64634</v>
      </c>
      <c r="AV688" s="75"/>
      <c r="AW688" s="75"/>
      <c r="AX688" s="75"/>
      <c r="AY688" s="75"/>
      <c r="AZ688" s="75"/>
      <c r="BA688" s="75"/>
      <c r="BB688" s="75"/>
      <c r="BC688" s="75"/>
      <c r="BD688" s="75"/>
      <c r="BE688" s="75"/>
      <c r="BF688" s="75">
        <v>7.1249999999999994E-2</v>
      </c>
      <c r="BG688" s="75"/>
      <c r="BH688" s="75"/>
      <c r="BI688" s="74">
        <f t="shared" si="28"/>
        <v>7.1249999999999994E-2</v>
      </c>
    </row>
    <row r="689" spans="1:61" s="11" customFormat="1" x14ac:dyDescent="0.2">
      <c r="A689" s="61"/>
      <c r="O689" s="61"/>
      <c r="AU689" s="281">
        <v>64665</v>
      </c>
      <c r="AV689" s="75"/>
      <c r="AW689" s="75"/>
      <c r="AX689" s="75"/>
      <c r="AY689" s="75"/>
      <c r="AZ689" s="75"/>
      <c r="BA689" s="75"/>
      <c r="BB689" s="75"/>
      <c r="BC689" s="75"/>
      <c r="BD689" s="75"/>
      <c r="BE689" s="75"/>
      <c r="BF689" s="75">
        <v>7.1249999999999994E-2</v>
      </c>
      <c r="BG689" s="75"/>
      <c r="BH689" s="75"/>
      <c r="BI689" s="74">
        <f t="shared" si="28"/>
        <v>7.1249999999999994E-2</v>
      </c>
    </row>
    <row r="690" spans="1:61" s="11" customFormat="1" x14ac:dyDescent="0.2">
      <c r="A690" s="61"/>
      <c r="O690" s="61"/>
      <c r="AU690" s="281">
        <v>64696</v>
      </c>
      <c r="AV690" s="75"/>
      <c r="AW690" s="75"/>
      <c r="AX690" s="75"/>
      <c r="AY690" s="75"/>
      <c r="AZ690" s="75"/>
      <c r="BA690" s="75"/>
      <c r="BB690" s="75"/>
      <c r="BC690" s="75"/>
      <c r="BD690" s="75"/>
      <c r="BE690" s="75"/>
      <c r="BF690" s="75">
        <v>7.1249999999999994E-2</v>
      </c>
      <c r="BG690" s="75"/>
      <c r="BH690" s="75"/>
      <c r="BI690" s="74">
        <f t="shared" si="28"/>
        <v>7.1249999999999994E-2</v>
      </c>
    </row>
    <row r="691" spans="1:61" s="11" customFormat="1" x14ac:dyDescent="0.2">
      <c r="A691" s="61"/>
      <c r="O691" s="61"/>
      <c r="AU691" s="281">
        <v>64724</v>
      </c>
      <c r="AV691" s="75"/>
      <c r="AW691" s="75"/>
      <c r="AX691" s="75"/>
      <c r="AY691" s="75"/>
      <c r="AZ691" s="75"/>
      <c r="BA691" s="75"/>
      <c r="BB691" s="75"/>
      <c r="BC691" s="75"/>
      <c r="BD691" s="75"/>
      <c r="BE691" s="75"/>
      <c r="BF691" s="75">
        <v>7.1249999999999994E-2</v>
      </c>
      <c r="BG691" s="75"/>
      <c r="BH691" s="75"/>
      <c r="BI691" s="74">
        <f t="shared" si="28"/>
        <v>7.1249999999999994E-2</v>
      </c>
    </row>
    <row r="692" spans="1:61" s="11" customFormat="1" x14ac:dyDescent="0.2">
      <c r="A692" s="61"/>
      <c r="O692" s="61"/>
      <c r="AU692" s="281">
        <v>64755</v>
      </c>
      <c r="AV692" s="75"/>
      <c r="AW692" s="75"/>
      <c r="AX692" s="75"/>
      <c r="AY692" s="75"/>
      <c r="AZ692" s="75"/>
      <c r="BA692" s="75"/>
      <c r="BB692" s="75"/>
      <c r="BC692" s="75"/>
      <c r="BD692" s="75"/>
      <c r="BE692" s="75"/>
      <c r="BF692" s="75">
        <v>7.1249999999999994E-2</v>
      </c>
      <c r="BG692" s="75"/>
      <c r="BH692" s="75"/>
      <c r="BI692" s="74">
        <f t="shared" si="28"/>
        <v>7.1249999999999994E-2</v>
      </c>
    </row>
    <row r="693" spans="1:61" s="11" customFormat="1" x14ac:dyDescent="0.2">
      <c r="A693" s="61"/>
      <c r="O693" s="61"/>
      <c r="AU693" s="281">
        <v>64785</v>
      </c>
      <c r="AV693" s="75"/>
      <c r="AW693" s="75"/>
      <c r="AX693" s="75"/>
      <c r="AY693" s="75"/>
      <c r="AZ693" s="75"/>
      <c r="BA693" s="75"/>
      <c r="BB693" s="75"/>
      <c r="BC693" s="75"/>
      <c r="BD693" s="75"/>
      <c r="BE693" s="75"/>
      <c r="BF693" s="75">
        <v>7.1249999999999994E-2</v>
      </c>
      <c r="BG693" s="75"/>
      <c r="BH693" s="75"/>
      <c r="BI693" s="74">
        <f t="shared" si="28"/>
        <v>7.1249999999999994E-2</v>
      </c>
    </row>
    <row r="694" spans="1:61" s="11" customFormat="1" x14ac:dyDescent="0.2">
      <c r="A694" s="61"/>
      <c r="O694" s="61"/>
      <c r="AU694" s="281">
        <v>64816</v>
      </c>
      <c r="AV694" s="75"/>
      <c r="AW694" s="75"/>
      <c r="AX694" s="75"/>
      <c r="AY694" s="75"/>
      <c r="AZ694" s="75"/>
      <c r="BA694" s="75"/>
      <c r="BB694" s="75"/>
      <c r="BC694" s="75"/>
      <c r="BD694" s="75"/>
      <c r="BE694" s="75"/>
      <c r="BF694" s="75">
        <v>7.1249999999999994E-2</v>
      </c>
      <c r="BG694" s="75"/>
      <c r="BH694" s="75"/>
      <c r="BI694" s="74">
        <f t="shared" si="28"/>
        <v>7.1249999999999994E-2</v>
      </c>
    </row>
    <row r="695" spans="1:61" s="11" customFormat="1" x14ac:dyDescent="0.2">
      <c r="A695" s="61"/>
      <c r="O695" s="61"/>
      <c r="AU695" s="281">
        <v>64846</v>
      </c>
      <c r="AV695" s="75"/>
      <c r="AW695" s="75"/>
      <c r="AX695" s="75"/>
      <c r="AY695" s="75"/>
      <c r="AZ695" s="75"/>
      <c r="BA695" s="75"/>
      <c r="BB695" s="75"/>
      <c r="BC695" s="75"/>
      <c r="BD695" s="75"/>
      <c r="BE695" s="75"/>
      <c r="BF695" s="75">
        <v>7.1249999999999994E-2</v>
      </c>
      <c r="BG695" s="75"/>
      <c r="BH695" s="75"/>
      <c r="BI695" s="74">
        <f t="shared" si="28"/>
        <v>7.1249999999999994E-2</v>
      </c>
    </row>
    <row r="696" spans="1:61" s="11" customFormat="1" x14ac:dyDescent="0.2">
      <c r="A696" s="61"/>
      <c r="O696" s="61"/>
      <c r="AU696" s="281">
        <v>64877</v>
      </c>
      <c r="AV696" s="75"/>
      <c r="AW696" s="75"/>
      <c r="AX696" s="75"/>
      <c r="AY696" s="75"/>
      <c r="AZ696" s="75"/>
      <c r="BA696" s="75"/>
      <c r="BB696" s="75"/>
      <c r="BC696" s="75"/>
      <c r="BD696" s="75"/>
      <c r="BE696" s="75"/>
      <c r="BF696" s="75">
        <v>7.1249999999999994E-2</v>
      </c>
      <c r="BG696" s="75"/>
      <c r="BH696" s="75"/>
      <c r="BI696" s="74">
        <f t="shared" si="28"/>
        <v>7.1249999999999994E-2</v>
      </c>
    </row>
    <row r="697" spans="1:61" s="11" customFormat="1" x14ac:dyDescent="0.2">
      <c r="A697" s="61"/>
      <c r="O697" s="61"/>
      <c r="AU697" s="281">
        <v>64908</v>
      </c>
      <c r="AV697" s="75"/>
      <c r="AW697" s="75"/>
      <c r="AX697" s="75"/>
      <c r="AY697" s="75"/>
      <c r="AZ697" s="75"/>
      <c r="BA697" s="75"/>
      <c r="BB697" s="75"/>
      <c r="BC697" s="75"/>
      <c r="BD697" s="75"/>
      <c r="BE697" s="75"/>
      <c r="BF697" s="75">
        <v>7.1249999999999994E-2</v>
      </c>
      <c r="BG697" s="75"/>
      <c r="BH697" s="75"/>
      <c r="BI697" s="74">
        <f t="shared" si="28"/>
        <v>7.1249999999999994E-2</v>
      </c>
    </row>
    <row r="698" spans="1:61" s="11" customFormat="1" x14ac:dyDescent="0.2">
      <c r="A698" s="61"/>
      <c r="O698" s="61"/>
      <c r="AU698" s="281">
        <v>64938</v>
      </c>
      <c r="AV698" s="75"/>
      <c r="AW698" s="75"/>
      <c r="AX698" s="75"/>
      <c r="AY698" s="75"/>
      <c r="AZ698" s="75"/>
      <c r="BA698" s="75"/>
      <c r="BB698" s="75"/>
      <c r="BC698" s="75"/>
      <c r="BD698" s="75"/>
      <c r="BE698" s="75"/>
      <c r="BF698" s="75">
        <v>7.1249999999999994E-2</v>
      </c>
      <c r="BG698" s="75"/>
      <c r="BH698" s="75"/>
      <c r="BI698" s="74">
        <f t="shared" si="28"/>
        <v>7.1249999999999994E-2</v>
      </c>
    </row>
    <row r="699" spans="1:61" s="11" customFormat="1" x14ac:dyDescent="0.2">
      <c r="A699" s="61"/>
      <c r="O699" s="61"/>
      <c r="AU699" s="281">
        <v>64969</v>
      </c>
      <c r="AV699" s="75"/>
      <c r="AW699" s="75"/>
      <c r="AX699" s="75"/>
      <c r="AY699" s="75"/>
      <c r="AZ699" s="75"/>
      <c r="BA699" s="75"/>
      <c r="BB699" s="75"/>
      <c r="BC699" s="75"/>
      <c r="BD699" s="75"/>
      <c r="BE699" s="75"/>
      <c r="BF699" s="75">
        <v>7.1249999999999994E-2</v>
      </c>
      <c r="BG699" s="75"/>
      <c r="BH699" s="75"/>
      <c r="BI699" s="74">
        <f t="shared" si="28"/>
        <v>7.1249999999999994E-2</v>
      </c>
    </row>
    <row r="700" spans="1:61" s="11" customFormat="1" x14ac:dyDescent="0.2">
      <c r="A700" s="61"/>
      <c r="O700" s="61"/>
      <c r="AU700" s="281">
        <v>64999</v>
      </c>
      <c r="AV700" s="75"/>
      <c r="AW700" s="75"/>
      <c r="AX700" s="75"/>
      <c r="AY700" s="75"/>
      <c r="AZ700" s="75"/>
      <c r="BA700" s="75"/>
      <c r="BB700" s="75"/>
      <c r="BC700" s="75"/>
      <c r="BD700" s="75"/>
      <c r="BE700" s="75"/>
      <c r="BF700" s="75">
        <v>7.1249999999999994E-2</v>
      </c>
      <c r="BG700" s="75"/>
      <c r="BH700" s="75"/>
      <c r="BI700" s="74">
        <f t="shared" si="28"/>
        <v>7.1249999999999994E-2</v>
      </c>
    </row>
    <row r="701" spans="1:61" s="11" customFormat="1" x14ac:dyDescent="0.2">
      <c r="A701" s="61"/>
      <c r="O701" s="61"/>
      <c r="AU701" s="281">
        <v>65030</v>
      </c>
      <c r="AV701" s="75"/>
      <c r="AW701" s="75"/>
      <c r="AX701" s="75"/>
      <c r="AY701" s="75"/>
      <c r="AZ701" s="75"/>
      <c r="BA701" s="75"/>
      <c r="BB701" s="75"/>
      <c r="BC701" s="75"/>
      <c r="BD701" s="75"/>
      <c r="BE701" s="75"/>
      <c r="BF701" s="75">
        <v>7.1249999999999994E-2</v>
      </c>
      <c r="BG701" s="75"/>
      <c r="BH701" s="75"/>
      <c r="BI701" s="74">
        <f t="shared" si="28"/>
        <v>7.1249999999999994E-2</v>
      </c>
    </row>
    <row r="702" spans="1:61" s="11" customFormat="1" x14ac:dyDescent="0.2">
      <c r="A702" s="61"/>
      <c r="O702" s="61"/>
      <c r="AU702" s="281">
        <v>65061</v>
      </c>
      <c r="AV702" s="75"/>
      <c r="AW702" s="75"/>
      <c r="AX702" s="75"/>
      <c r="AY702" s="75"/>
      <c r="AZ702" s="75"/>
      <c r="BA702" s="75"/>
      <c r="BB702" s="75"/>
      <c r="BC702" s="75"/>
      <c r="BD702" s="75"/>
      <c r="BE702" s="75"/>
      <c r="BF702" s="75">
        <v>7.1249999999999994E-2</v>
      </c>
      <c r="BG702" s="75"/>
      <c r="BH702" s="75"/>
      <c r="BI702" s="74">
        <f t="shared" si="28"/>
        <v>7.1249999999999994E-2</v>
      </c>
    </row>
    <row r="703" spans="1:61" s="11" customFormat="1" x14ac:dyDescent="0.2">
      <c r="A703" s="61"/>
      <c r="O703" s="61"/>
      <c r="AU703" s="281">
        <v>65089</v>
      </c>
      <c r="AV703" s="75"/>
      <c r="AW703" s="75"/>
      <c r="AX703" s="75"/>
      <c r="AY703" s="75"/>
      <c r="AZ703" s="75"/>
      <c r="BA703" s="75"/>
      <c r="BB703" s="75"/>
      <c r="BC703" s="75"/>
      <c r="BD703" s="75"/>
      <c r="BE703" s="75"/>
      <c r="BF703" s="75">
        <v>7.1249999999999994E-2</v>
      </c>
      <c r="BG703" s="75"/>
      <c r="BH703" s="75"/>
      <c r="BI703" s="74">
        <f t="shared" si="28"/>
        <v>7.1249999999999994E-2</v>
      </c>
    </row>
    <row r="704" spans="1:61" s="11" customFormat="1" x14ac:dyDescent="0.2">
      <c r="A704" s="61"/>
      <c r="O704" s="61"/>
      <c r="AU704" s="281">
        <v>65120</v>
      </c>
      <c r="AV704" s="75"/>
      <c r="AW704" s="75"/>
      <c r="AX704" s="75"/>
      <c r="AY704" s="75"/>
      <c r="AZ704" s="75"/>
      <c r="BA704" s="75"/>
      <c r="BB704" s="75"/>
      <c r="BC704" s="75"/>
      <c r="BD704" s="75"/>
      <c r="BE704" s="75"/>
      <c r="BF704" s="75">
        <v>7.1249999999999994E-2</v>
      </c>
      <c r="BG704" s="75"/>
      <c r="BH704" s="75"/>
      <c r="BI704" s="74">
        <f t="shared" si="28"/>
        <v>7.1249999999999994E-2</v>
      </c>
    </row>
    <row r="705" spans="1:61" s="11" customFormat="1" x14ac:dyDescent="0.2">
      <c r="A705" s="61"/>
      <c r="O705" s="61"/>
      <c r="AU705" s="281">
        <v>65150</v>
      </c>
      <c r="AV705" s="75"/>
      <c r="AW705" s="75"/>
      <c r="AX705" s="75"/>
      <c r="AY705" s="75"/>
      <c r="AZ705" s="75"/>
      <c r="BA705" s="75"/>
      <c r="BB705" s="75"/>
      <c r="BC705" s="75"/>
      <c r="BD705" s="75"/>
      <c r="BE705" s="75"/>
      <c r="BF705" s="75">
        <v>7.1249999999999994E-2</v>
      </c>
      <c r="BG705" s="75"/>
      <c r="BH705" s="75"/>
      <c r="BI705" s="74">
        <f t="shared" si="28"/>
        <v>7.1249999999999994E-2</v>
      </c>
    </row>
    <row r="706" spans="1:61" s="11" customFormat="1" x14ac:dyDescent="0.2">
      <c r="A706" s="61"/>
      <c r="O706" s="61"/>
      <c r="AU706" s="281">
        <v>65181</v>
      </c>
      <c r="AV706" s="75"/>
      <c r="AW706" s="75"/>
      <c r="AX706" s="75"/>
      <c r="AY706" s="75"/>
      <c r="AZ706" s="75"/>
      <c r="BA706" s="75"/>
      <c r="BB706" s="75"/>
      <c r="BC706" s="75"/>
      <c r="BD706" s="75"/>
      <c r="BE706" s="75"/>
      <c r="BF706" s="75">
        <v>7.1249999999999994E-2</v>
      </c>
      <c r="BG706" s="75"/>
      <c r="BH706" s="75"/>
      <c r="BI706" s="74">
        <f t="shared" si="28"/>
        <v>7.1249999999999994E-2</v>
      </c>
    </row>
    <row r="707" spans="1:61" s="11" customFormat="1" x14ac:dyDescent="0.2">
      <c r="A707" s="61"/>
      <c r="O707" s="61"/>
      <c r="AU707" s="281">
        <v>65211</v>
      </c>
      <c r="AV707" s="75"/>
      <c r="AW707" s="75"/>
      <c r="AX707" s="75"/>
      <c r="AY707" s="75"/>
      <c r="AZ707" s="75"/>
      <c r="BA707" s="75"/>
      <c r="BB707" s="75"/>
      <c r="BC707" s="75"/>
      <c r="BD707" s="75"/>
      <c r="BE707" s="75"/>
      <c r="BF707" s="75">
        <v>7.1249999999999994E-2</v>
      </c>
      <c r="BG707" s="75"/>
      <c r="BH707" s="75"/>
      <c r="BI707" s="74">
        <f t="shared" si="28"/>
        <v>7.1249999999999994E-2</v>
      </c>
    </row>
    <row r="708" spans="1:61" s="11" customFormat="1" x14ac:dyDescent="0.2">
      <c r="A708" s="61"/>
      <c r="O708" s="61"/>
      <c r="AU708" s="281">
        <v>65242</v>
      </c>
      <c r="AV708" s="75"/>
      <c r="AW708" s="75"/>
      <c r="AX708" s="75"/>
      <c r="AY708" s="75"/>
      <c r="AZ708" s="75"/>
      <c r="BA708" s="75"/>
      <c r="BB708" s="75"/>
      <c r="BC708" s="75"/>
      <c r="BD708" s="75"/>
      <c r="BE708" s="75"/>
      <c r="BF708" s="75">
        <v>7.1249999999999994E-2</v>
      </c>
      <c r="BG708" s="75"/>
      <c r="BH708" s="75"/>
      <c r="BI708" s="74">
        <f t="shared" si="28"/>
        <v>7.1249999999999994E-2</v>
      </c>
    </row>
    <row r="709" spans="1:61" s="11" customFormat="1" x14ac:dyDescent="0.2">
      <c r="A709" s="61"/>
      <c r="O709" s="61"/>
      <c r="AU709" s="281">
        <v>65273</v>
      </c>
      <c r="AV709" s="75"/>
      <c r="AW709" s="75"/>
      <c r="AX709" s="75"/>
      <c r="AY709" s="75"/>
      <c r="AZ709" s="75"/>
      <c r="BA709" s="75"/>
      <c r="BB709" s="75"/>
      <c r="BC709" s="75"/>
      <c r="BD709" s="75"/>
      <c r="BE709" s="75"/>
      <c r="BF709" s="75">
        <v>7.1249999999999994E-2</v>
      </c>
      <c r="BG709" s="75"/>
      <c r="BH709" s="75"/>
      <c r="BI709" s="74">
        <f t="shared" si="28"/>
        <v>7.1249999999999994E-2</v>
      </c>
    </row>
    <row r="710" spans="1:61" s="11" customFormat="1" x14ac:dyDescent="0.2">
      <c r="A710" s="61"/>
      <c r="O710" s="61"/>
      <c r="AU710" s="281">
        <v>65303</v>
      </c>
      <c r="AV710" s="75"/>
      <c r="AW710" s="75"/>
      <c r="AX710" s="75"/>
      <c r="AY710" s="75"/>
      <c r="AZ710" s="75"/>
      <c r="BA710" s="75"/>
      <c r="BB710" s="75"/>
      <c r="BC710" s="75"/>
      <c r="BD710" s="75"/>
      <c r="BE710" s="75"/>
      <c r="BF710" s="75">
        <v>7.1249999999999994E-2</v>
      </c>
      <c r="BG710" s="75"/>
      <c r="BH710" s="75"/>
      <c r="BI710" s="74">
        <f t="shared" si="28"/>
        <v>7.1249999999999994E-2</v>
      </c>
    </row>
    <row r="711" spans="1:61" s="11" customFormat="1" x14ac:dyDescent="0.2">
      <c r="A711" s="61"/>
      <c r="O711" s="61"/>
      <c r="AU711" s="281">
        <v>65334</v>
      </c>
      <c r="AV711" s="75"/>
      <c r="AW711" s="75"/>
      <c r="AX711" s="75"/>
      <c r="AY711" s="75"/>
      <c r="AZ711" s="75"/>
      <c r="BA711" s="75"/>
      <c r="BB711" s="75"/>
      <c r="BC711" s="75"/>
      <c r="BD711" s="75"/>
      <c r="BE711" s="75"/>
      <c r="BF711" s="75">
        <v>7.1249999999999994E-2</v>
      </c>
      <c r="BG711" s="75"/>
      <c r="BH711" s="75"/>
      <c r="BI711" s="74">
        <f t="shared" si="28"/>
        <v>7.1249999999999994E-2</v>
      </c>
    </row>
    <row r="712" spans="1:61" s="11" customFormat="1" x14ac:dyDescent="0.2">
      <c r="A712" s="61"/>
      <c r="O712" s="61"/>
      <c r="AU712" s="281">
        <v>65364</v>
      </c>
      <c r="AV712" s="75"/>
      <c r="AW712" s="75"/>
      <c r="AX712" s="75"/>
      <c r="AY712" s="75"/>
      <c r="AZ712" s="75"/>
      <c r="BA712" s="75"/>
      <c r="BB712" s="75"/>
      <c r="BC712" s="75"/>
      <c r="BD712" s="75"/>
      <c r="BE712" s="75"/>
      <c r="BF712" s="75">
        <v>7.1249999999999994E-2</v>
      </c>
      <c r="BG712" s="75"/>
      <c r="BH712" s="75"/>
      <c r="BI712" s="74">
        <f t="shared" si="28"/>
        <v>7.1249999999999994E-2</v>
      </c>
    </row>
    <row r="713" spans="1:61" s="11" customFormat="1" x14ac:dyDescent="0.2">
      <c r="A713" s="61"/>
      <c r="O713" s="61"/>
      <c r="AU713" s="281">
        <v>65395</v>
      </c>
      <c r="AV713" s="75"/>
      <c r="AW713" s="75"/>
      <c r="AX713" s="75"/>
      <c r="AY713" s="75"/>
      <c r="AZ713" s="75"/>
      <c r="BA713" s="75"/>
      <c r="BB713" s="75"/>
      <c r="BC713" s="75"/>
      <c r="BD713" s="75"/>
      <c r="BE713" s="75"/>
      <c r="BF713" s="75">
        <v>7.1249999999999994E-2</v>
      </c>
      <c r="BG713" s="75"/>
      <c r="BH713" s="75"/>
      <c r="BI713" s="74">
        <f t="shared" ref="BI713:BI776" si="29">+AVERAGE(AV713:BH713)</f>
        <v>7.1249999999999994E-2</v>
      </c>
    </row>
    <row r="714" spans="1:61" s="11" customFormat="1" x14ac:dyDescent="0.2">
      <c r="A714" s="61"/>
      <c r="O714" s="61"/>
      <c r="AU714" s="281">
        <v>65426</v>
      </c>
      <c r="AV714" s="75"/>
      <c r="AW714" s="75"/>
      <c r="AX714" s="75"/>
      <c r="AY714" s="75"/>
      <c r="AZ714" s="75"/>
      <c r="BA714" s="75"/>
      <c r="BB714" s="75"/>
      <c r="BC714" s="75"/>
      <c r="BD714" s="75"/>
      <c r="BE714" s="75"/>
      <c r="BF714" s="75">
        <v>7.1249999999999994E-2</v>
      </c>
      <c r="BG714" s="75"/>
      <c r="BH714" s="75"/>
      <c r="BI714" s="74">
        <f t="shared" si="29"/>
        <v>7.1249999999999994E-2</v>
      </c>
    </row>
    <row r="715" spans="1:61" s="11" customFormat="1" x14ac:dyDescent="0.2">
      <c r="A715" s="61"/>
      <c r="O715" s="61"/>
      <c r="AU715" s="281">
        <v>65454</v>
      </c>
      <c r="AV715" s="75"/>
      <c r="AW715" s="75"/>
      <c r="AX715" s="75"/>
      <c r="AY715" s="75"/>
      <c r="AZ715" s="75"/>
      <c r="BA715" s="75"/>
      <c r="BB715" s="75"/>
      <c r="BC715" s="75"/>
      <c r="BD715" s="75"/>
      <c r="BE715" s="75"/>
      <c r="BF715" s="75">
        <v>7.1249999999999994E-2</v>
      </c>
      <c r="BG715" s="75"/>
      <c r="BH715" s="75"/>
      <c r="BI715" s="74">
        <f t="shared" si="29"/>
        <v>7.1249999999999994E-2</v>
      </c>
    </row>
    <row r="716" spans="1:61" s="11" customFormat="1" x14ac:dyDescent="0.2">
      <c r="A716" s="61"/>
      <c r="O716" s="61"/>
      <c r="AU716" s="281">
        <v>65485</v>
      </c>
      <c r="AV716" s="75"/>
      <c r="AW716" s="75"/>
      <c r="AX716" s="75"/>
      <c r="AY716" s="75"/>
      <c r="AZ716" s="75"/>
      <c r="BA716" s="75"/>
      <c r="BB716" s="75"/>
      <c r="BC716" s="75"/>
      <c r="BD716" s="75"/>
      <c r="BE716" s="75"/>
      <c r="BF716" s="75">
        <v>7.1249999999999994E-2</v>
      </c>
      <c r="BG716" s="75"/>
      <c r="BH716" s="75"/>
      <c r="BI716" s="74">
        <f t="shared" si="29"/>
        <v>7.1249999999999994E-2</v>
      </c>
    </row>
    <row r="717" spans="1:61" s="11" customFormat="1" x14ac:dyDescent="0.2">
      <c r="A717" s="61"/>
      <c r="O717" s="61"/>
      <c r="AU717" s="281">
        <v>65515</v>
      </c>
      <c r="AV717" s="75"/>
      <c r="AW717" s="75"/>
      <c r="AX717" s="75"/>
      <c r="AY717" s="75"/>
      <c r="AZ717" s="75"/>
      <c r="BA717" s="75"/>
      <c r="BB717" s="75"/>
      <c r="BC717" s="75"/>
      <c r="BD717" s="75"/>
      <c r="BE717" s="75"/>
      <c r="BF717" s="75">
        <v>7.1249999999999994E-2</v>
      </c>
      <c r="BG717" s="75"/>
      <c r="BH717" s="75"/>
      <c r="BI717" s="74">
        <f t="shared" si="29"/>
        <v>7.1249999999999994E-2</v>
      </c>
    </row>
    <row r="718" spans="1:61" s="11" customFormat="1" x14ac:dyDescent="0.2">
      <c r="A718" s="61"/>
      <c r="O718" s="61"/>
      <c r="AU718" s="281">
        <v>65546</v>
      </c>
      <c r="AV718" s="75"/>
      <c r="AW718" s="75"/>
      <c r="AX718" s="75"/>
      <c r="AY718" s="75"/>
      <c r="AZ718" s="75"/>
      <c r="BA718" s="75"/>
      <c r="BB718" s="75"/>
      <c r="BC718" s="75"/>
      <c r="BD718" s="75"/>
      <c r="BE718" s="75"/>
      <c r="BF718" s="75">
        <v>7.1249999999999994E-2</v>
      </c>
      <c r="BG718" s="75"/>
      <c r="BH718" s="75"/>
      <c r="BI718" s="74">
        <f t="shared" si="29"/>
        <v>7.1249999999999994E-2</v>
      </c>
    </row>
    <row r="719" spans="1:61" s="11" customFormat="1" x14ac:dyDescent="0.2">
      <c r="A719" s="61"/>
      <c r="O719" s="61"/>
      <c r="AU719" s="281">
        <v>65576</v>
      </c>
      <c r="AV719" s="75"/>
      <c r="AW719" s="75"/>
      <c r="AX719" s="75"/>
      <c r="AY719" s="75"/>
      <c r="AZ719" s="75"/>
      <c r="BA719" s="75"/>
      <c r="BB719" s="75"/>
      <c r="BC719" s="75"/>
      <c r="BD719" s="75"/>
      <c r="BE719" s="75"/>
      <c r="BF719" s="75">
        <v>7.1249999999999994E-2</v>
      </c>
      <c r="BG719" s="75"/>
      <c r="BH719" s="75"/>
      <c r="BI719" s="74">
        <f t="shared" si="29"/>
        <v>7.1249999999999994E-2</v>
      </c>
    </row>
    <row r="720" spans="1:61" s="11" customFormat="1" x14ac:dyDescent="0.2">
      <c r="A720" s="61"/>
      <c r="O720" s="61"/>
      <c r="AU720" s="281">
        <v>65607</v>
      </c>
      <c r="AV720" s="75"/>
      <c r="AW720" s="75"/>
      <c r="AX720" s="75"/>
      <c r="AY720" s="75"/>
      <c r="AZ720" s="75"/>
      <c r="BA720" s="75"/>
      <c r="BB720" s="75"/>
      <c r="BC720" s="75"/>
      <c r="BD720" s="75"/>
      <c r="BE720" s="75"/>
      <c r="BF720" s="75">
        <v>7.1249999999999994E-2</v>
      </c>
      <c r="BG720" s="75"/>
      <c r="BH720" s="75"/>
      <c r="BI720" s="74">
        <f t="shared" si="29"/>
        <v>7.1249999999999994E-2</v>
      </c>
    </row>
    <row r="721" spans="1:61" s="11" customFormat="1" x14ac:dyDescent="0.2">
      <c r="A721" s="61"/>
      <c r="O721" s="61"/>
      <c r="AU721" s="281">
        <v>65638</v>
      </c>
      <c r="AV721" s="75"/>
      <c r="AW721" s="75"/>
      <c r="AX721" s="75"/>
      <c r="AY721" s="75"/>
      <c r="AZ721" s="75"/>
      <c r="BA721" s="75"/>
      <c r="BB721" s="75"/>
      <c r="BC721" s="75"/>
      <c r="BD721" s="75"/>
      <c r="BE721" s="75"/>
      <c r="BF721" s="75">
        <v>7.1249999999999994E-2</v>
      </c>
      <c r="BG721" s="75"/>
      <c r="BH721" s="75"/>
      <c r="BI721" s="74">
        <f t="shared" si="29"/>
        <v>7.1249999999999994E-2</v>
      </c>
    </row>
    <row r="722" spans="1:61" s="11" customFormat="1" x14ac:dyDescent="0.2">
      <c r="A722" s="61"/>
      <c r="O722" s="61"/>
      <c r="AU722" s="281">
        <v>65668</v>
      </c>
      <c r="AV722" s="75"/>
      <c r="AW722" s="75"/>
      <c r="AX722" s="75"/>
      <c r="AY722" s="75"/>
      <c r="AZ722" s="75"/>
      <c r="BA722" s="75"/>
      <c r="BB722" s="75"/>
      <c r="BC722" s="75"/>
      <c r="BD722" s="75"/>
      <c r="BE722" s="75"/>
      <c r="BF722" s="75">
        <v>7.1249999999999994E-2</v>
      </c>
      <c r="BG722" s="75"/>
      <c r="BH722" s="75"/>
      <c r="BI722" s="74">
        <f t="shared" si="29"/>
        <v>7.1249999999999994E-2</v>
      </c>
    </row>
    <row r="723" spans="1:61" s="11" customFormat="1" x14ac:dyDescent="0.2">
      <c r="A723" s="61"/>
      <c r="O723" s="61"/>
      <c r="AU723" s="281">
        <v>65699</v>
      </c>
      <c r="AV723" s="75"/>
      <c r="AW723" s="75"/>
      <c r="AX723" s="75"/>
      <c r="AY723" s="75"/>
      <c r="AZ723" s="75"/>
      <c r="BA723" s="75"/>
      <c r="BB723" s="75"/>
      <c r="BC723" s="75"/>
      <c r="BD723" s="75"/>
      <c r="BE723" s="75"/>
      <c r="BF723" s="75">
        <v>7.1249999999999994E-2</v>
      </c>
      <c r="BG723" s="75"/>
      <c r="BH723" s="75"/>
      <c r="BI723" s="74">
        <f t="shared" si="29"/>
        <v>7.1249999999999994E-2</v>
      </c>
    </row>
    <row r="724" spans="1:61" s="11" customFormat="1" x14ac:dyDescent="0.2">
      <c r="A724" s="61"/>
      <c r="O724" s="61"/>
      <c r="AU724" s="281">
        <v>65729</v>
      </c>
      <c r="AV724" s="75"/>
      <c r="AW724" s="75"/>
      <c r="AX724" s="75"/>
      <c r="AY724" s="75"/>
      <c r="AZ724" s="75"/>
      <c r="BA724" s="75"/>
      <c r="BB724" s="75"/>
      <c r="BC724" s="75"/>
      <c r="BD724" s="75"/>
      <c r="BE724" s="75"/>
      <c r="BF724" s="75">
        <v>7.1249999999999994E-2</v>
      </c>
      <c r="BG724" s="75"/>
      <c r="BH724" s="75"/>
      <c r="BI724" s="74">
        <f t="shared" si="29"/>
        <v>7.1249999999999994E-2</v>
      </c>
    </row>
    <row r="725" spans="1:61" s="11" customFormat="1" x14ac:dyDescent="0.2">
      <c r="A725" s="61"/>
      <c r="O725" s="61"/>
      <c r="AU725" s="281">
        <v>65760</v>
      </c>
      <c r="AV725" s="75"/>
      <c r="AW725" s="75"/>
      <c r="AX725" s="75"/>
      <c r="AY725" s="75"/>
      <c r="AZ725" s="75"/>
      <c r="BA725" s="75"/>
      <c r="BB725" s="75"/>
      <c r="BC725" s="75"/>
      <c r="BD725" s="75"/>
      <c r="BE725" s="75"/>
      <c r="BF725" s="75">
        <v>7.1249999999999994E-2</v>
      </c>
      <c r="BG725" s="75"/>
      <c r="BH725" s="75"/>
      <c r="BI725" s="74">
        <f t="shared" si="29"/>
        <v>7.1249999999999994E-2</v>
      </c>
    </row>
    <row r="726" spans="1:61" s="11" customFormat="1" x14ac:dyDescent="0.2">
      <c r="A726" s="61"/>
      <c r="O726" s="61"/>
      <c r="AU726" s="281">
        <v>65791</v>
      </c>
      <c r="AV726" s="75"/>
      <c r="AW726" s="75"/>
      <c r="AX726" s="75"/>
      <c r="AY726" s="75"/>
      <c r="AZ726" s="75"/>
      <c r="BA726" s="75"/>
      <c r="BB726" s="75"/>
      <c r="BC726" s="75"/>
      <c r="BD726" s="75"/>
      <c r="BE726" s="75"/>
      <c r="BF726" s="75">
        <v>7.1249999999999994E-2</v>
      </c>
      <c r="BG726" s="75"/>
      <c r="BH726" s="75"/>
      <c r="BI726" s="74">
        <f t="shared" si="29"/>
        <v>7.1249999999999994E-2</v>
      </c>
    </row>
    <row r="727" spans="1:61" s="11" customFormat="1" x14ac:dyDescent="0.2">
      <c r="A727" s="61"/>
      <c r="O727" s="61"/>
      <c r="AU727" s="281">
        <v>65820</v>
      </c>
      <c r="AV727" s="75"/>
      <c r="AW727" s="75"/>
      <c r="AX727" s="75"/>
      <c r="AY727" s="75"/>
      <c r="AZ727" s="75"/>
      <c r="BA727" s="75"/>
      <c r="BB727" s="75"/>
      <c r="BC727" s="75"/>
      <c r="BD727" s="75"/>
      <c r="BE727" s="75"/>
      <c r="BF727" s="75">
        <v>7.1249999999999994E-2</v>
      </c>
      <c r="BG727" s="75"/>
      <c r="BH727" s="75"/>
      <c r="BI727" s="74">
        <f t="shared" si="29"/>
        <v>7.1249999999999994E-2</v>
      </c>
    </row>
    <row r="728" spans="1:61" s="11" customFormat="1" x14ac:dyDescent="0.2">
      <c r="A728" s="61"/>
      <c r="O728" s="61"/>
      <c r="AU728" s="281">
        <v>65851</v>
      </c>
      <c r="AV728" s="75"/>
      <c r="AW728" s="75"/>
      <c r="AX728" s="75"/>
      <c r="AY728" s="75"/>
      <c r="AZ728" s="75"/>
      <c r="BA728" s="75"/>
      <c r="BB728" s="75"/>
      <c r="BC728" s="75"/>
      <c r="BD728" s="75"/>
      <c r="BE728" s="75"/>
      <c r="BF728" s="75">
        <v>7.1249999999999994E-2</v>
      </c>
      <c r="BG728" s="75"/>
      <c r="BH728" s="75"/>
      <c r="BI728" s="74">
        <f t="shared" si="29"/>
        <v>7.1249999999999994E-2</v>
      </c>
    </row>
    <row r="729" spans="1:61" s="11" customFormat="1" x14ac:dyDescent="0.2">
      <c r="A729" s="61"/>
      <c r="O729" s="61"/>
      <c r="AU729" s="281">
        <v>65881</v>
      </c>
      <c r="AV729" s="75"/>
      <c r="AW729" s="75"/>
      <c r="AX729" s="75"/>
      <c r="AY729" s="75"/>
      <c r="AZ729" s="75"/>
      <c r="BA729" s="75"/>
      <c r="BB729" s="75"/>
      <c r="BC729" s="75"/>
      <c r="BD729" s="75"/>
      <c r="BE729" s="75"/>
      <c r="BF729" s="75">
        <v>7.1249999999999994E-2</v>
      </c>
      <c r="BG729" s="75"/>
      <c r="BH729" s="75"/>
      <c r="BI729" s="74">
        <f t="shared" si="29"/>
        <v>7.1249999999999994E-2</v>
      </c>
    </row>
    <row r="730" spans="1:61" s="11" customFormat="1" x14ac:dyDescent="0.2">
      <c r="A730" s="61"/>
      <c r="O730" s="61"/>
      <c r="AU730" s="281">
        <v>65912</v>
      </c>
      <c r="AV730" s="75"/>
      <c r="AW730" s="75"/>
      <c r="AX730" s="75"/>
      <c r="AY730" s="75"/>
      <c r="AZ730" s="75"/>
      <c r="BA730" s="75"/>
      <c r="BB730" s="75"/>
      <c r="BC730" s="75"/>
      <c r="BD730" s="75"/>
      <c r="BE730" s="75"/>
      <c r="BF730" s="75">
        <v>7.1249999999999994E-2</v>
      </c>
      <c r="BG730" s="75"/>
      <c r="BH730" s="75"/>
      <c r="BI730" s="74">
        <f t="shared" si="29"/>
        <v>7.1249999999999994E-2</v>
      </c>
    </row>
    <row r="731" spans="1:61" s="11" customFormat="1" x14ac:dyDescent="0.2">
      <c r="A731" s="61"/>
      <c r="O731" s="61"/>
      <c r="AU731" s="281">
        <v>65942</v>
      </c>
      <c r="AV731" s="75"/>
      <c r="AW731" s="75"/>
      <c r="AX731" s="75"/>
      <c r="AY731" s="75"/>
      <c r="AZ731" s="75"/>
      <c r="BA731" s="75"/>
      <c r="BB731" s="75"/>
      <c r="BC731" s="75"/>
      <c r="BD731" s="75"/>
      <c r="BE731" s="75"/>
      <c r="BF731" s="75">
        <v>7.1249999999999994E-2</v>
      </c>
      <c r="BG731" s="75"/>
      <c r="BH731" s="75"/>
      <c r="BI731" s="74">
        <f t="shared" si="29"/>
        <v>7.1249999999999994E-2</v>
      </c>
    </row>
    <row r="732" spans="1:61" s="11" customFormat="1" x14ac:dyDescent="0.2">
      <c r="A732" s="61"/>
      <c r="O732" s="61"/>
      <c r="AU732" s="281">
        <v>65973</v>
      </c>
      <c r="AV732" s="75"/>
      <c r="AW732" s="75"/>
      <c r="AX732" s="75"/>
      <c r="AY732" s="75"/>
      <c r="AZ732" s="75"/>
      <c r="BA732" s="75"/>
      <c r="BB732" s="75"/>
      <c r="BC732" s="75"/>
      <c r="BD732" s="75"/>
      <c r="BE732" s="75"/>
      <c r="BF732" s="75">
        <v>7.1249999999999994E-2</v>
      </c>
      <c r="BG732" s="75"/>
      <c r="BH732" s="75"/>
      <c r="BI732" s="74">
        <f t="shared" si="29"/>
        <v>7.1249999999999994E-2</v>
      </c>
    </row>
    <row r="733" spans="1:61" s="11" customFormat="1" x14ac:dyDescent="0.2">
      <c r="A733" s="61"/>
      <c r="O733" s="61"/>
      <c r="AU733" s="281">
        <v>66004</v>
      </c>
      <c r="AV733" s="75"/>
      <c r="AW733" s="75"/>
      <c r="AX733" s="75"/>
      <c r="AY733" s="75"/>
      <c r="AZ733" s="75"/>
      <c r="BA733" s="75"/>
      <c r="BB733" s="75"/>
      <c r="BC733" s="75"/>
      <c r="BD733" s="75"/>
      <c r="BE733" s="75"/>
      <c r="BF733" s="75">
        <v>7.1249999999999994E-2</v>
      </c>
      <c r="BG733" s="75"/>
      <c r="BH733" s="75"/>
      <c r="BI733" s="74">
        <f t="shared" si="29"/>
        <v>7.1249999999999994E-2</v>
      </c>
    </row>
    <row r="734" spans="1:61" s="11" customFormat="1" x14ac:dyDescent="0.2">
      <c r="A734" s="61"/>
      <c r="O734" s="61"/>
      <c r="AU734" s="281">
        <v>66034</v>
      </c>
      <c r="AV734" s="75"/>
      <c r="AW734" s="75"/>
      <c r="AX734" s="75"/>
      <c r="AY734" s="75"/>
      <c r="AZ734" s="75"/>
      <c r="BA734" s="75"/>
      <c r="BB734" s="75"/>
      <c r="BC734" s="75"/>
      <c r="BD734" s="75"/>
      <c r="BE734" s="75"/>
      <c r="BF734" s="75">
        <v>7.1249999999999994E-2</v>
      </c>
      <c r="BG734" s="75"/>
      <c r="BH734" s="75"/>
      <c r="BI734" s="74">
        <f t="shared" si="29"/>
        <v>7.1249999999999994E-2</v>
      </c>
    </row>
    <row r="735" spans="1:61" s="11" customFormat="1" x14ac:dyDescent="0.2">
      <c r="A735" s="61"/>
      <c r="O735" s="61"/>
      <c r="AU735" s="281">
        <v>66065</v>
      </c>
      <c r="AV735" s="75"/>
      <c r="AW735" s="75"/>
      <c r="AX735" s="75"/>
      <c r="AY735" s="75"/>
      <c r="AZ735" s="75"/>
      <c r="BA735" s="75"/>
      <c r="BB735" s="75"/>
      <c r="BC735" s="75"/>
      <c r="BD735" s="75"/>
      <c r="BE735" s="75"/>
      <c r="BF735" s="75">
        <v>7.1249999999999994E-2</v>
      </c>
      <c r="BG735" s="75"/>
      <c r="BH735" s="75"/>
      <c r="BI735" s="74">
        <f t="shared" si="29"/>
        <v>7.1249999999999994E-2</v>
      </c>
    </row>
    <row r="736" spans="1:61" s="11" customFormat="1" x14ac:dyDescent="0.2">
      <c r="A736" s="61"/>
      <c r="O736" s="61"/>
      <c r="AU736" s="281">
        <v>66095</v>
      </c>
      <c r="AV736" s="75"/>
      <c r="AW736" s="75"/>
      <c r="AX736" s="75"/>
      <c r="AY736" s="75"/>
      <c r="AZ736" s="75"/>
      <c r="BA736" s="75"/>
      <c r="BB736" s="75"/>
      <c r="BC736" s="75"/>
      <c r="BD736" s="75"/>
      <c r="BE736" s="75"/>
      <c r="BF736" s="75">
        <v>7.1249999999999994E-2</v>
      </c>
      <c r="BG736" s="75"/>
      <c r="BH736" s="75"/>
      <c r="BI736" s="74">
        <f t="shared" si="29"/>
        <v>7.1249999999999994E-2</v>
      </c>
    </row>
    <row r="737" spans="1:61" s="11" customFormat="1" x14ac:dyDescent="0.2">
      <c r="A737" s="61"/>
      <c r="O737" s="61"/>
      <c r="AU737" s="281">
        <v>66126</v>
      </c>
      <c r="AV737" s="75"/>
      <c r="AW737" s="75"/>
      <c r="AX737" s="75"/>
      <c r="AY737" s="75"/>
      <c r="AZ737" s="75"/>
      <c r="BA737" s="75"/>
      <c r="BB737" s="75"/>
      <c r="BC737" s="75"/>
      <c r="BD737" s="75"/>
      <c r="BE737" s="75"/>
      <c r="BF737" s="75">
        <v>7.1249999999999994E-2</v>
      </c>
      <c r="BG737" s="75"/>
      <c r="BH737" s="75"/>
      <c r="BI737" s="74">
        <f t="shared" si="29"/>
        <v>7.1249999999999994E-2</v>
      </c>
    </row>
    <row r="738" spans="1:61" s="11" customFormat="1" x14ac:dyDescent="0.2">
      <c r="A738" s="61"/>
      <c r="O738" s="61"/>
      <c r="AU738" s="281">
        <v>66157</v>
      </c>
      <c r="AV738" s="75"/>
      <c r="AW738" s="75"/>
      <c r="AX738" s="75"/>
      <c r="AY738" s="75"/>
      <c r="AZ738" s="75"/>
      <c r="BA738" s="75"/>
      <c r="BB738" s="75"/>
      <c r="BC738" s="75"/>
      <c r="BD738" s="75"/>
      <c r="BE738" s="75"/>
      <c r="BF738" s="75">
        <v>7.1249999999999994E-2</v>
      </c>
      <c r="BG738" s="75"/>
      <c r="BH738" s="75"/>
      <c r="BI738" s="74">
        <f t="shared" si="29"/>
        <v>7.1249999999999994E-2</v>
      </c>
    </row>
    <row r="739" spans="1:61" s="11" customFormat="1" x14ac:dyDescent="0.2">
      <c r="A739" s="61"/>
      <c r="O739" s="61"/>
      <c r="AU739" s="281">
        <v>66185</v>
      </c>
      <c r="AV739" s="75"/>
      <c r="AW739" s="75"/>
      <c r="AX739" s="75"/>
      <c r="AY739" s="75"/>
      <c r="AZ739" s="75"/>
      <c r="BA739" s="75"/>
      <c r="BB739" s="75"/>
      <c r="BC739" s="75"/>
      <c r="BD739" s="75"/>
      <c r="BE739" s="75"/>
      <c r="BF739" s="75">
        <v>7.1249999999999994E-2</v>
      </c>
      <c r="BG739" s="75"/>
      <c r="BH739" s="75"/>
      <c r="BI739" s="74">
        <f t="shared" si="29"/>
        <v>7.1249999999999994E-2</v>
      </c>
    </row>
    <row r="740" spans="1:61" s="11" customFormat="1" x14ac:dyDescent="0.2">
      <c r="A740" s="61"/>
      <c r="O740" s="61"/>
      <c r="AU740" s="281">
        <v>66216</v>
      </c>
      <c r="AV740" s="75"/>
      <c r="AW740" s="75"/>
      <c r="AX740" s="75"/>
      <c r="AY740" s="75"/>
      <c r="AZ740" s="75"/>
      <c r="BA740" s="75"/>
      <c r="BB740" s="75"/>
      <c r="BC740" s="75"/>
      <c r="BD740" s="75"/>
      <c r="BE740" s="75"/>
      <c r="BF740" s="75">
        <v>7.1249999999999994E-2</v>
      </c>
      <c r="BG740" s="75"/>
      <c r="BH740" s="75"/>
      <c r="BI740" s="74">
        <f t="shared" si="29"/>
        <v>7.1249999999999994E-2</v>
      </c>
    </row>
    <row r="741" spans="1:61" s="11" customFormat="1" x14ac:dyDescent="0.2">
      <c r="A741" s="61"/>
      <c r="O741" s="61"/>
      <c r="AU741" s="281">
        <v>66246</v>
      </c>
      <c r="AV741" s="75"/>
      <c r="AW741" s="75"/>
      <c r="AX741" s="75"/>
      <c r="AY741" s="75"/>
      <c r="AZ741" s="75"/>
      <c r="BA741" s="75"/>
      <c r="BB741" s="75"/>
      <c r="BC741" s="75"/>
      <c r="BD741" s="75"/>
      <c r="BE741" s="75"/>
      <c r="BF741" s="75">
        <v>7.1249999999999994E-2</v>
      </c>
      <c r="BG741" s="75"/>
      <c r="BH741" s="75"/>
      <c r="BI741" s="74">
        <f t="shared" si="29"/>
        <v>7.1249999999999994E-2</v>
      </c>
    </row>
    <row r="742" spans="1:61" s="11" customFormat="1" x14ac:dyDescent="0.2">
      <c r="A742" s="61"/>
      <c r="O742" s="61"/>
      <c r="AU742" s="281">
        <v>66277</v>
      </c>
      <c r="AV742" s="75"/>
      <c r="AW742" s="75"/>
      <c r="AX742" s="75"/>
      <c r="AY742" s="75"/>
      <c r="AZ742" s="75"/>
      <c r="BA742" s="75"/>
      <c r="BB742" s="75"/>
      <c r="BC742" s="75"/>
      <c r="BD742" s="75"/>
      <c r="BE742" s="75"/>
      <c r="BF742" s="75">
        <v>7.1249999999999994E-2</v>
      </c>
      <c r="BG742" s="75"/>
      <c r="BH742" s="75"/>
      <c r="BI742" s="74">
        <f t="shared" si="29"/>
        <v>7.1249999999999994E-2</v>
      </c>
    </row>
    <row r="743" spans="1:61" s="11" customFormat="1" x14ac:dyDescent="0.2">
      <c r="A743" s="61"/>
      <c r="O743" s="61"/>
      <c r="AU743" s="281">
        <v>66307</v>
      </c>
      <c r="AV743" s="75"/>
      <c r="AW743" s="75"/>
      <c r="AX743" s="75"/>
      <c r="AY743" s="75"/>
      <c r="AZ743" s="75"/>
      <c r="BA743" s="75"/>
      <c r="BB743" s="75"/>
      <c r="BC743" s="75"/>
      <c r="BD743" s="75"/>
      <c r="BE743" s="75"/>
      <c r="BF743" s="75">
        <v>7.1249999999999994E-2</v>
      </c>
      <c r="BG743" s="75"/>
      <c r="BH743" s="75"/>
      <c r="BI743" s="74">
        <f t="shared" si="29"/>
        <v>7.1249999999999994E-2</v>
      </c>
    </row>
    <row r="744" spans="1:61" s="11" customFormat="1" x14ac:dyDescent="0.2">
      <c r="A744" s="61"/>
      <c r="O744" s="61"/>
      <c r="AU744" s="281">
        <v>66338</v>
      </c>
      <c r="AV744" s="75"/>
      <c r="AW744" s="75"/>
      <c r="AX744" s="75"/>
      <c r="AY744" s="75"/>
      <c r="AZ744" s="75"/>
      <c r="BA744" s="75"/>
      <c r="BB744" s="75"/>
      <c r="BC744" s="75"/>
      <c r="BD744" s="75"/>
      <c r="BE744" s="75"/>
      <c r="BF744" s="75">
        <v>7.1249999999999994E-2</v>
      </c>
      <c r="BG744" s="75"/>
      <c r="BH744" s="75"/>
      <c r="BI744" s="74">
        <f t="shared" si="29"/>
        <v>7.1249999999999994E-2</v>
      </c>
    </row>
    <row r="745" spans="1:61" s="11" customFormat="1" x14ac:dyDescent="0.2">
      <c r="A745" s="61"/>
      <c r="O745" s="61"/>
      <c r="AU745" s="281">
        <v>66369</v>
      </c>
      <c r="AV745" s="75"/>
      <c r="AW745" s="75"/>
      <c r="AX745" s="75"/>
      <c r="AY745" s="75"/>
      <c r="AZ745" s="75"/>
      <c r="BA745" s="75"/>
      <c r="BB745" s="75"/>
      <c r="BC745" s="75"/>
      <c r="BD745" s="75"/>
      <c r="BE745" s="75"/>
      <c r="BF745" s="75">
        <v>7.1249999999999994E-2</v>
      </c>
      <c r="BG745" s="75"/>
      <c r="BH745" s="75"/>
      <c r="BI745" s="74">
        <f t="shared" si="29"/>
        <v>7.1249999999999994E-2</v>
      </c>
    </row>
    <row r="746" spans="1:61" s="11" customFormat="1" x14ac:dyDescent="0.2">
      <c r="A746" s="61"/>
      <c r="O746" s="61"/>
      <c r="AU746" s="281">
        <v>66399</v>
      </c>
      <c r="AV746" s="75"/>
      <c r="AW746" s="75"/>
      <c r="AX746" s="75"/>
      <c r="AY746" s="75"/>
      <c r="AZ746" s="75"/>
      <c r="BA746" s="75"/>
      <c r="BB746" s="75"/>
      <c r="BC746" s="75"/>
      <c r="BD746" s="75"/>
      <c r="BE746" s="75"/>
      <c r="BF746" s="75">
        <v>7.1249999999999994E-2</v>
      </c>
      <c r="BG746" s="75"/>
      <c r="BH746" s="75"/>
      <c r="BI746" s="74">
        <f t="shared" si="29"/>
        <v>7.1249999999999994E-2</v>
      </c>
    </row>
    <row r="747" spans="1:61" s="11" customFormat="1" x14ac:dyDescent="0.2">
      <c r="A747" s="61"/>
      <c r="O747" s="61"/>
      <c r="AU747" s="281">
        <v>66430</v>
      </c>
      <c r="AV747" s="75"/>
      <c r="AW747" s="75"/>
      <c r="AX747" s="75"/>
      <c r="AY747" s="75"/>
      <c r="AZ747" s="75"/>
      <c r="BA747" s="75"/>
      <c r="BB747" s="75"/>
      <c r="BC747" s="75"/>
      <c r="BD747" s="75"/>
      <c r="BE747" s="75"/>
      <c r="BF747" s="75">
        <v>7.1249999999999994E-2</v>
      </c>
      <c r="BG747" s="75"/>
      <c r="BH747" s="75"/>
      <c r="BI747" s="74">
        <f t="shared" si="29"/>
        <v>7.1249999999999994E-2</v>
      </c>
    </row>
    <row r="748" spans="1:61" s="11" customFormat="1" x14ac:dyDescent="0.2">
      <c r="A748" s="61"/>
      <c r="O748" s="61"/>
      <c r="AU748" s="281">
        <v>66460</v>
      </c>
      <c r="AV748" s="75"/>
      <c r="AW748" s="75"/>
      <c r="AX748" s="75"/>
      <c r="AY748" s="75"/>
      <c r="AZ748" s="75"/>
      <c r="BA748" s="75"/>
      <c r="BB748" s="75"/>
      <c r="BC748" s="75"/>
      <c r="BD748" s="75"/>
      <c r="BE748" s="75"/>
      <c r="BF748" s="75">
        <v>7.1249999999999994E-2</v>
      </c>
      <c r="BG748" s="75"/>
      <c r="BH748" s="75"/>
      <c r="BI748" s="74">
        <f t="shared" si="29"/>
        <v>7.1249999999999994E-2</v>
      </c>
    </row>
    <row r="749" spans="1:61" s="11" customFormat="1" x14ac:dyDescent="0.2">
      <c r="A749" s="61"/>
      <c r="O749" s="61"/>
      <c r="AU749" s="281">
        <v>66491</v>
      </c>
      <c r="AV749" s="75"/>
      <c r="AW749" s="75"/>
      <c r="AX749" s="75"/>
      <c r="AY749" s="75"/>
      <c r="AZ749" s="75"/>
      <c r="BA749" s="75"/>
      <c r="BB749" s="75"/>
      <c r="BC749" s="75"/>
      <c r="BD749" s="75"/>
      <c r="BE749" s="75"/>
      <c r="BF749" s="75">
        <v>7.1249999999999994E-2</v>
      </c>
      <c r="BG749" s="75"/>
      <c r="BH749" s="75"/>
      <c r="BI749" s="74">
        <f t="shared" si="29"/>
        <v>7.1249999999999994E-2</v>
      </c>
    </row>
    <row r="750" spans="1:61" s="11" customFormat="1" x14ac:dyDescent="0.2">
      <c r="A750" s="61"/>
      <c r="O750" s="61"/>
      <c r="AU750" s="281">
        <v>66522</v>
      </c>
      <c r="AV750" s="75"/>
      <c r="AW750" s="75"/>
      <c r="AX750" s="75"/>
      <c r="AY750" s="75"/>
      <c r="AZ750" s="75"/>
      <c r="BA750" s="75"/>
      <c r="BB750" s="75"/>
      <c r="BC750" s="75"/>
      <c r="BD750" s="75"/>
      <c r="BE750" s="75"/>
      <c r="BF750" s="75">
        <v>7.1249999999999994E-2</v>
      </c>
      <c r="BG750" s="75"/>
      <c r="BH750" s="75"/>
      <c r="BI750" s="74">
        <f t="shared" si="29"/>
        <v>7.1249999999999994E-2</v>
      </c>
    </row>
    <row r="751" spans="1:61" s="11" customFormat="1" x14ac:dyDescent="0.2">
      <c r="A751" s="61"/>
      <c r="O751" s="61"/>
      <c r="AU751" s="281">
        <v>66550</v>
      </c>
      <c r="AV751" s="75"/>
      <c r="AW751" s="75"/>
      <c r="AX751" s="75"/>
      <c r="AY751" s="75"/>
      <c r="AZ751" s="75"/>
      <c r="BA751" s="75"/>
      <c r="BB751" s="75"/>
      <c r="BC751" s="75"/>
      <c r="BD751" s="75"/>
      <c r="BE751" s="75"/>
      <c r="BF751" s="75">
        <v>7.1249999999999994E-2</v>
      </c>
      <c r="BG751" s="75"/>
      <c r="BH751" s="75"/>
      <c r="BI751" s="74">
        <f t="shared" si="29"/>
        <v>7.1249999999999994E-2</v>
      </c>
    </row>
    <row r="752" spans="1:61" s="11" customFormat="1" x14ac:dyDescent="0.2">
      <c r="A752" s="61"/>
      <c r="O752" s="61"/>
      <c r="AU752" s="281">
        <v>66581</v>
      </c>
      <c r="AV752" s="75"/>
      <c r="AW752" s="75"/>
      <c r="AX752" s="75"/>
      <c r="AY752" s="75"/>
      <c r="AZ752" s="75"/>
      <c r="BA752" s="75"/>
      <c r="BB752" s="75"/>
      <c r="BC752" s="75"/>
      <c r="BD752" s="75"/>
      <c r="BE752" s="75"/>
      <c r="BF752" s="75">
        <v>7.1249999999999994E-2</v>
      </c>
      <c r="BG752" s="75"/>
      <c r="BH752" s="75"/>
      <c r="BI752" s="74">
        <f t="shared" si="29"/>
        <v>7.1249999999999994E-2</v>
      </c>
    </row>
    <row r="753" spans="1:61" s="11" customFormat="1" x14ac:dyDescent="0.2">
      <c r="A753" s="61"/>
      <c r="O753" s="61"/>
      <c r="AU753" s="281">
        <v>66611</v>
      </c>
      <c r="AV753" s="75"/>
      <c r="AW753" s="75"/>
      <c r="AX753" s="75"/>
      <c r="AY753" s="75"/>
      <c r="AZ753" s="75"/>
      <c r="BA753" s="75"/>
      <c r="BB753" s="75"/>
      <c r="BC753" s="75"/>
      <c r="BD753" s="75"/>
      <c r="BE753" s="75"/>
      <c r="BF753" s="75">
        <v>7.1249999999999994E-2</v>
      </c>
      <c r="BG753" s="75"/>
      <c r="BH753" s="75"/>
      <c r="BI753" s="74">
        <f t="shared" si="29"/>
        <v>7.1249999999999994E-2</v>
      </c>
    </row>
    <row r="754" spans="1:61" s="11" customFormat="1" x14ac:dyDescent="0.2">
      <c r="A754" s="61"/>
      <c r="O754" s="61"/>
      <c r="AU754" s="281">
        <v>66642</v>
      </c>
      <c r="AV754" s="75"/>
      <c r="AW754" s="75"/>
      <c r="AX754" s="75"/>
      <c r="AY754" s="75"/>
      <c r="AZ754" s="75"/>
      <c r="BA754" s="75"/>
      <c r="BB754" s="75"/>
      <c r="BC754" s="75"/>
      <c r="BD754" s="75"/>
      <c r="BE754" s="75"/>
      <c r="BF754" s="75">
        <v>7.1249999999999994E-2</v>
      </c>
      <c r="BG754" s="75"/>
      <c r="BH754" s="75"/>
      <c r="BI754" s="74">
        <f t="shared" si="29"/>
        <v>7.1249999999999994E-2</v>
      </c>
    </row>
    <row r="755" spans="1:61" s="11" customFormat="1" x14ac:dyDescent="0.2">
      <c r="A755" s="61"/>
      <c r="O755" s="61"/>
      <c r="AU755" s="281">
        <v>66672</v>
      </c>
      <c r="AV755" s="75"/>
      <c r="AW755" s="75"/>
      <c r="AX755" s="75"/>
      <c r="AY755" s="75"/>
      <c r="AZ755" s="75"/>
      <c r="BA755" s="75"/>
      <c r="BB755" s="75"/>
      <c r="BC755" s="75"/>
      <c r="BD755" s="75"/>
      <c r="BE755" s="75"/>
      <c r="BF755" s="75">
        <v>7.1249999999999994E-2</v>
      </c>
      <c r="BG755" s="75"/>
      <c r="BH755" s="75"/>
      <c r="BI755" s="74">
        <f t="shared" si="29"/>
        <v>7.1249999999999994E-2</v>
      </c>
    </row>
    <row r="756" spans="1:61" s="11" customFormat="1" x14ac:dyDescent="0.2">
      <c r="A756" s="61"/>
      <c r="O756" s="61"/>
      <c r="AU756" s="281">
        <v>66703</v>
      </c>
      <c r="AV756" s="75"/>
      <c r="AW756" s="75"/>
      <c r="AX756" s="75"/>
      <c r="AY756" s="75"/>
      <c r="AZ756" s="75"/>
      <c r="BA756" s="75"/>
      <c r="BB756" s="75"/>
      <c r="BC756" s="75"/>
      <c r="BD756" s="75"/>
      <c r="BE756" s="75"/>
      <c r="BF756" s="75">
        <v>7.1249999999999994E-2</v>
      </c>
      <c r="BG756" s="75"/>
      <c r="BH756" s="75"/>
      <c r="BI756" s="74">
        <f t="shared" si="29"/>
        <v>7.1249999999999994E-2</v>
      </c>
    </row>
    <row r="757" spans="1:61" s="11" customFormat="1" x14ac:dyDescent="0.2">
      <c r="A757" s="61"/>
      <c r="O757" s="61"/>
      <c r="AU757" s="281">
        <v>66734</v>
      </c>
      <c r="AV757" s="75"/>
      <c r="AW757" s="75"/>
      <c r="AX757" s="75"/>
      <c r="AY757" s="75"/>
      <c r="AZ757" s="75"/>
      <c r="BA757" s="75"/>
      <c r="BB757" s="75"/>
      <c r="BC757" s="75"/>
      <c r="BD757" s="75"/>
      <c r="BE757" s="75"/>
      <c r="BF757" s="75">
        <v>7.1249999999999994E-2</v>
      </c>
      <c r="BG757" s="75"/>
      <c r="BH757" s="75"/>
      <c r="BI757" s="74">
        <f t="shared" si="29"/>
        <v>7.1249999999999994E-2</v>
      </c>
    </row>
    <row r="758" spans="1:61" s="11" customFormat="1" x14ac:dyDescent="0.2">
      <c r="A758" s="61"/>
      <c r="O758" s="61"/>
      <c r="AU758" s="281">
        <v>66764</v>
      </c>
      <c r="AV758" s="75"/>
      <c r="AW758" s="75"/>
      <c r="AX758" s="75"/>
      <c r="AY758" s="75"/>
      <c r="AZ758" s="75"/>
      <c r="BA758" s="75"/>
      <c r="BB758" s="75"/>
      <c r="BC758" s="75"/>
      <c r="BD758" s="75"/>
      <c r="BE758" s="75"/>
      <c r="BF758" s="75">
        <v>7.1249999999999994E-2</v>
      </c>
      <c r="BG758" s="75"/>
      <c r="BH758" s="75"/>
      <c r="BI758" s="74">
        <f t="shared" si="29"/>
        <v>7.1249999999999994E-2</v>
      </c>
    </row>
    <row r="759" spans="1:61" s="11" customFormat="1" x14ac:dyDescent="0.2">
      <c r="A759" s="61"/>
      <c r="O759" s="61"/>
      <c r="AU759" s="281">
        <v>66795</v>
      </c>
      <c r="AV759" s="75"/>
      <c r="AW759" s="75"/>
      <c r="AX759" s="75"/>
      <c r="AY759" s="75"/>
      <c r="AZ759" s="75"/>
      <c r="BA759" s="75"/>
      <c r="BB759" s="75"/>
      <c r="BC759" s="75"/>
      <c r="BD759" s="75"/>
      <c r="BE759" s="75"/>
      <c r="BF759" s="75">
        <v>7.1249999999999994E-2</v>
      </c>
      <c r="BG759" s="75"/>
      <c r="BH759" s="75"/>
      <c r="BI759" s="74">
        <f t="shared" si="29"/>
        <v>7.1249999999999994E-2</v>
      </c>
    </row>
    <row r="760" spans="1:61" s="11" customFormat="1" x14ac:dyDescent="0.2">
      <c r="A760" s="61"/>
      <c r="O760" s="61"/>
      <c r="AU760" s="281">
        <v>66825</v>
      </c>
      <c r="AV760" s="75"/>
      <c r="AW760" s="75"/>
      <c r="AX760" s="75"/>
      <c r="AY760" s="75"/>
      <c r="AZ760" s="75"/>
      <c r="BA760" s="75"/>
      <c r="BB760" s="75"/>
      <c r="BC760" s="75"/>
      <c r="BD760" s="75"/>
      <c r="BE760" s="75"/>
      <c r="BF760" s="75">
        <v>7.1249999999999994E-2</v>
      </c>
      <c r="BG760" s="75"/>
      <c r="BH760" s="75"/>
      <c r="BI760" s="74">
        <f t="shared" si="29"/>
        <v>7.1249999999999994E-2</v>
      </c>
    </row>
    <row r="761" spans="1:61" s="11" customFormat="1" x14ac:dyDescent="0.2">
      <c r="A761" s="61"/>
      <c r="O761" s="61"/>
      <c r="AU761" s="281">
        <v>66856</v>
      </c>
      <c r="AV761" s="75"/>
      <c r="AW761" s="75"/>
      <c r="AX761" s="75"/>
      <c r="AY761" s="75"/>
      <c r="AZ761" s="75"/>
      <c r="BA761" s="75"/>
      <c r="BB761" s="75"/>
      <c r="BC761" s="75"/>
      <c r="BD761" s="75"/>
      <c r="BE761" s="75"/>
      <c r="BF761" s="75">
        <v>7.1249999999999994E-2</v>
      </c>
      <c r="BG761" s="75"/>
      <c r="BH761" s="75"/>
      <c r="BI761" s="74">
        <f t="shared" si="29"/>
        <v>7.1249999999999994E-2</v>
      </c>
    </row>
    <row r="762" spans="1:61" s="11" customFormat="1" x14ac:dyDescent="0.2">
      <c r="A762" s="61"/>
      <c r="O762" s="61"/>
      <c r="AU762" s="281">
        <v>66887</v>
      </c>
      <c r="AV762" s="75"/>
      <c r="AW762" s="75"/>
      <c r="AX762" s="75"/>
      <c r="AY762" s="75"/>
      <c r="AZ762" s="75"/>
      <c r="BA762" s="75"/>
      <c r="BB762" s="75"/>
      <c r="BC762" s="75"/>
      <c r="BD762" s="75"/>
      <c r="BE762" s="75"/>
      <c r="BF762" s="75">
        <v>7.1249999999999994E-2</v>
      </c>
      <c r="BG762" s="75"/>
      <c r="BH762" s="75"/>
      <c r="BI762" s="74">
        <f t="shared" si="29"/>
        <v>7.1249999999999994E-2</v>
      </c>
    </row>
    <row r="763" spans="1:61" s="11" customFormat="1" x14ac:dyDescent="0.2">
      <c r="A763" s="61"/>
      <c r="O763" s="61"/>
      <c r="AU763" s="281">
        <v>66915</v>
      </c>
      <c r="AV763" s="75"/>
      <c r="AW763" s="75"/>
      <c r="AX763" s="75"/>
      <c r="AY763" s="75"/>
      <c r="AZ763" s="75"/>
      <c r="BA763" s="75"/>
      <c r="BB763" s="75"/>
      <c r="BC763" s="75"/>
      <c r="BD763" s="75"/>
      <c r="BE763" s="75"/>
      <c r="BF763" s="75">
        <v>7.1249999999999994E-2</v>
      </c>
      <c r="BG763" s="75"/>
      <c r="BH763" s="75"/>
      <c r="BI763" s="74">
        <f t="shared" si="29"/>
        <v>7.1249999999999994E-2</v>
      </c>
    </row>
    <row r="764" spans="1:61" s="11" customFormat="1" x14ac:dyDescent="0.2">
      <c r="A764" s="61"/>
      <c r="O764" s="61"/>
      <c r="AU764" s="281">
        <v>66946</v>
      </c>
      <c r="AV764" s="75"/>
      <c r="AW764" s="75"/>
      <c r="AX764" s="75"/>
      <c r="AY764" s="75"/>
      <c r="AZ764" s="75"/>
      <c r="BA764" s="75"/>
      <c r="BB764" s="75"/>
      <c r="BC764" s="75"/>
      <c r="BD764" s="75"/>
      <c r="BE764" s="75"/>
      <c r="BF764" s="75">
        <v>7.1249999999999994E-2</v>
      </c>
      <c r="BG764" s="75"/>
      <c r="BH764" s="75"/>
      <c r="BI764" s="74">
        <f t="shared" si="29"/>
        <v>7.1249999999999994E-2</v>
      </c>
    </row>
    <row r="765" spans="1:61" s="11" customFormat="1" x14ac:dyDescent="0.2">
      <c r="A765" s="61"/>
      <c r="O765" s="61"/>
      <c r="AU765" s="281">
        <v>66976</v>
      </c>
      <c r="AV765" s="75"/>
      <c r="AW765" s="75"/>
      <c r="AX765" s="75"/>
      <c r="AY765" s="75"/>
      <c r="AZ765" s="75"/>
      <c r="BA765" s="75"/>
      <c r="BB765" s="75"/>
      <c r="BC765" s="75"/>
      <c r="BD765" s="75"/>
      <c r="BE765" s="75"/>
      <c r="BF765" s="75">
        <v>7.1249999999999994E-2</v>
      </c>
      <c r="BG765" s="75"/>
      <c r="BH765" s="75"/>
      <c r="BI765" s="74">
        <f t="shared" si="29"/>
        <v>7.1249999999999994E-2</v>
      </c>
    </row>
    <row r="766" spans="1:61" s="11" customFormat="1" x14ac:dyDescent="0.2">
      <c r="A766" s="61"/>
      <c r="O766" s="61"/>
      <c r="AU766" s="281">
        <v>67007</v>
      </c>
      <c r="AV766" s="75"/>
      <c r="AW766" s="75"/>
      <c r="AX766" s="75"/>
      <c r="AY766" s="75"/>
      <c r="AZ766" s="75"/>
      <c r="BA766" s="75"/>
      <c r="BB766" s="75"/>
      <c r="BC766" s="75"/>
      <c r="BD766" s="75"/>
      <c r="BE766" s="75"/>
      <c r="BF766" s="75">
        <v>7.1249999999999994E-2</v>
      </c>
      <c r="BG766" s="75"/>
      <c r="BH766" s="75"/>
      <c r="BI766" s="74">
        <f t="shared" si="29"/>
        <v>7.1249999999999994E-2</v>
      </c>
    </row>
    <row r="767" spans="1:61" s="11" customFormat="1" x14ac:dyDescent="0.2">
      <c r="A767" s="61"/>
      <c r="O767" s="61"/>
      <c r="AU767" s="281">
        <v>67037</v>
      </c>
      <c r="AV767" s="75"/>
      <c r="AW767" s="75"/>
      <c r="AX767" s="75"/>
      <c r="AY767" s="75"/>
      <c r="AZ767" s="75"/>
      <c r="BA767" s="75"/>
      <c r="BB767" s="75"/>
      <c r="BC767" s="75"/>
      <c r="BD767" s="75"/>
      <c r="BE767" s="75"/>
      <c r="BF767" s="75">
        <v>7.1249999999999994E-2</v>
      </c>
      <c r="BG767" s="75"/>
      <c r="BH767" s="75"/>
      <c r="BI767" s="74">
        <f t="shared" si="29"/>
        <v>7.1249999999999994E-2</v>
      </c>
    </row>
    <row r="768" spans="1:61" s="11" customFormat="1" x14ac:dyDescent="0.2">
      <c r="A768" s="61"/>
      <c r="O768" s="61"/>
      <c r="AU768" s="281">
        <v>67068</v>
      </c>
      <c r="AV768" s="75"/>
      <c r="AW768" s="75"/>
      <c r="AX768" s="75"/>
      <c r="AY768" s="75"/>
      <c r="AZ768" s="75"/>
      <c r="BA768" s="75"/>
      <c r="BB768" s="75"/>
      <c r="BC768" s="75"/>
      <c r="BD768" s="75"/>
      <c r="BE768" s="75"/>
      <c r="BF768" s="75">
        <v>7.1249999999999994E-2</v>
      </c>
      <c r="BG768" s="75"/>
      <c r="BH768" s="75"/>
      <c r="BI768" s="74">
        <f t="shared" si="29"/>
        <v>7.1249999999999994E-2</v>
      </c>
    </row>
    <row r="769" spans="1:61" s="11" customFormat="1" x14ac:dyDescent="0.2">
      <c r="A769" s="61"/>
      <c r="O769" s="61"/>
      <c r="AU769" s="281">
        <v>67099</v>
      </c>
      <c r="AV769" s="75"/>
      <c r="AW769" s="75"/>
      <c r="AX769" s="75"/>
      <c r="AY769" s="75"/>
      <c r="AZ769" s="75"/>
      <c r="BA769" s="75"/>
      <c r="BB769" s="75"/>
      <c r="BC769" s="75"/>
      <c r="BD769" s="75"/>
      <c r="BE769" s="75"/>
      <c r="BF769" s="75">
        <v>7.1249999999999994E-2</v>
      </c>
      <c r="BG769" s="75"/>
      <c r="BH769" s="75"/>
      <c r="BI769" s="74">
        <f t="shared" si="29"/>
        <v>7.1249999999999994E-2</v>
      </c>
    </row>
    <row r="770" spans="1:61" s="11" customFormat="1" x14ac:dyDescent="0.2">
      <c r="A770" s="61"/>
      <c r="O770" s="61"/>
      <c r="AU770" s="281">
        <v>67129</v>
      </c>
      <c r="AV770" s="75"/>
      <c r="AW770" s="75"/>
      <c r="AX770" s="75"/>
      <c r="AY770" s="75"/>
      <c r="AZ770" s="75"/>
      <c r="BA770" s="75"/>
      <c r="BB770" s="75"/>
      <c r="BC770" s="75"/>
      <c r="BD770" s="75"/>
      <c r="BE770" s="75"/>
      <c r="BF770" s="75">
        <v>7.1249999999999994E-2</v>
      </c>
      <c r="BG770" s="75"/>
      <c r="BH770" s="75"/>
      <c r="BI770" s="74">
        <f t="shared" si="29"/>
        <v>7.1249999999999994E-2</v>
      </c>
    </row>
    <row r="771" spans="1:61" s="11" customFormat="1" x14ac:dyDescent="0.2">
      <c r="A771" s="61"/>
      <c r="O771" s="61"/>
      <c r="AU771" s="281">
        <v>67160</v>
      </c>
      <c r="AV771" s="75"/>
      <c r="AW771" s="75"/>
      <c r="AX771" s="75"/>
      <c r="AY771" s="75"/>
      <c r="AZ771" s="75"/>
      <c r="BA771" s="75"/>
      <c r="BB771" s="75"/>
      <c r="BC771" s="75"/>
      <c r="BD771" s="75"/>
      <c r="BE771" s="75"/>
      <c r="BF771" s="75">
        <v>7.1249999999999994E-2</v>
      </c>
      <c r="BG771" s="75"/>
      <c r="BH771" s="75"/>
      <c r="BI771" s="74">
        <f t="shared" si="29"/>
        <v>7.1249999999999994E-2</v>
      </c>
    </row>
    <row r="772" spans="1:61" s="11" customFormat="1" x14ac:dyDescent="0.2">
      <c r="A772" s="61"/>
      <c r="O772" s="61"/>
      <c r="AU772" s="281">
        <v>67190</v>
      </c>
      <c r="AV772" s="75"/>
      <c r="AW772" s="75"/>
      <c r="AX772" s="75"/>
      <c r="AY772" s="75"/>
      <c r="AZ772" s="75"/>
      <c r="BA772" s="75"/>
      <c r="BB772" s="75"/>
      <c r="BC772" s="75"/>
      <c r="BD772" s="75"/>
      <c r="BE772" s="75"/>
      <c r="BF772" s="75">
        <v>7.1249999999999994E-2</v>
      </c>
      <c r="BG772" s="75"/>
      <c r="BH772" s="75"/>
      <c r="BI772" s="74">
        <f t="shared" si="29"/>
        <v>7.1249999999999994E-2</v>
      </c>
    </row>
    <row r="773" spans="1:61" s="11" customFormat="1" x14ac:dyDescent="0.2">
      <c r="A773" s="61"/>
      <c r="O773" s="61"/>
      <c r="AU773" s="281">
        <v>67221</v>
      </c>
      <c r="AV773" s="75"/>
      <c r="AW773" s="75"/>
      <c r="AX773" s="75"/>
      <c r="AY773" s="75"/>
      <c r="AZ773" s="75"/>
      <c r="BA773" s="75"/>
      <c r="BB773" s="75"/>
      <c r="BC773" s="75"/>
      <c r="BD773" s="75"/>
      <c r="BE773" s="75"/>
      <c r="BF773" s="75">
        <v>7.1249999999999994E-2</v>
      </c>
      <c r="BG773" s="75"/>
      <c r="BH773" s="75"/>
      <c r="BI773" s="74">
        <f t="shared" si="29"/>
        <v>7.1249999999999994E-2</v>
      </c>
    </row>
    <row r="774" spans="1:61" s="11" customFormat="1" x14ac:dyDescent="0.2">
      <c r="A774" s="61"/>
      <c r="O774" s="61"/>
      <c r="AU774" s="281">
        <v>67252</v>
      </c>
      <c r="AV774" s="75"/>
      <c r="AW774" s="75"/>
      <c r="AX774" s="75"/>
      <c r="AY774" s="75"/>
      <c r="AZ774" s="75"/>
      <c r="BA774" s="75"/>
      <c r="BB774" s="75"/>
      <c r="BC774" s="75"/>
      <c r="BD774" s="75"/>
      <c r="BE774" s="75"/>
      <c r="BF774" s="75">
        <v>7.1249999999999994E-2</v>
      </c>
      <c r="BG774" s="75"/>
      <c r="BH774" s="75"/>
      <c r="BI774" s="74">
        <f t="shared" si="29"/>
        <v>7.1249999999999994E-2</v>
      </c>
    </row>
    <row r="775" spans="1:61" s="11" customFormat="1" x14ac:dyDescent="0.2">
      <c r="A775" s="61"/>
      <c r="O775" s="61"/>
      <c r="AU775" s="281">
        <v>67281</v>
      </c>
      <c r="AV775" s="75"/>
      <c r="AW775" s="75"/>
      <c r="AX775" s="75"/>
      <c r="AY775" s="75"/>
      <c r="AZ775" s="75"/>
      <c r="BA775" s="75"/>
      <c r="BB775" s="75"/>
      <c r="BC775" s="75"/>
      <c r="BD775" s="75"/>
      <c r="BE775" s="75"/>
      <c r="BF775" s="75">
        <v>7.1249999999999994E-2</v>
      </c>
      <c r="BG775" s="75"/>
      <c r="BH775" s="75"/>
      <c r="BI775" s="74">
        <f t="shared" si="29"/>
        <v>7.1249999999999994E-2</v>
      </c>
    </row>
    <row r="776" spans="1:61" s="11" customFormat="1" x14ac:dyDescent="0.2">
      <c r="A776" s="61"/>
      <c r="O776" s="61"/>
      <c r="AU776" s="281">
        <v>67312</v>
      </c>
      <c r="AV776" s="75"/>
      <c r="AW776" s="75"/>
      <c r="AX776" s="75"/>
      <c r="AY776" s="75"/>
      <c r="AZ776" s="75"/>
      <c r="BA776" s="75"/>
      <c r="BB776" s="75"/>
      <c r="BC776" s="75"/>
      <c r="BD776" s="75"/>
      <c r="BE776" s="75"/>
      <c r="BF776" s="75">
        <v>7.1249999999999994E-2</v>
      </c>
      <c r="BG776" s="75"/>
      <c r="BH776" s="75"/>
      <c r="BI776" s="74">
        <f t="shared" si="29"/>
        <v>7.1249999999999994E-2</v>
      </c>
    </row>
    <row r="777" spans="1:61" s="11" customFormat="1" x14ac:dyDescent="0.2">
      <c r="A777" s="61"/>
      <c r="O777" s="61"/>
      <c r="AU777" s="281">
        <v>67342</v>
      </c>
      <c r="AV777" s="75"/>
      <c r="AW777" s="75"/>
      <c r="AX777" s="75"/>
      <c r="AY777" s="75"/>
      <c r="AZ777" s="75"/>
      <c r="BA777" s="75"/>
      <c r="BB777" s="75"/>
      <c r="BC777" s="75"/>
      <c r="BD777" s="75"/>
      <c r="BE777" s="75"/>
      <c r="BF777" s="75">
        <v>7.1249999999999994E-2</v>
      </c>
      <c r="BG777" s="75"/>
      <c r="BH777" s="75"/>
      <c r="BI777" s="74">
        <f t="shared" ref="BI777:BI840" si="30">+AVERAGE(AV777:BH777)</f>
        <v>7.1249999999999994E-2</v>
      </c>
    </row>
    <row r="778" spans="1:61" s="11" customFormat="1" x14ac:dyDescent="0.2">
      <c r="A778" s="61"/>
      <c r="O778" s="61"/>
      <c r="AU778" s="281">
        <v>67373</v>
      </c>
      <c r="AV778" s="75"/>
      <c r="AW778" s="75"/>
      <c r="AX778" s="75"/>
      <c r="AY778" s="75"/>
      <c r="AZ778" s="75"/>
      <c r="BA778" s="75"/>
      <c r="BB778" s="75"/>
      <c r="BC778" s="75"/>
      <c r="BD778" s="75"/>
      <c r="BE778" s="75"/>
      <c r="BF778" s="75">
        <v>7.1249999999999994E-2</v>
      </c>
      <c r="BG778" s="75"/>
      <c r="BH778" s="75"/>
      <c r="BI778" s="74">
        <f t="shared" si="30"/>
        <v>7.1249999999999994E-2</v>
      </c>
    </row>
    <row r="779" spans="1:61" s="11" customFormat="1" x14ac:dyDescent="0.2">
      <c r="A779" s="61"/>
      <c r="O779" s="61"/>
      <c r="AU779" s="281">
        <v>67403</v>
      </c>
      <c r="AV779" s="75"/>
      <c r="AW779" s="75"/>
      <c r="AX779" s="75"/>
      <c r="AY779" s="75"/>
      <c r="AZ779" s="75"/>
      <c r="BA779" s="75"/>
      <c r="BB779" s="75"/>
      <c r="BC779" s="75"/>
      <c r="BD779" s="75"/>
      <c r="BE779" s="75"/>
      <c r="BF779" s="75">
        <v>7.1249999999999994E-2</v>
      </c>
      <c r="BG779" s="75"/>
      <c r="BH779" s="75"/>
      <c r="BI779" s="74">
        <f t="shared" si="30"/>
        <v>7.1249999999999994E-2</v>
      </c>
    </row>
    <row r="780" spans="1:61" s="11" customFormat="1" x14ac:dyDescent="0.2">
      <c r="A780" s="61"/>
      <c r="O780" s="61"/>
      <c r="AU780" s="281">
        <v>67434</v>
      </c>
      <c r="AV780" s="75"/>
      <c r="AW780" s="75"/>
      <c r="AX780" s="75"/>
      <c r="AY780" s="75"/>
      <c r="AZ780" s="75"/>
      <c r="BA780" s="75"/>
      <c r="BB780" s="75"/>
      <c r="BC780" s="75"/>
      <c r="BD780" s="75"/>
      <c r="BE780" s="75"/>
      <c r="BF780" s="75">
        <v>7.1249999999999994E-2</v>
      </c>
      <c r="BG780" s="75"/>
      <c r="BH780" s="75"/>
      <c r="BI780" s="74">
        <f t="shared" si="30"/>
        <v>7.1249999999999994E-2</v>
      </c>
    </row>
    <row r="781" spans="1:61" s="11" customFormat="1" x14ac:dyDescent="0.2">
      <c r="A781" s="61"/>
      <c r="O781" s="61"/>
      <c r="AU781" s="281">
        <v>67465</v>
      </c>
      <c r="AV781" s="75"/>
      <c r="AW781" s="75"/>
      <c r="AX781" s="75"/>
      <c r="AY781" s="75"/>
      <c r="AZ781" s="75"/>
      <c r="BA781" s="75"/>
      <c r="BB781" s="75"/>
      <c r="BC781" s="75"/>
      <c r="BD781" s="75"/>
      <c r="BE781" s="75"/>
      <c r="BF781" s="75">
        <v>7.1249999999999994E-2</v>
      </c>
      <c r="BG781" s="75"/>
      <c r="BH781" s="75"/>
      <c r="BI781" s="74">
        <f t="shared" si="30"/>
        <v>7.1249999999999994E-2</v>
      </c>
    </row>
    <row r="782" spans="1:61" s="11" customFormat="1" x14ac:dyDescent="0.2">
      <c r="A782" s="61"/>
      <c r="O782" s="61"/>
      <c r="AU782" s="281">
        <v>67495</v>
      </c>
      <c r="AV782" s="75"/>
      <c r="AW782" s="75"/>
      <c r="AX782" s="75"/>
      <c r="AY782" s="75"/>
      <c r="AZ782" s="75"/>
      <c r="BA782" s="75"/>
      <c r="BB782" s="75"/>
      <c r="BC782" s="75"/>
      <c r="BD782" s="75"/>
      <c r="BE782" s="75"/>
      <c r="BF782" s="75">
        <v>7.1249999999999994E-2</v>
      </c>
      <c r="BG782" s="75"/>
      <c r="BH782" s="75"/>
      <c r="BI782" s="74">
        <f t="shared" si="30"/>
        <v>7.1249999999999994E-2</v>
      </c>
    </row>
    <row r="783" spans="1:61" s="11" customFormat="1" x14ac:dyDescent="0.2">
      <c r="A783" s="61"/>
      <c r="O783" s="61"/>
      <c r="AU783" s="281">
        <v>67526</v>
      </c>
      <c r="AV783" s="75"/>
      <c r="AW783" s="75"/>
      <c r="AX783" s="75"/>
      <c r="AY783" s="75"/>
      <c r="AZ783" s="75"/>
      <c r="BA783" s="75"/>
      <c r="BB783" s="75"/>
      <c r="BC783" s="75"/>
      <c r="BD783" s="75"/>
      <c r="BE783" s="75"/>
      <c r="BF783" s="75">
        <v>7.1249999999999994E-2</v>
      </c>
      <c r="BG783" s="75"/>
      <c r="BH783" s="75"/>
      <c r="BI783" s="74">
        <f t="shared" si="30"/>
        <v>7.1249999999999994E-2</v>
      </c>
    </row>
    <row r="784" spans="1:61" s="11" customFormat="1" x14ac:dyDescent="0.2">
      <c r="A784" s="61"/>
      <c r="O784" s="61"/>
      <c r="AU784" s="281">
        <v>67556</v>
      </c>
      <c r="AV784" s="75"/>
      <c r="AW784" s="75"/>
      <c r="AX784" s="75"/>
      <c r="AY784" s="75"/>
      <c r="AZ784" s="75"/>
      <c r="BA784" s="75"/>
      <c r="BB784" s="75"/>
      <c r="BC784" s="75"/>
      <c r="BD784" s="75"/>
      <c r="BE784" s="75"/>
      <c r="BF784" s="75">
        <v>7.1249999999999994E-2</v>
      </c>
      <c r="BG784" s="75"/>
      <c r="BH784" s="75"/>
      <c r="BI784" s="74">
        <f t="shared" si="30"/>
        <v>7.1249999999999994E-2</v>
      </c>
    </row>
    <row r="785" spans="1:61" s="11" customFormat="1" x14ac:dyDescent="0.2">
      <c r="A785" s="61"/>
      <c r="O785" s="61"/>
      <c r="AU785" s="281">
        <v>67587</v>
      </c>
      <c r="AV785" s="75"/>
      <c r="AW785" s="75"/>
      <c r="AX785" s="75"/>
      <c r="AY785" s="75"/>
      <c r="AZ785" s="75"/>
      <c r="BA785" s="75"/>
      <c r="BB785" s="75"/>
      <c r="BC785" s="75"/>
      <c r="BD785" s="75"/>
      <c r="BE785" s="75"/>
      <c r="BF785" s="75">
        <v>7.1249999999999994E-2</v>
      </c>
      <c r="BG785" s="75"/>
      <c r="BH785" s="75"/>
      <c r="BI785" s="74">
        <f t="shared" si="30"/>
        <v>7.1249999999999994E-2</v>
      </c>
    </row>
    <row r="786" spans="1:61" s="11" customFormat="1" x14ac:dyDescent="0.2">
      <c r="A786" s="61"/>
      <c r="O786" s="61"/>
      <c r="AU786" s="281">
        <v>67618</v>
      </c>
      <c r="AV786" s="75"/>
      <c r="AW786" s="75"/>
      <c r="AX786" s="75"/>
      <c r="AY786" s="75"/>
      <c r="AZ786" s="75"/>
      <c r="BA786" s="75"/>
      <c r="BB786" s="75"/>
      <c r="BC786" s="75"/>
      <c r="BD786" s="75"/>
      <c r="BE786" s="75"/>
      <c r="BF786" s="75">
        <v>7.1249999999999994E-2</v>
      </c>
      <c r="BG786" s="75"/>
      <c r="BH786" s="75"/>
      <c r="BI786" s="74">
        <f t="shared" si="30"/>
        <v>7.1249999999999994E-2</v>
      </c>
    </row>
    <row r="787" spans="1:61" s="11" customFormat="1" x14ac:dyDescent="0.2">
      <c r="A787" s="61"/>
      <c r="O787" s="61"/>
      <c r="AU787" s="281">
        <v>67646</v>
      </c>
      <c r="AV787" s="75"/>
      <c r="AW787" s="75"/>
      <c r="AX787" s="75"/>
      <c r="AY787" s="75"/>
      <c r="AZ787" s="75"/>
      <c r="BA787" s="75"/>
      <c r="BB787" s="75"/>
      <c r="BC787" s="75"/>
      <c r="BD787" s="75"/>
      <c r="BE787" s="75"/>
      <c r="BF787" s="75">
        <v>7.1249999999999994E-2</v>
      </c>
      <c r="BG787" s="75"/>
      <c r="BH787" s="75"/>
      <c r="BI787" s="74">
        <f t="shared" si="30"/>
        <v>7.1249999999999994E-2</v>
      </c>
    </row>
    <row r="788" spans="1:61" s="11" customFormat="1" x14ac:dyDescent="0.2">
      <c r="A788" s="61"/>
      <c r="O788" s="61"/>
      <c r="AU788" s="281">
        <v>67677</v>
      </c>
      <c r="AV788" s="75"/>
      <c r="AW788" s="75"/>
      <c r="AX788" s="75"/>
      <c r="AY788" s="75"/>
      <c r="AZ788" s="75"/>
      <c r="BA788" s="75"/>
      <c r="BB788" s="75"/>
      <c r="BC788" s="75"/>
      <c r="BD788" s="75"/>
      <c r="BE788" s="75"/>
      <c r="BF788" s="75">
        <v>7.1249999999999994E-2</v>
      </c>
      <c r="BG788" s="75"/>
      <c r="BH788" s="75"/>
      <c r="BI788" s="74">
        <f t="shared" si="30"/>
        <v>7.1249999999999994E-2</v>
      </c>
    </row>
    <row r="789" spans="1:61" s="11" customFormat="1" x14ac:dyDescent="0.2">
      <c r="A789" s="61"/>
      <c r="O789" s="61"/>
      <c r="AU789" s="281">
        <v>67707</v>
      </c>
      <c r="AV789" s="75"/>
      <c r="AW789" s="75"/>
      <c r="AX789" s="75"/>
      <c r="AY789" s="75"/>
      <c r="AZ789" s="75"/>
      <c r="BA789" s="75"/>
      <c r="BB789" s="75"/>
      <c r="BC789" s="75"/>
      <c r="BD789" s="75"/>
      <c r="BE789" s="75"/>
      <c r="BF789" s="75">
        <v>7.1249999999999994E-2</v>
      </c>
      <c r="BG789" s="75"/>
      <c r="BH789" s="75"/>
      <c r="BI789" s="74">
        <f t="shared" si="30"/>
        <v>7.1249999999999994E-2</v>
      </c>
    </row>
    <row r="790" spans="1:61" s="11" customFormat="1" x14ac:dyDescent="0.2">
      <c r="A790" s="61"/>
      <c r="O790" s="61"/>
      <c r="AU790" s="281">
        <v>67738</v>
      </c>
      <c r="AV790" s="75"/>
      <c r="AW790" s="75"/>
      <c r="AX790" s="75"/>
      <c r="AY790" s="75"/>
      <c r="AZ790" s="75"/>
      <c r="BA790" s="75"/>
      <c r="BB790" s="75"/>
      <c r="BC790" s="75"/>
      <c r="BD790" s="75"/>
      <c r="BE790" s="75"/>
      <c r="BF790" s="75">
        <v>7.1249999999999994E-2</v>
      </c>
      <c r="BG790" s="75"/>
      <c r="BH790" s="75"/>
      <c r="BI790" s="74">
        <f t="shared" si="30"/>
        <v>7.1249999999999994E-2</v>
      </c>
    </row>
    <row r="791" spans="1:61" s="11" customFormat="1" x14ac:dyDescent="0.2">
      <c r="A791" s="61"/>
      <c r="O791" s="61"/>
      <c r="AU791" s="281">
        <v>67768</v>
      </c>
      <c r="AV791" s="75"/>
      <c r="AW791" s="75"/>
      <c r="AX791" s="75"/>
      <c r="AY791" s="75"/>
      <c r="AZ791" s="75"/>
      <c r="BA791" s="75"/>
      <c r="BB791" s="75"/>
      <c r="BC791" s="75"/>
      <c r="BD791" s="75"/>
      <c r="BE791" s="75"/>
      <c r="BF791" s="75">
        <v>7.1249999999999994E-2</v>
      </c>
      <c r="BG791" s="75"/>
      <c r="BH791" s="75"/>
      <c r="BI791" s="74">
        <f t="shared" si="30"/>
        <v>7.1249999999999994E-2</v>
      </c>
    </row>
    <row r="792" spans="1:61" s="11" customFormat="1" x14ac:dyDescent="0.2">
      <c r="A792" s="61"/>
      <c r="O792" s="61"/>
      <c r="AU792" s="281">
        <v>67799</v>
      </c>
      <c r="AV792" s="75"/>
      <c r="AW792" s="75"/>
      <c r="AX792" s="75"/>
      <c r="AY792" s="75"/>
      <c r="AZ792" s="75"/>
      <c r="BA792" s="75"/>
      <c r="BB792" s="75"/>
      <c r="BC792" s="75"/>
      <c r="BD792" s="75"/>
      <c r="BE792" s="75"/>
      <c r="BF792" s="75">
        <v>7.1249999999999994E-2</v>
      </c>
      <c r="BG792" s="75"/>
      <c r="BH792" s="75"/>
      <c r="BI792" s="74">
        <f t="shared" si="30"/>
        <v>7.1249999999999994E-2</v>
      </c>
    </row>
    <row r="793" spans="1:61" s="11" customFormat="1" x14ac:dyDescent="0.2">
      <c r="A793" s="61"/>
      <c r="O793" s="61"/>
      <c r="AU793" s="281">
        <v>67830</v>
      </c>
      <c r="AV793" s="75"/>
      <c r="AW793" s="75"/>
      <c r="AX793" s="75"/>
      <c r="AY793" s="75"/>
      <c r="AZ793" s="75"/>
      <c r="BA793" s="75"/>
      <c r="BB793" s="75"/>
      <c r="BC793" s="75"/>
      <c r="BD793" s="75"/>
      <c r="BE793" s="75"/>
      <c r="BF793" s="75">
        <v>7.1249999999999994E-2</v>
      </c>
      <c r="BG793" s="75"/>
      <c r="BH793" s="75"/>
      <c r="BI793" s="74">
        <f t="shared" si="30"/>
        <v>7.1249999999999994E-2</v>
      </c>
    </row>
    <row r="794" spans="1:61" s="11" customFormat="1" x14ac:dyDescent="0.2">
      <c r="A794" s="61"/>
      <c r="O794" s="61"/>
      <c r="AU794" s="281">
        <v>67860</v>
      </c>
      <c r="AV794" s="75"/>
      <c r="AW794" s="75"/>
      <c r="AX794" s="75"/>
      <c r="AY794" s="75"/>
      <c r="AZ794" s="75"/>
      <c r="BA794" s="75"/>
      <c r="BB794" s="75"/>
      <c r="BC794" s="75"/>
      <c r="BD794" s="75"/>
      <c r="BE794" s="75"/>
      <c r="BF794" s="75">
        <v>7.1249999999999994E-2</v>
      </c>
      <c r="BG794" s="75"/>
      <c r="BH794" s="75"/>
      <c r="BI794" s="74">
        <f t="shared" si="30"/>
        <v>7.1249999999999994E-2</v>
      </c>
    </row>
    <row r="795" spans="1:61" s="11" customFormat="1" x14ac:dyDescent="0.2">
      <c r="A795" s="61"/>
      <c r="O795" s="61"/>
      <c r="AU795" s="281">
        <v>67891</v>
      </c>
      <c r="AV795" s="75"/>
      <c r="AW795" s="75"/>
      <c r="AX795" s="75"/>
      <c r="AY795" s="75"/>
      <c r="AZ795" s="75"/>
      <c r="BA795" s="75"/>
      <c r="BB795" s="75"/>
      <c r="BC795" s="75"/>
      <c r="BD795" s="75"/>
      <c r="BE795" s="75"/>
      <c r="BF795" s="75">
        <v>7.1249999999999994E-2</v>
      </c>
      <c r="BG795" s="75"/>
      <c r="BH795" s="75"/>
      <c r="BI795" s="74">
        <f t="shared" si="30"/>
        <v>7.1249999999999994E-2</v>
      </c>
    </row>
    <row r="796" spans="1:61" s="11" customFormat="1" x14ac:dyDescent="0.2">
      <c r="A796" s="61"/>
      <c r="O796" s="61"/>
      <c r="AU796" s="281">
        <v>67921</v>
      </c>
      <c r="AV796" s="75"/>
      <c r="AW796" s="75"/>
      <c r="AX796" s="75"/>
      <c r="AY796" s="75"/>
      <c r="AZ796" s="75"/>
      <c r="BA796" s="75"/>
      <c r="BB796" s="75"/>
      <c r="BC796" s="75"/>
      <c r="BD796" s="75"/>
      <c r="BE796" s="75"/>
      <c r="BF796" s="75">
        <v>7.1249999999999994E-2</v>
      </c>
      <c r="BG796" s="75"/>
      <c r="BH796" s="75"/>
      <c r="BI796" s="74">
        <f t="shared" si="30"/>
        <v>7.1249999999999994E-2</v>
      </c>
    </row>
    <row r="797" spans="1:61" s="11" customFormat="1" x14ac:dyDescent="0.2">
      <c r="A797" s="61"/>
      <c r="O797" s="61"/>
      <c r="AU797" s="281">
        <v>67952</v>
      </c>
      <c r="AV797" s="75"/>
      <c r="AW797" s="75"/>
      <c r="AX797" s="75"/>
      <c r="AY797" s="75"/>
      <c r="AZ797" s="75"/>
      <c r="BA797" s="75"/>
      <c r="BB797" s="75"/>
      <c r="BC797" s="75"/>
      <c r="BD797" s="75"/>
      <c r="BE797" s="75"/>
      <c r="BF797" s="75">
        <v>7.1249999999999994E-2</v>
      </c>
      <c r="BG797" s="75"/>
      <c r="BH797" s="75"/>
      <c r="BI797" s="74">
        <f t="shared" si="30"/>
        <v>7.1249999999999994E-2</v>
      </c>
    </row>
    <row r="798" spans="1:61" s="11" customFormat="1" x14ac:dyDescent="0.2">
      <c r="A798" s="61"/>
      <c r="O798" s="61"/>
      <c r="AU798" s="281">
        <v>67983</v>
      </c>
      <c r="AV798" s="75"/>
      <c r="AW798" s="75"/>
      <c r="AX798" s="75"/>
      <c r="AY798" s="75"/>
      <c r="AZ798" s="75"/>
      <c r="BA798" s="75"/>
      <c r="BB798" s="75"/>
      <c r="BC798" s="75"/>
      <c r="BD798" s="75"/>
      <c r="BE798" s="75"/>
      <c r="BF798" s="75">
        <v>7.1249999999999994E-2</v>
      </c>
      <c r="BG798" s="75"/>
      <c r="BH798" s="75"/>
      <c r="BI798" s="74">
        <f t="shared" si="30"/>
        <v>7.1249999999999994E-2</v>
      </c>
    </row>
    <row r="799" spans="1:61" s="11" customFormat="1" x14ac:dyDescent="0.2">
      <c r="A799" s="61"/>
      <c r="O799" s="61"/>
      <c r="AU799" s="281">
        <v>68011</v>
      </c>
      <c r="AV799" s="75"/>
      <c r="AW799" s="75"/>
      <c r="AX799" s="75"/>
      <c r="AY799" s="75"/>
      <c r="AZ799" s="75"/>
      <c r="BA799" s="75"/>
      <c r="BB799" s="75"/>
      <c r="BC799" s="75"/>
      <c r="BD799" s="75"/>
      <c r="BE799" s="75"/>
      <c r="BF799" s="75">
        <v>7.1249999999999994E-2</v>
      </c>
      <c r="BG799" s="75"/>
      <c r="BH799" s="75"/>
      <c r="BI799" s="74">
        <f t="shared" si="30"/>
        <v>7.1249999999999994E-2</v>
      </c>
    </row>
    <row r="800" spans="1:61" s="11" customFormat="1" x14ac:dyDescent="0.2">
      <c r="A800" s="61"/>
      <c r="O800" s="61"/>
      <c r="AU800" s="281">
        <v>68042</v>
      </c>
      <c r="AV800" s="75"/>
      <c r="AW800" s="75"/>
      <c r="AX800" s="75"/>
      <c r="AY800" s="75"/>
      <c r="AZ800" s="75"/>
      <c r="BA800" s="75"/>
      <c r="BB800" s="75"/>
      <c r="BC800" s="75"/>
      <c r="BD800" s="75"/>
      <c r="BE800" s="75"/>
      <c r="BF800" s="75">
        <v>7.1249999999999994E-2</v>
      </c>
      <c r="BG800" s="75"/>
      <c r="BH800" s="75"/>
      <c r="BI800" s="74">
        <f t="shared" si="30"/>
        <v>7.1249999999999994E-2</v>
      </c>
    </row>
    <row r="801" spans="1:61" s="11" customFormat="1" x14ac:dyDescent="0.2">
      <c r="A801" s="61"/>
      <c r="O801" s="61"/>
      <c r="AU801" s="281">
        <v>68072</v>
      </c>
      <c r="AV801" s="75"/>
      <c r="AW801" s="75"/>
      <c r="AX801" s="75"/>
      <c r="AY801" s="75"/>
      <c r="AZ801" s="75"/>
      <c r="BA801" s="75"/>
      <c r="BB801" s="75"/>
      <c r="BC801" s="75"/>
      <c r="BD801" s="75"/>
      <c r="BE801" s="75"/>
      <c r="BF801" s="75">
        <v>7.1249999999999994E-2</v>
      </c>
      <c r="BG801" s="75"/>
      <c r="BH801" s="75"/>
      <c r="BI801" s="74">
        <f t="shared" si="30"/>
        <v>7.1249999999999994E-2</v>
      </c>
    </row>
    <row r="802" spans="1:61" s="11" customFormat="1" x14ac:dyDescent="0.2">
      <c r="A802" s="61"/>
      <c r="O802" s="61"/>
      <c r="AU802" s="281">
        <v>68103</v>
      </c>
      <c r="AV802" s="75"/>
      <c r="AW802" s="75"/>
      <c r="AX802" s="75"/>
      <c r="AY802" s="75"/>
      <c r="AZ802" s="75"/>
      <c r="BA802" s="75"/>
      <c r="BB802" s="75"/>
      <c r="BC802" s="75"/>
      <c r="BD802" s="75"/>
      <c r="BE802" s="75"/>
      <c r="BF802" s="75">
        <v>7.1249999999999994E-2</v>
      </c>
      <c r="BG802" s="75"/>
      <c r="BH802" s="75"/>
      <c r="BI802" s="74">
        <f t="shared" si="30"/>
        <v>7.1249999999999994E-2</v>
      </c>
    </row>
    <row r="803" spans="1:61" s="11" customFormat="1" x14ac:dyDescent="0.2">
      <c r="A803" s="61"/>
      <c r="O803" s="61"/>
      <c r="AU803" s="281">
        <v>68133</v>
      </c>
      <c r="AV803" s="75"/>
      <c r="AW803" s="75"/>
      <c r="AX803" s="75"/>
      <c r="AY803" s="75"/>
      <c r="AZ803" s="75"/>
      <c r="BA803" s="75"/>
      <c r="BB803" s="75"/>
      <c r="BC803" s="75"/>
      <c r="BD803" s="75"/>
      <c r="BE803" s="75"/>
      <c r="BF803" s="75">
        <v>7.1249999999999994E-2</v>
      </c>
      <c r="BG803" s="75"/>
      <c r="BH803" s="75"/>
      <c r="BI803" s="74">
        <f t="shared" si="30"/>
        <v>7.1249999999999994E-2</v>
      </c>
    </row>
    <row r="804" spans="1:61" s="11" customFormat="1" x14ac:dyDescent="0.2">
      <c r="A804" s="61"/>
      <c r="O804" s="61"/>
      <c r="AU804" s="281">
        <v>68164</v>
      </c>
      <c r="AV804" s="75"/>
      <c r="AW804" s="75"/>
      <c r="AX804" s="75"/>
      <c r="AY804" s="75"/>
      <c r="AZ804" s="75"/>
      <c r="BA804" s="75"/>
      <c r="BB804" s="75"/>
      <c r="BC804" s="75"/>
      <c r="BD804" s="75"/>
      <c r="BE804" s="75"/>
      <c r="BF804" s="75">
        <v>7.1249999999999994E-2</v>
      </c>
      <c r="BG804" s="75"/>
      <c r="BH804" s="75"/>
      <c r="BI804" s="74">
        <f t="shared" si="30"/>
        <v>7.1249999999999994E-2</v>
      </c>
    </row>
    <row r="805" spans="1:61" s="11" customFormat="1" x14ac:dyDescent="0.2">
      <c r="A805" s="61"/>
      <c r="O805" s="61"/>
      <c r="AU805" s="281">
        <v>68195</v>
      </c>
      <c r="AV805" s="75"/>
      <c r="AW805" s="75"/>
      <c r="AX805" s="75"/>
      <c r="AY805" s="75"/>
      <c r="AZ805" s="75"/>
      <c r="BA805" s="75"/>
      <c r="BB805" s="75"/>
      <c r="BC805" s="75"/>
      <c r="BD805" s="75"/>
      <c r="BE805" s="75"/>
      <c r="BF805" s="75">
        <v>7.1249999999999994E-2</v>
      </c>
      <c r="BG805" s="75"/>
      <c r="BH805" s="75"/>
      <c r="BI805" s="74">
        <f t="shared" si="30"/>
        <v>7.1249999999999994E-2</v>
      </c>
    </row>
    <row r="806" spans="1:61" s="11" customFormat="1" x14ac:dyDescent="0.2">
      <c r="A806" s="61"/>
      <c r="O806" s="61"/>
      <c r="AU806" s="281">
        <v>68225</v>
      </c>
      <c r="AV806" s="75"/>
      <c r="AW806" s="75"/>
      <c r="AX806" s="75"/>
      <c r="AY806" s="75"/>
      <c r="AZ806" s="75"/>
      <c r="BA806" s="75"/>
      <c r="BB806" s="75"/>
      <c r="BC806" s="75"/>
      <c r="BD806" s="75"/>
      <c r="BE806" s="75"/>
      <c r="BF806" s="75">
        <v>7.1249999999999994E-2</v>
      </c>
      <c r="BG806" s="75"/>
      <c r="BH806" s="75"/>
      <c r="BI806" s="74">
        <f t="shared" si="30"/>
        <v>7.1249999999999994E-2</v>
      </c>
    </row>
    <row r="807" spans="1:61" s="11" customFormat="1" x14ac:dyDescent="0.2">
      <c r="A807" s="61"/>
      <c r="O807" s="61"/>
      <c r="AU807" s="281">
        <v>68256</v>
      </c>
      <c r="AV807" s="75"/>
      <c r="AW807" s="75"/>
      <c r="AX807" s="75"/>
      <c r="AY807" s="75"/>
      <c r="AZ807" s="75"/>
      <c r="BA807" s="75"/>
      <c r="BB807" s="75"/>
      <c r="BC807" s="75"/>
      <c r="BD807" s="75"/>
      <c r="BE807" s="75"/>
      <c r="BF807" s="75">
        <v>7.1249999999999994E-2</v>
      </c>
      <c r="BG807" s="75"/>
      <c r="BH807" s="75"/>
      <c r="BI807" s="74">
        <f t="shared" si="30"/>
        <v>7.1249999999999994E-2</v>
      </c>
    </row>
    <row r="808" spans="1:61" s="11" customFormat="1" x14ac:dyDescent="0.2">
      <c r="A808" s="61"/>
      <c r="O808" s="61"/>
      <c r="AU808" s="281">
        <v>68286</v>
      </c>
      <c r="AV808" s="75"/>
      <c r="AW808" s="75"/>
      <c r="AX808" s="75"/>
      <c r="AY808" s="75"/>
      <c r="AZ808" s="75"/>
      <c r="BA808" s="75"/>
      <c r="BB808" s="75"/>
      <c r="BC808" s="75"/>
      <c r="BD808" s="75"/>
      <c r="BE808" s="75"/>
      <c r="BF808" s="75">
        <v>7.1249999999999994E-2</v>
      </c>
      <c r="BG808" s="75"/>
      <c r="BH808" s="75"/>
      <c r="BI808" s="74">
        <f t="shared" si="30"/>
        <v>7.1249999999999994E-2</v>
      </c>
    </row>
    <row r="809" spans="1:61" s="11" customFormat="1" x14ac:dyDescent="0.2">
      <c r="A809" s="61"/>
      <c r="O809" s="61"/>
      <c r="AU809" s="281">
        <v>68317</v>
      </c>
      <c r="AV809" s="75"/>
      <c r="AW809" s="75"/>
      <c r="AX809" s="75"/>
      <c r="AY809" s="75"/>
      <c r="AZ809" s="75"/>
      <c r="BA809" s="75"/>
      <c r="BB809" s="75"/>
      <c r="BC809" s="75"/>
      <c r="BD809" s="75"/>
      <c r="BE809" s="75"/>
      <c r="BF809" s="75">
        <v>7.1249999999999994E-2</v>
      </c>
      <c r="BG809" s="75"/>
      <c r="BH809" s="75"/>
      <c r="BI809" s="74">
        <f t="shared" si="30"/>
        <v>7.1249999999999994E-2</v>
      </c>
    </row>
    <row r="810" spans="1:61" s="11" customFormat="1" x14ac:dyDescent="0.2">
      <c r="A810" s="61"/>
      <c r="O810" s="61"/>
      <c r="AU810" s="281">
        <v>68348</v>
      </c>
      <c r="AV810" s="75"/>
      <c r="AW810" s="75"/>
      <c r="AX810" s="75"/>
      <c r="AY810" s="75"/>
      <c r="AZ810" s="75"/>
      <c r="BA810" s="75"/>
      <c r="BB810" s="75"/>
      <c r="BC810" s="75"/>
      <c r="BD810" s="75"/>
      <c r="BE810" s="75"/>
      <c r="BF810" s="75">
        <v>7.1249999999999994E-2</v>
      </c>
      <c r="BG810" s="75"/>
      <c r="BH810" s="75"/>
      <c r="BI810" s="74">
        <f t="shared" si="30"/>
        <v>7.1249999999999994E-2</v>
      </c>
    </row>
    <row r="811" spans="1:61" s="11" customFormat="1" x14ac:dyDescent="0.2">
      <c r="A811" s="61"/>
      <c r="O811" s="61"/>
      <c r="AU811" s="281">
        <v>68376</v>
      </c>
      <c r="AV811" s="75"/>
      <c r="AW811" s="75"/>
      <c r="AX811" s="75"/>
      <c r="AY811" s="75"/>
      <c r="AZ811" s="75"/>
      <c r="BA811" s="75"/>
      <c r="BB811" s="75"/>
      <c r="BC811" s="75"/>
      <c r="BD811" s="75"/>
      <c r="BE811" s="75"/>
      <c r="BF811" s="75">
        <v>7.1249999999999994E-2</v>
      </c>
      <c r="BG811" s="75"/>
      <c r="BH811" s="75"/>
      <c r="BI811" s="74">
        <f t="shared" si="30"/>
        <v>7.1249999999999994E-2</v>
      </c>
    </row>
    <row r="812" spans="1:61" s="11" customFormat="1" x14ac:dyDescent="0.2">
      <c r="A812" s="61"/>
      <c r="O812" s="61"/>
      <c r="AU812" s="281">
        <v>68407</v>
      </c>
      <c r="AV812" s="75"/>
      <c r="AW812" s="75"/>
      <c r="AX812" s="75"/>
      <c r="AY812" s="75"/>
      <c r="AZ812" s="75"/>
      <c r="BA812" s="75"/>
      <c r="BB812" s="75"/>
      <c r="BC812" s="75"/>
      <c r="BD812" s="75"/>
      <c r="BE812" s="75"/>
      <c r="BF812" s="75">
        <v>7.1249999999999994E-2</v>
      </c>
      <c r="BG812" s="75"/>
      <c r="BH812" s="75"/>
      <c r="BI812" s="74">
        <f t="shared" si="30"/>
        <v>7.1249999999999994E-2</v>
      </c>
    </row>
    <row r="813" spans="1:61" s="11" customFormat="1" x14ac:dyDescent="0.2">
      <c r="A813" s="61"/>
      <c r="O813" s="61"/>
      <c r="AU813" s="281">
        <v>68437</v>
      </c>
      <c r="AV813" s="75"/>
      <c r="AW813" s="75"/>
      <c r="AX813" s="75"/>
      <c r="AY813" s="75"/>
      <c r="AZ813" s="75"/>
      <c r="BA813" s="75"/>
      <c r="BB813" s="75"/>
      <c r="BC813" s="75"/>
      <c r="BD813" s="75"/>
      <c r="BE813" s="75"/>
      <c r="BF813" s="75">
        <v>7.1249999999999994E-2</v>
      </c>
      <c r="BG813" s="75"/>
      <c r="BH813" s="75"/>
      <c r="BI813" s="74">
        <f t="shared" si="30"/>
        <v>7.1249999999999994E-2</v>
      </c>
    </row>
    <row r="814" spans="1:61" s="11" customFormat="1" x14ac:dyDescent="0.2">
      <c r="A814" s="61"/>
      <c r="O814" s="61"/>
      <c r="AU814" s="281">
        <v>68468</v>
      </c>
      <c r="AV814" s="75"/>
      <c r="AW814" s="75"/>
      <c r="AX814" s="75"/>
      <c r="AY814" s="75"/>
      <c r="AZ814" s="75"/>
      <c r="BA814" s="75"/>
      <c r="BB814" s="75"/>
      <c r="BC814" s="75"/>
      <c r="BD814" s="75"/>
      <c r="BE814" s="75"/>
      <c r="BF814" s="75">
        <v>7.1249999999999994E-2</v>
      </c>
      <c r="BG814" s="75"/>
      <c r="BH814" s="75"/>
      <c r="BI814" s="74">
        <f t="shared" si="30"/>
        <v>7.1249999999999994E-2</v>
      </c>
    </row>
    <row r="815" spans="1:61" s="11" customFormat="1" x14ac:dyDescent="0.2">
      <c r="A815" s="61"/>
      <c r="O815" s="61"/>
      <c r="AU815" s="281">
        <v>68498</v>
      </c>
      <c r="AV815" s="75"/>
      <c r="AW815" s="75"/>
      <c r="AX815" s="75"/>
      <c r="AY815" s="75"/>
      <c r="AZ815" s="75"/>
      <c r="BA815" s="75"/>
      <c r="BB815" s="75"/>
      <c r="BC815" s="75"/>
      <c r="BD815" s="75"/>
      <c r="BE815" s="75"/>
      <c r="BF815" s="75">
        <v>7.1249999999999994E-2</v>
      </c>
      <c r="BG815" s="75"/>
      <c r="BH815" s="75"/>
      <c r="BI815" s="74">
        <f t="shared" si="30"/>
        <v>7.1249999999999994E-2</v>
      </c>
    </row>
    <row r="816" spans="1:61" s="11" customFormat="1" x14ac:dyDescent="0.2">
      <c r="A816" s="61"/>
      <c r="O816" s="61"/>
      <c r="AU816" s="281">
        <v>68529</v>
      </c>
      <c r="AV816" s="75"/>
      <c r="AW816" s="75"/>
      <c r="AX816" s="75"/>
      <c r="AY816" s="75"/>
      <c r="AZ816" s="75"/>
      <c r="BA816" s="75"/>
      <c r="BB816" s="75"/>
      <c r="BC816" s="75"/>
      <c r="BD816" s="75"/>
      <c r="BE816" s="75"/>
      <c r="BF816" s="75">
        <v>7.1249999999999994E-2</v>
      </c>
      <c r="BG816" s="75"/>
      <c r="BH816" s="75"/>
      <c r="BI816" s="74">
        <f t="shared" si="30"/>
        <v>7.1249999999999994E-2</v>
      </c>
    </row>
    <row r="817" spans="1:61" s="11" customFormat="1" x14ac:dyDescent="0.2">
      <c r="A817" s="61"/>
      <c r="O817" s="61"/>
      <c r="AU817" s="281">
        <v>68560</v>
      </c>
      <c r="AV817" s="75"/>
      <c r="AW817" s="75"/>
      <c r="AX817" s="75"/>
      <c r="AY817" s="75"/>
      <c r="AZ817" s="75"/>
      <c r="BA817" s="75"/>
      <c r="BB817" s="75"/>
      <c r="BC817" s="75"/>
      <c r="BD817" s="75"/>
      <c r="BE817" s="75"/>
      <c r="BF817" s="75">
        <v>7.1249999999999994E-2</v>
      </c>
      <c r="BG817" s="75"/>
      <c r="BH817" s="75"/>
      <c r="BI817" s="74">
        <f t="shared" si="30"/>
        <v>7.1249999999999994E-2</v>
      </c>
    </row>
    <row r="818" spans="1:61" s="11" customFormat="1" x14ac:dyDescent="0.2">
      <c r="A818" s="61"/>
      <c r="O818" s="61"/>
      <c r="AU818" s="281">
        <v>68590</v>
      </c>
      <c r="AV818" s="75"/>
      <c r="AW818" s="75"/>
      <c r="AX818" s="75"/>
      <c r="AY818" s="75"/>
      <c r="AZ818" s="75"/>
      <c r="BA818" s="75"/>
      <c r="BB818" s="75"/>
      <c r="BC818" s="75"/>
      <c r="BD818" s="75"/>
      <c r="BE818" s="75"/>
      <c r="BF818" s="75">
        <v>7.1249999999999994E-2</v>
      </c>
      <c r="BG818" s="75"/>
      <c r="BH818" s="75"/>
      <c r="BI818" s="74">
        <f t="shared" si="30"/>
        <v>7.1249999999999994E-2</v>
      </c>
    </row>
    <row r="819" spans="1:61" s="11" customFormat="1" x14ac:dyDescent="0.2">
      <c r="A819" s="61"/>
      <c r="O819" s="61"/>
      <c r="AU819" s="281">
        <v>68621</v>
      </c>
      <c r="AV819" s="75"/>
      <c r="AW819" s="75"/>
      <c r="AX819" s="75"/>
      <c r="AY819" s="75"/>
      <c r="AZ819" s="75"/>
      <c r="BA819" s="75"/>
      <c r="BB819" s="75"/>
      <c r="BC819" s="75"/>
      <c r="BD819" s="75"/>
      <c r="BE819" s="75"/>
      <c r="BF819" s="75">
        <v>7.1249999999999994E-2</v>
      </c>
      <c r="BG819" s="75"/>
      <c r="BH819" s="75"/>
      <c r="BI819" s="74">
        <f t="shared" si="30"/>
        <v>7.1249999999999994E-2</v>
      </c>
    </row>
    <row r="820" spans="1:61" s="11" customFormat="1" x14ac:dyDescent="0.2">
      <c r="A820" s="61"/>
      <c r="O820" s="61"/>
      <c r="AU820" s="281">
        <v>68651</v>
      </c>
      <c r="AV820" s="75"/>
      <c r="AW820" s="75"/>
      <c r="AX820" s="75"/>
      <c r="AY820" s="75"/>
      <c r="AZ820" s="75"/>
      <c r="BA820" s="75"/>
      <c r="BB820" s="75"/>
      <c r="BC820" s="75"/>
      <c r="BD820" s="75"/>
      <c r="BE820" s="75"/>
      <c r="BF820" s="75">
        <v>7.1249999999999994E-2</v>
      </c>
      <c r="BG820" s="75"/>
      <c r="BH820" s="75"/>
      <c r="BI820" s="74">
        <f t="shared" si="30"/>
        <v>7.1249999999999994E-2</v>
      </c>
    </row>
    <row r="821" spans="1:61" s="11" customFormat="1" x14ac:dyDescent="0.2">
      <c r="A821" s="61"/>
      <c r="O821" s="61"/>
      <c r="AU821" s="281">
        <v>68682</v>
      </c>
      <c r="AV821" s="75"/>
      <c r="AW821" s="75"/>
      <c r="AX821" s="75"/>
      <c r="AY821" s="75"/>
      <c r="AZ821" s="75"/>
      <c r="BA821" s="75"/>
      <c r="BB821" s="75"/>
      <c r="BC821" s="75"/>
      <c r="BD821" s="75"/>
      <c r="BE821" s="75"/>
      <c r="BF821" s="75">
        <v>7.1249999999999994E-2</v>
      </c>
      <c r="BG821" s="75"/>
      <c r="BH821" s="75"/>
      <c r="BI821" s="74">
        <f t="shared" si="30"/>
        <v>7.1249999999999994E-2</v>
      </c>
    </row>
    <row r="822" spans="1:61" s="11" customFormat="1" x14ac:dyDescent="0.2">
      <c r="A822" s="61"/>
      <c r="O822" s="61"/>
      <c r="AU822" s="281">
        <v>68713</v>
      </c>
      <c r="AV822" s="75"/>
      <c r="AW822" s="75"/>
      <c r="AX822" s="75"/>
      <c r="AY822" s="75"/>
      <c r="AZ822" s="75"/>
      <c r="BA822" s="75"/>
      <c r="BB822" s="75"/>
      <c r="BC822" s="75"/>
      <c r="BD822" s="75"/>
      <c r="BE822" s="75"/>
      <c r="BF822" s="75">
        <v>7.1249999999999994E-2</v>
      </c>
      <c r="BG822" s="75"/>
      <c r="BH822" s="75"/>
      <c r="BI822" s="74">
        <f t="shared" si="30"/>
        <v>7.1249999999999994E-2</v>
      </c>
    </row>
    <row r="823" spans="1:61" s="11" customFormat="1" x14ac:dyDescent="0.2">
      <c r="A823" s="61"/>
      <c r="O823" s="61"/>
      <c r="AU823" s="281">
        <v>68742</v>
      </c>
      <c r="AV823" s="75"/>
      <c r="AW823" s="75"/>
      <c r="AX823" s="75"/>
      <c r="AY823" s="75"/>
      <c r="AZ823" s="75"/>
      <c r="BA823" s="75"/>
      <c r="BB823" s="75"/>
      <c r="BC823" s="75"/>
      <c r="BD823" s="75"/>
      <c r="BE823" s="75"/>
      <c r="BF823" s="75">
        <v>7.1249999999999994E-2</v>
      </c>
      <c r="BG823" s="75"/>
      <c r="BH823" s="75"/>
      <c r="BI823" s="74">
        <f t="shared" si="30"/>
        <v>7.1249999999999994E-2</v>
      </c>
    </row>
    <row r="824" spans="1:61" s="11" customFormat="1" x14ac:dyDescent="0.2">
      <c r="A824" s="61"/>
      <c r="O824" s="61"/>
      <c r="AU824" s="281">
        <v>68773</v>
      </c>
      <c r="AV824" s="75"/>
      <c r="AW824" s="75"/>
      <c r="AX824" s="75"/>
      <c r="AY824" s="75"/>
      <c r="AZ824" s="75"/>
      <c r="BA824" s="75"/>
      <c r="BB824" s="75"/>
      <c r="BC824" s="75"/>
      <c r="BD824" s="75"/>
      <c r="BE824" s="75"/>
      <c r="BF824" s="75">
        <v>7.1249999999999994E-2</v>
      </c>
      <c r="BG824" s="75"/>
      <c r="BH824" s="75"/>
      <c r="BI824" s="74">
        <f t="shared" si="30"/>
        <v>7.1249999999999994E-2</v>
      </c>
    </row>
    <row r="825" spans="1:61" s="11" customFormat="1" x14ac:dyDescent="0.2">
      <c r="A825" s="61"/>
      <c r="O825" s="61"/>
      <c r="AU825" s="281">
        <v>68803</v>
      </c>
      <c r="AV825" s="75"/>
      <c r="AW825" s="75"/>
      <c r="AX825" s="75"/>
      <c r="AY825" s="75"/>
      <c r="AZ825" s="75"/>
      <c r="BA825" s="75"/>
      <c r="BB825" s="75"/>
      <c r="BC825" s="75"/>
      <c r="BD825" s="75"/>
      <c r="BE825" s="75"/>
      <c r="BF825" s="75">
        <v>7.1249999999999994E-2</v>
      </c>
      <c r="BG825" s="75"/>
      <c r="BH825" s="75"/>
      <c r="BI825" s="74">
        <f t="shared" si="30"/>
        <v>7.1249999999999994E-2</v>
      </c>
    </row>
    <row r="826" spans="1:61" s="11" customFormat="1" x14ac:dyDescent="0.2">
      <c r="A826" s="61"/>
      <c r="O826" s="61"/>
      <c r="AU826" s="281">
        <v>68834</v>
      </c>
      <c r="AV826" s="75"/>
      <c r="AW826" s="75"/>
      <c r="AX826" s="75"/>
      <c r="AY826" s="75"/>
      <c r="AZ826" s="75"/>
      <c r="BA826" s="75"/>
      <c r="BB826" s="75"/>
      <c r="BC826" s="75"/>
      <c r="BD826" s="75"/>
      <c r="BE826" s="75"/>
      <c r="BF826" s="75">
        <v>7.1249999999999994E-2</v>
      </c>
      <c r="BG826" s="75"/>
      <c r="BH826" s="75"/>
      <c r="BI826" s="74">
        <f t="shared" si="30"/>
        <v>7.1249999999999994E-2</v>
      </c>
    </row>
    <row r="827" spans="1:61" s="11" customFormat="1" x14ac:dyDescent="0.2">
      <c r="A827" s="61"/>
      <c r="O827" s="61"/>
      <c r="AU827" s="281">
        <v>68864</v>
      </c>
      <c r="AV827" s="75"/>
      <c r="AW827" s="75"/>
      <c r="AX827" s="75"/>
      <c r="AY827" s="75"/>
      <c r="AZ827" s="75"/>
      <c r="BA827" s="75"/>
      <c r="BB827" s="75"/>
      <c r="BC827" s="75"/>
      <c r="BD827" s="75"/>
      <c r="BE827" s="75"/>
      <c r="BF827" s="75">
        <v>7.1249999999999994E-2</v>
      </c>
      <c r="BG827" s="75"/>
      <c r="BH827" s="75"/>
      <c r="BI827" s="74">
        <f t="shared" si="30"/>
        <v>7.1249999999999994E-2</v>
      </c>
    </row>
    <row r="828" spans="1:61" s="11" customFormat="1" x14ac:dyDescent="0.2">
      <c r="A828" s="61"/>
      <c r="O828" s="61"/>
      <c r="AU828" s="281">
        <v>68895</v>
      </c>
      <c r="AV828" s="75"/>
      <c r="AW828" s="75"/>
      <c r="AX828" s="75"/>
      <c r="AY828" s="75"/>
      <c r="AZ828" s="75"/>
      <c r="BA828" s="75"/>
      <c r="BB828" s="75"/>
      <c r="BC828" s="75"/>
      <c r="BD828" s="75"/>
      <c r="BE828" s="75"/>
      <c r="BF828" s="75">
        <v>7.1249999999999994E-2</v>
      </c>
      <c r="BG828" s="75"/>
      <c r="BH828" s="75"/>
      <c r="BI828" s="74">
        <f t="shared" si="30"/>
        <v>7.1249999999999994E-2</v>
      </c>
    </row>
    <row r="829" spans="1:61" s="11" customFormat="1" x14ac:dyDescent="0.2">
      <c r="A829" s="61"/>
      <c r="O829" s="61"/>
      <c r="AU829" s="281">
        <v>68926</v>
      </c>
      <c r="AV829" s="75"/>
      <c r="AW829" s="75"/>
      <c r="AX829" s="75"/>
      <c r="AY829" s="75"/>
      <c r="AZ829" s="75"/>
      <c r="BA829" s="75"/>
      <c r="BB829" s="75"/>
      <c r="BC829" s="75"/>
      <c r="BD829" s="75"/>
      <c r="BE829" s="75"/>
      <c r="BF829" s="75">
        <v>7.1249999999999994E-2</v>
      </c>
      <c r="BG829" s="75"/>
      <c r="BH829" s="75"/>
      <c r="BI829" s="74">
        <f t="shared" si="30"/>
        <v>7.1249999999999994E-2</v>
      </c>
    </row>
    <row r="830" spans="1:61" s="11" customFormat="1" x14ac:dyDescent="0.2">
      <c r="A830" s="61"/>
      <c r="O830" s="61"/>
      <c r="AU830" s="281">
        <v>68956</v>
      </c>
      <c r="AV830" s="75"/>
      <c r="AW830" s="75"/>
      <c r="AX830" s="75"/>
      <c r="AY830" s="75"/>
      <c r="AZ830" s="75"/>
      <c r="BA830" s="75"/>
      <c r="BB830" s="75"/>
      <c r="BC830" s="75"/>
      <c r="BD830" s="75"/>
      <c r="BE830" s="75"/>
      <c r="BF830" s="75">
        <v>7.1249999999999994E-2</v>
      </c>
      <c r="BG830" s="75"/>
      <c r="BH830" s="75"/>
      <c r="BI830" s="74">
        <f t="shared" si="30"/>
        <v>7.1249999999999994E-2</v>
      </c>
    </row>
    <row r="831" spans="1:61" s="11" customFormat="1" x14ac:dyDescent="0.2">
      <c r="A831" s="61"/>
      <c r="O831" s="61"/>
      <c r="AU831" s="281">
        <v>68987</v>
      </c>
      <c r="AV831" s="75"/>
      <c r="AW831" s="75"/>
      <c r="AX831" s="75"/>
      <c r="AY831" s="75"/>
      <c r="AZ831" s="75"/>
      <c r="BA831" s="75"/>
      <c r="BB831" s="75"/>
      <c r="BC831" s="75"/>
      <c r="BD831" s="75"/>
      <c r="BE831" s="75"/>
      <c r="BF831" s="75">
        <v>7.1249999999999994E-2</v>
      </c>
      <c r="BG831" s="75"/>
      <c r="BH831" s="75"/>
      <c r="BI831" s="74">
        <f t="shared" si="30"/>
        <v>7.1249999999999994E-2</v>
      </c>
    </row>
    <row r="832" spans="1:61" s="11" customFormat="1" x14ac:dyDescent="0.2">
      <c r="A832" s="61"/>
      <c r="O832" s="61"/>
      <c r="AU832" s="281">
        <v>69017</v>
      </c>
      <c r="AV832" s="75"/>
      <c r="AW832" s="75"/>
      <c r="AX832" s="75"/>
      <c r="AY832" s="75"/>
      <c r="AZ832" s="75"/>
      <c r="BA832" s="75"/>
      <c r="BB832" s="75"/>
      <c r="BC832" s="75"/>
      <c r="BD832" s="75"/>
      <c r="BE832" s="75"/>
      <c r="BF832" s="75">
        <v>7.1249999999999994E-2</v>
      </c>
      <c r="BG832" s="75"/>
      <c r="BH832" s="75"/>
      <c r="BI832" s="74">
        <f t="shared" si="30"/>
        <v>7.1249999999999994E-2</v>
      </c>
    </row>
    <row r="833" spans="1:61" s="11" customFormat="1" x14ac:dyDescent="0.2">
      <c r="A833" s="61"/>
      <c r="O833" s="61"/>
      <c r="AU833" s="281">
        <v>69048</v>
      </c>
      <c r="AV833" s="75"/>
      <c r="AW833" s="75"/>
      <c r="AX833" s="75"/>
      <c r="AY833" s="75"/>
      <c r="AZ833" s="75"/>
      <c r="BA833" s="75"/>
      <c r="BB833" s="75"/>
      <c r="BC833" s="75"/>
      <c r="BD833" s="75"/>
      <c r="BE833" s="75"/>
      <c r="BF833" s="75">
        <v>7.1249999999999994E-2</v>
      </c>
      <c r="BG833" s="75"/>
      <c r="BH833" s="75"/>
      <c r="BI833" s="74">
        <f t="shared" si="30"/>
        <v>7.1249999999999994E-2</v>
      </c>
    </row>
    <row r="834" spans="1:61" s="11" customFormat="1" x14ac:dyDescent="0.2">
      <c r="A834" s="61"/>
      <c r="O834" s="61"/>
      <c r="AU834" s="281">
        <v>69079</v>
      </c>
      <c r="AV834" s="75"/>
      <c r="AW834" s="75"/>
      <c r="AX834" s="75"/>
      <c r="AY834" s="75"/>
      <c r="AZ834" s="75"/>
      <c r="BA834" s="75"/>
      <c r="BB834" s="75"/>
      <c r="BC834" s="75"/>
      <c r="BD834" s="75"/>
      <c r="BE834" s="75"/>
      <c r="BF834" s="75">
        <v>7.1249999999999994E-2</v>
      </c>
      <c r="BG834" s="75"/>
      <c r="BH834" s="75"/>
      <c r="BI834" s="74">
        <f t="shared" si="30"/>
        <v>7.1249999999999994E-2</v>
      </c>
    </row>
    <row r="835" spans="1:61" s="11" customFormat="1" x14ac:dyDescent="0.2">
      <c r="A835" s="61"/>
      <c r="O835" s="61"/>
      <c r="AU835" s="281">
        <v>69107</v>
      </c>
      <c r="AV835" s="75"/>
      <c r="AW835" s="75"/>
      <c r="AX835" s="75"/>
      <c r="AY835" s="75"/>
      <c r="AZ835" s="75"/>
      <c r="BA835" s="75"/>
      <c r="BB835" s="75"/>
      <c r="BC835" s="75"/>
      <c r="BD835" s="75"/>
      <c r="BE835" s="75"/>
      <c r="BF835" s="75">
        <v>7.1249999999999994E-2</v>
      </c>
      <c r="BG835" s="75"/>
      <c r="BH835" s="75"/>
      <c r="BI835" s="74">
        <f t="shared" si="30"/>
        <v>7.1249999999999994E-2</v>
      </c>
    </row>
    <row r="836" spans="1:61" s="11" customFormat="1" x14ac:dyDescent="0.2">
      <c r="A836" s="61"/>
      <c r="O836" s="61"/>
      <c r="AU836" s="281">
        <v>69138</v>
      </c>
      <c r="AV836" s="75"/>
      <c r="AW836" s="75"/>
      <c r="AX836" s="75"/>
      <c r="AY836" s="75"/>
      <c r="AZ836" s="75"/>
      <c r="BA836" s="75"/>
      <c r="BB836" s="75"/>
      <c r="BC836" s="75"/>
      <c r="BD836" s="75"/>
      <c r="BE836" s="75"/>
      <c r="BF836" s="75">
        <v>7.1249999999999994E-2</v>
      </c>
      <c r="BG836" s="75"/>
      <c r="BH836" s="75"/>
      <c r="BI836" s="74">
        <f t="shared" si="30"/>
        <v>7.1249999999999994E-2</v>
      </c>
    </row>
    <row r="837" spans="1:61" s="11" customFormat="1" x14ac:dyDescent="0.2">
      <c r="A837" s="61"/>
      <c r="O837" s="61"/>
      <c r="AU837" s="281">
        <v>69168</v>
      </c>
      <c r="AV837" s="75"/>
      <c r="AW837" s="75"/>
      <c r="AX837" s="75"/>
      <c r="AY837" s="75"/>
      <c r="AZ837" s="75"/>
      <c r="BA837" s="75"/>
      <c r="BB837" s="75"/>
      <c r="BC837" s="75"/>
      <c r="BD837" s="75"/>
      <c r="BE837" s="75"/>
      <c r="BF837" s="75">
        <v>7.1249999999999994E-2</v>
      </c>
      <c r="BG837" s="75"/>
      <c r="BH837" s="75"/>
      <c r="BI837" s="74">
        <f t="shared" si="30"/>
        <v>7.1249999999999994E-2</v>
      </c>
    </row>
    <row r="838" spans="1:61" s="11" customFormat="1" x14ac:dyDescent="0.2">
      <c r="A838" s="61"/>
      <c r="O838" s="61"/>
      <c r="AU838" s="281">
        <v>69199</v>
      </c>
      <c r="AV838" s="75"/>
      <c r="AW838" s="75"/>
      <c r="AX838" s="75"/>
      <c r="AY838" s="75"/>
      <c r="AZ838" s="75"/>
      <c r="BA838" s="75"/>
      <c r="BB838" s="75"/>
      <c r="BC838" s="75"/>
      <c r="BD838" s="75"/>
      <c r="BE838" s="75"/>
      <c r="BF838" s="75">
        <v>7.1249999999999994E-2</v>
      </c>
      <c r="BG838" s="75"/>
      <c r="BH838" s="75"/>
      <c r="BI838" s="74">
        <f t="shared" si="30"/>
        <v>7.1249999999999994E-2</v>
      </c>
    </row>
    <row r="839" spans="1:61" s="11" customFormat="1" x14ac:dyDescent="0.2">
      <c r="A839" s="61"/>
      <c r="O839" s="61"/>
      <c r="AU839" s="281">
        <v>69229</v>
      </c>
      <c r="AV839" s="75"/>
      <c r="AW839" s="75"/>
      <c r="AX839" s="75"/>
      <c r="AY839" s="75"/>
      <c r="AZ839" s="75"/>
      <c r="BA839" s="75"/>
      <c r="BB839" s="75"/>
      <c r="BC839" s="75"/>
      <c r="BD839" s="75"/>
      <c r="BE839" s="75"/>
      <c r="BF839" s="75">
        <v>7.1249999999999994E-2</v>
      </c>
      <c r="BG839" s="75"/>
      <c r="BH839" s="75"/>
      <c r="BI839" s="74">
        <f t="shared" si="30"/>
        <v>7.1249999999999994E-2</v>
      </c>
    </row>
    <row r="840" spans="1:61" s="11" customFormat="1" x14ac:dyDescent="0.2">
      <c r="A840" s="61"/>
      <c r="O840" s="61"/>
      <c r="AU840" s="281">
        <v>69260</v>
      </c>
      <c r="AV840" s="75"/>
      <c r="AW840" s="75"/>
      <c r="AX840" s="75"/>
      <c r="AY840" s="75"/>
      <c r="AZ840" s="75"/>
      <c r="BA840" s="75"/>
      <c r="BB840" s="75"/>
      <c r="BC840" s="75"/>
      <c r="BD840" s="75"/>
      <c r="BE840" s="75"/>
      <c r="BF840" s="75">
        <v>7.1249999999999994E-2</v>
      </c>
      <c r="BG840" s="75"/>
      <c r="BH840" s="75"/>
      <c r="BI840" s="74">
        <f t="shared" si="30"/>
        <v>7.1249999999999994E-2</v>
      </c>
    </row>
    <row r="841" spans="1:61" s="11" customFormat="1" x14ac:dyDescent="0.2">
      <c r="A841" s="61"/>
      <c r="O841" s="61"/>
      <c r="AU841" s="281">
        <v>69291</v>
      </c>
      <c r="AV841" s="75"/>
      <c r="AW841" s="75"/>
      <c r="AX841" s="75"/>
      <c r="AY841" s="75"/>
      <c r="AZ841" s="75"/>
      <c r="BA841" s="75"/>
      <c r="BB841" s="75"/>
      <c r="BC841" s="75"/>
      <c r="BD841" s="75"/>
      <c r="BE841" s="75"/>
      <c r="BF841" s="75">
        <v>7.1249999999999994E-2</v>
      </c>
      <c r="BG841" s="75"/>
      <c r="BH841" s="75"/>
      <c r="BI841" s="74">
        <f t="shared" ref="BI841:BI904" si="31">+AVERAGE(AV841:BH841)</f>
        <v>7.1249999999999994E-2</v>
      </c>
    </row>
    <row r="842" spans="1:61" s="11" customFormat="1" x14ac:dyDescent="0.2">
      <c r="A842" s="61"/>
      <c r="O842" s="61"/>
      <c r="AU842" s="281">
        <v>69321</v>
      </c>
      <c r="AV842" s="75"/>
      <c r="AW842" s="75"/>
      <c r="AX842" s="75"/>
      <c r="AY842" s="75"/>
      <c r="AZ842" s="75"/>
      <c r="BA842" s="75"/>
      <c r="BB842" s="75"/>
      <c r="BC842" s="75"/>
      <c r="BD842" s="75"/>
      <c r="BE842" s="75"/>
      <c r="BF842" s="75">
        <v>7.1249999999999994E-2</v>
      </c>
      <c r="BG842" s="75"/>
      <c r="BH842" s="75"/>
      <c r="BI842" s="74">
        <f t="shared" si="31"/>
        <v>7.1249999999999994E-2</v>
      </c>
    </row>
    <row r="843" spans="1:61" s="11" customFormat="1" x14ac:dyDescent="0.2">
      <c r="A843" s="61"/>
      <c r="O843" s="61"/>
      <c r="AU843" s="281">
        <v>69352</v>
      </c>
      <c r="AV843" s="75"/>
      <c r="AW843" s="75"/>
      <c r="AX843" s="75"/>
      <c r="AY843" s="75"/>
      <c r="AZ843" s="75"/>
      <c r="BA843" s="75"/>
      <c r="BB843" s="75"/>
      <c r="BC843" s="75"/>
      <c r="BD843" s="75"/>
      <c r="BE843" s="75"/>
      <c r="BF843" s="75">
        <v>7.1249999999999994E-2</v>
      </c>
      <c r="BG843" s="75"/>
      <c r="BH843" s="75"/>
      <c r="BI843" s="74">
        <f t="shared" si="31"/>
        <v>7.1249999999999994E-2</v>
      </c>
    </row>
    <row r="844" spans="1:61" s="11" customFormat="1" x14ac:dyDescent="0.2">
      <c r="A844" s="61"/>
      <c r="O844" s="61"/>
      <c r="AU844" s="281">
        <v>69382</v>
      </c>
      <c r="AV844" s="75"/>
      <c r="AW844" s="75"/>
      <c r="AX844" s="75"/>
      <c r="AY844" s="75"/>
      <c r="AZ844" s="75"/>
      <c r="BA844" s="75"/>
      <c r="BB844" s="75"/>
      <c r="BC844" s="75"/>
      <c r="BD844" s="75"/>
      <c r="BE844" s="75"/>
      <c r="BF844" s="75">
        <v>7.1249999999999994E-2</v>
      </c>
      <c r="BG844" s="75"/>
      <c r="BH844" s="75"/>
      <c r="BI844" s="74">
        <f t="shared" si="31"/>
        <v>7.1249999999999994E-2</v>
      </c>
    </row>
    <row r="845" spans="1:61" s="11" customFormat="1" x14ac:dyDescent="0.2">
      <c r="A845" s="61"/>
      <c r="O845" s="61"/>
      <c r="AU845" s="281">
        <v>69413</v>
      </c>
      <c r="AV845" s="75"/>
      <c r="AW845" s="75"/>
      <c r="AX845" s="75"/>
      <c r="AY845" s="75"/>
      <c r="AZ845" s="75"/>
      <c r="BA845" s="75"/>
      <c r="BB845" s="75"/>
      <c r="BC845" s="75"/>
      <c r="BD845" s="75"/>
      <c r="BE845" s="75"/>
      <c r="BF845" s="75">
        <v>7.1249999999999994E-2</v>
      </c>
      <c r="BG845" s="75"/>
      <c r="BH845" s="75"/>
      <c r="BI845" s="74">
        <f t="shared" si="31"/>
        <v>7.1249999999999994E-2</v>
      </c>
    </row>
    <row r="846" spans="1:61" s="11" customFormat="1" x14ac:dyDescent="0.2">
      <c r="A846" s="61"/>
      <c r="O846" s="61"/>
      <c r="AU846" s="281">
        <v>69444</v>
      </c>
      <c r="AV846" s="75"/>
      <c r="AW846" s="75"/>
      <c r="AX846" s="75"/>
      <c r="AY846" s="75"/>
      <c r="AZ846" s="75"/>
      <c r="BA846" s="75"/>
      <c r="BB846" s="75"/>
      <c r="BC846" s="75"/>
      <c r="BD846" s="75"/>
      <c r="BE846" s="75"/>
      <c r="BF846" s="75">
        <v>7.1249999999999994E-2</v>
      </c>
      <c r="BG846" s="75"/>
      <c r="BH846" s="75"/>
      <c r="BI846" s="74">
        <f t="shared" si="31"/>
        <v>7.1249999999999994E-2</v>
      </c>
    </row>
    <row r="847" spans="1:61" s="11" customFormat="1" x14ac:dyDescent="0.2">
      <c r="A847" s="61"/>
      <c r="O847" s="61"/>
      <c r="AU847" s="281">
        <v>69472</v>
      </c>
      <c r="AV847" s="75"/>
      <c r="AW847" s="75"/>
      <c r="AX847" s="75"/>
      <c r="AY847" s="75"/>
      <c r="AZ847" s="75"/>
      <c r="BA847" s="75"/>
      <c r="BB847" s="75"/>
      <c r="BC847" s="75"/>
      <c r="BD847" s="75"/>
      <c r="BE847" s="75"/>
      <c r="BF847" s="75">
        <v>7.1249999999999994E-2</v>
      </c>
      <c r="BG847" s="75"/>
      <c r="BH847" s="75"/>
      <c r="BI847" s="74">
        <f t="shared" si="31"/>
        <v>7.1249999999999994E-2</v>
      </c>
    </row>
    <row r="848" spans="1:61" s="11" customFormat="1" x14ac:dyDescent="0.2">
      <c r="A848" s="61"/>
      <c r="O848" s="61"/>
      <c r="AU848" s="281">
        <v>69503</v>
      </c>
      <c r="AV848" s="75"/>
      <c r="AW848" s="75"/>
      <c r="AX848" s="75"/>
      <c r="AY848" s="75"/>
      <c r="AZ848" s="75"/>
      <c r="BA848" s="75"/>
      <c r="BB848" s="75"/>
      <c r="BC848" s="75"/>
      <c r="BD848" s="75"/>
      <c r="BE848" s="75"/>
      <c r="BF848" s="75">
        <v>7.1249999999999994E-2</v>
      </c>
      <c r="BG848" s="75"/>
      <c r="BH848" s="75"/>
      <c r="BI848" s="74">
        <f t="shared" si="31"/>
        <v>7.1249999999999994E-2</v>
      </c>
    </row>
    <row r="849" spans="1:61" s="11" customFormat="1" x14ac:dyDescent="0.2">
      <c r="A849" s="61"/>
      <c r="O849" s="61"/>
      <c r="AU849" s="281">
        <v>69533</v>
      </c>
      <c r="AV849" s="75"/>
      <c r="AW849" s="75"/>
      <c r="AX849" s="75"/>
      <c r="AY849" s="75"/>
      <c r="AZ849" s="75"/>
      <c r="BA849" s="75"/>
      <c r="BB849" s="75"/>
      <c r="BC849" s="75"/>
      <c r="BD849" s="75"/>
      <c r="BE849" s="75"/>
      <c r="BF849" s="75">
        <v>7.1249999999999994E-2</v>
      </c>
      <c r="BG849" s="75"/>
      <c r="BH849" s="75"/>
      <c r="BI849" s="74">
        <f t="shared" si="31"/>
        <v>7.1249999999999994E-2</v>
      </c>
    </row>
    <row r="850" spans="1:61" s="11" customFormat="1" x14ac:dyDescent="0.2">
      <c r="A850" s="61"/>
      <c r="O850" s="61"/>
      <c r="AU850" s="281">
        <v>69564</v>
      </c>
      <c r="AV850" s="75"/>
      <c r="AW850" s="75"/>
      <c r="AX850" s="75"/>
      <c r="AY850" s="75"/>
      <c r="AZ850" s="75"/>
      <c r="BA850" s="75"/>
      <c r="BB850" s="75"/>
      <c r="BC850" s="75"/>
      <c r="BD850" s="75"/>
      <c r="BE850" s="75"/>
      <c r="BF850" s="75">
        <v>7.1249999999999994E-2</v>
      </c>
      <c r="BG850" s="75"/>
      <c r="BH850" s="75"/>
      <c r="BI850" s="74">
        <f t="shared" si="31"/>
        <v>7.1249999999999994E-2</v>
      </c>
    </row>
    <row r="851" spans="1:61" s="11" customFormat="1" x14ac:dyDescent="0.2">
      <c r="A851" s="61"/>
      <c r="O851" s="61"/>
      <c r="AU851" s="281">
        <v>69594</v>
      </c>
      <c r="AV851" s="75"/>
      <c r="AW851" s="75"/>
      <c r="AX851" s="75"/>
      <c r="AY851" s="75"/>
      <c r="AZ851" s="75"/>
      <c r="BA851" s="75"/>
      <c r="BB851" s="75"/>
      <c r="BC851" s="75"/>
      <c r="BD851" s="75"/>
      <c r="BE851" s="75"/>
      <c r="BF851" s="75">
        <v>7.1249999999999994E-2</v>
      </c>
      <c r="BG851" s="75"/>
      <c r="BH851" s="75"/>
      <c r="BI851" s="74">
        <f t="shared" si="31"/>
        <v>7.1249999999999994E-2</v>
      </c>
    </row>
    <row r="852" spans="1:61" s="11" customFormat="1" x14ac:dyDescent="0.2">
      <c r="A852" s="61"/>
      <c r="O852" s="61"/>
      <c r="AU852" s="281">
        <v>69625</v>
      </c>
      <c r="AV852" s="75"/>
      <c r="AW852" s="75"/>
      <c r="AX852" s="75"/>
      <c r="AY852" s="75"/>
      <c r="AZ852" s="75"/>
      <c r="BA852" s="75"/>
      <c r="BB852" s="75"/>
      <c r="BC852" s="75"/>
      <c r="BD852" s="75"/>
      <c r="BE852" s="75"/>
      <c r="BF852" s="75">
        <v>7.1249999999999994E-2</v>
      </c>
      <c r="BG852" s="75"/>
      <c r="BH852" s="75"/>
      <c r="BI852" s="74">
        <f t="shared" si="31"/>
        <v>7.1249999999999994E-2</v>
      </c>
    </row>
    <row r="853" spans="1:61" s="11" customFormat="1" x14ac:dyDescent="0.2">
      <c r="A853" s="61"/>
      <c r="O853" s="61"/>
      <c r="AU853" s="281">
        <v>69656</v>
      </c>
      <c r="AV853" s="75"/>
      <c r="AW853" s="75"/>
      <c r="AX853" s="75"/>
      <c r="AY853" s="75"/>
      <c r="AZ853" s="75"/>
      <c r="BA853" s="75"/>
      <c r="BB853" s="75"/>
      <c r="BC853" s="75"/>
      <c r="BD853" s="75"/>
      <c r="BE853" s="75"/>
      <c r="BF853" s="75">
        <v>7.1249999999999994E-2</v>
      </c>
      <c r="BG853" s="75"/>
      <c r="BH853" s="75"/>
      <c r="BI853" s="74">
        <f t="shared" si="31"/>
        <v>7.1249999999999994E-2</v>
      </c>
    </row>
    <row r="854" spans="1:61" s="11" customFormat="1" x14ac:dyDescent="0.2">
      <c r="A854" s="61"/>
      <c r="O854" s="61"/>
      <c r="AU854" s="281">
        <v>69686</v>
      </c>
      <c r="AV854" s="75"/>
      <c r="AW854" s="75"/>
      <c r="AX854" s="75"/>
      <c r="AY854" s="75"/>
      <c r="AZ854" s="75"/>
      <c r="BA854" s="75"/>
      <c r="BB854" s="75"/>
      <c r="BC854" s="75"/>
      <c r="BD854" s="75"/>
      <c r="BE854" s="75"/>
      <c r="BF854" s="75">
        <v>7.1249999999999994E-2</v>
      </c>
      <c r="BG854" s="75"/>
      <c r="BH854" s="75"/>
      <c r="BI854" s="74">
        <f t="shared" si="31"/>
        <v>7.1249999999999994E-2</v>
      </c>
    </row>
    <row r="855" spans="1:61" s="11" customFormat="1" x14ac:dyDescent="0.2">
      <c r="A855" s="61"/>
      <c r="O855" s="61"/>
      <c r="AU855" s="281">
        <v>69717</v>
      </c>
      <c r="AV855" s="75"/>
      <c r="AW855" s="75"/>
      <c r="AX855" s="75"/>
      <c r="AY855" s="75"/>
      <c r="AZ855" s="75"/>
      <c r="BA855" s="75"/>
      <c r="BB855" s="75"/>
      <c r="BC855" s="75"/>
      <c r="BD855" s="75"/>
      <c r="BE855" s="75"/>
      <c r="BF855" s="75">
        <v>7.1249999999999994E-2</v>
      </c>
      <c r="BG855" s="75"/>
      <c r="BH855" s="75"/>
      <c r="BI855" s="74">
        <f t="shared" si="31"/>
        <v>7.1249999999999994E-2</v>
      </c>
    </row>
    <row r="856" spans="1:61" s="11" customFormat="1" x14ac:dyDescent="0.2">
      <c r="A856" s="61"/>
      <c r="O856" s="61"/>
      <c r="AU856" s="281">
        <v>69747</v>
      </c>
      <c r="AV856" s="75"/>
      <c r="AW856" s="75"/>
      <c r="AX856" s="75"/>
      <c r="AY856" s="75"/>
      <c r="AZ856" s="75"/>
      <c r="BA856" s="75"/>
      <c r="BB856" s="75"/>
      <c r="BC856" s="75"/>
      <c r="BD856" s="75"/>
      <c r="BE856" s="75"/>
      <c r="BF856" s="75">
        <v>7.1249999999999994E-2</v>
      </c>
      <c r="BG856" s="75"/>
      <c r="BH856" s="75"/>
      <c r="BI856" s="74">
        <f t="shared" si="31"/>
        <v>7.1249999999999994E-2</v>
      </c>
    </row>
    <row r="857" spans="1:61" s="11" customFormat="1" x14ac:dyDescent="0.2">
      <c r="A857" s="61"/>
      <c r="O857" s="61"/>
      <c r="AU857" s="281">
        <v>69778</v>
      </c>
      <c r="AV857" s="75"/>
      <c r="AW857" s="75"/>
      <c r="AX857" s="75"/>
      <c r="AY857" s="75"/>
      <c r="AZ857" s="75"/>
      <c r="BA857" s="75"/>
      <c r="BB857" s="75"/>
      <c r="BC857" s="75"/>
      <c r="BD857" s="75"/>
      <c r="BE857" s="75"/>
      <c r="BF857" s="75">
        <v>7.1249999999999994E-2</v>
      </c>
      <c r="BG857" s="75"/>
      <c r="BH857" s="75"/>
      <c r="BI857" s="74">
        <f t="shared" si="31"/>
        <v>7.1249999999999994E-2</v>
      </c>
    </row>
    <row r="858" spans="1:61" s="11" customFormat="1" x14ac:dyDescent="0.2">
      <c r="A858" s="61"/>
      <c r="O858" s="61"/>
      <c r="AU858" s="281">
        <v>69809</v>
      </c>
      <c r="AV858" s="75"/>
      <c r="AW858" s="75"/>
      <c r="AX858" s="75"/>
      <c r="AY858" s="75"/>
      <c r="AZ858" s="75"/>
      <c r="BA858" s="75"/>
      <c r="BB858" s="75"/>
      <c r="BC858" s="75"/>
      <c r="BD858" s="75"/>
      <c r="BE858" s="75"/>
      <c r="BF858" s="75">
        <v>7.1249999999999994E-2</v>
      </c>
      <c r="BG858" s="75"/>
      <c r="BH858" s="75"/>
      <c r="BI858" s="74">
        <f t="shared" si="31"/>
        <v>7.1249999999999994E-2</v>
      </c>
    </row>
    <row r="859" spans="1:61" s="11" customFormat="1" x14ac:dyDescent="0.2">
      <c r="A859" s="61"/>
      <c r="O859" s="61"/>
      <c r="AU859" s="281">
        <v>69837</v>
      </c>
      <c r="AV859" s="75"/>
      <c r="AW859" s="75"/>
      <c r="AX859" s="75"/>
      <c r="AY859" s="75"/>
      <c r="AZ859" s="75"/>
      <c r="BA859" s="75"/>
      <c r="BB859" s="75"/>
      <c r="BC859" s="75"/>
      <c r="BD859" s="75"/>
      <c r="BE859" s="75"/>
      <c r="BF859" s="75">
        <v>7.1249999999999994E-2</v>
      </c>
      <c r="BG859" s="75"/>
      <c r="BH859" s="75"/>
      <c r="BI859" s="74">
        <f t="shared" si="31"/>
        <v>7.1249999999999994E-2</v>
      </c>
    </row>
    <row r="860" spans="1:61" s="11" customFormat="1" x14ac:dyDescent="0.2">
      <c r="A860" s="61"/>
      <c r="O860" s="61"/>
      <c r="AU860" s="281">
        <v>69868</v>
      </c>
      <c r="AV860" s="75"/>
      <c r="AW860" s="75"/>
      <c r="AX860" s="75"/>
      <c r="AY860" s="75"/>
      <c r="AZ860" s="75"/>
      <c r="BA860" s="75"/>
      <c r="BB860" s="75"/>
      <c r="BC860" s="75"/>
      <c r="BD860" s="75"/>
      <c r="BE860" s="75"/>
      <c r="BF860" s="75">
        <v>7.1249999999999994E-2</v>
      </c>
      <c r="BG860" s="75"/>
      <c r="BH860" s="75"/>
      <c r="BI860" s="74">
        <f t="shared" si="31"/>
        <v>7.1249999999999994E-2</v>
      </c>
    </row>
    <row r="861" spans="1:61" s="11" customFormat="1" x14ac:dyDescent="0.2">
      <c r="A861" s="61"/>
      <c r="O861" s="61"/>
      <c r="AU861" s="281">
        <v>69898</v>
      </c>
      <c r="AV861" s="75"/>
      <c r="AW861" s="75"/>
      <c r="AX861" s="75"/>
      <c r="AY861" s="75"/>
      <c r="AZ861" s="75"/>
      <c r="BA861" s="75"/>
      <c r="BB861" s="75"/>
      <c r="BC861" s="75"/>
      <c r="BD861" s="75"/>
      <c r="BE861" s="75"/>
      <c r="BF861" s="75">
        <v>7.1249999999999994E-2</v>
      </c>
      <c r="BG861" s="75"/>
      <c r="BH861" s="75"/>
      <c r="BI861" s="74">
        <f t="shared" si="31"/>
        <v>7.1249999999999994E-2</v>
      </c>
    </row>
    <row r="862" spans="1:61" s="11" customFormat="1" x14ac:dyDescent="0.2">
      <c r="A862" s="61"/>
      <c r="O862" s="61"/>
      <c r="AU862" s="281">
        <v>69929</v>
      </c>
      <c r="AV862" s="75"/>
      <c r="AW862" s="75"/>
      <c r="AX862" s="75"/>
      <c r="AY862" s="75"/>
      <c r="AZ862" s="75"/>
      <c r="BA862" s="75"/>
      <c r="BB862" s="75"/>
      <c r="BC862" s="75"/>
      <c r="BD862" s="75"/>
      <c r="BE862" s="75"/>
      <c r="BF862" s="75">
        <v>7.1249999999999994E-2</v>
      </c>
      <c r="BG862" s="75"/>
      <c r="BH862" s="75"/>
      <c r="BI862" s="74">
        <f t="shared" si="31"/>
        <v>7.1249999999999994E-2</v>
      </c>
    </row>
    <row r="863" spans="1:61" s="11" customFormat="1" x14ac:dyDescent="0.2">
      <c r="A863" s="61"/>
      <c r="O863" s="61"/>
      <c r="AU863" s="281">
        <v>69959</v>
      </c>
      <c r="AV863" s="75"/>
      <c r="AW863" s="75"/>
      <c r="AX863" s="75"/>
      <c r="AY863" s="75"/>
      <c r="AZ863" s="75"/>
      <c r="BA863" s="75"/>
      <c r="BB863" s="75"/>
      <c r="BC863" s="75"/>
      <c r="BD863" s="75"/>
      <c r="BE863" s="75"/>
      <c r="BF863" s="75">
        <v>7.1249999999999994E-2</v>
      </c>
      <c r="BG863" s="75"/>
      <c r="BH863" s="75"/>
      <c r="BI863" s="74">
        <f t="shared" si="31"/>
        <v>7.1249999999999994E-2</v>
      </c>
    </row>
    <row r="864" spans="1:61" s="11" customFormat="1" x14ac:dyDescent="0.2">
      <c r="A864" s="61"/>
      <c r="O864" s="61"/>
      <c r="AU864" s="281">
        <v>69990</v>
      </c>
      <c r="AV864" s="75"/>
      <c r="AW864" s="75"/>
      <c r="AX864" s="75"/>
      <c r="AY864" s="75"/>
      <c r="AZ864" s="75"/>
      <c r="BA864" s="75"/>
      <c r="BB864" s="75"/>
      <c r="BC864" s="75"/>
      <c r="BD864" s="75"/>
      <c r="BE864" s="75"/>
      <c r="BF864" s="75">
        <v>7.1249999999999994E-2</v>
      </c>
      <c r="BG864" s="75"/>
      <c r="BH864" s="75"/>
      <c r="BI864" s="74">
        <f t="shared" si="31"/>
        <v>7.1249999999999994E-2</v>
      </c>
    </row>
    <row r="865" spans="1:61" s="11" customFormat="1" x14ac:dyDescent="0.2">
      <c r="A865" s="61"/>
      <c r="O865" s="61"/>
      <c r="AU865" s="281">
        <v>70021</v>
      </c>
      <c r="AV865" s="75"/>
      <c r="AW865" s="75"/>
      <c r="AX865" s="75"/>
      <c r="AY865" s="75"/>
      <c r="AZ865" s="75"/>
      <c r="BA865" s="75"/>
      <c r="BB865" s="75"/>
      <c r="BC865" s="75"/>
      <c r="BD865" s="75"/>
      <c r="BE865" s="75"/>
      <c r="BF865" s="75">
        <v>7.1249999999999994E-2</v>
      </c>
      <c r="BG865" s="75"/>
      <c r="BH865" s="75"/>
      <c r="BI865" s="74">
        <f t="shared" si="31"/>
        <v>7.1249999999999994E-2</v>
      </c>
    </row>
    <row r="866" spans="1:61" s="11" customFormat="1" x14ac:dyDescent="0.2">
      <c r="A866" s="61"/>
      <c r="O866" s="61"/>
      <c r="AU866" s="281">
        <v>70051</v>
      </c>
      <c r="AV866" s="75"/>
      <c r="AW866" s="75"/>
      <c r="AX866" s="75"/>
      <c r="AY866" s="75"/>
      <c r="AZ866" s="75"/>
      <c r="BA866" s="75"/>
      <c r="BB866" s="75"/>
      <c r="BC866" s="75"/>
      <c r="BD866" s="75"/>
      <c r="BE866" s="75"/>
      <c r="BF866" s="75">
        <v>7.1249999999999994E-2</v>
      </c>
      <c r="BG866" s="75"/>
      <c r="BH866" s="75"/>
      <c r="BI866" s="74">
        <f t="shared" si="31"/>
        <v>7.1249999999999994E-2</v>
      </c>
    </row>
    <row r="867" spans="1:61" s="11" customFormat="1" x14ac:dyDescent="0.2">
      <c r="A867" s="61"/>
      <c r="O867" s="61"/>
      <c r="AU867" s="281">
        <v>70082</v>
      </c>
      <c r="AV867" s="75"/>
      <c r="AW867" s="75"/>
      <c r="AX867" s="75"/>
      <c r="AY867" s="75"/>
      <c r="AZ867" s="75"/>
      <c r="BA867" s="75"/>
      <c r="BB867" s="75"/>
      <c r="BC867" s="75"/>
      <c r="BD867" s="75"/>
      <c r="BE867" s="75"/>
      <c r="BF867" s="75">
        <v>7.1249999999999994E-2</v>
      </c>
      <c r="BG867" s="75"/>
      <c r="BH867" s="75"/>
      <c r="BI867" s="74">
        <f t="shared" si="31"/>
        <v>7.1249999999999994E-2</v>
      </c>
    </row>
    <row r="868" spans="1:61" s="11" customFormat="1" x14ac:dyDescent="0.2">
      <c r="A868" s="61"/>
      <c r="O868" s="61"/>
      <c r="AU868" s="281">
        <v>70112</v>
      </c>
      <c r="AV868" s="75"/>
      <c r="AW868" s="75"/>
      <c r="AX868" s="75"/>
      <c r="AY868" s="75"/>
      <c r="AZ868" s="75"/>
      <c r="BA868" s="75"/>
      <c r="BB868" s="75"/>
      <c r="BC868" s="75"/>
      <c r="BD868" s="75"/>
      <c r="BE868" s="75"/>
      <c r="BF868" s="75">
        <v>7.1249999999999994E-2</v>
      </c>
      <c r="BG868" s="75"/>
      <c r="BH868" s="75"/>
      <c r="BI868" s="74">
        <f t="shared" si="31"/>
        <v>7.1249999999999994E-2</v>
      </c>
    </row>
    <row r="869" spans="1:61" s="11" customFormat="1" x14ac:dyDescent="0.2">
      <c r="A869" s="61"/>
      <c r="O869" s="61"/>
      <c r="AU869" s="281">
        <v>70143</v>
      </c>
      <c r="AV869" s="75"/>
      <c r="AW869" s="75"/>
      <c r="AX869" s="75"/>
      <c r="AY869" s="75"/>
      <c r="AZ869" s="75"/>
      <c r="BA869" s="75"/>
      <c r="BB869" s="75"/>
      <c r="BC869" s="75"/>
      <c r="BD869" s="75"/>
      <c r="BE869" s="75"/>
      <c r="BF869" s="75">
        <v>7.1249999999999994E-2</v>
      </c>
      <c r="BG869" s="75"/>
      <c r="BH869" s="75"/>
      <c r="BI869" s="74">
        <f t="shared" si="31"/>
        <v>7.1249999999999994E-2</v>
      </c>
    </row>
    <row r="870" spans="1:61" s="11" customFormat="1" x14ac:dyDescent="0.2">
      <c r="A870" s="61"/>
      <c r="O870" s="61"/>
      <c r="AU870" s="281">
        <v>70174</v>
      </c>
      <c r="AV870" s="75"/>
      <c r="AW870" s="75"/>
      <c r="AX870" s="75"/>
      <c r="AY870" s="75"/>
      <c r="AZ870" s="75"/>
      <c r="BA870" s="75"/>
      <c r="BB870" s="75"/>
      <c r="BC870" s="75"/>
      <c r="BD870" s="75"/>
      <c r="BE870" s="75"/>
      <c r="BF870" s="75">
        <v>7.1249999999999994E-2</v>
      </c>
      <c r="BG870" s="75"/>
      <c r="BH870" s="75"/>
      <c r="BI870" s="74">
        <f t="shared" si="31"/>
        <v>7.1249999999999994E-2</v>
      </c>
    </row>
    <row r="871" spans="1:61" s="11" customFormat="1" x14ac:dyDescent="0.2">
      <c r="A871" s="61"/>
      <c r="O871" s="61"/>
      <c r="AU871" s="281">
        <v>70203</v>
      </c>
      <c r="AV871" s="75"/>
      <c r="AW871" s="75"/>
      <c r="AX871" s="75"/>
      <c r="AY871" s="75"/>
      <c r="AZ871" s="75"/>
      <c r="BA871" s="75"/>
      <c r="BB871" s="75"/>
      <c r="BC871" s="75"/>
      <c r="BD871" s="75"/>
      <c r="BE871" s="75"/>
      <c r="BF871" s="75">
        <v>7.1249999999999994E-2</v>
      </c>
      <c r="BG871" s="75"/>
      <c r="BH871" s="75"/>
      <c r="BI871" s="74">
        <f t="shared" si="31"/>
        <v>7.1249999999999994E-2</v>
      </c>
    </row>
    <row r="872" spans="1:61" s="11" customFormat="1" x14ac:dyDescent="0.2">
      <c r="A872" s="61"/>
      <c r="O872" s="61"/>
      <c r="AU872" s="281">
        <v>70234</v>
      </c>
      <c r="AV872" s="75"/>
      <c r="AW872" s="75"/>
      <c r="AX872" s="75"/>
      <c r="AY872" s="75"/>
      <c r="AZ872" s="75"/>
      <c r="BA872" s="75"/>
      <c r="BB872" s="75"/>
      <c r="BC872" s="75"/>
      <c r="BD872" s="75"/>
      <c r="BE872" s="75"/>
      <c r="BF872" s="75">
        <v>7.1249999999999994E-2</v>
      </c>
      <c r="BG872" s="75"/>
      <c r="BH872" s="75"/>
      <c r="BI872" s="74">
        <f t="shared" si="31"/>
        <v>7.1249999999999994E-2</v>
      </c>
    </row>
    <row r="873" spans="1:61" s="11" customFormat="1" x14ac:dyDescent="0.2">
      <c r="A873" s="61"/>
      <c r="O873" s="61"/>
      <c r="AU873" s="281">
        <v>70264</v>
      </c>
      <c r="AV873" s="75"/>
      <c r="AW873" s="75"/>
      <c r="AX873" s="75"/>
      <c r="AY873" s="75"/>
      <c r="AZ873" s="75"/>
      <c r="BA873" s="75"/>
      <c r="BB873" s="75"/>
      <c r="BC873" s="75"/>
      <c r="BD873" s="75"/>
      <c r="BE873" s="75"/>
      <c r="BF873" s="75">
        <v>7.1249999999999994E-2</v>
      </c>
      <c r="BG873" s="75"/>
      <c r="BH873" s="75"/>
      <c r="BI873" s="74">
        <f t="shared" si="31"/>
        <v>7.1249999999999994E-2</v>
      </c>
    </row>
    <row r="874" spans="1:61" s="11" customFormat="1" x14ac:dyDescent="0.2">
      <c r="A874" s="61"/>
      <c r="O874" s="61"/>
      <c r="AU874" s="281">
        <v>70295</v>
      </c>
      <c r="AV874" s="75"/>
      <c r="AW874" s="75"/>
      <c r="AX874" s="75"/>
      <c r="AY874" s="75"/>
      <c r="AZ874" s="75"/>
      <c r="BA874" s="75"/>
      <c r="BB874" s="75"/>
      <c r="BC874" s="75"/>
      <c r="BD874" s="75"/>
      <c r="BE874" s="75"/>
      <c r="BF874" s="75">
        <v>7.1249999999999994E-2</v>
      </c>
      <c r="BG874" s="75"/>
      <c r="BH874" s="75"/>
      <c r="BI874" s="74">
        <f t="shared" si="31"/>
        <v>7.1249999999999994E-2</v>
      </c>
    </row>
    <row r="875" spans="1:61" s="11" customFormat="1" x14ac:dyDescent="0.2">
      <c r="A875" s="61"/>
      <c r="O875" s="61"/>
      <c r="AU875" s="281">
        <v>70325</v>
      </c>
      <c r="AV875" s="75"/>
      <c r="AW875" s="75"/>
      <c r="AX875" s="75"/>
      <c r="AY875" s="75"/>
      <c r="AZ875" s="75"/>
      <c r="BA875" s="75"/>
      <c r="BB875" s="75"/>
      <c r="BC875" s="75"/>
      <c r="BD875" s="75"/>
      <c r="BE875" s="75"/>
      <c r="BF875" s="75">
        <v>7.1249999999999994E-2</v>
      </c>
      <c r="BG875" s="75"/>
      <c r="BH875" s="75"/>
      <c r="BI875" s="74">
        <f t="shared" si="31"/>
        <v>7.1249999999999994E-2</v>
      </c>
    </row>
    <row r="876" spans="1:61" s="11" customFormat="1" x14ac:dyDescent="0.2">
      <c r="A876" s="61"/>
      <c r="O876" s="61"/>
      <c r="AU876" s="281">
        <v>70356</v>
      </c>
      <c r="AV876" s="75"/>
      <c r="AW876" s="75"/>
      <c r="AX876" s="75"/>
      <c r="AY876" s="75"/>
      <c r="AZ876" s="75"/>
      <c r="BA876" s="75"/>
      <c r="BB876" s="75"/>
      <c r="BC876" s="75"/>
      <c r="BD876" s="75"/>
      <c r="BE876" s="75"/>
      <c r="BF876" s="75">
        <v>7.1249999999999994E-2</v>
      </c>
      <c r="BG876" s="75"/>
      <c r="BH876" s="75"/>
      <c r="BI876" s="74">
        <f t="shared" si="31"/>
        <v>7.1249999999999994E-2</v>
      </c>
    </row>
    <row r="877" spans="1:61" s="11" customFormat="1" x14ac:dyDescent="0.2">
      <c r="A877" s="61"/>
      <c r="O877" s="61"/>
      <c r="AU877" s="281">
        <v>70387</v>
      </c>
      <c r="AV877" s="75"/>
      <c r="AW877" s="75"/>
      <c r="AX877" s="75"/>
      <c r="AY877" s="75"/>
      <c r="AZ877" s="75"/>
      <c r="BA877" s="75"/>
      <c r="BB877" s="75"/>
      <c r="BC877" s="75"/>
      <c r="BD877" s="75"/>
      <c r="BE877" s="75"/>
      <c r="BF877" s="75">
        <v>7.1249999999999994E-2</v>
      </c>
      <c r="BG877" s="75"/>
      <c r="BH877" s="75"/>
      <c r="BI877" s="74">
        <f t="shared" si="31"/>
        <v>7.1249999999999994E-2</v>
      </c>
    </row>
    <row r="878" spans="1:61" s="11" customFormat="1" x14ac:dyDescent="0.2">
      <c r="A878" s="61"/>
      <c r="O878" s="61"/>
      <c r="AU878" s="281">
        <v>70417</v>
      </c>
      <c r="AV878" s="75"/>
      <c r="AW878" s="75"/>
      <c r="AX878" s="75"/>
      <c r="AY878" s="75"/>
      <c r="AZ878" s="75"/>
      <c r="BA878" s="75"/>
      <c r="BB878" s="75"/>
      <c r="BC878" s="75"/>
      <c r="BD878" s="75"/>
      <c r="BE878" s="75"/>
      <c r="BF878" s="75">
        <v>7.1249999999999994E-2</v>
      </c>
      <c r="BG878" s="75"/>
      <c r="BH878" s="75"/>
      <c r="BI878" s="74">
        <f t="shared" si="31"/>
        <v>7.1249999999999994E-2</v>
      </c>
    </row>
    <row r="879" spans="1:61" s="11" customFormat="1" x14ac:dyDescent="0.2">
      <c r="A879" s="61"/>
      <c r="O879" s="61"/>
      <c r="AU879" s="281">
        <v>70448</v>
      </c>
      <c r="AV879" s="75"/>
      <c r="AW879" s="75"/>
      <c r="AX879" s="75"/>
      <c r="AY879" s="75"/>
      <c r="AZ879" s="75"/>
      <c r="BA879" s="75"/>
      <c r="BB879" s="75"/>
      <c r="BC879" s="75"/>
      <c r="BD879" s="75"/>
      <c r="BE879" s="75"/>
      <c r="BF879" s="75">
        <v>7.1249999999999994E-2</v>
      </c>
      <c r="BG879" s="75"/>
      <c r="BH879" s="75"/>
      <c r="BI879" s="74">
        <f t="shared" si="31"/>
        <v>7.1249999999999994E-2</v>
      </c>
    </row>
    <row r="880" spans="1:61" s="11" customFormat="1" x14ac:dyDescent="0.2">
      <c r="A880" s="61"/>
      <c r="O880" s="61"/>
      <c r="AU880" s="281">
        <v>70478</v>
      </c>
      <c r="AV880" s="75"/>
      <c r="AW880" s="75"/>
      <c r="AX880" s="75"/>
      <c r="AY880" s="75"/>
      <c r="AZ880" s="75"/>
      <c r="BA880" s="75"/>
      <c r="BB880" s="75"/>
      <c r="BC880" s="75"/>
      <c r="BD880" s="75"/>
      <c r="BE880" s="75"/>
      <c r="BF880" s="75">
        <v>7.1249999999999994E-2</v>
      </c>
      <c r="BG880" s="75"/>
      <c r="BH880" s="75"/>
      <c r="BI880" s="74">
        <f t="shared" si="31"/>
        <v>7.1249999999999994E-2</v>
      </c>
    </row>
    <row r="881" spans="1:61" s="11" customFormat="1" x14ac:dyDescent="0.2">
      <c r="A881" s="61"/>
      <c r="O881" s="61"/>
      <c r="AU881" s="281">
        <v>70509</v>
      </c>
      <c r="AV881" s="75"/>
      <c r="AW881" s="75"/>
      <c r="AX881" s="75"/>
      <c r="AY881" s="75"/>
      <c r="AZ881" s="75"/>
      <c r="BA881" s="75"/>
      <c r="BB881" s="75"/>
      <c r="BC881" s="75"/>
      <c r="BD881" s="75"/>
      <c r="BE881" s="75"/>
      <c r="BF881" s="75">
        <v>7.1249999999999994E-2</v>
      </c>
      <c r="BG881" s="75"/>
      <c r="BH881" s="75"/>
      <c r="BI881" s="74">
        <f t="shared" si="31"/>
        <v>7.1249999999999994E-2</v>
      </c>
    </row>
    <row r="882" spans="1:61" s="11" customFormat="1" x14ac:dyDescent="0.2">
      <c r="A882" s="61"/>
      <c r="O882" s="61"/>
      <c r="AU882" s="281">
        <v>70540</v>
      </c>
      <c r="AV882" s="75"/>
      <c r="AW882" s="75"/>
      <c r="AX882" s="75"/>
      <c r="AY882" s="75"/>
      <c r="AZ882" s="75"/>
      <c r="BA882" s="75"/>
      <c r="BB882" s="75"/>
      <c r="BC882" s="75"/>
      <c r="BD882" s="75"/>
      <c r="BE882" s="75"/>
      <c r="BF882" s="75">
        <v>7.1249999999999994E-2</v>
      </c>
      <c r="BG882" s="75"/>
      <c r="BH882" s="75"/>
      <c r="BI882" s="74">
        <f t="shared" si="31"/>
        <v>7.1249999999999994E-2</v>
      </c>
    </row>
    <row r="883" spans="1:61" s="11" customFormat="1" x14ac:dyDescent="0.2">
      <c r="A883" s="61"/>
      <c r="O883" s="61"/>
      <c r="AU883" s="281">
        <v>70568</v>
      </c>
      <c r="AV883" s="75"/>
      <c r="AW883" s="75"/>
      <c r="AX883" s="75"/>
      <c r="AY883" s="75"/>
      <c r="AZ883" s="75"/>
      <c r="BA883" s="75"/>
      <c r="BB883" s="75"/>
      <c r="BC883" s="75"/>
      <c r="BD883" s="75"/>
      <c r="BE883" s="75"/>
      <c r="BF883" s="75">
        <v>7.1249999999999994E-2</v>
      </c>
      <c r="BG883" s="75"/>
      <c r="BH883" s="75"/>
      <c r="BI883" s="74">
        <f t="shared" si="31"/>
        <v>7.1249999999999994E-2</v>
      </c>
    </row>
    <row r="884" spans="1:61" s="11" customFormat="1" x14ac:dyDescent="0.2">
      <c r="A884" s="61"/>
      <c r="O884" s="61"/>
      <c r="AU884" s="281">
        <v>70599</v>
      </c>
      <c r="AV884" s="75"/>
      <c r="AW884" s="75"/>
      <c r="AX884" s="75"/>
      <c r="AY884" s="75"/>
      <c r="AZ884" s="75"/>
      <c r="BA884" s="75"/>
      <c r="BB884" s="75"/>
      <c r="BC884" s="75"/>
      <c r="BD884" s="75"/>
      <c r="BE884" s="75"/>
      <c r="BF884" s="75">
        <v>7.1249999999999994E-2</v>
      </c>
      <c r="BG884" s="75"/>
      <c r="BH884" s="75"/>
      <c r="BI884" s="74">
        <f t="shared" si="31"/>
        <v>7.1249999999999994E-2</v>
      </c>
    </row>
    <row r="885" spans="1:61" s="11" customFormat="1" x14ac:dyDescent="0.2">
      <c r="A885" s="61"/>
      <c r="O885" s="61"/>
      <c r="AU885" s="281">
        <v>70629</v>
      </c>
      <c r="AV885" s="75"/>
      <c r="AW885" s="75"/>
      <c r="AX885" s="75"/>
      <c r="AY885" s="75"/>
      <c r="AZ885" s="75"/>
      <c r="BA885" s="75"/>
      <c r="BB885" s="75"/>
      <c r="BC885" s="75"/>
      <c r="BD885" s="75"/>
      <c r="BE885" s="75"/>
      <c r="BF885" s="75">
        <v>7.1249999999999994E-2</v>
      </c>
      <c r="BG885" s="75"/>
      <c r="BH885" s="75"/>
      <c r="BI885" s="74">
        <f t="shared" si="31"/>
        <v>7.1249999999999994E-2</v>
      </c>
    </row>
    <row r="886" spans="1:61" s="11" customFormat="1" x14ac:dyDescent="0.2">
      <c r="A886" s="61"/>
      <c r="O886" s="61"/>
      <c r="AU886" s="281">
        <v>70660</v>
      </c>
      <c r="AV886" s="75"/>
      <c r="AW886" s="75"/>
      <c r="AX886" s="75"/>
      <c r="AY886" s="75"/>
      <c r="AZ886" s="75"/>
      <c r="BA886" s="75"/>
      <c r="BB886" s="75"/>
      <c r="BC886" s="75"/>
      <c r="BD886" s="75"/>
      <c r="BE886" s="75"/>
      <c r="BF886" s="75">
        <v>7.1249999999999994E-2</v>
      </c>
      <c r="BG886" s="75"/>
      <c r="BH886" s="75"/>
      <c r="BI886" s="74">
        <f t="shared" si="31"/>
        <v>7.1249999999999994E-2</v>
      </c>
    </row>
    <row r="887" spans="1:61" s="11" customFormat="1" x14ac:dyDescent="0.2">
      <c r="A887" s="61"/>
      <c r="O887" s="61"/>
      <c r="AU887" s="281">
        <v>70690</v>
      </c>
      <c r="AV887" s="75"/>
      <c r="AW887" s="75"/>
      <c r="AX887" s="75"/>
      <c r="AY887" s="75"/>
      <c r="AZ887" s="75"/>
      <c r="BA887" s="75"/>
      <c r="BB887" s="75"/>
      <c r="BC887" s="75"/>
      <c r="BD887" s="75"/>
      <c r="BE887" s="75"/>
      <c r="BF887" s="75">
        <v>7.1249999999999994E-2</v>
      </c>
      <c r="BG887" s="75"/>
      <c r="BH887" s="75"/>
      <c r="BI887" s="74">
        <f t="shared" si="31"/>
        <v>7.1249999999999994E-2</v>
      </c>
    </row>
    <row r="888" spans="1:61" s="11" customFormat="1" x14ac:dyDescent="0.2">
      <c r="A888" s="61"/>
      <c r="O888" s="61"/>
      <c r="AU888" s="281">
        <v>70721</v>
      </c>
      <c r="AV888" s="75"/>
      <c r="AW888" s="75"/>
      <c r="AX888" s="75"/>
      <c r="AY888" s="75"/>
      <c r="AZ888" s="75"/>
      <c r="BA888" s="75"/>
      <c r="BB888" s="75"/>
      <c r="BC888" s="75"/>
      <c r="BD888" s="75"/>
      <c r="BE888" s="75"/>
      <c r="BF888" s="75">
        <v>7.1249999999999994E-2</v>
      </c>
      <c r="BG888" s="75"/>
      <c r="BH888" s="75"/>
      <c r="BI888" s="74">
        <f t="shared" si="31"/>
        <v>7.1249999999999994E-2</v>
      </c>
    </row>
    <row r="889" spans="1:61" s="11" customFormat="1" x14ac:dyDescent="0.2">
      <c r="A889" s="61"/>
      <c r="O889" s="61"/>
      <c r="AU889" s="281">
        <v>70752</v>
      </c>
      <c r="AV889" s="75"/>
      <c r="AW889" s="75"/>
      <c r="AX889" s="75"/>
      <c r="AY889" s="75"/>
      <c r="AZ889" s="75"/>
      <c r="BA889" s="75"/>
      <c r="BB889" s="75"/>
      <c r="BC889" s="75"/>
      <c r="BD889" s="75"/>
      <c r="BE889" s="75"/>
      <c r="BF889" s="75">
        <v>7.1249999999999994E-2</v>
      </c>
      <c r="BG889" s="75"/>
      <c r="BH889" s="75"/>
      <c r="BI889" s="74">
        <f t="shared" si="31"/>
        <v>7.1249999999999994E-2</v>
      </c>
    </row>
    <row r="890" spans="1:61" s="11" customFormat="1" x14ac:dyDescent="0.2">
      <c r="A890" s="61"/>
      <c r="O890" s="61"/>
      <c r="AU890" s="281">
        <v>70782</v>
      </c>
      <c r="AV890" s="75"/>
      <c r="AW890" s="75"/>
      <c r="AX890" s="75"/>
      <c r="AY890" s="75"/>
      <c r="AZ890" s="75"/>
      <c r="BA890" s="75"/>
      <c r="BB890" s="75"/>
      <c r="BC890" s="75"/>
      <c r="BD890" s="75"/>
      <c r="BE890" s="75"/>
      <c r="BF890" s="75">
        <v>7.1249999999999994E-2</v>
      </c>
      <c r="BG890" s="75"/>
      <c r="BH890" s="75"/>
      <c r="BI890" s="74">
        <f t="shared" si="31"/>
        <v>7.1249999999999994E-2</v>
      </c>
    </row>
    <row r="891" spans="1:61" s="11" customFormat="1" x14ac:dyDescent="0.2">
      <c r="A891" s="61"/>
      <c r="O891" s="61"/>
      <c r="AU891" s="281">
        <v>70813</v>
      </c>
      <c r="AV891" s="75"/>
      <c r="AW891" s="75"/>
      <c r="AX891" s="75"/>
      <c r="AY891" s="75"/>
      <c r="AZ891" s="75"/>
      <c r="BA891" s="75"/>
      <c r="BB891" s="75"/>
      <c r="BC891" s="75"/>
      <c r="BD891" s="75"/>
      <c r="BE891" s="75"/>
      <c r="BF891" s="75">
        <v>7.1249999999999994E-2</v>
      </c>
      <c r="BG891" s="75"/>
      <c r="BH891" s="75"/>
      <c r="BI891" s="74">
        <f t="shared" si="31"/>
        <v>7.1249999999999994E-2</v>
      </c>
    </row>
    <row r="892" spans="1:61" s="11" customFormat="1" x14ac:dyDescent="0.2">
      <c r="A892" s="61"/>
      <c r="O892" s="61"/>
      <c r="AU892" s="281">
        <v>70843</v>
      </c>
      <c r="AV892" s="75"/>
      <c r="AW892" s="75"/>
      <c r="AX892" s="75"/>
      <c r="AY892" s="75"/>
      <c r="AZ892" s="75"/>
      <c r="BA892" s="75"/>
      <c r="BB892" s="75"/>
      <c r="BC892" s="75"/>
      <c r="BD892" s="75"/>
      <c r="BE892" s="75"/>
      <c r="BF892" s="75">
        <v>7.1249999999999994E-2</v>
      </c>
      <c r="BG892" s="75"/>
      <c r="BH892" s="75"/>
      <c r="BI892" s="74">
        <f t="shared" si="31"/>
        <v>7.1249999999999994E-2</v>
      </c>
    </row>
    <row r="893" spans="1:61" s="11" customFormat="1" x14ac:dyDescent="0.2">
      <c r="A893" s="61"/>
      <c r="O893" s="61"/>
      <c r="AU893" s="281">
        <v>70874</v>
      </c>
      <c r="AV893" s="75"/>
      <c r="AW893" s="75"/>
      <c r="AX893" s="75"/>
      <c r="AY893" s="75"/>
      <c r="AZ893" s="75"/>
      <c r="BA893" s="75"/>
      <c r="BB893" s="75"/>
      <c r="BC893" s="75"/>
      <c r="BD893" s="75"/>
      <c r="BE893" s="75"/>
      <c r="BF893" s="75">
        <v>7.1249999999999994E-2</v>
      </c>
      <c r="BG893" s="75"/>
      <c r="BH893" s="75"/>
      <c r="BI893" s="74">
        <f t="shared" si="31"/>
        <v>7.1249999999999994E-2</v>
      </c>
    </row>
    <row r="894" spans="1:61" s="11" customFormat="1" x14ac:dyDescent="0.2">
      <c r="A894" s="61"/>
      <c r="O894" s="61"/>
      <c r="AU894" s="281">
        <v>70905</v>
      </c>
      <c r="AV894" s="75"/>
      <c r="AW894" s="75"/>
      <c r="AX894" s="75"/>
      <c r="AY894" s="75"/>
      <c r="AZ894" s="75"/>
      <c r="BA894" s="75"/>
      <c r="BB894" s="75"/>
      <c r="BC894" s="75"/>
      <c r="BD894" s="75"/>
      <c r="BE894" s="75"/>
      <c r="BF894" s="75">
        <v>7.1249999999999994E-2</v>
      </c>
      <c r="BG894" s="75"/>
      <c r="BH894" s="75"/>
      <c r="BI894" s="74">
        <f t="shared" si="31"/>
        <v>7.1249999999999994E-2</v>
      </c>
    </row>
    <row r="895" spans="1:61" s="11" customFormat="1" x14ac:dyDescent="0.2">
      <c r="A895" s="61"/>
      <c r="O895" s="61"/>
      <c r="AU895" s="281">
        <v>70933</v>
      </c>
      <c r="AV895" s="75"/>
      <c r="AW895" s="75"/>
      <c r="AX895" s="75"/>
      <c r="AY895" s="75"/>
      <c r="AZ895" s="75"/>
      <c r="BA895" s="75"/>
      <c r="BB895" s="75"/>
      <c r="BC895" s="75"/>
      <c r="BD895" s="75"/>
      <c r="BE895" s="75"/>
      <c r="BF895" s="75">
        <v>7.1249999999999994E-2</v>
      </c>
      <c r="BG895" s="75"/>
      <c r="BH895" s="75"/>
      <c r="BI895" s="74">
        <f t="shared" si="31"/>
        <v>7.1249999999999994E-2</v>
      </c>
    </row>
    <row r="896" spans="1:61" s="11" customFormat="1" x14ac:dyDescent="0.2">
      <c r="A896" s="61"/>
      <c r="O896" s="61"/>
      <c r="AU896" s="281">
        <v>70964</v>
      </c>
      <c r="AV896" s="75"/>
      <c r="AW896" s="75"/>
      <c r="AX896" s="75"/>
      <c r="AY896" s="75"/>
      <c r="AZ896" s="75"/>
      <c r="BA896" s="75"/>
      <c r="BB896" s="75"/>
      <c r="BC896" s="75"/>
      <c r="BD896" s="75"/>
      <c r="BE896" s="75"/>
      <c r="BF896" s="75">
        <v>7.1249999999999994E-2</v>
      </c>
      <c r="BG896" s="75"/>
      <c r="BH896" s="75"/>
      <c r="BI896" s="74">
        <f t="shared" si="31"/>
        <v>7.1249999999999994E-2</v>
      </c>
    </row>
    <row r="897" spans="1:61" s="11" customFormat="1" x14ac:dyDescent="0.2">
      <c r="A897" s="61"/>
      <c r="O897" s="61"/>
      <c r="AU897" s="281">
        <v>70994</v>
      </c>
      <c r="AV897" s="75"/>
      <c r="AW897" s="75"/>
      <c r="AX897" s="75"/>
      <c r="AY897" s="75"/>
      <c r="AZ897" s="75"/>
      <c r="BA897" s="75"/>
      <c r="BB897" s="75"/>
      <c r="BC897" s="75"/>
      <c r="BD897" s="75"/>
      <c r="BE897" s="75"/>
      <c r="BF897" s="75">
        <v>7.1249999999999994E-2</v>
      </c>
      <c r="BG897" s="75"/>
      <c r="BH897" s="75"/>
      <c r="BI897" s="74">
        <f t="shared" si="31"/>
        <v>7.1249999999999994E-2</v>
      </c>
    </row>
    <row r="898" spans="1:61" s="11" customFormat="1" x14ac:dyDescent="0.2">
      <c r="A898" s="61"/>
      <c r="O898" s="61"/>
      <c r="AU898" s="281">
        <v>71025</v>
      </c>
      <c r="AV898" s="75"/>
      <c r="AW898" s="75"/>
      <c r="AX898" s="75"/>
      <c r="AY898" s="75"/>
      <c r="AZ898" s="75"/>
      <c r="BA898" s="75"/>
      <c r="BB898" s="75"/>
      <c r="BC898" s="75"/>
      <c r="BD898" s="75"/>
      <c r="BE898" s="75"/>
      <c r="BF898" s="75">
        <v>7.1249999999999994E-2</v>
      </c>
      <c r="BG898" s="75"/>
      <c r="BH898" s="75"/>
      <c r="BI898" s="74">
        <f t="shared" si="31"/>
        <v>7.1249999999999994E-2</v>
      </c>
    </row>
    <row r="899" spans="1:61" s="11" customFormat="1" x14ac:dyDescent="0.2">
      <c r="A899" s="61"/>
      <c r="O899" s="61"/>
      <c r="AU899" s="281">
        <v>71055</v>
      </c>
      <c r="AV899" s="75"/>
      <c r="AW899" s="75"/>
      <c r="AX899" s="75"/>
      <c r="AY899" s="75"/>
      <c r="AZ899" s="75"/>
      <c r="BA899" s="75"/>
      <c r="BB899" s="75"/>
      <c r="BC899" s="75"/>
      <c r="BD899" s="75"/>
      <c r="BE899" s="75"/>
      <c r="BF899" s="75">
        <v>7.1249999999999994E-2</v>
      </c>
      <c r="BG899" s="75"/>
      <c r="BH899" s="75"/>
      <c r="BI899" s="74">
        <f t="shared" si="31"/>
        <v>7.1249999999999994E-2</v>
      </c>
    </row>
    <row r="900" spans="1:61" s="11" customFormat="1" x14ac:dyDescent="0.2">
      <c r="A900" s="61"/>
      <c r="O900" s="61"/>
      <c r="AU900" s="281">
        <v>71086</v>
      </c>
      <c r="AV900" s="75"/>
      <c r="AW900" s="75"/>
      <c r="AX900" s="75"/>
      <c r="AY900" s="75"/>
      <c r="AZ900" s="75"/>
      <c r="BA900" s="75"/>
      <c r="BB900" s="75"/>
      <c r="BC900" s="75"/>
      <c r="BD900" s="75"/>
      <c r="BE900" s="75"/>
      <c r="BF900" s="75">
        <v>7.1249999999999994E-2</v>
      </c>
      <c r="BG900" s="75"/>
      <c r="BH900" s="75"/>
      <c r="BI900" s="74">
        <f t="shared" si="31"/>
        <v>7.1249999999999994E-2</v>
      </c>
    </row>
    <row r="901" spans="1:61" s="11" customFormat="1" x14ac:dyDescent="0.2">
      <c r="A901" s="61"/>
      <c r="O901" s="61"/>
      <c r="AU901" s="281">
        <v>71117</v>
      </c>
      <c r="AV901" s="75"/>
      <c r="AW901" s="75"/>
      <c r="AX901" s="75"/>
      <c r="AY901" s="75"/>
      <c r="AZ901" s="75"/>
      <c r="BA901" s="75"/>
      <c r="BB901" s="75"/>
      <c r="BC901" s="75"/>
      <c r="BD901" s="75"/>
      <c r="BE901" s="75"/>
      <c r="BF901" s="75">
        <v>7.1249999999999994E-2</v>
      </c>
      <c r="BG901" s="75"/>
      <c r="BH901" s="75"/>
      <c r="BI901" s="74">
        <f t="shared" si="31"/>
        <v>7.1249999999999994E-2</v>
      </c>
    </row>
    <row r="902" spans="1:61" s="11" customFormat="1" x14ac:dyDescent="0.2">
      <c r="A902" s="61"/>
      <c r="O902" s="61"/>
      <c r="AU902" s="281">
        <v>71147</v>
      </c>
      <c r="AV902" s="75"/>
      <c r="AW902" s="75"/>
      <c r="AX902" s="75"/>
      <c r="AY902" s="75"/>
      <c r="AZ902" s="75"/>
      <c r="BA902" s="75"/>
      <c r="BB902" s="75"/>
      <c r="BC902" s="75"/>
      <c r="BD902" s="75"/>
      <c r="BE902" s="75"/>
      <c r="BF902" s="75">
        <v>7.1249999999999994E-2</v>
      </c>
      <c r="BG902" s="75"/>
      <c r="BH902" s="75"/>
      <c r="BI902" s="74">
        <f t="shared" si="31"/>
        <v>7.1249999999999994E-2</v>
      </c>
    </row>
    <row r="903" spans="1:61" s="11" customFormat="1" x14ac:dyDescent="0.2">
      <c r="A903" s="61"/>
      <c r="O903" s="61"/>
      <c r="AU903" s="281">
        <v>71178</v>
      </c>
      <c r="AV903" s="75"/>
      <c r="AW903" s="75"/>
      <c r="AX903" s="75"/>
      <c r="AY903" s="75"/>
      <c r="AZ903" s="75"/>
      <c r="BA903" s="75"/>
      <c r="BB903" s="75"/>
      <c r="BC903" s="75"/>
      <c r="BD903" s="75"/>
      <c r="BE903" s="75"/>
      <c r="BF903" s="75">
        <v>7.1249999999999994E-2</v>
      </c>
      <c r="BG903" s="75"/>
      <c r="BH903" s="75"/>
      <c r="BI903" s="74">
        <f t="shared" si="31"/>
        <v>7.1249999999999994E-2</v>
      </c>
    </row>
    <row r="904" spans="1:61" s="11" customFormat="1" x14ac:dyDescent="0.2">
      <c r="A904" s="61"/>
      <c r="O904" s="61"/>
      <c r="AU904" s="281">
        <v>71208</v>
      </c>
      <c r="AV904" s="75"/>
      <c r="AW904" s="75"/>
      <c r="AX904" s="75"/>
      <c r="AY904" s="75"/>
      <c r="AZ904" s="75"/>
      <c r="BA904" s="75"/>
      <c r="BB904" s="75"/>
      <c r="BC904" s="75"/>
      <c r="BD904" s="75"/>
      <c r="BE904" s="75"/>
      <c r="BF904" s="75">
        <v>7.1249999999999994E-2</v>
      </c>
      <c r="BG904" s="75"/>
      <c r="BH904" s="75"/>
      <c r="BI904" s="74">
        <f t="shared" si="31"/>
        <v>7.1249999999999994E-2</v>
      </c>
    </row>
    <row r="905" spans="1:61" s="11" customFormat="1" x14ac:dyDescent="0.2">
      <c r="A905" s="61"/>
      <c r="O905" s="61"/>
      <c r="AU905" s="281">
        <v>71239</v>
      </c>
      <c r="AV905" s="75"/>
      <c r="AW905" s="75"/>
      <c r="AX905" s="75"/>
      <c r="AY905" s="75"/>
      <c r="AZ905" s="75"/>
      <c r="BA905" s="75"/>
      <c r="BB905" s="75"/>
      <c r="BC905" s="75"/>
      <c r="BD905" s="75"/>
      <c r="BE905" s="75"/>
      <c r="BF905" s="75">
        <v>7.1249999999999994E-2</v>
      </c>
      <c r="BG905" s="75"/>
      <c r="BH905" s="75"/>
      <c r="BI905" s="74">
        <f t="shared" ref="BI905:BI968" si="32">+AVERAGE(AV905:BH905)</f>
        <v>7.1249999999999994E-2</v>
      </c>
    </row>
    <row r="906" spans="1:61" s="11" customFormat="1" x14ac:dyDescent="0.2">
      <c r="A906" s="61"/>
      <c r="O906" s="61"/>
      <c r="AU906" s="281">
        <v>71270</v>
      </c>
      <c r="AV906" s="75"/>
      <c r="AW906" s="75"/>
      <c r="AX906" s="75"/>
      <c r="AY906" s="75"/>
      <c r="AZ906" s="75"/>
      <c r="BA906" s="75"/>
      <c r="BB906" s="75"/>
      <c r="BC906" s="75"/>
      <c r="BD906" s="75"/>
      <c r="BE906" s="75"/>
      <c r="BF906" s="75">
        <v>7.1249999999999994E-2</v>
      </c>
      <c r="BG906" s="75"/>
      <c r="BH906" s="75"/>
      <c r="BI906" s="74">
        <f t="shared" si="32"/>
        <v>7.1249999999999994E-2</v>
      </c>
    </row>
    <row r="907" spans="1:61" s="11" customFormat="1" x14ac:dyDescent="0.2">
      <c r="A907" s="61"/>
      <c r="O907" s="61"/>
      <c r="AU907" s="281">
        <v>71298</v>
      </c>
      <c r="AV907" s="75"/>
      <c r="AW907" s="75"/>
      <c r="AX907" s="75"/>
      <c r="AY907" s="75"/>
      <c r="AZ907" s="75"/>
      <c r="BA907" s="75"/>
      <c r="BB907" s="75"/>
      <c r="BC907" s="75"/>
      <c r="BD907" s="75"/>
      <c r="BE907" s="75"/>
      <c r="BF907" s="75">
        <v>7.1249999999999994E-2</v>
      </c>
      <c r="BG907" s="75"/>
      <c r="BH907" s="75"/>
      <c r="BI907" s="74">
        <f t="shared" si="32"/>
        <v>7.1249999999999994E-2</v>
      </c>
    </row>
    <row r="908" spans="1:61" s="11" customFormat="1" x14ac:dyDescent="0.2">
      <c r="A908" s="61"/>
      <c r="O908" s="61"/>
      <c r="AU908" s="281">
        <v>71329</v>
      </c>
      <c r="AV908" s="75"/>
      <c r="AW908" s="75"/>
      <c r="AX908" s="75"/>
      <c r="AY908" s="75"/>
      <c r="AZ908" s="75"/>
      <c r="BA908" s="75"/>
      <c r="BB908" s="75"/>
      <c r="BC908" s="75"/>
      <c r="BD908" s="75"/>
      <c r="BE908" s="75"/>
      <c r="BF908" s="75">
        <v>7.1249999999999994E-2</v>
      </c>
      <c r="BG908" s="75"/>
      <c r="BH908" s="75"/>
      <c r="BI908" s="74">
        <f t="shared" si="32"/>
        <v>7.1249999999999994E-2</v>
      </c>
    </row>
    <row r="909" spans="1:61" s="11" customFormat="1" x14ac:dyDescent="0.2">
      <c r="A909" s="61"/>
      <c r="O909" s="61"/>
      <c r="AU909" s="281">
        <v>71359</v>
      </c>
      <c r="AV909" s="75"/>
      <c r="AW909" s="75"/>
      <c r="AX909" s="75"/>
      <c r="AY909" s="75"/>
      <c r="AZ909" s="75"/>
      <c r="BA909" s="75"/>
      <c r="BB909" s="75"/>
      <c r="BC909" s="75"/>
      <c r="BD909" s="75"/>
      <c r="BE909" s="75"/>
      <c r="BF909" s="75">
        <v>7.1249999999999994E-2</v>
      </c>
      <c r="BG909" s="75"/>
      <c r="BH909" s="75"/>
      <c r="BI909" s="74">
        <f t="shared" si="32"/>
        <v>7.1249999999999994E-2</v>
      </c>
    </row>
    <row r="910" spans="1:61" s="11" customFormat="1" x14ac:dyDescent="0.2">
      <c r="A910" s="61"/>
      <c r="O910" s="61"/>
      <c r="AU910" s="281">
        <v>71390</v>
      </c>
      <c r="AV910" s="75"/>
      <c r="AW910" s="75"/>
      <c r="AX910" s="75"/>
      <c r="AY910" s="75"/>
      <c r="AZ910" s="75"/>
      <c r="BA910" s="75"/>
      <c r="BB910" s="75"/>
      <c r="BC910" s="75"/>
      <c r="BD910" s="75"/>
      <c r="BE910" s="75"/>
      <c r="BF910" s="75">
        <v>7.1249999999999994E-2</v>
      </c>
      <c r="BG910" s="75"/>
      <c r="BH910" s="75"/>
      <c r="BI910" s="74">
        <f t="shared" si="32"/>
        <v>7.1249999999999994E-2</v>
      </c>
    </row>
    <row r="911" spans="1:61" s="11" customFormat="1" x14ac:dyDescent="0.2">
      <c r="A911" s="61"/>
      <c r="O911" s="61"/>
      <c r="AU911" s="281">
        <v>71420</v>
      </c>
      <c r="AV911" s="75"/>
      <c r="AW911" s="75"/>
      <c r="AX911" s="75"/>
      <c r="AY911" s="75"/>
      <c r="AZ911" s="75"/>
      <c r="BA911" s="75"/>
      <c r="BB911" s="75"/>
      <c r="BC911" s="75"/>
      <c r="BD911" s="75"/>
      <c r="BE911" s="75"/>
      <c r="BF911" s="75">
        <v>7.1249999999999994E-2</v>
      </c>
      <c r="BG911" s="75"/>
      <c r="BH911" s="75"/>
      <c r="BI911" s="74">
        <f t="shared" si="32"/>
        <v>7.1249999999999994E-2</v>
      </c>
    </row>
    <row r="912" spans="1:61" s="11" customFormat="1" x14ac:dyDescent="0.2">
      <c r="A912" s="61"/>
      <c r="O912" s="61"/>
      <c r="AU912" s="281">
        <v>71451</v>
      </c>
      <c r="AV912" s="75"/>
      <c r="AW912" s="75"/>
      <c r="AX912" s="75"/>
      <c r="AY912" s="75"/>
      <c r="AZ912" s="75"/>
      <c r="BA912" s="75"/>
      <c r="BB912" s="75"/>
      <c r="BC912" s="75"/>
      <c r="BD912" s="75"/>
      <c r="BE912" s="75"/>
      <c r="BF912" s="75">
        <v>7.1249999999999994E-2</v>
      </c>
      <c r="BG912" s="75"/>
      <c r="BH912" s="75"/>
      <c r="BI912" s="74">
        <f t="shared" si="32"/>
        <v>7.1249999999999994E-2</v>
      </c>
    </row>
    <row r="913" spans="1:61" s="11" customFormat="1" x14ac:dyDescent="0.2">
      <c r="A913" s="61"/>
      <c r="O913" s="61"/>
      <c r="AU913" s="281">
        <v>71482</v>
      </c>
      <c r="AV913" s="75"/>
      <c r="AW913" s="75"/>
      <c r="AX913" s="75"/>
      <c r="AY913" s="75"/>
      <c r="AZ913" s="75"/>
      <c r="BA913" s="75"/>
      <c r="BB913" s="75"/>
      <c r="BC913" s="75"/>
      <c r="BD913" s="75"/>
      <c r="BE913" s="75"/>
      <c r="BF913" s="75">
        <v>7.1249999999999994E-2</v>
      </c>
      <c r="BG913" s="75"/>
      <c r="BH913" s="75"/>
      <c r="BI913" s="74">
        <f t="shared" si="32"/>
        <v>7.1249999999999994E-2</v>
      </c>
    </row>
    <row r="914" spans="1:61" s="11" customFormat="1" x14ac:dyDescent="0.2">
      <c r="A914" s="61"/>
      <c r="O914" s="61"/>
      <c r="AU914" s="281">
        <v>71512</v>
      </c>
      <c r="AV914" s="75"/>
      <c r="AW914" s="75"/>
      <c r="AX914" s="75"/>
      <c r="AY914" s="75"/>
      <c r="AZ914" s="75"/>
      <c r="BA914" s="75"/>
      <c r="BB914" s="75"/>
      <c r="BC914" s="75"/>
      <c r="BD914" s="75"/>
      <c r="BE914" s="75"/>
      <c r="BF914" s="75">
        <v>7.1249999999999994E-2</v>
      </c>
      <c r="BG914" s="75"/>
      <c r="BH914" s="75"/>
      <c r="BI914" s="74">
        <f t="shared" si="32"/>
        <v>7.1249999999999994E-2</v>
      </c>
    </row>
    <row r="915" spans="1:61" s="11" customFormat="1" x14ac:dyDescent="0.2">
      <c r="A915" s="61"/>
      <c r="O915" s="61"/>
      <c r="AU915" s="281">
        <v>71543</v>
      </c>
      <c r="AV915" s="75"/>
      <c r="AW915" s="75"/>
      <c r="AX915" s="75"/>
      <c r="AY915" s="75"/>
      <c r="AZ915" s="75"/>
      <c r="BA915" s="75"/>
      <c r="BB915" s="75"/>
      <c r="BC915" s="75"/>
      <c r="BD915" s="75"/>
      <c r="BE915" s="75"/>
      <c r="BF915" s="75">
        <v>7.1249999999999994E-2</v>
      </c>
      <c r="BG915" s="75"/>
      <c r="BH915" s="75"/>
      <c r="BI915" s="74">
        <f t="shared" si="32"/>
        <v>7.1249999999999994E-2</v>
      </c>
    </row>
    <row r="916" spans="1:61" s="11" customFormat="1" x14ac:dyDescent="0.2">
      <c r="A916" s="61"/>
      <c r="O916" s="61"/>
      <c r="AU916" s="281">
        <v>71573</v>
      </c>
      <c r="AV916" s="75"/>
      <c r="AW916" s="75"/>
      <c r="AX916" s="75"/>
      <c r="AY916" s="75"/>
      <c r="AZ916" s="75"/>
      <c r="BA916" s="75"/>
      <c r="BB916" s="75"/>
      <c r="BC916" s="75"/>
      <c r="BD916" s="75"/>
      <c r="BE916" s="75"/>
      <c r="BF916" s="75">
        <v>7.1249999999999994E-2</v>
      </c>
      <c r="BG916" s="75"/>
      <c r="BH916" s="75"/>
      <c r="BI916" s="74">
        <f t="shared" si="32"/>
        <v>7.1249999999999994E-2</v>
      </c>
    </row>
    <row r="917" spans="1:61" s="11" customFormat="1" x14ac:dyDescent="0.2">
      <c r="A917" s="61"/>
      <c r="O917" s="61"/>
      <c r="AU917" s="281">
        <v>71604</v>
      </c>
      <c r="AV917" s="75"/>
      <c r="AW917" s="75"/>
      <c r="AX917" s="75"/>
      <c r="AY917" s="75"/>
      <c r="AZ917" s="75"/>
      <c r="BA917" s="75"/>
      <c r="BB917" s="75"/>
      <c r="BC917" s="75"/>
      <c r="BD917" s="75"/>
      <c r="BE917" s="75"/>
      <c r="BF917" s="75">
        <v>7.1249999999999994E-2</v>
      </c>
      <c r="BG917" s="75"/>
      <c r="BH917" s="75"/>
      <c r="BI917" s="74">
        <f t="shared" si="32"/>
        <v>7.1249999999999994E-2</v>
      </c>
    </row>
    <row r="918" spans="1:61" s="11" customFormat="1" x14ac:dyDescent="0.2">
      <c r="A918" s="61"/>
      <c r="O918" s="61"/>
      <c r="AU918" s="281">
        <v>71635</v>
      </c>
      <c r="AV918" s="75"/>
      <c r="AW918" s="75"/>
      <c r="AX918" s="75"/>
      <c r="AY918" s="75"/>
      <c r="AZ918" s="75"/>
      <c r="BA918" s="75"/>
      <c r="BB918" s="75"/>
      <c r="BC918" s="75"/>
      <c r="BD918" s="75"/>
      <c r="BE918" s="75"/>
      <c r="BF918" s="75">
        <v>7.1249999999999994E-2</v>
      </c>
      <c r="BG918" s="75"/>
      <c r="BH918" s="75"/>
      <c r="BI918" s="74">
        <f t="shared" si="32"/>
        <v>7.1249999999999994E-2</v>
      </c>
    </row>
    <row r="919" spans="1:61" s="11" customFormat="1" x14ac:dyDescent="0.2">
      <c r="A919" s="61"/>
      <c r="O919" s="61"/>
      <c r="AU919" s="281">
        <v>71664</v>
      </c>
      <c r="AV919" s="75"/>
      <c r="AW919" s="75"/>
      <c r="AX919" s="75"/>
      <c r="AY919" s="75"/>
      <c r="AZ919" s="75"/>
      <c r="BA919" s="75"/>
      <c r="BB919" s="75"/>
      <c r="BC919" s="75"/>
      <c r="BD919" s="75"/>
      <c r="BE919" s="75"/>
      <c r="BF919" s="75">
        <v>7.1249999999999994E-2</v>
      </c>
      <c r="BG919" s="75"/>
      <c r="BH919" s="75"/>
      <c r="BI919" s="74">
        <f t="shared" si="32"/>
        <v>7.1249999999999994E-2</v>
      </c>
    </row>
    <row r="920" spans="1:61" s="11" customFormat="1" x14ac:dyDescent="0.2">
      <c r="A920" s="61"/>
      <c r="O920" s="61"/>
      <c r="AU920" s="281">
        <v>71695</v>
      </c>
      <c r="AV920" s="75"/>
      <c r="AW920" s="75"/>
      <c r="AX920" s="75"/>
      <c r="AY920" s="75"/>
      <c r="AZ920" s="75"/>
      <c r="BA920" s="75"/>
      <c r="BB920" s="75"/>
      <c r="BC920" s="75"/>
      <c r="BD920" s="75"/>
      <c r="BE920" s="75"/>
      <c r="BF920" s="75">
        <v>7.1249999999999994E-2</v>
      </c>
      <c r="BG920" s="75"/>
      <c r="BH920" s="75"/>
      <c r="BI920" s="74">
        <f t="shared" si="32"/>
        <v>7.1249999999999994E-2</v>
      </c>
    </row>
    <row r="921" spans="1:61" s="11" customFormat="1" x14ac:dyDescent="0.2">
      <c r="A921" s="61"/>
      <c r="O921" s="61"/>
      <c r="AU921" s="281">
        <v>71725</v>
      </c>
      <c r="AV921" s="75"/>
      <c r="AW921" s="75"/>
      <c r="AX921" s="75"/>
      <c r="AY921" s="75"/>
      <c r="AZ921" s="75"/>
      <c r="BA921" s="75"/>
      <c r="BB921" s="75"/>
      <c r="BC921" s="75"/>
      <c r="BD921" s="75"/>
      <c r="BE921" s="75"/>
      <c r="BF921" s="75">
        <v>7.1249999999999994E-2</v>
      </c>
      <c r="BG921" s="75"/>
      <c r="BH921" s="75"/>
      <c r="BI921" s="74">
        <f t="shared" si="32"/>
        <v>7.1249999999999994E-2</v>
      </c>
    </row>
    <row r="922" spans="1:61" s="11" customFormat="1" x14ac:dyDescent="0.2">
      <c r="A922" s="61"/>
      <c r="O922" s="61"/>
      <c r="AU922" s="281">
        <v>71756</v>
      </c>
      <c r="AV922" s="75"/>
      <c r="AW922" s="75"/>
      <c r="AX922" s="75"/>
      <c r="AY922" s="75"/>
      <c r="AZ922" s="75"/>
      <c r="BA922" s="75"/>
      <c r="BB922" s="75"/>
      <c r="BC922" s="75"/>
      <c r="BD922" s="75"/>
      <c r="BE922" s="75"/>
      <c r="BF922" s="75">
        <v>7.1249999999999994E-2</v>
      </c>
      <c r="BG922" s="75"/>
      <c r="BH922" s="75"/>
      <c r="BI922" s="74">
        <f t="shared" si="32"/>
        <v>7.1249999999999994E-2</v>
      </c>
    </row>
    <row r="923" spans="1:61" s="11" customFormat="1" x14ac:dyDescent="0.2">
      <c r="A923" s="61"/>
      <c r="O923" s="61"/>
      <c r="AU923" s="281">
        <v>71786</v>
      </c>
      <c r="AV923" s="75"/>
      <c r="AW923" s="75"/>
      <c r="AX923" s="75"/>
      <c r="AY923" s="75"/>
      <c r="AZ923" s="75"/>
      <c r="BA923" s="75"/>
      <c r="BB923" s="75"/>
      <c r="BC923" s="75"/>
      <c r="BD923" s="75"/>
      <c r="BE923" s="75"/>
      <c r="BF923" s="75">
        <v>7.1249999999999994E-2</v>
      </c>
      <c r="BG923" s="75"/>
      <c r="BH923" s="75"/>
      <c r="BI923" s="74">
        <f t="shared" si="32"/>
        <v>7.1249999999999994E-2</v>
      </c>
    </row>
    <row r="924" spans="1:61" s="11" customFormat="1" x14ac:dyDescent="0.2">
      <c r="A924" s="61"/>
      <c r="O924" s="61"/>
      <c r="AU924" s="281">
        <v>71817</v>
      </c>
      <c r="AV924" s="75"/>
      <c r="AW924" s="75"/>
      <c r="AX924" s="75"/>
      <c r="AY924" s="75"/>
      <c r="AZ924" s="75"/>
      <c r="BA924" s="75"/>
      <c r="BB924" s="75"/>
      <c r="BC924" s="75"/>
      <c r="BD924" s="75"/>
      <c r="BE924" s="75"/>
      <c r="BF924" s="75">
        <v>7.1249999999999994E-2</v>
      </c>
      <c r="BG924" s="75"/>
      <c r="BH924" s="75"/>
      <c r="BI924" s="74">
        <f t="shared" si="32"/>
        <v>7.1249999999999994E-2</v>
      </c>
    </row>
    <row r="925" spans="1:61" s="11" customFormat="1" x14ac:dyDescent="0.2">
      <c r="A925" s="61"/>
      <c r="O925" s="61"/>
      <c r="AU925" s="281">
        <v>71848</v>
      </c>
      <c r="AV925" s="75"/>
      <c r="AW925" s="75"/>
      <c r="AX925" s="75"/>
      <c r="AY925" s="75"/>
      <c r="AZ925" s="75"/>
      <c r="BA925" s="75"/>
      <c r="BB925" s="75"/>
      <c r="BC925" s="75"/>
      <c r="BD925" s="75"/>
      <c r="BE925" s="75"/>
      <c r="BF925" s="75">
        <v>7.1249999999999994E-2</v>
      </c>
      <c r="BG925" s="75"/>
      <c r="BH925" s="75"/>
      <c r="BI925" s="74">
        <f t="shared" si="32"/>
        <v>7.1249999999999994E-2</v>
      </c>
    </row>
    <row r="926" spans="1:61" s="11" customFormat="1" x14ac:dyDescent="0.2">
      <c r="A926" s="61"/>
      <c r="O926" s="61"/>
      <c r="AU926" s="281">
        <v>71878</v>
      </c>
      <c r="AV926" s="75"/>
      <c r="AW926" s="75"/>
      <c r="AX926" s="75"/>
      <c r="AY926" s="75"/>
      <c r="AZ926" s="75"/>
      <c r="BA926" s="75"/>
      <c r="BB926" s="75"/>
      <c r="BC926" s="75"/>
      <c r="BD926" s="75"/>
      <c r="BE926" s="75"/>
      <c r="BF926" s="75">
        <v>7.1249999999999994E-2</v>
      </c>
      <c r="BG926" s="75"/>
      <c r="BH926" s="75"/>
      <c r="BI926" s="74">
        <f t="shared" si="32"/>
        <v>7.1249999999999994E-2</v>
      </c>
    </row>
    <row r="927" spans="1:61" s="11" customFormat="1" x14ac:dyDescent="0.2">
      <c r="A927" s="61"/>
      <c r="O927" s="61"/>
      <c r="AU927" s="281">
        <v>71909</v>
      </c>
      <c r="AV927" s="75"/>
      <c r="AW927" s="75"/>
      <c r="AX927" s="75"/>
      <c r="AY927" s="75"/>
      <c r="AZ927" s="75"/>
      <c r="BA927" s="75"/>
      <c r="BB927" s="75"/>
      <c r="BC927" s="75"/>
      <c r="BD927" s="75"/>
      <c r="BE927" s="75"/>
      <c r="BF927" s="75">
        <v>7.1249999999999994E-2</v>
      </c>
      <c r="BG927" s="75"/>
      <c r="BH927" s="75"/>
      <c r="BI927" s="74">
        <f t="shared" si="32"/>
        <v>7.1249999999999994E-2</v>
      </c>
    </row>
    <row r="928" spans="1:61" s="11" customFormat="1" x14ac:dyDescent="0.2">
      <c r="A928" s="61"/>
      <c r="O928" s="61"/>
      <c r="AU928" s="281">
        <v>71939</v>
      </c>
      <c r="AV928" s="75"/>
      <c r="AW928" s="75"/>
      <c r="AX928" s="75"/>
      <c r="AY928" s="75"/>
      <c r="AZ928" s="75"/>
      <c r="BA928" s="75"/>
      <c r="BB928" s="75"/>
      <c r="BC928" s="75"/>
      <c r="BD928" s="75"/>
      <c r="BE928" s="75"/>
      <c r="BF928" s="75">
        <v>7.1249999999999994E-2</v>
      </c>
      <c r="BG928" s="75"/>
      <c r="BH928" s="75"/>
      <c r="BI928" s="74">
        <f t="shared" si="32"/>
        <v>7.1249999999999994E-2</v>
      </c>
    </row>
    <row r="929" spans="1:61" s="11" customFormat="1" x14ac:dyDescent="0.2">
      <c r="A929" s="61"/>
      <c r="O929" s="61"/>
      <c r="AU929" s="281">
        <v>71970</v>
      </c>
      <c r="AV929" s="75"/>
      <c r="AW929" s="75"/>
      <c r="AX929" s="75"/>
      <c r="AY929" s="75"/>
      <c r="AZ929" s="75"/>
      <c r="BA929" s="75"/>
      <c r="BB929" s="75"/>
      <c r="BC929" s="75"/>
      <c r="BD929" s="75"/>
      <c r="BE929" s="75"/>
      <c r="BF929" s="75">
        <v>7.1249999999999994E-2</v>
      </c>
      <c r="BG929" s="75"/>
      <c r="BH929" s="75"/>
      <c r="BI929" s="74">
        <f t="shared" si="32"/>
        <v>7.1249999999999994E-2</v>
      </c>
    </row>
    <row r="930" spans="1:61" s="11" customFormat="1" x14ac:dyDescent="0.2">
      <c r="A930" s="61"/>
      <c r="O930" s="61"/>
      <c r="AU930" s="281">
        <v>72001</v>
      </c>
      <c r="AV930" s="75"/>
      <c r="AW930" s="75"/>
      <c r="AX930" s="75"/>
      <c r="AY930" s="75"/>
      <c r="AZ930" s="75"/>
      <c r="BA930" s="75"/>
      <c r="BB930" s="75"/>
      <c r="BC930" s="75"/>
      <c r="BD930" s="75"/>
      <c r="BE930" s="75"/>
      <c r="BF930" s="75">
        <v>7.1249999999999994E-2</v>
      </c>
      <c r="BG930" s="75"/>
      <c r="BH930" s="75"/>
      <c r="BI930" s="74">
        <f t="shared" si="32"/>
        <v>7.1249999999999994E-2</v>
      </c>
    </row>
    <row r="931" spans="1:61" s="11" customFormat="1" x14ac:dyDescent="0.2">
      <c r="A931" s="61"/>
      <c r="O931" s="61"/>
      <c r="AU931" s="281">
        <v>72029</v>
      </c>
      <c r="AV931" s="75"/>
      <c r="AW931" s="75"/>
      <c r="AX931" s="75"/>
      <c r="AY931" s="75"/>
      <c r="AZ931" s="75"/>
      <c r="BA931" s="75"/>
      <c r="BB931" s="75"/>
      <c r="BC931" s="75"/>
      <c r="BD931" s="75"/>
      <c r="BE931" s="75"/>
      <c r="BF931" s="75">
        <v>7.1249999999999994E-2</v>
      </c>
      <c r="BG931" s="75"/>
      <c r="BH931" s="75"/>
      <c r="BI931" s="74">
        <f t="shared" si="32"/>
        <v>7.1249999999999994E-2</v>
      </c>
    </row>
    <row r="932" spans="1:61" s="11" customFormat="1" x14ac:dyDescent="0.2">
      <c r="A932" s="61"/>
      <c r="O932" s="61"/>
      <c r="AU932" s="281">
        <v>72060</v>
      </c>
      <c r="AV932" s="75"/>
      <c r="AW932" s="75"/>
      <c r="AX932" s="75"/>
      <c r="AY932" s="75"/>
      <c r="AZ932" s="75"/>
      <c r="BA932" s="75"/>
      <c r="BB932" s="75"/>
      <c r="BC932" s="75"/>
      <c r="BD932" s="75"/>
      <c r="BE932" s="75"/>
      <c r="BF932" s="75">
        <v>7.1249999999999994E-2</v>
      </c>
      <c r="BG932" s="75"/>
      <c r="BH932" s="75"/>
      <c r="BI932" s="74">
        <f t="shared" si="32"/>
        <v>7.1249999999999994E-2</v>
      </c>
    </row>
    <row r="933" spans="1:61" s="11" customFormat="1" x14ac:dyDescent="0.2">
      <c r="A933" s="61"/>
      <c r="O933" s="61"/>
      <c r="AU933" s="281">
        <v>72090</v>
      </c>
      <c r="AV933" s="75"/>
      <c r="AW933" s="75"/>
      <c r="AX933" s="75"/>
      <c r="AY933" s="75"/>
      <c r="AZ933" s="75"/>
      <c r="BA933" s="75"/>
      <c r="BB933" s="75"/>
      <c r="BC933" s="75"/>
      <c r="BD933" s="75"/>
      <c r="BE933" s="75"/>
      <c r="BF933" s="75">
        <v>7.1249999999999994E-2</v>
      </c>
      <c r="BG933" s="75"/>
      <c r="BH933" s="75"/>
      <c r="BI933" s="74">
        <f t="shared" si="32"/>
        <v>7.1249999999999994E-2</v>
      </c>
    </row>
    <row r="934" spans="1:61" s="11" customFormat="1" x14ac:dyDescent="0.2">
      <c r="A934" s="61"/>
      <c r="O934" s="61"/>
      <c r="AU934" s="281">
        <v>72121</v>
      </c>
      <c r="AV934" s="75"/>
      <c r="AW934" s="75"/>
      <c r="AX934" s="75"/>
      <c r="AY934" s="75"/>
      <c r="AZ934" s="75"/>
      <c r="BA934" s="75"/>
      <c r="BB934" s="75"/>
      <c r="BC934" s="75"/>
      <c r="BD934" s="75"/>
      <c r="BE934" s="75"/>
      <c r="BF934" s="75">
        <v>7.1249999999999994E-2</v>
      </c>
      <c r="BG934" s="75"/>
      <c r="BH934" s="75"/>
      <c r="BI934" s="74">
        <f t="shared" si="32"/>
        <v>7.1249999999999994E-2</v>
      </c>
    </row>
    <row r="935" spans="1:61" s="11" customFormat="1" x14ac:dyDescent="0.2">
      <c r="A935" s="61"/>
      <c r="O935" s="61"/>
      <c r="AU935" s="281">
        <v>72151</v>
      </c>
      <c r="AV935" s="75"/>
      <c r="AW935" s="75"/>
      <c r="AX935" s="75"/>
      <c r="AY935" s="75"/>
      <c r="AZ935" s="75"/>
      <c r="BA935" s="75"/>
      <c r="BB935" s="75"/>
      <c r="BC935" s="75"/>
      <c r="BD935" s="75"/>
      <c r="BE935" s="75"/>
      <c r="BF935" s="75">
        <v>7.1249999999999994E-2</v>
      </c>
      <c r="BG935" s="75"/>
      <c r="BH935" s="75"/>
      <c r="BI935" s="74">
        <f t="shared" si="32"/>
        <v>7.1249999999999994E-2</v>
      </c>
    </row>
    <row r="936" spans="1:61" s="11" customFormat="1" x14ac:dyDescent="0.2">
      <c r="A936" s="61"/>
      <c r="O936" s="61"/>
      <c r="AU936" s="281">
        <v>72182</v>
      </c>
      <c r="AV936" s="75"/>
      <c r="AW936" s="75"/>
      <c r="AX936" s="75"/>
      <c r="AY936" s="75"/>
      <c r="AZ936" s="75"/>
      <c r="BA936" s="75"/>
      <c r="BB936" s="75"/>
      <c r="BC936" s="75"/>
      <c r="BD936" s="75"/>
      <c r="BE936" s="75"/>
      <c r="BF936" s="75">
        <v>7.1249999999999994E-2</v>
      </c>
      <c r="BG936" s="75"/>
      <c r="BH936" s="75"/>
      <c r="BI936" s="74">
        <f t="shared" si="32"/>
        <v>7.1249999999999994E-2</v>
      </c>
    </row>
    <row r="937" spans="1:61" s="11" customFormat="1" x14ac:dyDescent="0.2">
      <c r="A937" s="61"/>
      <c r="O937" s="61"/>
      <c r="AU937" s="281">
        <v>72213</v>
      </c>
      <c r="AV937" s="75"/>
      <c r="AW937" s="75"/>
      <c r="AX937" s="75"/>
      <c r="AY937" s="75"/>
      <c r="AZ937" s="75"/>
      <c r="BA937" s="75"/>
      <c r="BB937" s="75"/>
      <c r="BC937" s="75"/>
      <c r="BD937" s="75"/>
      <c r="BE937" s="75"/>
      <c r="BF937" s="75">
        <v>7.1249999999999994E-2</v>
      </c>
      <c r="BG937" s="75"/>
      <c r="BH937" s="75"/>
      <c r="BI937" s="74">
        <f t="shared" si="32"/>
        <v>7.1249999999999994E-2</v>
      </c>
    </row>
    <row r="938" spans="1:61" s="11" customFormat="1" x14ac:dyDescent="0.2">
      <c r="A938" s="61"/>
      <c r="O938" s="61"/>
      <c r="AU938" s="281">
        <v>72243</v>
      </c>
      <c r="AV938" s="75"/>
      <c r="AW938" s="75"/>
      <c r="AX938" s="75"/>
      <c r="AY938" s="75"/>
      <c r="AZ938" s="75"/>
      <c r="BA938" s="75"/>
      <c r="BB938" s="75"/>
      <c r="BC938" s="75"/>
      <c r="BD938" s="75"/>
      <c r="BE938" s="75"/>
      <c r="BF938" s="75">
        <v>7.1249999999999994E-2</v>
      </c>
      <c r="BG938" s="75"/>
      <c r="BH938" s="75"/>
      <c r="BI938" s="74">
        <f t="shared" si="32"/>
        <v>7.1249999999999994E-2</v>
      </c>
    </row>
    <row r="939" spans="1:61" s="11" customFormat="1" x14ac:dyDescent="0.2">
      <c r="A939" s="61"/>
      <c r="O939" s="61"/>
      <c r="AU939" s="281">
        <v>72274</v>
      </c>
      <c r="AV939" s="75"/>
      <c r="AW939" s="75"/>
      <c r="AX939" s="75"/>
      <c r="AY939" s="75"/>
      <c r="AZ939" s="75"/>
      <c r="BA939" s="75"/>
      <c r="BB939" s="75"/>
      <c r="BC939" s="75"/>
      <c r="BD939" s="75"/>
      <c r="BE939" s="75"/>
      <c r="BF939" s="75">
        <v>7.1249999999999994E-2</v>
      </c>
      <c r="BG939" s="75"/>
      <c r="BH939" s="75"/>
      <c r="BI939" s="74">
        <f t="shared" si="32"/>
        <v>7.1249999999999994E-2</v>
      </c>
    </row>
    <row r="940" spans="1:61" s="11" customFormat="1" x14ac:dyDescent="0.2">
      <c r="A940" s="61"/>
      <c r="O940" s="61"/>
      <c r="AU940" s="281">
        <v>72304</v>
      </c>
      <c r="AV940" s="75"/>
      <c r="AW940" s="75"/>
      <c r="AX940" s="75"/>
      <c r="AY940" s="75"/>
      <c r="AZ940" s="75"/>
      <c r="BA940" s="75"/>
      <c r="BB940" s="75"/>
      <c r="BC940" s="75"/>
      <c r="BD940" s="75"/>
      <c r="BE940" s="75"/>
      <c r="BF940" s="75">
        <v>7.1249999999999994E-2</v>
      </c>
      <c r="BG940" s="75"/>
      <c r="BH940" s="75"/>
      <c r="BI940" s="74">
        <f t="shared" si="32"/>
        <v>7.1249999999999994E-2</v>
      </c>
    </row>
    <row r="941" spans="1:61" s="11" customFormat="1" x14ac:dyDescent="0.2">
      <c r="A941" s="61"/>
      <c r="O941" s="61"/>
      <c r="AU941" s="281">
        <v>72335</v>
      </c>
      <c r="AV941" s="75"/>
      <c r="AW941" s="75"/>
      <c r="AX941" s="75"/>
      <c r="AY941" s="75"/>
      <c r="AZ941" s="75"/>
      <c r="BA941" s="75"/>
      <c r="BB941" s="75"/>
      <c r="BC941" s="75"/>
      <c r="BD941" s="75"/>
      <c r="BE941" s="75"/>
      <c r="BF941" s="75">
        <v>7.1249999999999994E-2</v>
      </c>
      <c r="BG941" s="75"/>
      <c r="BH941" s="75"/>
      <c r="BI941" s="74">
        <f t="shared" si="32"/>
        <v>7.1249999999999994E-2</v>
      </c>
    </row>
    <row r="942" spans="1:61" s="11" customFormat="1" x14ac:dyDescent="0.2">
      <c r="A942" s="61"/>
      <c r="O942" s="61"/>
      <c r="AU942" s="281">
        <v>72366</v>
      </c>
      <c r="AV942" s="75"/>
      <c r="AW942" s="75"/>
      <c r="AX942" s="75"/>
      <c r="AY942" s="75"/>
      <c r="AZ942" s="75"/>
      <c r="BA942" s="75"/>
      <c r="BB942" s="75"/>
      <c r="BC942" s="75"/>
      <c r="BD942" s="75"/>
      <c r="BE942" s="75"/>
      <c r="BF942" s="75">
        <v>7.1249999999999994E-2</v>
      </c>
      <c r="BG942" s="75"/>
      <c r="BH942" s="75"/>
      <c r="BI942" s="74">
        <f t="shared" si="32"/>
        <v>7.1249999999999994E-2</v>
      </c>
    </row>
    <row r="943" spans="1:61" s="11" customFormat="1" x14ac:dyDescent="0.2">
      <c r="A943" s="61"/>
      <c r="O943" s="61"/>
      <c r="AU943" s="281">
        <v>72394</v>
      </c>
      <c r="AV943" s="75"/>
      <c r="AW943" s="75"/>
      <c r="AX943" s="75"/>
      <c r="AY943" s="75"/>
      <c r="AZ943" s="75"/>
      <c r="BA943" s="75"/>
      <c r="BB943" s="75"/>
      <c r="BC943" s="75"/>
      <c r="BD943" s="75"/>
      <c r="BE943" s="75"/>
      <c r="BF943" s="75">
        <v>7.1249999999999994E-2</v>
      </c>
      <c r="BG943" s="75"/>
      <c r="BH943" s="75"/>
      <c r="BI943" s="74">
        <f t="shared" si="32"/>
        <v>7.1249999999999994E-2</v>
      </c>
    </row>
    <row r="944" spans="1:61" s="11" customFormat="1" x14ac:dyDescent="0.2">
      <c r="A944" s="61"/>
      <c r="O944" s="61"/>
      <c r="AU944" s="281">
        <v>72425</v>
      </c>
      <c r="AV944" s="75"/>
      <c r="AW944" s="75"/>
      <c r="AX944" s="75"/>
      <c r="AY944" s="75"/>
      <c r="AZ944" s="75"/>
      <c r="BA944" s="75"/>
      <c r="BB944" s="75"/>
      <c r="BC944" s="75"/>
      <c r="BD944" s="75"/>
      <c r="BE944" s="75"/>
      <c r="BF944" s="75">
        <v>7.1249999999999994E-2</v>
      </c>
      <c r="BG944" s="75"/>
      <c r="BH944" s="75"/>
      <c r="BI944" s="74">
        <f t="shared" si="32"/>
        <v>7.1249999999999994E-2</v>
      </c>
    </row>
    <row r="945" spans="1:61" s="11" customFormat="1" x14ac:dyDescent="0.2">
      <c r="A945" s="61"/>
      <c r="O945" s="61"/>
      <c r="AU945" s="281">
        <v>72455</v>
      </c>
      <c r="AV945" s="75"/>
      <c r="AW945" s="75"/>
      <c r="AX945" s="75"/>
      <c r="AY945" s="75"/>
      <c r="AZ945" s="75"/>
      <c r="BA945" s="75"/>
      <c r="BB945" s="75"/>
      <c r="BC945" s="75"/>
      <c r="BD945" s="75"/>
      <c r="BE945" s="75"/>
      <c r="BF945" s="75">
        <v>7.1249999999999994E-2</v>
      </c>
      <c r="BG945" s="75"/>
      <c r="BH945" s="75"/>
      <c r="BI945" s="74">
        <f t="shared" si="32"/>
        <v>7.1249999999999994E-2</v>
      </c>
    </row>
    <row r="946" spans="1:61" s="11" customFormat="1" x14ac:dyDescent="0.2">
      <c r="A946" s="61"/>
      <c r="O946" s="61"/>
      <c r="AU946" s="281">
        <v>72486</v>
      </c>
      <c r="AV946" s="75"/>
      <c r="AW946" s="75"/>
      <c r="AX946" s="75"/>
      <c r="AY946" s="75"/>
      <c r="AZ946" s="75"/>
      <c r="BA946" s="75"/>
      <c r="BB946" s="75"/>
      <c r="BC946" s="75"/>
      <c r="BD946" s="75"/>
      <c r="BE946" s="75"/>
      <c r="BF946" s="75">
        <v>7.1249999999999994E-2</v>
      </c>
      <c r="BG946" s="75"/>
      <c r="BH946" s="75"/>
      <c r="BI946" s="74">
        <f t="shared" si="32"/>
        <v>7.1249999999999994E-2</v>
      </c>
    </row>
    <row r="947" spans="1:61" s="11" customFormat="1" x14ac:dyDescent="0.2">
      <c r="A947" s="61"/>
      <c r="O947" s="61"/>
      <c r="AU947" s="281">
        <v>72516</v>
      </c>
      <c r="AV947" s="75"/>
      <c r="AW947" s="75"/>
      <c r="AX947" s="75"/>
      <c r="AY947" s="75"/>
      <c r="AZ947" s="75"/>
      <c r="BA947" s="75"/>
      <c r="BB947" s="75"/>
      <c r="BC947" s="75"/>
      <c r="BD947" s="75"/>
      <c r="BE947" s="75"/>
      <c r="BF947" s="75">
        <v>7.1249999999999994E-2</v>
      </c>
      <c r="BG947" s="75"/>
      <c r="BH947" s="75"/>
      <c r="BI947" s="74">
        <f t="shared" si="32"/>
        <v>7.1249999999999994E-2</v>
      </c>
    </row>
    <row r="948" spans="1:61" s="11" customFormat="1" x14ac:dyDescent="0.2">
      <c r="A948" s="61"/>
      <c r="O948" s="61"/>
      <c r="AU948" s="281">
        <v>72547</v>
      </c>
      <c r="AV948" s="75"/>
      <c r="AW948" s="75"/>
      <c r="AX948" s="75"/>
      <c r="AY948" s="75"/>
      <c r="AZ948" s="75"/>
      <c r="BA948" s="75"/>
      <c r="BB948" s="75"/>
      <c r="BC948" s="75"/>
      <c r="BD948" s="75"/>
      <c r="BE948" s="75"/>
      <c r="BF948" s="75">
        <v>7.1249999999999994E-2</v>
      </c>
      <c r="BG948" s="75"/>
      <c r="BH948" s="75"/>
      <c r="BI948" s="74">
        <f t="shared" si="32"/>
        <v>7.1249999999999994E-2</v>
      </c>
    </row>
    <row r="949" spans="1:61" s="11" customFormat="1" x14ac:dyDescent="0.2">
      <c r="A949" s="61"/>
      <c r="O949" s="61"/>
      <c r="AU949" s="281">
        <v>72578</v>
      </c>
      <c r="AV949" s="75"/>
      <c r="AW949" s="75"/>
      <c r="AX949" s="75"/>
      <c r="AY949" s="75"/>
      <c r="AZ949" s="75"/>
      <c r="BA949" s="75"/>
      <c r="BB949" s="75"/>
      <c r="BC949" s="75"/>
      <c r="BD949" s="75"/>
      <c r="BE949" s="75"/>
      <c r="BF949" s="75">
        <v>7.1249999999999994E-2</v>
      </c>
      <c r="BG949" s="75"/>
      <c r="BH949" s="75"/>
      <c r="BI949" s="74">
        <f t="shared" si="32"/>
        <v>7.1249999999999994E-2</v>
      </c>
    </row>
    <row r="950" spans="1:61" s="11" customFormat="1" x14ac:dyDescent="0.2">
      <c r="A950" s="61"/>
      <c r="O950" s="61"/>
      <c r="AU950" s="281">
        <v>72608</v>
      </c>
      <c r="AV950" s="75"/>
      <c r="AW950" s="75"/>
      <c r="AX950" s="75"/>
      <c r="AY950" s="75"/>
      <c r="AZ950" s="75"/>
      <c r="BA950" s="75"/>
      <c r="BB950" s="75"/>
      <c r="BC950" s="75"/>
      <c r="BD950" s="75"/>
      <c r="BE950" s="75"/>
      <c r="BF950" s="75">
        <v>7.1249999999999994E-2</v>
      </c>
      <c r="BG950" s="75"/>
      <c r="BH950" s="75"/>
      <c r="BI950" s="74">
        <f t="shared" si="32"/>
        <v>7.1249999999999994E-2</v>
      </c>
    </row>
    <row r="951" spans="1:61" s="11" customFormat="1" x14ac:dyDescent="0.2">
      <c r="A951" s="61"/>
      <c r="O951" s="61"/>
      <c r="AU951" s="281">
        <v>72639</v>
      </c>
      <c r="AV951" s="75"/>
      <c r="AW951" s="75"/>
      <c r="AX951" s="75"/>
      <c r="AY951" s="75"/>
      <c r="AZ951" s="75"/>
      <c r="BA951" s="75"/>
      <c r="BB951" s="75"/>
      <c r="BC951" s="75"/>
      <c r="BD951" s="75"/>
      <c r="BE951" s="75"/>
      <c r="BF951" s="75">
        <v>7.1249999999999994E-2</v>
      </c>
      <c r="BG951" s="75"/>
      <c r="BH951" s="75"/>
      <c r="BI951" s="74">
        <f t="shared" si="32"/>
        <v>7.1249999999999994E-2</v>
      </c>
    </row>
    <row r="952" spans="1:61" s="11" customFormat="1" x14ac:dyDescent="0.2">
      <c r="A952" s="61"/>
      <c r="O952" s="61"/>
      <c r="AU952" s="281">
        <v>72669</v>
      </c>
      <c r="AV952" s="75"/>
      <c r="AW952" s="75"/>
      <c r="AX952" s="75"/>
      <c r="AY952" s="75"/>
      <c r="AZ952" s="75"/>
      <c r="BA952" s="75"/>
      <c r="BB952" s="75"/>
      <c r="BC952" s="75"/>
      <c r="BD952" s="75"/>
      <c r="BE952" s="75"/>
      <c r="BF952" s="75">
        <v>7.1249999999999994E-2</v>
      </c>
      <c r="BG952" s="75"/>
      <c r="BH952" s="75"/>
      <c r="BI952" s="74">
        <f t="shared" si="32"/>
        <v>7.1249999999999994E-2</v>
      </c>
    </row>
    <row r="953" spans="1:61" s="11" customFormat="1" x14ac:dyDescent="0.2">
      <c r="A953" s="61"/>
      <c r="O953" s="61"/>
      <c r="AU953" s="281">
        <v>72700</v>
      </c>
      <c r="AV953" s="75"/>
      <c r="AW953" s="75"/>
      <c r="AX953" s="75"/>
      <c r="AY953" s="75"/>
      <c r="AZ953" s="75"/>
      <c r="BA953" s="75"/>
      <c r="BB953" s="75"/>
      <c r="BC953" s="75"/>
      <c r="BD953" s="75"/>
      <c r="BE953" s="75"/>
      <c r="BF953" s="75">
        <v>7.1249999999999994E-2</v>
      </c>
      <c r="BG953" s="75"/>
      <c r="BH953" s="75"/>
      <c r="BI953" s="74">
        <f t="shared" si="32"/>
        <v>7.1249999999999994E-2</v>
      </c>
    </row>
    <row r="954" spans="1:61" s="11" customFormat="1" x14ac:dyDescent="0.2">
      <c r="A954" s="61"/>
      <c r="O954" s="61"/>
      <c r="AU954" s="281">
        <v>72731</v>
      </c>
      <c r="AV954" s="75"/>
      <c r="AW954" s="75"/>
      <c r="AX954" s="75"/>
      <c r="AY954" s="75"/>
      <c r="AZ954" s="75"/>
      <c r="BA954" s="75"/>
      <c r="BB954" s="75"/>
      <c r="BC954" s="75"/>
      <c r="BD954" s="75"/>
      <c r="BE954" s="75"/>
      <c r="BF954" s="75">
        <v>7.1249999999999994E-2</v>
      </c>
      <c r="BG954" s="75"/>
      <c r="BH954" s="75"/>
      <c r="BI954" s="74">
        <f t="shared" si="32"/>
        <v>7.1249999999999994E-2</v>
      </c>
    </row>
    <row r="955" spans="1:61" s="11" customFormat="1" x14ac:dyDescent="0.2">
      <c r="A955" s="61"/>
      <c r="O955" s="61"/>
      <c r="AU955" s="281">
        <v>72759</v>
      </c>
      <c r="AV955" s="75"/>
      <c r="AW955" s="75"/>
      <c r="AX955" s="75"/>
      <c r="AY955" s="75"/>
      <c r="AZ955" s="75"/>
      <c r="BA955" s="75"/>
      <c r="BB955" s="75"/>
      <c r="BC955" s="75"/>
      <c r="BD955" s="75"/>
      <c r="BE955" s="75"/>
      <c r="BF955" s="75">
        <v>7.1249999999999994E-2</v>
      </c>
      <c r="BG955" s="75"/>
      <c r="BH955" s="75"/>
      <c r="BI955" s="74">
        <f t="shared" si="32"/>
        <v>7.1249999999999994E-2</v>
      </c>
    </row>
    <row r="956" spans="1:61" s="11" customFormat="1" x14ac:dyDescent="0.2">
      <c r="A956" s="61"/>
      <c r="O956" s="61"/>
      <c r="AU956" s="281">
        <v>72790</v>
      </c>
      <c r="AV956" s="75"/>
      <c r="AW956" s="75"/>
      <c r="AX956" s="75"/>
      <c r="AY956" s="75"/>
      <c r="AZ956" s="75"/>
      <c r="BA956" s="75"/>
      <c r="BB956" s="75"/>
      <c r="BC956" s="75"/>
      <c r="BD956" s="75"/>
      <c r="BE956" s="75"/>
      <c r="BF956" s="75">
        <v>7.1249999999999994E-2</v>
      </c>
      <c r="BG956" s="75"/>
      <c r="BH956" s="75"/>
      <c r="BI956" s="74">
        <f t="shared" si="32"/>
        <v>7.1249999999999994E-2</v>
      </c>
    </row>
    <row r="957" spans="1:61" s="11" customFormat="1" x14ac:dyDescent="0.2">
      <c r="A957" s="61"/>
      <c r="O957" s="61"/>
      <c r="AU957" s="281">
        <v>72820</v>
      </c>
      <c r="AV957" s="75"/>
      <c r="AW957" s="75"/>
      <c r="AX957" s="75"/>
      <c r="AY957" s="75"/>
      <c r="AZ957" s="75"/>
      <c r="BA957" s="75"/>
      <c r="BB957" s="75"/>
      <c r="BC957" s="75"/>
      <c r="BD957" s="75"/>
      <c r="BE957" s="75"/>
      <c r="BF957" s="75">
        <v>7.1249999999999994E-2</v>
      </c>
      <c r="BG957" s="75"/>
      <c r="BH957" s="75"/>
      <c r="BI957" s="74">
        <f t="shared" si="32"/>
        <v>7.1249999999999994E-2</v>
      </c>
    </row>
    <row r="958" spans="1:61" s="11" customFormat="1" x14ac:dyDescent="0.2">
      <c r="A958" s="61"/>
      <c r="O958" s="61"/>
      <c r="AU958" s="281">
        <v>72851</v>
      </c>
      <c r="AV958" s="75"/>
      <c r="AW958" s="75"/>
      <c r="AX958" s="75"/>
      <c r="AY958" s="75"/>
      <c r="AZ958" s="75"/>
      <c r="BA958" s="75"/>
      <c r="BB958" s="75"/>
      <c r="BC958" s="75"/>
      <c r="BD958" s="75"/>
      <c r="BE958" s="75"/>
      <c r="BF958" s="75">
        <v>7.1249999999999994E-2</v>
      </c>
      <c r="BG958" s="75"/>
      <c r="BH958" s="75"/>
      <c r="BI958" s="74">
        <f t="shared" si="32"/>
        <v>7.1249999999999994E-2</v>
      </c>
    </row>
    <row r="959" spans="1:61" s="11" customFormat="1" x14ac:dyDescent="0.2">
      <c r="A959" s="61"/>
      <c r="O959" s="61"/>
      <c r="AU959" s="281">
        <v>72881</v>
      </c>
      <c r="AV959" s="75"/>
      <c r="AW959" s="75"/>
      <c r="AX959" s="75"/>
      <c r="AY959" s="75"/>
      <c r="AZ959" s="75"/>
      <c r="BA959" s="75"/>
      <c r="BB959" s="75"/>
      <c r="BC959" s="75"/>
      <c r="BD959" s="75"/>
      <c r="BE959" s="75"/>
      <c r="BF959" s="75">
        <v>7.1249999999999994E-2</v>
      </c>
      <c r="BG959" s="75"/>
      <c r="BH959" s="75"/>
      <c r="BI959" s="74">
        <f t="shared" si="32"/>
        <v>7.1249999999999994E-2</v>
      </c>
    </row>
    <row r="960" spans="1:61" s="11" customFormat="1" x14ac:dyDescent="0.2">
      <c r="A960" s="61"/>
      <c r="O960" s="61"/>
      <c r="AU960" s="281">
        <v>72912</v>
      </c>
      <c r="AV960" s="75"/>
      <c r="AW960" s="75"/>
      <c r="AX960" s="75"/>
      <c r="AY960" s="75"/>
      <c r="AZ960" s="75"/>
      <c r="BA960" s="75"/>
      <c r="BB960" s="75"/>
      <c r="BC960" s="75"/>
      <c r="BD960" s="75"/>
      <c r="BE960" s="75"/>
      <c r="BF960" s="75">
        <v>7.1249999999999994E-2</v>
      </c>
      <c r="BG960" s="75"/>
      <c r="BH960" s="75"/>
      <c r="BI960" s="74">
        <f t="shared" si="32"/>
        <v>7.1249999999999994E-2</v>
      </c>
    </row>
    <row r="961" spans="1:61" s="11" customFormat="1" x14ac:dyDescent="0.2">
      <c r="A961" s="61"/>
      <c r="O961" s="61"/>
      <c r="AU961" s="281">
        <v>72943</v>
      </c>
      <c r="AV961" s="75"/>
      <c r="AW961" s="75"/>
      <c r="AX961" s="75"/>
      <c r="AY961" s="75"/>
      <c r="AZ961" s="75"/>
      <c r="BA961" s="75"/>
      <c r="BB961" s="75"/>
      <c r="BC961" s="75"/>
      <c r="BD961" s="75"/>
      <c r="BE961" s="75"/>
      <c r="BF961" s="75">
        <v>7.1249999999999994E-2</v>
      </c>
      <c r="BG961" s="75"/>
      <c r="BH961" s="75"/>
      <c r="BI961" s="74">
        <f t="shared" si="32"/>
        <v>7.1249999999999994E-2</v>
      </c>
    </row>
    <row r="962" spans="1:61" s="11" customFormat="1" x14ac:dyDescent="0.2">
      <c r="A962" s="61"/>
      <c r="O962" s="61"/>
      <c r="AU962" s="281">
        <v>72973</v>
      </c>
      <c r="AV962" s="75"/>
      <c r="AW962" s="75"/>
      <c r="AX962" s="75"/>
      <c r="AY962" s="75"/>
      <c r="AZ962" s="75"/>
      <c r="BA962" s="75"/>
      <c r="BB962" s="75"/>
      <c r="BC962" s="75"/>
      <c r="BD962" s="75"/>
      <c r="BE962" s="75"/>
      <c r="BF962" s="75">
        <v>7.1249999999999994E-2</v>
      </c>
      <c r="BG962" s="75"/>
      <c r="BH962" s="75"/>
      <c r="BI962" s="74">
        <f t="shared" si="32"/>
        <v>7.1249999999999994E-2</v>
      </c>
    </row>
    <row r="963" spans="1:61" s="11" customFormat="1" x14ac:dyDescent="0.2">
      <c r="A963" s="61"/>
      <c r="O963" s="61"/>
      <c r="AU963" s="281">
        <v>73004</v>
      </c>
      <c r="AV963" s="75"/>
      <c r="AW963" s="75"/>
      <c r="AX963" s="75"/>
      <c r="AY963" s="75"/>
      <c r="AZ963" s="75"/>
      <c r="BA963" s="75"/>
      <c r="BB963" s="75"/>
      <c r="BC963" s="75"/>
      <c r="BD963" s="75"/>
      <c r="BE963" s="75"/>
      <c r="BF963" s="75">
        <v>7.1249999999999994E-2</v>
      </c>
      <c r="BG963" s="75"/>
      <c r="BH963" s="75"/>
      <c r="BI963" s="74">
        <f t="shared" si="32"/>
        <v>7.1249999999999994E-2</v>
      </c>
    </row>
    <row r="964" spans="1:61" s="11" customFormat="1" x14ac:dyDescent="0.2">
      <c r="A964" s="61"/>
      <c r="O964" s="61"/>
      <c r="AU964" s="281">
        <v>73034</v>
      </c>
      <c r="AV964" s="75"/>
      <c r="AW964" s="75"/>
      <c r="AX964" s="75"/>
      <c r="AY964" s="75"/>
      <c r="AZ964" s="75"/>
      <c r="BA964" s="75"/>
      <c r="BB964" s="75"/>
      <c r="BC964" s="75"/>
      <c r="BD964" s="75"/>
      <c r="BE964" s="75"/>
      <c r="BF964" s="75">
        <v>7.1249999999999994E-2</v>
      </c>
      <c r="BG964" s="75"/>
      <c r="BH964" s="75"/>
      <c r="BI964" s="74">
        <f t="shared" si="32"/>
        <v>7.1249999999999994E-2</v>
      </c>
    </row>
    <row r="965" spans="1:61" s="11" customFormat="1" x14ac:dyDescent="0.2">
      <c r="A965" s="61"/>
      <c r="O965" s="61"/>
      <c r="AU965" s="281">
        <v>73065</v>
      </c>
      <c r="AV965" s="75"/>
      <c r="AW965" s="75"/>
      <c r="AX965" s="75"/>
      <c r="AY965" s="75"/>
      <c r="AZ965" s="75"/>
      <c r="BA965" s="75"/>
      <c r="BB965" s="75"/>
      <c r="BC965" s="75"/>
      <c r="BD965" s="75"/>
      <c r="BE965" s="75"/>
      <c r="BF965" s="75">
        <v>7.1249999999999994E-2</v>
      </c>
      <c r="BG965" s="75"/>
      <c r="BH965" s="75"/>
      <c r="BI965" s="74">
        <f t="shared" si="32"/>
        <v>7.1249999999999994E-2</v>
      </c>
    </row>
    <row r="966" spans="1:61" s="11" customFormat="1" x14ac:dyDescent="0.2">
      <c r="A966" s="61"/>
      <c r="O966" s="61"/>
      <c r="AU966" s="281">
        <v>73096</v>
      </c>
      <c r="AV966" s="75"/>
      <c r="AW966" s="75"/>
      <c r="AX966" s="75"/>
      <c r="AY966" s="75"/>
      <c r="AZ966" s="75"/>
      <c r="BA966" s="75"/>
      <c r="BB966" s="75"/>
      <c r="BC966" s="75"/>
      <c r="BD966" s="75"/>
      <c r="BE966" s="75"/>
      <c r="BF966" s="75">
        <v>7.1249999999999994E-2</v>
      </c>
      <c r="BG966" s="75"/>
      <c r="BH966" s="75"/>
      <c r="BI966" s="74">
        <f t="shared" si="32"/>
        <v>7.1249999999999994E-2</v>
      </c>
    </row>
    <row r="967" spans="1:61" s="11" customFormat="1" x14ac:dyDescent="0.2">
      <c r="A967" s="61"/>
      <c r="O967" s="61"/>
      <c r="AU967" s="281">
        <v>73124</v>
      </c>
      <c r="AV967" s="75"/>
      <c r="AW967" s="75"/>
      <c r="AX967" s="75"/>
      <c r="AY967" s="75"/>
      <c r="AZ967" s="75"/>
      <c r="BA967" s="75"/>
      <c r="BB967" s="75"/>
      <c r="BC967" s="75"/>
      <c r="BD967" s="75"/>
      <c r="BE967" s="75"/>
      <c r="BF967" s="75">
        <v>7.1249999999999994E-2</v>
      </c>
      <c r="BG967" s="75"/>
      <c r="BH967" s="75"/>
      <c r="BI967" s="74">
        <f t="shared" si="32"/>
        <v>7.1249999999999994E-2</v>
      </c>
    </row>
    <row r="968" spans="1:61" s="11" customFormat="1" x14ac:dyDescent="0.2">
      <c r="A968" s="61"/>
      <c r="O968" s="61"/>
      <c r="AU968" s="281">
        <v>73155</v>
      </c>
      <c r="AV968" s="75"/>
      <c r="AW968" s="75"/>
      <c r="AX968" s="75"/>
      <c r="AY968" s="75"/>
      <c r="AZ968" s="75"/>
      <c r="BA968" s="75"/>
      <c r="BB968" s="75"/>
      <c r="BC968" s="75"/>
      <c r="BD968" s="75"/>
      <c r="BE968" s="75"/>
      <c r="BF968" s="75">
        <v>7.1249999999999994E-2</v>
      </c>
      <c r="BG968" s="75"/>
      <c r="BH968" s="75"/>
      <c r="BI968" s="74">
        <f t="shared" si="32"/>
        <v>7.1249999999999994E-2</v>
      </c>
    </row>
    <row r="969" spans="1:61" s="11" customFormat="1" x14ac:dyDescent="0.2">
      <c r="A969" s="61"/>
      <c r="O969" s="61"/>
      <c r="AU969" s="281">
        <v>73185</v>
      </c>
      <c r="AV969" s="75"/>
      <c r="AW969" s="75"/>
      <c r="AX969" s="75"/>
      <c r="AY969" s="75"/>
      <c r="AZ969" s="75"/>
      <c r="BA969" s="75"/>
      <c r="BB969" s="75"/>
      <c r="BC969" s="75"/>
      <c r="BD969" s="75"/>
      <c r="BE969" s="75"/>
      <c r="BF969" s="75">
        <v>7.1249999999999994E-2</v>
      </c>
      <c r="BG969" s="75"/>
      <c r="BH969" s="75"/>
      <c r="BI969" s="74">
        <f t="shared" ref="BI969:BI1032" si="33">+AVERAGE(AV969:BH969)</f>
        <v>7.1249999999999994E-2</v>
      </c>
    </row>
    <row r="970" spans="1:61" s="11" customFormat="1" x14ac:dyDescent="0.2">
      <c r="A970" s="61"/>
      <c r="O970" s="61"/>
      <c r="AU970" s="281">
        <v>73216</v>
      </c>
      <c r="AV970" s="75"/>
      <c r="AW970" s="75"/>
      <c r="AX970" s="75"/>
      <c r="AY970" s="75"/>
      <c r="AZ970" s="75"/>
      <c r="BA970" s="75"/>
      <c r="BB970" s="75"/>
      <c r="BC970" s="75"/>
      <c r="BD970" s="75"/>
      <c r="BE970" s="75"/>
      <c r="BF970" s="75">
        <v>7.1249999999999994E-2</v>
      </c>
      <c r="BG970" s="75"/>
      <c r="BH970" s="75"/>
      <c r="BI970" s="74">
        <f t="shared" si="33"/>
        <v>7.1249999999999994E-2</v>
      </c>
    </row>
    <row r="971" spans="1:61" s="11" customFormat="1" x14ac:dyDescent="0.2">
      <c r="A971" s="61"/>
      <c r="O971" s="61"/>
      <c r="AU971" s="281">
        <v>73246</v>
      </c>
      <c r="AV971" s="75"/>
      <c r="AW971" s="75"/>
      <c r="AX971" s="75"/>
      <c r="AY971" s="75"/>
      <c r="AZ971" s="75"/>
      <c r="BA971" s="75"/>
      <c r="BB971" s="75"/>
      <c r="BC971" s="75"/>
      <c r="BD971" s="75"/>
      <c r="BE971" s="75"/>
      <c r="BF971" s="75">
        <v>7.1249999999999994E-2</v>
      </c>
      <c r="BG971" s="75"/>
      <c r="BH971" s="75"/>
      <c r="BI971" s="74">
        <f t="shared" si="33"/>
        <v>7.1249999999999994E-2</v>
      </c>
    </row>
    <row r="972" spans="1:61" s="11" customFormat="1" x14ac:dyDescent="0.2">
      <c r="A972" s="61"/>
      <c r="O972" s="61"/>
      <c r="AU972" s="281">
        <v>73277</v>
      </c>
      <c r="AV972" s="75"/>
      <c r="AW972" s="75"/>
      <c r="AX972" s="75"/>
      <c r="AY972" s="75"/>
      <c r="AZ972" s="75"/>
      <c r="BA972" s="75"/>
      <c r="BB972" s="75"/>
      <c r="BC972" s="75"/>
      <c r="BD972" s="75"/>
      <c r="BE972" s="75"/>
      <c r="BF972" s="75">
        <v>7.1249999999999994E-2</v>
      </c>
      <c r="BG972" s="75"/>
      <c r="BH972" s="75"/>
      <c r="BI972" s="74">
        <f t="shared" si="33"/>
        <v>7.1249999999999994E-2</v>
      </c>
    </row>
    <row r="973" spans="1:61" s="11" customFormat="1" x14ac:dyDescent="0.2">
      <c r="A973" s="61"/>
      <c r="O973" s="61"/>
      <c r="AU973" s="281">
        <v>73308</v>
      </c>
      <c r="AV973" s="75"/>
      <c r="AW973" s="75"/>
      <c r="AX973" s="75"/>
      <c r="AY973" s="75"/>
      <c r="AZ973" s="75"/>
      <c r="BA973" s="75"/>
      <c r="BB973" s="75"/>
      <c r="BC973" s="75"/>
      <c r="BD973" s="75"/>
      <c r="BE973" s="75"/>
      <c r="BF973" s="75">
        <v>7.1249999999999994E-2</v>
      </c>
      <c r="BG973" s="75"/>
      <c r="BH973" s="75"/>
      <c r="BI973" s="74">
        <f t="shared" si="33"/>
        <v>7.1249999999999994E-2</v>
      </c>
    </row>
    <row r="974" spans="1:61" s="11" customFormat="1" x14ac:dyDescent="0.2">
      <c r="A974" s="61"/>
      <c r="O974" s="61"/>
      <c r="AU974" s="281">
        <v>73338</v>
      </c>
      <c r="AV974" s="75"/>
      <c r="AW974" s="75"/>
      <c r="AX974" s="75"/>
      <c r="AY974" s="75"/>
      <c r="AZ974" s="75"/>
      <c r="BA974" s="75"/>
      <c r="BB974" s="75"/>
      <c r="BC974" s="75"/>
      <c r="BD974" s="75"/>
      <c r="BE974" s="75"/>
      <c r="BF974" s="75">
        <v>7.1249999999999994E-2</v>
      </c>
      <c r="BG974" s="75"/>
      <c r="BH974" s="75"/>
      <c r="BI974" s="74">
        <f t="shared" si="33"/>
        <v>7.1249999999999994E-2</v>
      </c>
    </row>
    <row r="975" spans="1:61" s="11" customFormat="1" x14ac:dyDescent="0.2">
      <c r="A975" s="61"/>
      <c r="O975" s="61"/>
      <c r="AU975" s="281">
        <v>73369</v>
      </c>
      <c r="AV975" s="75"/>
      <c r="AW975" s="75"/>
      <c r="AX975" s="75"/>
      <c r="AY975" s="75"/>
      <c r="AZ975" s="75"/>
      <c r="BA975" s="75"/>
      <c r="BB975" s="75"/>
      <c r="BC975" s="75"/>
      <c r="BD975" s="75"/>
      <c r="BE975" s="75"/>
      <c r="BF975" s="75">
        <v>7.1249999999999994E-2</v>
      </c>
      <c r="BG975" s="75"/>
      <c r="BH975" s="75"/>
      <c r="BI975" s="74">
        <f t="shared" si="33"/>
        <v>7.1249999999999994E-2</v>
      </c>
    </row>
    <row r="976" spans="1:61" s="11" customFormat="1" x14ac:dyDescent="0.2">
      <c r="A976" s="61"/>
      <c r="O976" s="61"/>
      <c r="AU976" s="281">
        <v>73399</v>
      </c>
      <c r="AV976" s="75"/>
      <c r="AW976" s="75"/>
      <c r="AX976" s="75"/>
      <c r="AY976" s="75"/>
      <c r="AZ976" s="75"/>
      <c r="BA976" s="75"/>
      <c r="BB976" s="75"/>
      <c r="BC976" s="75"/>
      <c r="BD976" s="75"/>
      <c r="BE976" s="75"/>
      <c r="BF976" s="75">
        <v>7.1249999999999994E-2</v>
      </c>
      <c r="BG976" s="75"/>
      <c r="BH976" s="75"/>
      <c r="BI976" s="74">
        <f t="shared" si="33"/>
        <v>7.1249999999999994E-2</v>
      </c>
    </row>
    <row r="977" spans="1:61" s="11" customFormat="1" x14ac:dyDescent="0.2">
      <c r="A977" s="61"/>
      <c r="O977" s="61"/>
      <c r="AU977" s="281">
        <v>73430</v>
      </c>
      <c r="AV977" s="75"/>
      <c r="AW977" s="75"/>
      <c r="AX977" s="75"/>
      <c r="AY977" s="75"/>
      <c r="AZ977" s="75"/>
      <c r="BA977" s="75"/>
      <c r="BB977" s="75"/>
      <c r="BC977" s="75"/>
      <c r="BD977" s="75"/>
      <c r="BE977" s="75"/>
      <c r="BF977" s="75">
        <v>7.1249999999999994E-2</v>
      </c>
      <c r="BG977" s="75"/>
      <c r="BH977" s="75"/>
      <c r="BI977" s="74">
        <f t="shared" si="33"/>
        <v>7.1249999999999994E-2</v>
      </c>
    </row>
    <row r="978" spans="1:61" s="11" customFormat="1" x14ac:dyDescent="0.2">
      <c r="A978" s="61"/>
      <c r="O978" s="61"/>
      <c r="AU978" s="281">
        <v>73461</v>
      </c>
      <c r="AV978" s="75"/>
      <c r="AW978" s="75"/>
      <c r="AX978" s="75"/>
      <c r="AY978" s="75"/>
      <c r="AZ978" s="75"/>
      <c r="BA978" s="75"/>
      <c r="BB978" s="75"/>
      <c r="BC978" s="75"/>
      <c r="BD978" s="75"/>
      <c r="BE978" s="75"/>
      <c r="BF978" s="75">
        <v>7.1249999999999994E-2</v>
      </c>
      <c r="BG978" s="75"/>
      <c r="BH978" s="75"/>
      <c r="BI978" s="74">
        <f t="shared" si="33"/>
        <v>7.1249999999999994E-2</v>
      </c>
    </row>
    <row r="979" spans="1:61" s="11" customFormat="1" x14ac:dyDescent="0.2">
      <c r="A979" s="61"/>
      <c r="O979" s="61"/>
      <c r="AU979" s="281">
        <v>73489</v>
      </c>
      <c r="AV979" s="75"/>
      <c r="AW979" s="75"/>
      <c r="AX979" s="75"/>
      <c r="AY979" s="75"/>
      <c r="AZ979" s="75"/>
      <c r="BA979" s="75"/>
      <c r="BB979" s="75"/>
      <c r="BC979" s="75"/>
      <c r="BD979" s="75"/>
      <c r="BE979" s="75"/>
      <c r="BF979" s="75">
        <v>7.1249999999999994E-2</v>
      </c>
      <c r="BG979" s="75"/>
      <c r="BH979" s="75"/>
      <c r="BI979" s="74">
        <f t="shared" si="33"/>
        <v>7.1249999999999994E-2</v>
      </c>
    </row>
    <row r="980" spans="1:61" s="11" customFormat="1" x14ac:dyDescent="0.2">
      <c r="A980" s="61"/>
      <c r="O980" s="61"/>
      <c r="AU980" s="281">
        <v>73520</v>
      </c>
      <c r="AV980" s="75"/>
      <c r="AW980" s="75"/>
      <c r="AX980" s="75"/>
      <c r="AY980" s="75"/>
      <c r="AZ980" s="75"/>
      <c r="BA980" s="75"/>
      <c r="BB980" s="75"/>
      <c r="BC980" s="75"/>
      <c r="BD980" s="75"/>
      <c r="BE980" s="75"/>
      <c r="BF980" s="75">
        <v>7.1249999999999994E-2</v>
      </c>
      <c r="BG980" s="75"/>
      <c r="BH980" s="75"/>
      <c r="BI980" s="74">
        <f t="shared" si="33"/>
        <v>7.1249999999999994E-2</v>
      </c>
    </row>
    <row r="981" spans="1:61" s="11" customFormat="1" x14ac:dyDescent="0.2">
      <c r="A981" s="61"/>
      <c r="O981" s="61"/>
      <c r="AU981" s="281">
        <v>73550</v>
      </c>
      <c r="AV981" s="75"/>
      <c r="AW981" s="75"/>
      <c r="AX981" s="75"/>
      <c r="AY981" s="75"/>
      <c r="AZ981" s="75"/>
      <c r="BA981" s="75"/>
      <c r="BB981" s="75"/>
      <c r="BC981" s="75"/>
      <c r="BD981" s="75"/>
      <c r="BE981" s="75"/>
      <c r="BF981" s="75">
        <v>7.1249999999999994E-2</v>
      </c>
      <c r="BG981" s="75"/>
      <c r="BH981" s="75"/>
      <c r="BI981" s="74">
        <f t="shared" si="33"/>
        <v>7.1249999999999994E-2</v>
      </c>
    </row>
    <row r="982" spans="1:61" s="11" customFormat="1" x14ac:dyDescent="0.2">
      <c r="A982" s="61"/>
      <c r="O982" s="61"/>
      <c r="AU982" s="281">
        <v>73581</v>
      </c>
      <c r="AV982" s="75"/>
      <c r="AW982" s="75"/>
      <c r="AX982" s="75"/>
      <c r="AY982" s="75"/>
      <c r="AZ982" s="75"/>
      <c r="BA982" s="75"/>
      <c r="BB982" s="75"/>
      <c r="BC982" s="75"/>
      <c r="BD982" s="75"/>
      <c r="BE982" s="75"/>
      <c r="BF982" s="75">
        <v>7.1249999999999994E-2</v>
      </c>
      <c r="BG982" s="75"/>
      <c r="BH982" s="75"/>
      <c r="BI982" s="74">
        <f t="shared" si="33"/>
        <v>7.1249999999999994E-2</v>
      </c>
    </row>
    <row r="983" spans="1:61" s="11" customFormat="1" x14ac:dyDescent="0.2">
      <c r="A983" s="61"/>
      <c r="O983" s="61"/>
      <c r="AU983" s="281">
        <v>73611</v>
      </c>
      <c r="AV983" s="75"/>
      <c r="AW983" s="75"/>
      <c r="AX983" s="75"/>
      <c r="AY983" s="75"/>
      <c r="AZ983" s="75"/>
      <c r="BA983" s="75"/>
      <c r="BB983" s="75"/>
      <c r="BC983" s="75"/>
      <c r="BD983" s="75"/>
      <c r="BE983" s="75"/>
      <c r="BF983" s="75">
        <v>7.1249999999999994E-2</v>
      </c>
      <c r="BG983" s="75"/>
      <c r="BH983" s="75"/>
      <c r="BI983" s="74">
        <f t="shared" si="33"/>
        <v>7.1249999999999994E-2</v>
      </c>
    </row>
    <row r="984" spans="1:61" s="11" customFormat="1" x14ac:dyDescent="0.2">
      <c r="A984" s="61"/>
      <c r="O984" s="61"/>
      <c r="AU984" s="281">
        <v>73642</v>
      </c>
      <c r="AV984" s="75"/>
      <c r="AW984" s="75"/>
      <c r="AX984" s="75"/>
      <c r="AY984" s="75"/>
      <c r="AZ984" s="75"/>
      <c r="BA984" s="75"/>
      <c r="BB984" s="75"/>
      <c r="BC984" s="75"/>
      <c r="BD984" s="75"/>
      <c r="BE984" s="75"/>
      <c r="BF984" s="75">
        <v>7.1249999999999994E-2</v>
      </c>
      <c r="BG984" s="75"/>
      <c r="BH984" s="75"/>
      <c r="BI984" s="74">
        <f t="shared" si="33"/>
        <v>7.1249999999999994E-2</v>
      </c>
    </row>
    <row r="985" spans="1:61" s="11" customFormat="1" x14ac:dyDescent="0.2">
      <c r="A985" s="61"/>
      <c r="O985" s="61"/>
      <c r="AU985" s="281">
        <v>73673</v>
      </c>
      <c r="AV985" s="75"/>
      <c r="AW985" s="75"/>
      <c r="AX985" s="75"/>
      <c r="AY985" s="75"/>
      <c r="AZ985" s="75"/>
      <c r="BA985" s="75"/>
      <c r="BB985" s="75"/>
      <c r="BC985" s="75"/>
      <c r="BD985" s="75"/>
      <c r="BE985" s="75"/>
      <c r="BF985" s="75">
        <v>7.1249999999999994E-2</v>
      </c>
      <c r="BG985" s="75"/>
      <c r="BH985" s="75"/>
      <c r="BI985" s="74">
        <f t="shared" si="33"/>
        <v>7.1249999999999994E-2</v>
      </c>
    </row>
    <row r="986" spans="1:61" s="11" customFormat="1" x14ac:dyDescent="0.2">
      <c r="A986" s="61"/>
      <c r="O986" s="61"/>
      <c r="AU986" s="281">
        <v>73703</v>
      </c>
      <c r="AV986" s="75"/>
      <c r="AW986" s="75"/>
      <c r="AX986" s="75"/>
      <c r="AY986" s="75"/>
      <c r="AZ986" s="75"/>
      <c r="BA986" s="75"/>
      <c r="BB986" s="75"/>
      <c r="BC986" s="75"/>
      <c r="BD986" s="75"/>
      <c r="BE986" s="75"/>
      <c r="BF986" s="75">
        <v>7.1249999999999994E-2</v>
      </c>
      <c r="BG986" s="75"/>
      <c r="BH986" s="75"/>
      <c r="BI986" s="74">
        <f t="shared" si="33"/>
        <v>7.1249999999999994E-2</v>
      </c>
    </row>
    <row r="987" spans="1:61" s="11" customFormat="1" x14ac:dyDescent="0.2">
      <c r="A987" s="61"/>
      <c r="O987" s="61"/>
      <c r="AU987" s="281">
        <v>73734</v>
      </c>
      <c r="AV987" s="75"/>
      <c r="AW987" s="75"/>
      <c r="AX987" s="75"/>
      <c r="AY987" s="75"/>
      <c r="AZ987" s="75"/>
      <c r="BA987" s="75"/>
      <c r="BB987" s="75"/>
      <c r="BC987" s="75"/>
      <c r="BD987" s="75"/>
      <c r="BE987" s="75"/>
      <c r="BF987" s="75">
        <v>7.1249999999999994E-2</v>
      </c>
      <c r="BG987" s="75"/>
      <c r="BH987" s="75"/>
      <c r="BI987" s="74">
        <f t="shared" si="33"/>
        <v>7.1249999999999994E-2</v>
      </c>
    </row>
    <row r="988" spans="1:61" s="11" customFormat="1" x14ac:dyDescent="0.2">
      <c r="A988" s="61"/>
      <c r="O988" s="61"/>
      <c r="AU988" s="281">
        <v>73764</v>
      </c>
      <c r="AV988" s="75"/>
      <c r="AW988" s="75"/>
      <c r="AX988" s="75"/>
      <c r="AY988" s="75"/>
      <c r="AZ988" s="75"/>
      <c r="BA988" s="75"/>
      <c r="BB988" s="75"/>
      <c r="BC988" s="75"/>
      <c r="BD988" s="75"/>
      <c r="BE988" s="75"/>
      <c r="BF988" s="75">
        <v>7.1249999999999994E-2</v>
      </c>
      <c r="BG988" s="75"/>
      <c r="BH988" s="75"/>
      <c r="BI988" s="74">
        <f t="shared" si="33"/>
        <v>7.1249999999999994E-2</v>
      </c>
    </row>
    <row r="989" spans="1:61" s="11" customFormat="1" x14ac:dyDescent="0.2">
      <c r="A989" s="61"/>
      <c r="O989" s="61"/>
      <c r="AU989" s="281">
        <v>73795</v>
      </c>
      <c r="AV989" s="75"/>
      <c r="AW989" s="75"/>
      <c r="AX989" s="75"/>
      <c r="AY989" s="75"/>
      <c r="AZ989" s="75"/>
      <c r="BA989" s="75"/>
      <c r="BB989" s="75"/>
      <c r="BC989" s="75"/>
      <c r="BD989" s="75"/>
      <c r="BE989" s="75"/>
      <c r="BF989" s="75">
        <v>7.1249999999999994E-2</v>
      </c>
      <c r="BG989" s="75"/>
      <c r="BH989" s="75"/>
      <c r="BI989" s="74">
        <f t="shared" si="33"/>
        <v>7.1249999999999994E-2</v>
      </c>
    </row>
    <row r="990" spans="1:61" s="11" customFormat="1" x14ac:dyDescent="0.2">
      <c r="A990" s="61"/>
      <c r="O990" s="61"/>
      <c r="AU990" s="281">
        <v>73826</v>
      </c>
      <c r="AV990" s="75"/>
      <c r="AW990" s="75"/>
      <c r="AX990" s="75"/>
      <c r="AY990" s="75"/>
      <c r="AZ990" s="75"/>
      <c r="BA990" s="75"/>
      <c r="BB990" s="75"/>
      <c r="BC990" s="75"/>
      <c r="BD990" s="75"/>
      <c r="BE990" s="75"/>
      <c r="BF990" s="75">
        <v>7.1249999999999994E-2</v>
      </c>
      <c r="BG990" s="75"/>
      <c r="BH990" s="75"/>
      <c r="BI990" s="74">
        <f t="shared" si="33"/>
        <v>7.1249999999999994E-2</v>
      </c>
    </row>
    <row r="991" spans="1:61" s="11" customFormat="1" x14ac:dyDescent="0.2">
      <c r="A991" s="61"/>
      <c r="O991" s="61"/>
      <c r="AU991" s="281">
        <v>73854</v>
      </c>
      <c r="AV991" s="75"/>
      <c r="AW991" s="75"/>
      <c r="AX991" s="75"/>
      <c r="AY991" s="75"/>
      <c r="AZ991" s="75"/>
      <c r="BA991" s="75"/>
      <c r="BB991" s="75"/>
      <c r="BC991" s="75"/>
      <c r="BD991" s="75"/>
      <c r="BE991" s="75"/>
      <c r="BF991" s="75">
        <v>7.1249999999999994E-2</v>
      </c>
      <c r="BG991" s="75"/>
      <c r="BH991" s="75"/>
      <c r="BI991" s="74">
        <f t="shared" si="33"/>
        <v>7.1249999999999994E-2</v>
      </c>
    </row>
    <row r="992" spans="1:61" s="11" customFormat="1" x14ac:dyDescent="0.2">
      <c r="A992" s="61"/>
      <c r="O992" s="61"/>
      <c r="AU992" s="281">
        <v>73885</v>
      </c>
      <c r="AV992" s="75"/>
      <c r="AW992" s="75"/>
      <c r="AX992" s="75"/>
      <c r="AY992" s="75"/>
      <c r="AZ992" s="75"/>
      <c r="BA992" s="75"/>
      <c r="BB992" s="75"/>
      <c r="BC992" s="75"/>
      <c r="BD992" s="75"/>
      <c r="BE992" s="75"/>
      <c r="BF992" s="75">
        <v>7.1249999999999994E-2</v>
      </c>
      <c r="BG992" s="75"/>
      <c r="BH992" s="75"/>
      <c r="BI992" s="74">
        <f t="shared" si="33"/>
        <v>7.1249999999999994E-2</v>
      </c>
    </row>
    <row r="993" spans="1:61" s="11" customFormat="1" x14ac:dyDescent="0.2">
      <c r="A993" s="61"/>
      <c r="O993" s="61"/>
      <c r="AU993" s="281">
        <v>73915</v>
      </c>
      <c r="AV993" s="75"/>
      <c r="AW993" s="75"/>
      <c r="AX993" s="75"/>
      <c r="AY993" s="75"/>
      <c r="AZ993" s="75"/>
      <c r="BA993" s="75"/>
      <c r="BB993" s="75"/>
      <c r="BC993" s="75"/>
      <c r="BD993" s="75"/>
      <c r="BE993" s="75"/>
      <c r="BF993" s="75">
        <v>7.1249999999999994E-2</v>
      </c>
      <c r="BG993" s="75"/>
      <c r="BH993" s="75"/>
      <c r="BI993" s="74">
        <f t="shared" si="33"/>
        <v>7.1249999999999994E-2</v>
      </c>
    </row>
    <row r="994" spans="1:61" s="11" customFormat="1" x14ac:dyDescent="0.2">
      <c r="A994" s="61"/>
      <c r="O994" s="61"/>
      <c r="AU994" s="281">
        <v>73946</v>
      </c>
      <c r="AV994" s="75"/>
      <c r="AW994" s="75"/>
      <c r="AX994" s="75"/>
      <c r="AY994" s="75"/>
      <c r="AZ994" s="75"/>
      <c r="BA994" s="75"/>
      <c r="BB994" s="75"/>
      <c r="BC994" s="75"/>
      <c r="BD994" s="75"/>
      <c r="BE994" s="75"/>
      <c r="BF994" s="75">
        <v>7.1249999999999994E-2</v>
      </c>
      <c r="BG994" s="75"/>
      <c r="BH994" s="75"/>
      <c r="BI994" s="74">
        <f t="shared" si="33"/>
        <v>7.1249999999999994E-2</v>
      </c>
    </row>
    <row r="995" spans="1:61" s="11" customFormat="1" x14ac:dyDescent="0.2">
      <c r="A995" s="61"/>
      <c r="O995" s="61"/>
      <c r="AU995" s="281">
        <v>73976</v>
      </c>
      <c r="AV995" s="75"/>
      <c r="AW995" s="75"/>
      <c r="AX995" s="75"/>
      <c r="AY995" s="75"/>
      <c r="AZ995" s="75"/>
      <c r="BA995" s="75"/>
      <c r="BB995" s="75"/>
      <c r="BC995" s="75"/>
      <c r="BD995" s="75"/>
      <c r="BE995" s="75"/>
      <c r="BF995" s="75">
        <v>7.1249999999999994E-2</v>
      </c>
      <c r="BG995" s="75"/>
      <c r="BH995" s="75"/>
      <c r="BI995" s="74">
        <f t="shared" si="33"/>
        <v>7.1249999999999994E-2</v>
      </c>
    </row>
    <row r="996" spans="1:61" s="11" customFormat="1" x14ac:dyDescent="0.2">
      <c r="A996" s="61"/>
      <c r="O996" s="61"/>
      <c r="AU996" s="281">
        <v>74007</v>
      </c>
      <c r="AV996" s="75"/>
      <c r="AW996" s="75"/>
      <c r="AX996" s="75"/>
      <c r="AY996" s="75"/>
      <c r="AZ996" s="75"/>
      <c r="BA996" s="75"/>
      <c r="BB996" s="75"/>
      <c r="BC996" s="75"/>
      <c r="BD996" s="75"/>
      <c r="BE996" s="75"/>
      <c r="BF996" s="75">
        <v>7.1249999999999994E-2</v>
      </c>
      <c r="BG996" s="75"/>
      <c r="BH996" s="75"/>
      <c r="BI996" s="74">
        <f t="shared" si="33"/>
        <v>7.1249999999999994E-2</v>
      </c>
    </row>
    <row r="997" spans="1:61" s="11" customFormat="1" x14ac:dyDescent="0.2">
      <c r="A997" s="61"/>
      <c r="O997" s="61"/>
      <c r="AU997" s="281">
        <v>74038</v>
      </c>
      <c r="AV997" s="75"/>
      <c r="AW997" s="75"/>
      <c r="AX997" s="75"/>
      <c r="AY997" s="75"/>
      <c r="AZ997" s="75"/>
      <c r="BA997" s="75"/>
      <c r="BB997" s="75"/>
      <c r="BC997" s="75"/>
      <c r="BD997" s="75"/>
      <c r="BE997" s="75"/>
      <c r="BF997" s="75">
        <v>7.1249999999999994E-2</v>
      </c>
      <c r="BG997" s="75"/>
      <c r="BH997" s="75"/>
      <c r="BI997" s="74">
        <f t="shared" si="33"/>
        <v>7.1249999999999994E-2</v>
      </c>
    </row>
    <row r="998" spans="1:61" s="11" customFormat="1" x14ac:dyDescent="0.2">
      <c r="A998" s="61"/>
      <c r="O998" s="61"/>
      <c r="AU998" s="281">
        <v>74068</v>
      </c>
      <c r="AV998" s="75"/>
      <c r="AW998" s="75"/>
      <c r="AX998" s="75"/>
      <c r="AY998" s="75"/>
      <c r="AZ998" s="75"/>
      <c r="BA998" s="75"/>
      <c r="BB998" s="75"/>
      <c r="BC998" s="75"/>
      <c r="BD998" s="75"/>
      <c r="BE998" s="75"/>
      <c r="BF998" s="75">
        <v>7.1249999999999994E-2</v>
      </c>
      <c r="BG998" s="75"/>
      <c r="BH998" s="75"/>
      <c r="BI998" s="74">
        <f t="shared" si="33"/>
        <v>7.1249999999999994E-2</v>
      </c>
    </row>
    <row r="999" spans="1:61" s="11" customFormat="1" x14ac:dyDescent="0.2">
      <c r="A999" s="61"/>
      <c r="O999" s="61"/>
      <c r="AU999" s="281">
        <v>74099</v>
      </c>
      <c r="AV999" s="75"/>
      <c r="AW999" s="75"/>
      <c r="AX999" s="75"/>
      <c r="AY999" s="75"/>
      <c r="AZ999" s="75"/>
      <c r="BA999" s="75"/>
      <c r="BB999" s="75"/>
      <c r="BC999" s="75"/>
      <c r="BD999" s="75"/>
      <c r="BE999" s="75"/>
      <c r="BF999" s="75">
        <v>7.1249999999999994E-2</v>
      </c>
      <c r="BG999" s="75"/>
      <c r="BH999" s="75"/>
      <c r="BI999" s="74">
        <f t="shared" si="33"/>
        <v>7.1249999999999994E-2</v>
      </c>
    </row>
    <row r="1000" spans="1:61" s="11" customFormat="1" x14ac:dyDescent="0.2">
      <c r="A1000" s="61"/>
      <c r="O1000" s="61"/>
      <c r="AU1000" s="281">
        <v>74129</v>
      </c>
      <c r="AV1000" s="75"/>
      <c r="AW1000" s="75"/>
      <c r="AX1000" s="75"/>
      <c r="AY1000" s="75"/>
      <c r="AZ1000" s="75"/>
      <c r="BA1000" s="75"/>
      <c r="BB1000" s="75"/>
      <c r="BC1000" s="75"/>
      <c r="BD1000" s="75"/>
      <c r="BE1000" s="75"/>
      <c r="BF1000" s="75">
        <v>7.1249999999999994E-2</v>
      </c>
      <c r="BG1000" s="75"/>
      <c r="BH1000" s="75"/>
      <c r="BI1000" s="74">
        <f t="shared" si="33"/>
        <v>7.1249999999999994E-2</v>
      </c>
    </row>
    <row r="1001" spans="1:61" s="11" customFormat="1" x14ac:dyDescent="0.2">
      <c r="A1001" s="61"/>
      <c r="O1001" s="61"/>
      <c r="AU1001" s="281">
        <v>74160</v>
      </c>
      <c r="AV1001" s="75"/>
      <c r="AW1001" s="75"/>
      <c r="AX1001" s="75"/>
      <c r="AY1001" s="75"/>
      <c r="AZ1001" s="75"/>
      <c r="BA1001" s="75"/>
      <c r="BB1001" s="75"/>
      <c r="BC1001" s="75"/>
      <c r="BD1001" s="75"/>
      <c r="BE1001" s="75"/>
      <c r="BF1001" s="75">
        <v>7.1249999999999994E-2</v>
      </c>
      <c r="BG1001" s="75"/>
      <c r="BH1001" s="75"/>
      <c r="BI1001" s="74">
        <f t="shared" si="33"/>
        <v>7.1249999999999994E-2</v>
      </c>
    </row>
    <row r="1002" spans="1:61" s="11" customFormat="1" x14ac:dyDescent="0.2">
      <c r="A1002" s="61"/>
      <c r="O1002" s="61"/>
      <c r="AU1002" s="281">
        <v>74191</v>
      </c>
      <c r="AV1002" s="75"/>
      <c r="AW1002" s="75"/>
      <c r="AX1002" s="75"/>
      <c r="AY1002" s="75"/>
      <c r="AZ1002" s="75"/>
      <c r="BA1002" s="75"/>
      <c r="BB1002" s="75"/>
      <c r="BC1002" s="75"/>
      <c r="BD1002" s="75"/>
      <c r="BE1002" s="75"/>
      <c r="BF1002" s="75">
        <v>7.1249999999999994E-2</v>
      </c>
      <c r="BG1002" s="75"/>
      <c r="BH1002" s="75"/>
      <c r="BI1002" s="74">
        <f t="shared" si="33"/>
        <v>7.1249999999999994E-2</v>
      </c>
    </row>
    <row r="1003" spans="1:61" s="11" customFormat="1" x14ac:dyDescent="0.2">
      <c r="A1003" s="61"/>
      <c r="O1003" s="61"/>
      <c r="AU1003" s="281">
        <v>74219</v>
      </c>
      <c r="AV1003" s="75"/>
      <c r="AW1003" s="75"/>
      <c r="AX1003" s="75"/>
      <c r="AY1003" s="75"/>
      <c r="AZ1003" s="75"/>
      <c r="BA1003" s="75"/>
      <c r="BB1003" s="75"/>
      <c r="BC1003" s="75"/>
      <c r="BD1003" s="75"/>
      <c r="BE1003" s="75"/>
      <c r="BF1003" s="75">
        <v>7.1249999999999994E-2</v>
      </c>
      <c r="BG1003" s="75"/>
      <c r="BH1003" s="75"/>
      <c r="BI1003" s="74">
        <f t="shared" si="33"/>
        <v>7.1249999999999994E-2</v>
      </c>
    </row>
    <row r="1004" spans="1:61" s="11" customFormat="1" x14ac:dyDescent="0.2">
      <c r="A1004" s="61"/>
      <c r="O1004" s="61"/>
      <c r="AU1004" s="281">
        <v>74250</v>
      </c>
      <c r="AV1004" s="75"/>
      <c r="AW1004" s="75"/>
      <c r="AX1004" s="75"/>
      <c r="AY1004" s="75"/>
      <c r="AZ1004" s="75"/>
      <c r="BA1004" s="75"/>
      <c r="BB1004" s="75"/>
      <c r="BC1004" s="75"/>
      <c r="BD1004" s="75"/>
      <c r="BE1004" s="75"/>
      <c r="BF1004" s="75">
        <v>7.1249999999999994E-2</v>
      </c>
      <c r="BG1004" s="75"/>
      <c r="BH1004" s="75"/>
      <c r="BI1004" s="74">
        <f t="shared" si="33"/>
        <v>7.1249999999999994E-2</v>
      </c>
    </row>
    <row r="1005" spans="1:61" s="11" customFormat="1" x14ac:dyDescent="0.2">
      <c r="A1005" s="61"/>
      <c r="O1005" s="61"/>
      <c r="AU1005" s="281">
        <v>74280</v>
      </c>
      <c r="AV1005" s="75"/>
      <c r="AW1005" s="75"/>
      <c r="AX1005" s="75"/>
      <c r="AY1005" s="75"/>
      <c r="AZ1005" s="75"/>
      <c r="BA1005" s="75"/>
      <c r="BB1005" s="75"/>
      <c r="BC1005" s="75"/>
      <c r="BD1005" s="75"/>
      <c r="BE1005" s="75"/>
      <c r="BF1005" s="75">
        <v>7.1249999999999994E-2</v>
      </c>
      <c r="BG1005" s="75"/>
      <c r="BH1005" s="75"/>
      <c r="BI1005" s="74">
        <f t="shared" si="33"/>
        <v>7.1249999999999994E-2</v>
      </c>
    </row>
    <row r="1006" spans="1:61" s="11" customFormat="1" x14ac:dyDescent="0.2">
      <c r="A1006" s="61"/>
      <c r="O1006" s="61"/>
      <c r="AU1006" s="281">
        <v>74311</v>
      </c>
      <c r="AV1006" s="75"/>
      <c r="AW1006" s="75"/>
      <c r="AX1006" s="75"/>
      <c r="AY1006" s="75"/>
      <c r="AZ1006" s="75"/>
      <c r="BA1006" s="75"/>
      <c r="BB1006" s="75"/>
      <c r="BC1006" s="75"/>
      <c r="BD1006" s="75"/>
      <c r="BE1006" s="75"/>
      <c r="BF1006" s="75">
        <v>7.1249999999999994E-2</v>
      </c>
      <c r="BG1006" s="75"/>
      <c r="BH1006" s="75"/>
      <c r="BI1006" s="74">
        <f t="shared" si="33"/>
        <v>7.1249999999999994E-2</v>
      </c>
    </row>
    <row r="1007" spans="1:61" s="11" customFormat="1" x14ac:dyDescent="0.2">
      <c r="A1007" s="61"/>
      <c r="O1007" s="61"/>
      <c r="AU1007" s="281">
        <v>74341</v>
      </c>
      <c r="AV1007" s="75"/>
      <c r="AW1007" s="75"/>
      <c r="AX1007" s="75"/>
      <c r="AY1007" s="75"/>
      <c r="AZ1007" s="75"/>
      <c r="BA1007" s="75"/>
      <c r="BB1007" s="75"/>
      <c r="BC1007" s="75"/>
      <c r="BD1007" s="75"/>
      <c r="BE1007" s="75"/>
      <c r="BF1007" s="75">
        <v>7.1249999999999994E-2</v>
      </c>
      <c r="BG1007" s="75"/>
      <c r="BH1007" s="75"/>
      <c r="BI1007" s="74">
        <f t="shared" si="33"/>
        <v>7.1249999999999994E-2</v>
      </c>
    </row>
    <row r="1008" spans="1:61" s="11" customFormat="1" x14ac:dyDescent="0.2">
      <c r="A1008" s="61"/>
      <c r="O1008" s="61"/>
      <c r="AU1008" s="281">
        <v>74372</v>
      </c>
      <c r="AV1008" s="75"/>
      <c r="AW1008" s="75"/>
      <c r="AX1008" s="75"/>
      <c r="AY1008" s="75"/>
      <c r="AZ1008" s="75"/>
      <c r="BA1008" s="75"/>
      <c r="BB1008" s="75"/>
      <c r="BC1008" s="75"/>
      <c r="BD1008" s="75"/>
      <c r="BE1008" s="75"/>
      <c r="BF1008" s="75">
        <v>7.1249999999999994E-2</v>
      </c>
      <c r="BG1008" s="75"/>
      <c r="BH1008" s="75"/>
      <c r="BI1008" s="74">
        <f t="shared" si="33"/>
        <v>7.1249999999999994E-2</v>
      </c>
    </row>
    <row r="1009" spans="1:61" s="11" customFormat="1" x14ac:dyDescent="0.2">
      <c r="A1009" s="61"/>
      <c r="O1009" s="61"/>
      <c r="AU1009" s="281">
        <v>74403</v>
      </c>
      <c r="AV1009" s="75"/>
      <c r="AW1009" s="75"/>
      <c r="AX1009" s="75"/>
      <c r="AY1009" s="75"/>
      <c r="AZ1009" s="75"/>
      <c r="BA1009" s="75"/>
      <c r="BB1009" s="75"/>
      <c r="BC1009" s="75"/>
      <c r="BD1009" s="75"/>
      <c r="BE1009" s="75"/>
      <c r="BF1009" s="75">
        <v>7.1249999999999994E-2</v>
      </c>
      <c r="BG1009" s="75"/>
      <c r="BH1009" s="75"/>
      <c r="BI1009" s="74">
        <f t="shared" si="33"/>
        <v>7.1249999999999994E-2</v>
      </c>
    </row>
    <row r="1010" spans="1:61" s="11" customFormat="1" x14ac:dyDescent="0.2">
      <c r="A1010" s="61"/>
      <c r="O1010" s="61"/>
      <c r="AU1010" s="281">
        <v>74433</v>
      </c>
      <c r="AV1010" s="75"/>
      <c r="AW1010" s="75"/>
      <c r="AX1010" s="75"/>
      <c r="AY1010" s="75"/>
      <c r="AZ1010" s="75"/>
      <c r="BA1010" s="75"/>
      <c r="BB1010" s="75"/>
      <c r="BC1010" s="75"/>
      <c r="BD1010" s="75"/>
      <c r="BE1010" s="75"/>
      <c r="BF1010" s="75">
        <v>7.1249999999999994E-2</v>
      </c>
      <c r="BG1010" s="75"/>
      <c r="BH1010" s="75"/>
      <c r="BI1010" s="74">
        <f t="shared" si="33"/>
        <v>7.1249999999999994E-2</v>
      </c>
    </row>
    <row r="1011" spans="1:61" s="11" customFormat="1" x14ac:dyDescent="0.2">
      <c r="A1011" s="61"/>
      <c r="O1011" s="61"/>
      <c r="AU1011" s="281">
        <v>74464</v>
      </c>
      <c r="AV1011" s="75"/>
      <c r="AW1011" s="75"/>
      <c r="AX1011" s="75"/>
      <c r="AY1011" s="75"/>
      <c r="AZ1011" s="75"/>
      <c r="BA1011" s="75"/>
      <c r="BB1011" s="75"/>
      <c r="BC1011" s="75"/>
      <c r="BD1011" s="75"/>
      <c r="BE1011" s="75"/>
      <c r="BF1011" s="75">
        <v>7.1249999999999994E-2</v>
      </c>
      <c r="BG1011" s="75"/>
      <c r="BH1011" s="75"/>
      <c r="BI1011" s="74">
        <f t="shared" si="33"/>
        <v>7.1249999999999994E-2</v>
      </c>
    </row>
    <row r="1012" spans="1:61" s="11" customFormat="1" x14ac:dyDescent="0.2">
      <c r="A1012" s="61"/>
      <c r="O1012" s="61"/>
      <c r="AU1012" s="281">
        <v>74494</v>
      </c>
      <c r="AV1012" s="75"/>
      <c r="AW1012" s="75"/>
      <c r="AX1012" s="75"/>
      <c r="AY1012" s="75"/>
      <c r="AZ1012" s="75"/>
      <c r="BA1012" s="75"/>
      <c r="BB1012" s="75"/>
      <c r="BC1012" s="75"/>
      <c r="BD1012" s="75"/>
      <c r="BE1012" s="75"/>
      <c r="BF1012" s="75">
        <v>7.1249999999999994E-2</v>
      </c>
      <c r="BG1012" s="75"/>
      <c r="BH1012" s="75"/>
      <c r="BI1012" s="74">
        <f t="shared" si="33"/>
        <v>7.1249999999999994E-2</v>
      </c>
    </row>
    <row r="1013" spans="1:61" s="11" customFormat="1" x14ac:dyDescent="0.2">
      <c r="A1013" s="61"/>
      <c r="O1013" s="61"/>
      <c r="AU1013" s="281">
        <v>74525</v>
      </c>
      <c r="AV1013" s="75"/>
      <c r="AW1013" s="75"/>
      <c r="AX1013" s="75"/>
      <c r="AY1013" s="75"/>
      <c r="AZ1013" s="75"/>
      <c r="BA1013" s="75"/>
      <c r="BB1013" s="75"/>
      <c r="BC1013" s="75"/>
      <c r="BD1013" s="75"/>
      <c r="BE1013" s="75"/>
      <c r="BF1013" s="75">
        <v>7.1249999999999994E-2</v>
      </c>
      <c r="BG1013" s="75"/>
      <c r="BH1013" s="75"/>
      <c r="BI1013" s="74">
        <f t="shared" si="33"/>
        <v>7.1249999999999994E-2</v>
      </c>
    </row>
    <row r="1014" spans="1:61" s="11" customFormat="1" x14ac:dyDescent="0.2">
      <c r="A1014" s="61"/>
      <c r="O1014" s="61"/>
      <c r="AU1014" s="281">
        <v>74556</v>
      </c>
      <c r="AV1014" s="75"/>
      <c r="AW1014" s="75"/>
      <c r="AX1014" s="75"/>
      <c r="AY1014" s="75"/>
      <c r="AZ1014" s="75"/>
      <c r="BA1014" s="75"/>
      <c r="BB1014" s="75"/>
      <c r="BC1014" s="75"/>
      <c r="BD1014" s="75"/>
      <c r="BE1014" s="75"/>
      <c r="BF1014" s="75">
        <v>7.1249999999999994E-2</v>
      </c>
      <c r="BG1014" s="75"/>
      <c r="BH1014" s="75"/>
      <c r="BI1014" s="74">
        <f t="shared" si="33"/>
        <v>7.1249999999999994E-2</v>
      </c>
    </row>
    <row r="1015" spans="1:61" s="11" customFormat="1" x14ac:dyDescent="0.2">
      <c r="A1015" s="61"/>
      <c r="O1015" s="61"/>
      <c r="AU1015" s="281">
        <v>74585</v>
      </c>
      <c r="AV1015" s="75"/>
      <c r="AW1015" s="75"/>
      <c r="AX1015" s="75"/>
      <c r="AY1015" s="75"/>
      <c r="AZ1015" s="75"/>
      <c r="BA1015" s="75"/>
      <c r="BB1015" s="75"/>
      <c r="BC1015" s="75"/>
      <c r="BD1015" s="75"/>
      <c r="BE1015" s="75"/>
      <c r="BF1015" s="75">
        <v>7.1249999999999994E-2</v>
      </c>
      <c r="BG1015" s="75"/>
      <c r="BH1015" s="75"/>
      <c r="BI1015" s="74">
        <f t="shared" si="33"/>
        <v>7.1249999999999994E-2</v>
      </c>
    </row>
    <row r="1016" spans="1:61" s="11" customFormat="1" x14ac:dyDescent="0.2">
      <c r="A1016" s="61"/>
      <c r="O1016" s="61"/>
      <c r="AU1016" s="281">
        <v>74616</v>
      </c>
      <c r="AV1016" s="75"/>
      <c r="AW1016" s="75"/>
      <c r="AX1016" s="75"/>
      <c r="AY1016" s="75"/>
      <c r="AZ1016" s="75"/>
      <c r="BA1016" s="75"/>
      <c r="BB1016" s="75"/>
      <c r="BC1016" s="75"/>
      <c r="BD1016" s="75"/>
      <c r="BE1016" s="75"/>
      <c r="BF1016" s="75">
        <v>7.1249999999999994E-2</v>
      </c>
      <c r="BG1016" s="75"/>
      <c r="BH1016" s="75"/>
      <c r="BI1016" s="74">
        <f t="shared" si="33"/>
        <v>7.1249999999999994E-2</v>
      </c>
    </row>
    <row r="1017" spans="1:61" s="11" customFormat="1" x14ac:dyDescent="0.2">
      <c r="A1017" s="61"/>
      <c r="O1017" s="61"/>
      <c r="AU1017" s="281">
        <v>74646</v>
      </c>
      <c r="AV1017" s="75"/>
      <c r="AW1017" s="75"/>
      <c r="AX1017" s="75"/>
      <c r="AY1017" s="75"/>
      <c r="AZ1017" s="75"/>
      <c r="BA1017" s="75"/>
      <c r="BB1017" s="75"/>
      <c r="BC1017" s="75"/>
      <c r="BD1017" s="75"/>
      <c r="BE1017" s="75"/>
      <c r="BF1017" s="75">
        <v>7.1249999999999994E-2</v>
      </c>
      <c r="BG1017" s="75"/>
      <c r="BH1017" s="75"/>
      <c r="BI1017" s="74">
        <f t="shared" si="33"/>
        <v>7.1249999999999994E-2</v>
      </c>
    </row>
    <row r="1018" spans="1:61" s="11" customFormat="1" x14ac:dyDescent="0.2">
      <c r="A1018" s="61"/>
      <c r="O1018" s="61"/>
      <c r="AU1018" s="281">
        <v>74677</v>
      </c>
      <c r="AV1018" s="75"/>
      <c r="AW1018" s="75"/>
      <c r="AX1018" s="75"/>
      <c r="AY1018" s="75"/>
      <c r="AZ1018" s="75"/>
      <c r="BA1018" s="75"/>
      <c r="BB1018" s="75"/>
      <c r="BC1018" s="75"/>
      <c r="BD1018" s="75"/>
      <c r="BE1018" s="75"/>
      <c r="BF1018" s="75">
        <v>7.1249999999999994E-2</v>
      </c>
      <c r="BG1018" s="75"/>
      <c r="BH1018" s="75"/>
      <c r="BI1018" s="74">
        <f t="shared" si="33"/>
        <v>7.1249999999999994E-2</v>
      </c>
    </row>
    <row r="1019" spans="1:61" s="11" customFormat="1" x14ac:dyDescent="0.2">
      <c r="A1019" s="61"/>
      <c r="O1019" s="61"/>
      <c r="AU1019" s="281">
        <v>74707</v>
      </c>
      <c r="AV1019" s="75"/>
      <c r="AW1019" s="75"/>
      <c r="AX1019" s="75"/>
      <c r="AY1019" s="75"/>
      <c r="AZ1019" s="75"/>
      <c r="BA1019" s="75"/>
      <c r="BB1019" s="75"/>
      <c r="BC1019" s="75"/>
      <c r="BD1019" s="75"/>
      <c r="BE1019" s="75"/>
      <c r="BF1019" s="75">
        <v>7.1249999999999994E-2</v>
      </c>
      <c r="BG1019" s="75"/>
      <c r="BH1019" s="75"/>
      <c r="BI1019" s="74">
        <f t="shared" si="33"/>
        <v>7.1249999999999994E-2</v>
      </c>
    </row>
    <row r="1020" spans="1:61" s="11" customFormat="1" x14ac:dyDescent="0.2">
      <c r="A1020" s="61"/>
      <c r="O1020" s="61"/>
      <c r="AU1020" s="281">
        <v>74738</v>
      </c>
      <c r="AV1020" s="75"/>
      <c r="AW1020" s="75"/>
      <c r="AX1020" s="75"/>
      <c r="AY1020" s="75"/>
      <c r="AZ1020" s="75"/>
      <c r="BA1020" s="75"/>
      <c r="BB1020" s="75"/>
      <c r="BC1020" s="75"/>
      <c r="BD1020" s="75"/>
      <c r="BE1020" s="75"/>
      <c r="BF1020" s="75">
        <v>7.1249999999999994E-2</v>
      </c>
      <c r="BG1020" s="75"/>
      <c r="BH1020" s="75"/>
      <c r="BI1020" s="74">
        <f t="shared" si="33"/>
        <v>7.1249999999999994E-2</v>
      </c>
    </row>
    <row r="1021" spans="1:61" s="11" customFormat="1" x14ac:dyDescent="0.2">
      <c r="A1021" s="61"/>
      <c r="O1021" s="61"/>
      <c r="AU1021" s="281">
        <v>74769</v>
      </c>
      <c r="AV1021" s="75"/>
      <c r="AW1021" s="75"/>
      <c r="AX1021" s="75"/>
      <c r="AY1021" s="75"/>
      <c r="AZ1021" s="75"/>
      <c r="BA1021" s="75"/>
      <c r="BB1021" s="75"/>
      <c r="BC1021" s="75"/>
      <c r="BD1021" s="75"/>
      <c r="BE1021" s="75"/>
      <c r="BF1021" s="75">
        <v>7.1249999999999994E-2</v>
      </c>
      <c r="BG1021" s="75"/>
      <c r="BH1021" s="75"/>
      <c r="BI1021" s="74">
        <f t="shared" si="33"/>
        <v>7.1249999999999994E-2</v>
      </c>
    </row>
    <row r="1022" spans="1:61" s="11" customFormat="1" x14ac:dyDescent="0.2">
      <c r="A1022" s="61"/>
      <c r="O1022" s="61"/>
      <c r="AU1022" s="281">
        <v>74799</v>
      </c>
      <c r="AV1022" s="75"/>
      <c r="AW1022" s="75"/>
      <c r="AX1022" s="75"/>
      <c r="AY1022" s="75"/>
      <c r="AZ1022" s="75"/>
      <c r="BA1022" s="75"/>
      <c r="BB1022" s="75"/>
      <c r="BC1022" s="75"/>
      <c r="BD1022" s="75"/>
      <c r="BE1022" s="75"/>
      <c r="BF1022" s="75">
        <v>7.1249999999999994E-2</v>
      </c>
      <c r="BG1022" s="75"/>
      <c r="BH1022" s="75"/>
      <c r="BI1022" s="74">
        <f t="shared" si="33"/>
        <v>7.1249999999999994E-2</v>
      </c>
    </row>
    <row r="1023" spans="1:61" s="11" customFormat="1" x14ac:dyDescent="0.2">
      <c r="A1023" s="61"/>
      <c r="O1023" s="61"/>
      <c r="AU1023" s="281">
        <v>74830</v>
      </c>
      <c r="AV1023" s="75"/>
      <c r="AW1023" s="75"/>
      <c r="AX1023" s="75"/>
      <c r="AY1023" s="75"/>
      <c r="AZ1023" s="75"/>
      <c r="BA1023" s="75"/>
      <c r="BB1023" s="75"/>
      <c r="BC1023" s="75"/>
      <c r="BD1023" s="75"/>
      <c r="BE1023" s="75"/>
      <c r="BF1023" s="75">
        <v>7.1249999999999994E-2</v>
      </c>
      <c r="BG1023" s="75"/>
      <c r="BH1023" s="75"/>
      <c r="BI1023" s="74">
        <f t="shared" si="33"/>
        <v>7.1249999999999994E-2</v>
      </c>
    </row>
    <row r="1024" spans="1:61" s="11" customFormat="1" x14ac:dyDescent="0.2">
      <c r="A1024" s="61"/>
      <c r="O1024" s="61"/>
      <c r="AU1024" s="281">
        <v>74860</v>
      </c>
      <c r="AV1024" s="75"/>
      <c r="AW1024" s="75"/>
      <c r="AX1024" s="75"/>
      <c r="AY1024" s="75"/>
      <c r="AZ1024" s="75"/>
      <c r="BA1024" s="75"/>
      <c r="BB1024" s="75"/>
      <c r="BC1024" s="75"/>
      <c r="BD1024" s="75"/>
      <c r="BE1024" s="75"/>
      <c r="BF1024" s="75">
        <v>7.1249999999999994E-2</v>
      </c>
      <c r="BG1024" s="75"/>
      <c r="BH1024" s="75"/>
      <c r="BI1024" s="74">
        <f t="shared" si="33"/>
        <v>7.1249999999999994E-2</v>
      </c>
    </row>
    <row r="1025" spans="1:61" s="11" customFormat="1" x14ac:dyDescent="0.2">
      <c r="A1025" s="61"/>
      <c r="O1025" s="61"/>
      <c r="AU1025" s="281">
        <v>74891</v>
      </c>
      <c r="AV1025" s="75"/>
      <c r="AW1025" s="75"/>
      <c r="AX1025" s="75"/>
      <c r="AY1025" s="75"/>
      <c r="AZ1025" s="75"/>
      <c r="BA1025" s="75"/>
      <c r="BB1025" s="75"/>
      <c r="BC1025" s="75"/>
      <c r="BD1025" s="75"/>
      <c r="BE1025" s="75"/>
      <c r="BF1025" s="75">
        <v>7.1249999999999994E-2</v>
      </c>
      <c r="BG1025" s="75"/>
      <c r="BH1025" s="75"/>
      <c r="BI1025" s="74">
        <f t="shared" si="33"/>
        <v>7.1249999999999994E-2</v>
      </c>
    </row>
    <row r="1026" spans="1:61" s="11" customFormat="1" x14ac:dyDescent="0.2">
      <c r="A1026" s="61"/>
      <c r="O1026" s="61"/>
      <c r="AU1026" s="281">
        <v>74922</v>
      </c>
      <c r="AV1026" s="75"/>
      <c r="AW1026" s="75"/>
      <c r="AX1026" s="75"/>
      <c r="AY1026" s="75"/>
      <c r="AZ1026" s="75"/>
      <c r="BA1026" s="75"/>
      <c r="BB1026" s="75"/>
      <c r="BC1026" s="75"/>
      <c r="BD1026" s="75"/>
      <c r="BE1026" s="75"/>
      <c r="BF1026" s="75">
        <v>7.1249999999999994E-2</v>
      </c>
      <c r="BG1026" s="75"/>
      <c r="BH1026" s="75"/>
      <c r="BI1026" s="74">
        <f t="shared" si="33"/>
        <v>7.1249999999999994E-2</v>
      </c>
    </row>
    <row r="1027" spans="1:61" s="11" customFormat="1" x14ac:dyDescent="0.2">
      <c r="A1027" s="61"/>
      <c r="O1027" s="61"/>
      <c r="AU1027" s="281">
        <v>74950</v>
      </c>
      <c r="AV1027" s="75"/>
      <c r="AW1027" s="75"/>
      <c r="AX1027" s="75"/>
      <c r="AY1027" s="75"/>
      <c r="AZ1027" s="75"/>
      <c r="BA1027" s="75"/>
      <c r="BB1027" s="75"/>
      <c r="BC1027" s="75"/>
      <c r="BD1027" s="75"/>
      <c r="BE1027" s="75"/>
      <c r="BF1027" s="75">
        <v>7.1249999999999994E-2</v>
      </c>
      <c r="BG1027" s="75"/>
      <c r="BH1027" s="75"/>
      <c r="BI1027" s="74">
        <f t="shared" si="33"/>
        <v>7.1249999999999994E-2</v>
      </c>
    </row>
    <row r="1028" spans="1:61" s="11" customFormat="1" x14ac:dyDescent="0.2">
      <c r="A1028" s="61"/>
      <c r="O1028" s="61"/>
      <c r="AU1028" s="281">
        <v>74981</v>
      </c>
      <c r="AV1028" s="75"/>
      <c r="AW1028" s="75"/>
      <c r="AX1028" s="75"/>
      <c r="AY1028" s="75"/>
      <c r="AZ1028" s="75"/>
      <c r="BA1028" s="75"/>
      <c r="BB1028" s="75"/>
      <c r="BC1028" s="75"/>
      <c r="BD1028" s="75"/>
      <c r="BE1028" s="75"/>
      <c r="BF1028" s="75">
        <v>7.1249999999999994E-2</v>
      </c>
      <c r="BG1028" s="75"/>
      <c r="BH1028" s="75"/>
      <c r="BI1028" s="74">
        <f t="shared" si="33"/>
        <v>7.1249999999999994E-2</v>
      </c>
    </row>
    <row r="1029" spans="1:61" s="11" customFormat="1" x14ac:dyDescent="0.2">
      <c r="A1029" s="61"/>
      <c r="O1029" s="61"/>
      <c r="AU1029" s="281">
        <v>75011</v>
      </c>
      <c r="AV1029" s="75"/>
      <c r="AW1029" s="75"/>
      <c r="AX1029" s="75"/>
      <c r="AY1029" s="75"/>
      <c r="AZ1029" s="75"/>
      <c r="BA1029" s="75"/>
      <c r="BB1029" s="75"/>
      <c r="BC1029" s="75"/>
      <c r="BD1029" s="75"/>
      <c r="BE1029" s="75"/>
      <c r="BF1029" s="75">
        <v>7.1249999999999994E-2</v>
      </c>
      <c r="BG1029" s="75"/>
      <c r="BH1029" s="75"/>
      <c r="BI1029" s="74">
        <f t="shared" si="33"/>
        <v>7.1249999999999994E-2</v>
      </c>
    </row>
    <row r="1030" spans="1:61" s="11" customFormat="1" x14ac:dyDescent="0.2">
      <c r="A1030" s="61"/>
      <c r="O1030" s="61"/>
      <c r="AU1030" s="281">
        <v>75042</v>
      </c>
      <c r="AV1030" s="75"/>
      <c r="AW1030" s="75"/>
      <c r="AX1030" s="75"/>
      <c r="AY1030" s="75"/>
      <c r="AZ1030" s="75"/>
      <c r="BA1030" s="75"/>
      <c r="BB1030" s="75"/>
      <c r="BC1030" s="75"/>
      <c r="BD1030" s="75"/>
      <c r="BE1030" s="75"/>
      <c r="BF1030" s="75">
        <v>7.1249999999999994E-2</v>
      </c>
      <c r="BG1030" s="75"/>
      <c r="BH1030" s="75"/>
      <c r="BI1030" s="74">
        <f t="shared" si="33"/>
        <v>7.1249999999999994E-2</v>
      </c>
    </row>
    <row r="1031" spans="1:61" s="11" customFormat="1" x14ac:dyDescent="0.2">
      <c r="A1031" s="61"/>
      <c r="O1031" s="61"/>
      <c r="AU1031" s="281">
        <v>75072</v>
      </c>
      <c r="AV1031" s="75"/>
      <c r="AW1031" s="75"/>
      <c r="AX1031" s="75"/>
      <c r="AY1031" s="75"/>
      <c r="AZ1031" s="75"/>
      <c r="BA1031" s="75"/>
      <c r="BB1031" s="75"/>
      <c r="BC1031" s="75"/>
      <c r="BD1031" s="75"/>
      <c r="BE1031" s="75"/>
      <c r="BF1031" s="75">
        <v>7.1249999999999994E-2</v>
      </c>
      <c r="BG1031" s="75"/>
      <c r="BH1031" s="75"/>
      <c r="BI1031" s="74">
        <f t="shared" si="33"/>
        <v>7.1249999999999994E-2</v>
      </c>
    </row>
    <row r="1032" spans="1:61" s="11" customFormat="1" x14ac:dyDescent="0.2">
      <c r="A1032" s="61"/>
      <c r="O1032" s="61"/>
      <c r="AU1032" s="281">
        <v>75103</v>
      </c>
      <c r="AV1032" s="75"/>
      <c r="AW1032" s="75"/>
      <c r="AX1032" s="75"/>
      <c r="AY1032" s="75"/>
      <c r="AZ1032" s="75"/>
      <c r="BA1032" s="75"/>
      <c r="BB1032" s="75"/>
      <c r="BC1032" s="75"/>
      <c r="BD1032" s="75"/>
      <c r="BE1032" s="75"/>
      <c r="BF1032" s="75">
        <v>7.1249999999999994E-2</v>
      </c>
      <c r="BG1032" s="75"/>
      <c r="BH1032" s="75"/>
      <c r="BI1032" s="74">
        <f t="shared" si="33"/>
        <v>7.1249999999999994E-2</v>
      </c>
    </row>
    <row r="1033" spans="1:61" s="11" customFormat="1" x14ac:dyDescent="0.2">
      <c r="A1033" s="61"/>
      <c r="O1033" s="61"/>
      <c r="AU1033" s="281">
        <v>75134</v>
      </c>
      <c r="AV1033" s="75"/>
      <c r="AW1033" s="75"/>
      <c r="AX1033" s="75"/>
      <c r="AY1033" s="75"/>
      <c r="AZ1033" s="75"/>
      <c r="BA1033" s="75"/>
      <c r="BB1033" s="75"/>
      <c r="BC1033" s="75"/>
      <c r="BD1033" s="75"/>
      <c r="BE1033" s="75"/>
      <c r="BF1033" s="75">
        <v>7.1249999999999994E-2</v>
      </c>
      <c r="BG1033" s="75"/>
      <c r="BH1033" s="75"/>
      <c r="BI1033" s="74">
        <f t="shared" ref="BI1033:BI1096" si="34">+AVERAGE(AV1033:BH1033)</f>
        <v>7.1249999999999994E-2</v>
      </c>
    </row>
    <row r="1034" spans="1:61" s="11" customFormat="1" x14ac:dyDescent="0.2">
      <c r="A1034" s="61"/>
      <c r="O1034" s="61"/>
      <c r="AU1034" s="281">
        <v>75164</v>
      </c>
      <c r="AV1034" s="75"/>
      <c r="AW1034" s="75"/>
      <c r="AX1034" s="75"/>
      <c r="AY1034" s="75"/>
      <c r="AZ1034" s="75"/>
      <c r="BA1034" s="75"/>
      <c r="BB1034" s="75"/>
      <c r="BC1034" s="75"/>
      <c r="BD1034" s="75"/>
      <c r="BE1034" s="75"/>
      <c r="BF1034" s="75">
        <v>7.1249999999999994E-2</v>
      </c>
      <c r="BG1034" s="75"/>
      <c r="BH1034" s="75"/>
      <c r="BI1034" s="74">
        <f t="shared" si="34"/>
        <v>7.1249999999999994E-2</v>
      </c>
    </row>
    <row r="1035" spans="1:61" s="11" customFormat="1" x14ac:dyDescent="0.2">
      <c r="A1035" s="61"/>
      <c r="O1035" s="61"/>
      <c r="AU1035" s="281">
        <v>75195</v>
      </c>
      <c r="AV1035" s="75"/>
      <c r="AW1035" s="75"/>
      <c r="AX1035" s="75"/>
      <c r="AY1035" s="75"/>
      <c r="AZ1035" s="75"/>
      <c r="BA1035" s="75"/>
      <c r="BB1035" s="75"/>
      <c r="BC1035" s="75"/>
      <c r="BD1035" s="75"/>
      <c r="BE1035" s="75"/>
      <c r="BF1035" s="75">
        <v>7.1249999999999994E-2</v>
      </c>
      <c r="BG1035" s="75"/>
      <c r="BH1035" s="75"/>
      <c r="BI1035" s="74">
        <f t="shared" si="34"/>
        <v>7.1249999999999994E-2</v>
      </c>
    </row>
    <row r="1036" spans="1:61" s="11" customFormat="1" x14ac:dyDescent="0.2">
      <c r="A1036" s="61"/>
      <c r="O1036" s="61"/>
      <c r="AU1036" s="281">
        <v>75225</v>
      </c>
      <c r="AV1036" s="75"/>
      <c r="AW1036" s="75"/>
      <c r="AX1036" s="75"/>
      <c r="AY1036" s="75"/>
      <c r="AZ1036" s="75"/>
      <c r="BA1036" s="75"/>
      <c r="BB1036" s="75"/>
      <c r="BC1036" s="75"/>
      <c r="BD1036" s="75"/>
      <c r="BE1036" s="75"/>
      <c r="BF1036" s="75">
        <v>7.1249999999999994E-2</v>
      </c>
      <c r="BG1036" s="75"/>
      <c r="BH1036" s="75"/>
      <c r="BI1036" s="74">
        <f t="shared" si="34"/>
        <v>7.1249999999999994E-2</v>
      </c>
    </row>
    <row r="1037" spans="1:61" s="11" customFormat="1" x14ac:dyDescent="0.2">
      <c r="A1037" s="61"/>
      <c r="O1037" s="61"/>
      <c r="AU1037" s="281">
        <v>75256</v>
      </c>
      <c r="AV1037" s="75"/>
      <c r="AW1037" s="75"/>
      <c r="AX1037" s="75"/>
      <c r="AY1037" s="75"/>
      <c r="AZ1037" s="75"/>
      <c r="BA1037" s="75"/>
      <c r="BB1037" s="75"/>
      <c r="BC1037" s="75"/>
      <c r="BD1037" s="75"/>
      <c r="BE1037" s="75"/>
      <c r="BF1037" s="75">
        <v>7.1249999999999994E-2</v>
      </c>
      <c r="BG1037" s="75"/>
      <c r="BH1037" s="75"/>
      <c r="BI1037" s="74">
        <f t="shared" si="34"/>
        <v>7.1249999999999994E-2</v>
      </c>
    </row>
    <row r="1038" spans="1:61" s="11" customFormat="1" x14ac:dyDescent="0.2">
      <c r="A1038" s="61"/>
      <c r="O1038" s="61"/>
      <c r="AU1038" s="281">
        <v>75287</v>
      </c>
      <c r="AV1038" s="75"/>
      <c r="AW1038" s="75"/>
      <c r="AX1038" s="75"/>
      <c r="AY1038" s="75"/>
      <c r="AZ1038" s="75"/>
      <c r="BA1038" s="75"/>
      <c r="BB1038" s="75"/>
      <c r="BC1038" s="75"/>
      <c r="BD1038" s="75"/>
      <c r="BE1038" s="75"/>
      <c r="BF1038" s="75">
        <v>7.1249999999999994E-2</v>
      </c>
      <c r="BG1038" s="75"/>
      <c r="BH1038" s="75"/>
      <c r="BI1038" s="74">
        <f t="shared" si="34"/>
        <v>7.1249999999999994E-2</v>
      </c>
    </row>
    <row r="1039" spans="1:61" s="11" customFormat="1" x14ac:dyDescent="0.2">
      <c r="A1039" s="61"/>
      <c r="O1039" s="61"/>
      <c r="AU1039" s="281">
        <v>75315</v>
      </c>
      <c r="AV1039" s="75"/>
      <c r="AW1039" s="75"/>
      <c r="AX1039" s="75"/>
      <c r="AY1039" s="75"/>
      <c r="AZ1039" s="75"/>
      <c r="BA1039" s="75"/>
      <c r="BB1039" s="75"/>
      <c r="BC1039" s="75"/>
      <c r="BD1039" s="75"/>
      <c r="BE1039" s="75"/>
      <c r="BF1039" s="75">
        <v>7.1249999999999994E-2</v>
      </c>
      <c r="BG1039" s="75"/>
      <c r="BH1039" s="75"/>
      <c r="BI1039" s="74">
        <f t="shared" si="34"/>
        <v>7.1249999999999994E-2</v>
      </c>
    </row>
    <row r="1040" spans="1:61" s="11" customFormat="1" x14ac:dyDescent="0.2">
      <c r="A1040" s="61"/>
      <c r="O1040" s="61"/>
      <c r="AU1040" s="281">
        <v>75346</v>
      </c>
      <c r="AV1040" s="75"/>
      <c r="AW1040" s="75"/>
      <c r="AX1040" s="75"/>
      <c r="AY1040" s="75"/>
      <c r="AZ1040" s="75"/>
      <c r="BA1040" s="75"/>
      <c r="BB1040" s="75"/>
      <c r="BC1040" s="75"/>
      <c r="BD1040" s="75"/>
      <c r="BE1040" s="75"/>
      <c r="BF1040" s="75">
        <v>7.1249999999999994E-2</v>
      </c>
      <c r="BG1040" s="75"/>
      <c r="BH1040" s="75"/>
      <c r="BI1040" s="74">
        <f t="shared" si="34"/>
        <v>7.1249999999999994E-2</v>
      </c>
    </row>
    <row r="1041" spans="1:61" s="11" customFormat="1" x14ac:dyDescent="0.2">
      <c r="A1041" s="61"/>
      <c r="O1041" s="61"/>
      <c r="AU1041" s="281">
        <v>75376</v>
      </c>
      <c r="AV1041" s="75"/>
      <c r="AW1041" s="75"/>
      <c r="AX1041" s="75"/>
      <c r="AY1041" s="75"/>
      <c r="AZ1041" s="75"/>
      <c r="BA1041" s="75"/>
      <c r="BB1041" s="75"/>
      <c r="BC1041" s="75"/>
      <c r="BD1041" s="75"/>
      <c r="BE1041" s="75"/>
      <c r="BF1041" s="75">
        <v>7.1249999999999994E-2</v>
      </c>
      <c r="BG1041" s="75"/>
      <c r="BH1041" s="75"/>
      <c r="BI1041" s="74">
        <f t="shared" si="34"/>
        <v>7.1249999999999994E-2</v>
      </c>
    </row>
    <row r="1042" spans="1:61" s="11" customFormat="1" x14ac:dyDescent="0.2">
      <c r="A1042" s="61"/>
      <c r="O1042" s="61"/>
      <c r="AU1042" s="281">
        <v>75407</v>
      </c>
      <c r="AV1042" s="75"/>
      <c r="AW1042" s="75"/>
      <c r="AX1042" s="75"/>
      <c r="AY1042" s="75"/>
      <c r="AZ1042" s="75"/>
      <c r="BA1042" s="75"/>
      <c r="BB1042" s="75"/>
      <c r="BC1042" s="75"/>
      <c r="BD1042" s="75"/>
      <c r="BE1042" s="75"/>
      <c r="BF1042" s="75">
        <v>7.1249999999999994E-2</v>
      </c>
      <c r="BG1042" s="75"/>
      <c r="BH1042" s="75"/>
      <c r="BI1042" s="74">
        <f t="shared" si="34"/>
        <v>7.1249999999999994E-2</v>
      </c>
    </row>
    <row r="1043" spans="1:61" s="11" customFormat="1" x14ac:dyDescent="0.2">
      <c r="A1043" s="61"/>
      <c r="O1043" s="61"/>
      <c r="AU1043" s="281">
        <v>75437</v>
      </c>
      <c r="AV1043" s="75"/>
      <c r="AW1043" s="75"/>
      <c r="AX1043" s="75"/>
      <c r="AY1043" s="75"/>
      <c r="AZ1043" s="75"/>
      <c r="BA1043" s="75"/>
      <c r="BB1043" s="75"/>
      <c r="BC1043" s="75"/>
      <c r="BD1043" s="75"/>
      <c r="BE1043" s="75"/>
      <c r="BF1043" s="75">
        <v>7.1249999999999994E-2</v>
      </c>
      <c r="BG1043" s="75"/>
      <c r="BH1043" s="75"/>
      <c r="BI1043" s="74">
        <f t="shared" si="34"/>
        <v>7.1249999999999994E-2</v>
      </c>
    </row>
    <row r="1044" spans="1:61" s="11" customFormat="1" x14ac:dyDescent="0.2">
      <c r="A1044" s="61"/>
      <c r="O1044" s="61"/>
      <c r="AU1044" s="281">
        <v>75468</v>
      </c>
      <c r="AV1044" s="75"/>
      <c r="AW1044" s="75"/>
      <c r="AX1044" s="75"/>
      <c r="AY1044" s="75"/>
      <c r="AZ1044" s="75"/>
      <c r="BA1044" s="75"/>
      <c r="BB1044" s="75"/>
      <c r="BC1044" s="75"/>
      <c r="BD1044" s="75"/>
      <c r="BE1044" s="75"/>
      <c r="BF1044" s="75">
        <v>7.1249999999999994E-2</v>
      </c>
      <c r="BG1044" s="75"/>
      <c r="BH1044" s="75"/>
      <c r="BI1044" s="74">
        <f t="shared" si="34"/>
        <v>7.1249999999999994E-2</v>
      </c>
    </row>
    <row r="1045" spans="1:61" s="11" customFormat="1" x14ac:dyDescent="0.2">
      <c r="A1045" s="61"/>
      <c r="O1045" s="61"/>
      <c r="AU1045" s="281">
        <v>75499</v>
      </c>
      <c r="AV1045" s="75"/>
      <c r="AW1045" s="75"/>
      <c r="AX1045" s="75"/>
      <c r="AY1045" s="75"/>
      <c r="AZ1045" s="75"/>
      <c r="BA1045" s="75"/>
      <c r="BB1045" s="75"/>
      <c r="BC1045" s="75"/>
      <c r="BD1045" s="75"/>
      <c r="BE1045" s="75"/>
      <c r="BF1045" s="75">
        <v>7.1249999999999994E-2</v>
      </c>
      <c r="BG1045" s="75"/>
      <c r="BH1045" s="75"/>
      <c r="BI1045" s="74">
        <f t="shared" si="34"/>
        <v>7.1249999999999994E-2</v>
      </c>
    </row>
    <row r="1046" spans="1:61" s="11" customFormat="1" x14ac:dyDescent="0.2">
      <c r="A1046" s="61"/>
      <c r="O1046" s="61"/>
      <c r="AU1046" s="281">
        <v>75529</v>
      </c>
      <c r="AV1046" s="75"/>
      <c r="AW1046" s="75"/>
      <c r="AX1046" s="75"/>
      <c r="AY1046" s="75"/>
      <c r="AZ1046" s="75"/>
      <c r="BA1046" s="75"/>
      <c r="BB1046" s="75"/>
      <c r="BC1046" s="75"/>
      <c r="BD1046" s="75"/>
      <c r="BE1046" s="75"/>
      <c r="BF1046" s="75">
        <v>7.1249999999999994E-2</v>
      </c>
      <c r="BG1046" s="75"/>
      <c r="BH1046" s="75"/>
      <c r="BI1046" s="74">
        <f t="shared" si="34"/>
        <v>7.1249999999999994E-2</v>
      </c>
    </row>
    <row r="1047" spans="1:61" s="11" customFormat="1" x14ac:dyDescent="0.2">
      <c r="A1047" s="61"/>
      <c r="O1047" s="61"/>
      <c r="AU1047" s="281">
        <v>75560</v>
      </c>
      <c r="AV1047" s="75"/>
      <c r="AW1047" s="75"/>
      <c r="AX1047" s="75"/>
      <c r="AY1047" s="75"/>
      <c r="AZ1047" s="75"/>
      <c r="BA1047" s="75"/>
      <c r="BB1047" s="75"/>
      <c r="BC1047" s="75"/>
      <c r="BD1047" s="75"/>
      <c r="BE1047" s="75"/>
      <c r="BF1047" s="75">
        <v>7.1249999999999994E-2</v>
      </c>
      <c r="BG1047" s="75"/>
      <c r="BH1047" s="75"/>
      <c r="BI1047" s="74">
        <f t="shared" si="34"/>
        <v>7.1249999999999994E-2</v>
      </c>
    </row>
    <row r="1048" spans="1:61" s="11" customFormat="1" x14ac:dyDescent="0.2">
      <c r="A1048" s="61"/>
      <c r="O1048" s="61"/>
      <c r="AU1048" s="281">
        <v>75590</v>
      </c>
      <c r="AV1048" s="75"/>
      <c r="AW1048" s="75"/>
      <c r="AX1048" s="75"/>
      <c r="AY1048" s="75"/>
      <c r="AZ1048" s="75"/>
      <c r="BA1048" s="75"/>
      <c r="BB1048" s="75"/>
      <c r="BC1048" s="75"/>
      <c r="BD1048" s="75"/>
      <c r="BE1048" s="75"/>
      <c r="BF1048" s="75">
        <v>7.1249999999999994E-2</v>
      </c>
      <c r="BG1048" s="75"/>
      <c r="BH1048" s="75"/>
      <c r="BI1048" s="74">
        <f t="shared" si="34"/>
        <v>7.1249999999999994E-2</v>
      </c>
    </row>
    <row r="1049" spans="1:61" s="11" customFormat="1" x14ac:dyDescent="0.2">
      <c r="A1049" s="61"/>
      <c r="O1049" s="61"/>
      <c r="AU1049" s="281">
        <v>75621</v>
      </c>
      <c r="AV1049" s="75"/>
      <c r="AW1049" s="75"/>
      <c r="AX1049" s="75"/>
      <c r="AY1049" s="75"/>
      <c r="AZ1049" s="75"/>
      <c r="BA1049" s="75"/>
      <c r="BB1049" s="75"/>
      <c r="BC1049" s="75"/>
      <c r="BD1049" s="75"/>
      <c r="BE1049" s="75"/>
      <c r="BF1049" s="75">
        <v>7.1249999999999994E-2</v>
      </c>
      <c r="BG1049" s="75"/>
      <c r="BH1049" s="75"/>
      <c r="BI1049" s="74">
        <f t="shared" si="34"/>
        <v>7.1249999999999994E-2</v>
      </c>
    </row>
    <row r="1050" spans="1:61" s="11" customFormat="1" x14ac:dyDescent="0.2">
      <c r="A1050" s="61"/>
      <c r="O1050" s="61"/>
      <c r="AU1050" s="281">
        <v>75652</v>
      </c>
      <c r="AV1050" s="75"/>
      <c r="AW1050" s="75"/>
      <c r="AX1050" s="75"/>
      <c r="AY1050" s="75"/>
      <c r="AZ1050" s="75"/>
      <c r="BA1050" s="75"/>
      <c r="BB1050" s="75"/>
      <c r="BC1050" s="75"/>
      <c r="BD1050" s="75"/>
      <c r="BE1050" s="75"/>
      <c r="BF1050" s="75">
        <v>7.1249999999999994E-2</v>
      </c>
      <c r="BG1050" s="75"/>
      <c r="BH1050" s="75"/>
      <c r="BI1050" s="74">
        <f t="shared" si="34"/>
        <v>7.1249999999999994E-2</v>
      </c>
    </row>
    <row r="1051" spans="1:61" s="11" customFormat="1" x14ac:dyDescent="0.2">
      <c r="A1051" s="61"/>
      <c r="O1051" s="61"/>
      <c r="AU1051" s="281">
        <v>75680</v>
      </c>
      <c r="AV1051" s="75"/>
      <c r="AW1051" s="75"/>
      <c r="AX1051" s="75"/>
      <c r="AY1051" s="75"/>
      <c r="AZ1051" s="75"/>
      <c r="BA1051" s="75"/>
      <c r="BB1051" s="75"/>
      <c r="BC1051" s="75"/>
      <c r="BD1051" s="75"/>
      <c r="BE1051" s="75"/>
      <c r="BF1051" s="75">
        <v>7.1249999999999994E-2</v>
      </c>
      <c r="BG1051" s="75"/>
      <c r="BH1051" s="75"/>
      <c r="BI1051" s="74">
        <f t="shared" si="34"/>
        <v>7.1249999999999994E-2</v>
      </c>
    </row>
    <row r="1052" spans="1:61" s="11" customFormat="1" x14ac:dyDescent="0.2">
      <c r="A1052" s="61"/>
      <c r="O1052" s="61"/>
      <c r="AU1052" s="281">
        <v>75711</v>
      </c>
      <c r="AV1052" s="75"/>
      <c r="AW1052" s="75"/>
      <c r="AX1052" s="75"/>
      <c r="AY1052" s="75"/>
      <c r="AZ1052" s="75"/>
      <c r="BA1052" s="75"/>
      <c r="BB1052" s="75"/>
      <c r="BC1052" s="75"/>
      <c r="BD1052" s="75"/>
      <c r="BE1052" s="75"/>
      <c r="BF1052" s="75">
        <v>7.1249999999999994E-2</v>
      </c>
      <c r="BG1052" s="75"/>
      <c r="BH1052" s="75"/>
      <c r="BI1052" s="74">
        <f t="shared" si="34"/>
        <v>7.1249999999999994E-2</v>
      </c>
    </row>
    <row r="1053" spans="1:61" s="11" customFormat="1" x14ac:dyDescent="0.2">
      <c r="A1053" s="61"/>
      <c r="O1053" s="61"/>
      <c r="AU1053" s="281">
        <v>75741</v>
      </c>
      <c r="AV1053" s="75"/>
      <c r="AW1053" s="75"/>
      <c r="AX1053" s="75"/>
      <c r="AY1053" s="75"/>
      <c r="AZ1053" s="75"/>
      <c r="BA1053" s="75"/>
      <c r="BB1053" s="75"/>
      <c r="BC1053" s="75"/>
      <c r="BD1053" s="75"/>
      <c r="BE1053" s="75"/>
      <c r="BF1053" s="75">
        <v>7.1249999999999994E-2</v>
      </c>
      <c r="BG1053" s="75"/>
      <c r="BH1053" s="75"/>
      <c r="BI1053" s="74">
        <f t="shared" si="34"/>
        <v>7.1249999999999994E-2</v>
      </c>
    </row>
    <row r="1054" spans="1:61" s="11" customFormat="1" x14ac:dyDescent="0.2">
      <c r="A1054" s="61"/>
      <c r="O1054" s="61"/>
      <c r="AU1054" s="281">
        <v>75772</v>
      </c>
      <c r="AV1054" s="75"/>
      <c r="AW1054" s="75"/>
      <c r="AX1054" s="75"/>
      <c r="AY1054" s="75"/>
      <c r="AZ1054" s="75"/>
      <c r="BA1054" s="75"/>
      <c r="BB1054" s="75"/>
      <c r="BC1054" s="75"/>
      <c r="BD1054" s="75"/>
      <c r="BE1054" s="75"/>
      <c r="BF1054" s="75">
        <v>7.1249999999999994E-2</v>
      </c>
      <c r="BG1054" s="75"/>
      <c r="BH1054" s="75"/>
      <c r="BI1054" s="74">
        <f t="shared" si="34"/>
        <v>7.1249999999999994E-2</v>
      </c>
    </row>
    <row r="1055" spans="1:61" s="11" customFormat="1" x14ac:dyDescent="0.2">
      <c r="A1055" s="61"/>
      <c r="O1055" s="61"/>
      <c r="AU1055" s="281">
        <v>75802</v>
      </c>
      <c r="AV1055" s="75"/>
      <c r="AW1055" s="75"/>
      <c r="AX1055" s="75"/>
      <c r="AY1055" s="75"/>
      <c r="AZ1055" s="75"/>
      <c r="BA1055" s="75"/>
      <c r="BB1055" s="75"/>
      <c r="BC1055" s="75"/>
      <c r="BD1055" s="75"/>
      <c r="BE1055" s="75"/>
      <c r="BF1055" s="75">
        <v>7.1249999999999994E-2</v>
      </c>
      <c r="BG1055" s="75"/>
      <c r="BH1055" s="75"/>
      <c r="BI1055" s="74">
        <f t="shared" si="34"/>
        <v>7.1249999999999994E-2</v>
      </c>
    </row>
    <row r="1056" spans="1:61" s="11" customFormat="1" x14ac:dyDescent="0.2">
      <c r="A1056" s="61"/>
      <c r="O1056" s="61"/>
      <c r="AU1056" s="281">
        <v>75833</v>
      </c>
      <c r="AV1056" s="75"/>
      <c r="AW1056" s="75"/>
      <c r="AX1056" s="75"/>
      <c r="AY1056" s="75"/>
      <c r="AZ1056" s="75"/>
      <c r="BA1056" s="75"/>
      <c r="BB1056" s="75"/>
      <c r="BC1056" s="75"/>
      <c r="BD1056" s="75"/>
      <c r="BE1056" s="75"/>
      <c r="BF1056" s="75">
        <v>7.1249999999999994E-2</v>
      </c>
      <c r="BG1056" s="75"/>
      <c r="BH1056" s="75"/>
      <c r="BI1056" s="74">
        <f t="shared" si="34"/>
        <v>7.1249999999999994E-2</v>
      </c>
    </row>
    <row r="1057" spans="1:61" s="11" customFormat="1" x14ac:dyDescent="0.2">
      <c r="A1057" s="61"/>
      <c r="O1057" s="61"/>
      <c r="AU1057" s="281">
        <v>75864</v>
      </c>
      <c r="AV1057" s="75"/>
      <c r="AW1057" s="75"/>
      <c r="AX1057" s="75"/>
      <c r="AY1057" s="75"/>
      <c r="AZ1057" s="75"/>
      <c r="BA1057" s="75"/>
      <c r="BB1057" s="75"/>
      <c r="BC1057" s="75"/>
      <c r="BD1057" s="75"/>
      <c r="BE1057" s="75"/>
      <c r="BF1057" s="75">
        <v>7.1249999999999994E-2</v>
      </c>
      <c r="BG1057" s="75"/>
      <c r="BH1057" s="75"/>
      <c r="BI1057" s="74">
        <f t="shared" si="34"/>
        <v>7.1249999999999994E-2</v>
      </c>
    </row>
    <row r="1058" spans="1:61" s="11" customFormat="1" x14ac:dyDescent="0.2">
      <c r="A1058" s="61"/>
      <c r="O1058" s="61"/>
      <c r="AU1058" s="281">
        <v>75894</v>
      </c>
      <c r="AV1058" s="75"/>
      <c r="AW1058" s="75"/>
      <c r="AX1058" s="75"/>
      <c r="AY1058" s="75"/>
      <c r="AZ1058" s="75"/>
      <c r="BA1058" s="75"/>
      <c r="BB1058" s="75"/>
      <c r="BC1058" s="75"/>
      <c r="BD1058" s="75"/>
      <c r="BE1058" s="75"/>
      <c r="BF1058" s="75">
        <v>7.1249999999999994E-2</v>
      </c>
      <c r="BG1058" s="75"/>
      <c r="BH1058" s="75"/>
      <c r="BI1058" s="74">
        <f t="shared" si="34"/>
        <v>7.1249999999999994E-2</v>
      </c>
    </row>
    <row r="1059" spans="1:61" s="11" customFormat="1" x14ac:dyDescent="0.2">
      <c r="A1059" s="61"/>
      <c r="O1059" s="61"/>
      <c r="AU1059" s="281">
        <v>75925</v>
      </c>
      <c r="AV1059" s="75"/>
      <c r="AW1059" s="75"/>
      <c r="AX1059" s="75"/>
      <c r="AY1059" s="75"/>
      <c r="AZ1059" s="75"/>
      <c r="BA1059" s="75"/>
      <c r="BB1059" s="75"/>
      <c r="BC1059" s="75"/>
      <c r="BD1059" s="75"/>
      <c r="BE1059" s="75"/>
      <c r="BF1059" s="75">
        <v>7.1249999999999994E-2</v>
      </c>
      <c r="BG1059" s="75"/>
      <c r="BH1059" s="75"/>
      <c r="BI1059" s="74">
        <f t="shared" si="34"/>
        <v>7.1249999999999994E-2</v>
      </c>
    </row>
    <row r="1060" spans="1:61" s="11" customFormat="1" x14ac:dyDescent="0.2">
      <c r="A1060" s="61"/>
      <c r="O1060" s="61"/>
      <c r="AU1060" s="281">
        <v>75955</v>
      </c>
      <c r="AV1060" s="75"/>
      <c r="AW1060" s="75"/>
      <c r="AX1060" s="75"/>
      <c r="AY1060" s="75"/>
      <c r="AZ1060" s="75"/>
      <c r="BA1060" s="75"/>
      <c r="BB1060" s="75"/>
      <c r="BC1060" s="75"/>
      <c r="BD1060" s="75"/>
      <c r="BE1060" s="75"/>
      <c r="BF1060" s="75">
        <v>7.1249999999999994E-2</v>
      </c>
      <c r="BG1060" s="75"/>
      <c r="BH1060" s="75"/>
      <c r="BI1060" s="74">
        <f t="shared" si="34"/>
        <v>7.1249999999999994E-2</v>
      </c>
    </row>
    <row r="1061" spans="1:61" s="11" customFormat="1" x14ac:dyDescent="0.2">
      <c r="A1061" s="61"/>
      <c r="O1061" s="61"/>
      <c r="AU1061" s="281">
        <v>75986</v>
      </c>
      <c r="AV1061" s="75"/>
      <c r="AW1061" s="75"/>
      <c r="AX1061" s="75"/>
      <c r="AY1061" s="75"/>
      <c r="AZ1061" s="75"/>
      <c r="BA1061" s="75"/>
      <c r="BB1061" s="75"/>
      <c r="BC1061" s="75"/>
      <c r="BD1061" s="75"/>
      <c r="BE1061" s="75"/>
      <c r="BF1061" s="75">
        <v>7.1249999999999994E-2</v>
      </c>
      <c r="BG1061" s="75"/>
      <c r="BH1061" s="75"/>
      <c r="BI1061" s="74">
        <f t="shared" si="34"/>
        <v>7.1249999999999994E-2</v>
      </c>
    </row>
    <row r="1062" spans="1:61" s="11" customFormat="1" x14ac:dyDescent="0.2">
      <c r="A1062" s="61"/>
      <c r="O1062" s="61"/>
      <c r="AU1062" s="281">
        <v>76017</v>
      </c>
      <c r="AV1062" s="75"/>
      <c r="AW1062" s="75"/>
      <c r="AX1062" s="75"/>
      <c r="AY1062" s="75"/>
      <c r="AZ1062" s="75"/>
      <c r="BA1062" s="75"/>
      <c r="BB1062" s="75"/>
      <c r="BC1062" s="75"/>
      <c r="BD1062" s="75"/>
      <c r="BE1062" s="75"/>
      <c r="BF1062" s="75">
        <v>7.1249999999999994E-2</v>
      </c>
      <c r="BG1062" s="75"/>
      <c r="BH1062" s="75"/>
      <c r="BI1062" s="74">
        <f t="shared" si="34"/>
        <v>7.1249999999999994E-2</v>
      </c>
    </row>
    <row r="1063" spans="1:61" s="11" customFormat="1" x14ac:dyDescent="0.2">
      <c r="A1063" s="61"/>
      <c r="O1063" s="61"/>
      <c r="AU1063" s="281">
        <v>76046</v>
      </c>
      <c r="AV1063" s="75"/>
      <c r="AW1063" s="75"/>
      <c r="AX1063" s="75"/>
      <c r="AY1063" s="75"/>
      <c r="AZ1063" s="75"/>
      <c r="BA1063" s="75"/>
      <c r="BB1063" s="75"/>
      <c r="BC1063" s="75"/>
      <c r="BD1063" s="75"/>
      <c r="BE1063" s="75"/>
      <c r="BF1063" s="75">
        <v>7.1249999999999994E-2</v>
      </c>
      <c r="BG1063" s="75"/>
      <c r="BH1063" s="75"/>
      <c r="BI1063" s="74">
        <f t="shared" si="34"/>
        <v>7.1249999999999994E-2</v>
      </c>
    </row>
    <row r="1064" spans="1:61" s="11" customFormat="1" x14ac:dyDescent="0.2">
      <c r="A1064" s="61"/>
      <c r="O1064" s="61"/>
      <c r="AU1064" s="281">
        <v>76077</v>
      </c>
      <c r="AV1064" s="75"/>
      <c r="AW1064" s="75"/>
      <c r="AX1064" s="75"/>
      <c r="AY1064" s="75"/>
      <c r="AZ1064" s="75"/>
      <c r="BA1064" s="75"/>
      <c r="BB1064" s="75"/>
      <c r="BC1064" s="75"/>
      <c r="BD1064" s="75"/>
      <c r="BE1064" s="75"/>
      <c r="BF1064" s="75">
        <v>7.1249999999999994E-2</v>
      </c>
      <c r="BG1064" s="75"/>
      <c r="BH1064" s="75"/>
      <c r="BI1064" s="74">
        <f t="shared" si="34"/>
        <v>7.1249999999999994E-2</v>
      </c>
    </row>
    <row r="1065" spans="1:61" s="11" customFormat="1" x14ac:dyDescent="0.2">
      <c r="A1065" s="61"/>
      <c r="O1065" s="61"/>
      <c r="AU1065" s="281">
        <v>76107</v>
      </c>
      <c r="AV1065" s="75"/>
      <c r="AW1065" s="75"/>
      <c r="AX1065" s="75"/>
      <c r="AY1065" s="75"/>
      <c r="AZ1065" s="75"/>
      <c r="BA1065" s="75"/>
      <c r="BB1065" s="75"/>
      <c r="BC1065" s="75"/>
      <c r="BD1065" s="75"/>
      <c r="BE1065" s="75"/>
      <c r="BF1065" s="75">
        <v>7.1249999999999994E-2</v>
      </c>
      <c r="BG1065" s="75"/>
      <c r="BH1065" s="75"/>
      <c r="BI1065" s="74">
        <f t="shared" si="34"/>
        <v>7.1249999999999994E-2</v>
      </c>
    </row>
    <row r="1066" spans="1:61" s="11" customFormat="1" x14ac:dyDescent="0.2">
      <c r="A1066" s="61"/>
      <c r="O1066" s="61"/>
      <c r="AU1066" s="281">
        <v>76138</v>
      </c>
      <c r="AV1066" s="75"/>
      <c r="AW1066" s="75"/>
      <c r="AX1066" s="75"/>
      <c r="AY1066" s="75"/>
      <c r="AZ1066" s="75"/>
      <c r="BA1066" s="75"/>
      <c r="BB1066" s="75"/>
      <c r="BC1066" s="75"/>
      <c r="BD1066" s="75"/>
      <c r="BE1066" s="75"/>
      <c r="BF1066" s="75">
        <v>7.1249999999999994E-2</v>
      </c>
      <c r="BG1066" s="75"/>
      <c r="BH1066" s="75"/>
      <c r="BI1066" s="74">
        <f t="shared" si="34"/>
        <v>7.1249999999999994E-2</v>
      </c>
    </row>
    <row r="1067" spans="1:61" s="11" customFormat="1" x14ac:dyDescent="0.2">
      <c r="A1067" s="61"/>
      <c r="O1067" s="61"/>
      <c r="AU1067" s="281">
        <v>76168</v>
      </c>
      <c r="AV1067" s="75"/>
      <c r="AW1067" s="75"/>
      <c r="AX1067" s="75"/>
      <c r="AY1067" s="75"/>
      <c r="AZ1067" s="75"/>
      <c r="BA1067" s="75"/>
      <c r="BB1067" s="75"/>
      <c r="BC1067" s="75"/>
      <c r="BD1067" s="75"/>
      <c r="BE1067" s="75"/>
      <c r="BF1067" s="75">
        <v>7.1249999999999994E-2</v>
      </c>
      <c r="BG1067" s="75"/>
      <c r="BH1067" s="75"/>
      <c r="BI1067" s="74">
        <f t="shared" si="34"/>
        <v>7.1249999999999994E-2</v>
      </c>
    </row>
    <row r="1068" spans="1:61" s="11" customFormat="1" x14ac:dyDescent="0.2">
      <c r="A1068" s="61"/>
      <c r="O1068" s="61"/>
      <c r="AU1068" s="281">
        <v>76199</v>
      </c>
      <c r="AV1068" s="75"/>
      <c r="AW1068" s="75"/>
      <c r="AX1068" s="75"/>
      <c r="AY1068" s="75"/>
      <c r="AZ1068" s="75"/>
      <c r="BA1068" s="75"/>
      <c r="BB1068" s="75"/>
      <c r="BC1068" s="75"/>
      <c r="BD1068" s="75"/>
      <c r="BE1068" s="75"/>
      <c r="BF1068" s="75">
        <v>7.1249999999999994E-2</v>
      </c>
      <c r="BG1068" s="75"/>
      <c r="BH1068" s="75"/>
      <c r="BI1068" s="74">
        <f t="shared" si="34"/>
        <v>7.1249999999999994E-2</v>
      </c>
    </row>
    <row r="1069" spans="1:61" s="11" customFormat="1" x14ac:dyDescent="0.2">
      <c r="A1069" s="61"/>
      <c r="O1069" s="61"/>
      <c r="AU1069" s="281">
        <v>76230</v>
      </c>
      <c r="AV1069" s="75"/>
      <c r="AW1069" s="75"/>
      <c r="AX1069" s="75"/>
      <c r="AY1069" s="75"/>
      <c r="AZ1069" s="75"/>
      <c r="BA1069" s="75"/>
      <c r="BB1069" s="75"/>
      <c r="BC1069" s="75"/>
      <c r="BD1069" s="75"/>
      <c r="BE1069" s="75"/>
      <c r="BF1069" s="75">
        <v>7.1249999999999994E-2</v>
      </c>
      <c r="BG1069" s="75"/>
      <c r="BH1069" s="75"/>
      <c r="BI1069" s="74">
        <f t="shared" si="34"/>
        <v>7.1249999999999994E-2</v>
      </c>
    </row>
    <row r="1070" spans="1:61" s="11" customFormat="1" x14ac:dyDescent="0.2">
      <c r="A1070" s="61"/>
      <c r="O1070" s="61"/>
      <c r="AU1070" s="281">
        <v>76260</v>
      </c>
      <c r="AV1070" s="75"/>
      <c r="AW1070" s="75"/>
      <c r="AX1070" s="75"/>
      <c r="AY1070" s="75"/>
      <c r="AZ1070" s="75"/>
      <c r="BA1070" s="75"/>
      <c r="BB1070" s="75"/>
      <c r="BC1070" s="75"/>
      <c r="BD1070" s="75"/>
      <c r="BE1070" s="75"/>
      <c r="BF1070" s="75">
        <v>7.1249999999999994E-2</v>
      </c>
      <c r="BG1070" s="75"/>
      <c r="BH1070" s="75"/>
      <c r="BI1070" s="74">
        <f t="shared" si="34"/>
        <v>7.1249999999999994E-2</v>
      </c>
    </row>
    <row r="1071" spans="1:61" s="11" customFormat="1" x14ac:dyDescent="0.2">
      <c r="A1071" s="61"/>
      <c r="O1071" s="61"/>
      <c r="AU1071" s="281">
        <v>76291</v>
      </c>
      <c r="AV1071" s="75"/>
      <c r="AW1071" s="75"/>
      <c r="AX1071" s="75"/>
      <c r="AY1071" s="75"/>
      <c r="AZ1071" s="75"/>
      <c r="BA1071" s="75"/>
      <c r="BB1071" s="75"/>
      <c r="BC1071" s="75"/>
      <c r="BD1071" s="75"/>
      <c r="BE1071" s="75"/>
      <c r="BF1071" s="75">
        <v>7.1249999999999994E-2</v>
      </c>
      <c r="BG1071" s="75"/>
      <c r="BH1071" s="75"/>
      <c r="BI1071" s="74">
        <f t="shared" si="34"/>
        <v>7.1249999999999994E-2</v>
      </c>
    </row>
    <row r="1072" spans="1:61" s="11" customFormat="1" x14ac:dyDescent="0.2">
      <c r="A1072" s="61"/>
      <c r="O1072" s="61"/>
      <c r="AU1072" s="281">
        <v>76321</v>
      </c>
      <c r="AV1072" s="75"/>
      <c r="AW1072" s="75"/>
      <c r="AX1072" s="75"/>
      <c r="AY1072" s="75"/>
      <c r="AZ1072" s="75"/>
      <c r="BA1072" s="75"/>
      <c r="BB1072" s="75"/>
      <c r="BC1072" s="75"/>
      <c r="BD1072" s="75"/>
      <c r="BE1072" s="75"/>
      <c r="BF1072" s="75">
        <v>7.1249999999999994E-2</v>
      </c>
      <c r="BG1072" s="75"/>
      <c r="BH1072" s="75"/>
      <c r="BI1072" s="74">
        <f t="shared" si="34"/>
        <v>7.1249999999999994E-2</v>
      </c>
    </row>
    <row r="1073" spans="1:61" s="11" customFormat="1" x14ac:dyDescent="0.2">
      <c r="A1073" s="61"/>
      <c r="O1073" s="61"/>
      <c r="AU1073" s="281">
        <v>76352</v>
      </c>
      <c r="AV1073" s="75"/>
      <c r="AW1073" s="75"/>
      <c r="AX1073" s="75"/>
      <c r="AY1073" s="75"/>
      <c r="AZ1073" s="75"/>
      <c r="BA1073" s="75"/>
      <c r="BB1073" s="75"/>
      <c r="BC1073" s="75"/>
      <c r="BD1073" s="75"/>
      <c r="BE1073" s="75"/>
      <c r="BF1073" s="75">
        <v>7.1249999999999994E-2</v>
      </c>
      <c r="BG1073" s="75"/>
      <c r="BH1073" s="75"/>
      <c r="BI1073" s="74">
        <f t="shared" si="34"/>
        <v>7.1249999999999994E-2</v>
      </c>
    </row>
    <row r="1074" spans="1:61" s="11" customFormat="1" x14ac:dyDescent="0.2">
      <c r="A1074" s="61"/>
      <c r="O1074" s="61"/>
      <c r="AU1074" s="281">
        <v>76383</v>
      </c>
      <c r="AV1074" s="75"/>
      <c r="AW1074" s="75"/>
      <c r="AX1074" s="75"/>
      <c r="AY1074" s="75"/>
      <c r="AZ1074" s="75"/>
      <c r="BA1074" s="75"/>
      <c r="BB1074" s="75"/>
      <c r="BC1074" s="75"/>
      <c r="BD1074" s="75"/>
      <c r="BE1074" s="75"/>
      <c r="BF1074" s="75">
        <v>7.1249999999999994E-2</v>
      </c>
      <c r="BG1074" s="75"/>
      <c r="BH1074" s="75"/>
      <c r="BI1074" s="74">
        <f t="shared" si="34"/>
        <v>7.1249999999999994E-2</v>
      </c>
    </row>
    <row r="1075" spans="1:61" s="11" customFormat="1" x14ac:dyDescent="0.2">
      <c r="A1075" s="61"/>
      <c r="O1075" s="61"/>
      <c r="AU1075" s="281">
        <v>76411</v>
      </c>
      <c r="AV1075" s="75"/>
      <c r="AW1075" s="75"/>
      <c r="AX1075" s="75"/>
      <c r="AY1075" s="75"/>
      <c r="AZ1075" s="75"/>
      <c r="BA1075" s="75"/>
      <c r="BB1075" s="75"/>
      <c r="BC1075" s="75"/>
      <c r="BD1075" s="75"/>
      <c r="BE1075" s="75"/>
      <c r="BF1075" s="75">
        <v>7.1249999999999994E-2</v>
      </c>
      <c r="BG1075" s="75"/>
      <c r="BH1075" s="75"/>
      <c r="BI1075" s="74">
        <f t="shared" si="34"/>
        <v>7.1249999999999994E-2</v>
      </c>
    </row>
    <row r="1076" spans="1:61" s="11" customFormat="1" x14ac:dyDescent="0.2">
      <c r="A1076" s="61"/>
      <c r="O1076" s="61"/>
      <c r="AU1076" s="281">
        <v>76442</v>
      </c>
      <c r="AV1076" s="75"/>
      <c r="AW1076" s="75"/>
      <c r="AX1076" s="75"/>
      <c r="AY1076" s="75"/>
      <c r="AZ1076" s="75"/>
      <c r="BA1076" s="75"/>
      <c r="BB1076" s="75"/>
      <c r="BC1076" s="75"/>
      <c r="BD1076" s="75"/>
      <c r="BE1076" s="75"/>
      <c r="BF1076" s="75">
        <v>7.1249999999999994E-2</v>
      </c>
      <c r="BG1076" s="75"/>
      <c r="BH1076" s="75"/>
      <c r="BI1076" s="74">
        <f t="shared" si="34"/>
        <v>7.1249999999999994E-2</v>
      </c>
    </row>
    <row r="1077" spans="1:61" s="11" customFormat="1" x14ac:dyDescent="0.2">
      <c r="A1077" s="61"/>
      <c r="O1077" s="61"/>
      <c r="AU1077" s="281">
        <v>76472</v>
      </c>
      <c r="AV1077" s="75"/>
      <c r="AW1077" s="75"/>
      <c r="AX1077" s="75"/>
      <c r="AY1077" s="75"/>
      <c r="AZ1077" s="75"/>
      <c r="BA1077" s="75"/>
      <c r="BB1077" s="75"/>
      <c r="BC1077" s="75"/>
      <c r="BD1077" s="75"/>
      <c r="BE1077" s="75"/>
      <c r="BF1077" s="75">
        <v>7.1249999999999994E-2</v>
      </c>
      <c r="BG1077" s="75"/>
      <c r="BH1077" s="75"/>
      <c r="BI1077" s="74">
        <f t="shared" si="34"/>
        <v>7.1249999999999994E-2</v>
      </c>
    </row>
    <row r="1078" spans="1:61" s="11" customFormat="1" x14ac:dyDescent="0.2">
      <c r="A1078" s="61"/>
      <c r="O1078" s="61"/>
      <c r="AU1078" s="281">
        <v>76503</v>
      </c>
      <c r="AV1078" s="75"/>
      <c r="AW1078" s="75"/>
      <c r="AX1078" s="75"/>
      <c r="AY1078" s="75"/>
      <c r="AZ1078" s="75"/>
      <c r="BA1078" s="75"/>
      <c r="BB1078" s="75"/>
      <c r="BC1078" s="75"/>
      <c r="BD1078" s="75"/>
      <c r="BE1078" s="75"/>
      <c r="BF1078" s="75">
        <v>7.1249999999999994E-2</v>
      </c>
      <c r="BG1078" s="75"/>
      <c r="BH1078" s="75"/>
      <c r="BI1078" s="74">
        <f t="shared" si="34"/>
        <v>7.1249999999999994E-2</v>
      </c>
    </row>
    <row r="1079" spans="1:61" s="11" customFormat="1" x14ac:dyDescent="0.2">
      <c r="A1079" s="61"/>
      <c r="O1079" s="61"/>
      <c r="AU1079" s="281">
        <v>76533</v>
      </c>
      <c r="AV1079" s="75"/>
      <c r="AW1079" s="75"/>
      <c r="AX1079" s="75"/>
      <c r="AY1079" s="75"/>
      <c r="AZ1079" s="75"/>
      <c r="BA1079" s="75"/>
      <c r="BB1079" s="75"/>
      <c r="BC1079" s="75"/>
      <c r="BD1079" s="75"/>
      <c r="BE1079" s="75"/>
      <c r="BF1079" s="75">
        <v>7.1249999999999994E-2</v>
      </c>
      <c r="BG1079" s="75"/>
      <c r="BH1079" s="75"/>
      <c r="BI1079" s="74">
        <f t="shared" si="34"/>
        <v>7.1249999999999994E-2</v>
      </c>
    </row>
    <row r="1080" spans="1:61" s="11" customFormat="1" x14ac:dyDescent="0.2">
      <c r="A1080" s="61"/>
      <c r="O1080" s="61"/>
      <c r="AU1080" s="281">
        <v>76564</v>
      </c>
      <c r="AV1080" s="75"/>
      <c r="AW1080" s="75"/>
      <c r="AX1080" s="75"/>
      <c r="AY1080" s="75"/>
      <c r="AZ1080" s="75"/>
      <c r="BA1080" s="75"/>
      <c r="BB1080" s="75"/>
      <c r="BC1080" s="75"/>
      <c r="BD1080" s="75"/>
      <c r="BE1080" s="75"/>
      <c r="BF1080" s="75">
        <v>7.1249999999999994E-2</v>
      </c>
      <c r="BG1080" s="75"/>
      <c r="BH1080" s="75"/>
      <c r="BI1080" s="74">
        <f t="shared" si="34"/>
        <v>7.1249999999999994E-2</v>
      </c>
    </row>
    <row r="1081" spans="1:61" s="11" customFormat="1" x14ac:dyDescent="0.2">
      <c r="A1081" s="61"/>
      <c r="O1081" s="61"/>
      <c r="AU1081" s="281">
        <v>76595</v>
      </c>
      <c r="AV1081" s="75"/>
      <c r="AW1081" s="75"/>
      <c r="AX1081" s="75"/>
      <c r="AY1081" s="75"/>
      <c r="AZ1081" s="75"/>
      <c r="BA1081" s="75"/>
      <c r="BB1081" s="75"/>
      <c r="BC1081" s="75"/>
      <c r="BD1081" s="75"/>
      <c r="BE1081" s="75"/>
      <c r="BF1081" s="75">
        <v>7.1249999999999994E-2</v>
      </c>
      <c r="BG1081" s="75"/>
      <c r="BH1081" s="75"/>
      <c r="BI1081" s="74">
        <f t="shared" si="34"/>
        <v>7.1249999999999994E-2</v>
      </c>
    </row>
    <row r="1082" spans="1:61" s="11" customFormat="1" x14ac:dyDescent="0.2">
      <c r="A1082" s="61"/>
      <c r="O1082" s="61"/>
      <c r="AU1082" s="281">
        <v>76625</v>
      </c>
      <c r="AV1082" s="75"/>
      <c r="AW1082" s="75"/>
      <c r="AX1082" s="75"/>
      <c r="AY1082" s="75"/>
      <c r="AZ1082" s="75"/>
      <c r="BA1082" s="75"/>
      <c r="BB1082" s="75"/>
      <c r="BC1082" s="75"/>
      <c r="BD1082" s="75"/>
      <c r="BE1082" s="75"/>
      <c r="BF1082" s="75">
        <v>7.1249999999999994E-2</v>
      </c>
      <c r="BG1082" s="75"/>
      <c r="BH1082" s="75"/>
      <c r="BI1082" s="74">
        <f t="shared" si="34"/>
        <v>7.1249999999999994E-2</v>
      </c>
    </row>
    <row r="1083" spans="1:61" s="11" customFormat="1" x14ac:dyDescent="0.2">
      <c r="A1083" s="61"/>
      <c r="O1083" s="61"/>
      <c r="AU1083" s="281">
        <v>76656</v>
      </c>
      <c r="AV1083" s="75"/>
      <c r="AW1083" s="75"/>
      <c r="AX1083" s="75"/>
      <c r="AY1083" s="75"/>
      <c r="AZ1083" s="75"/>
      <c r="BA1083" s="75"/>
      <c r="BB1083" s="75"/>
      <c r="BC1083" s="75"/>
      <c r="BD1083" s="75"/>
      <c r="BE1083" s="75"/>
      <c r="BF1083" s="75">
        <v>7.1249999999999994E-2</v>
      </c>
      <c r="BG1083" s="75"/>
      <c r="BH1083" s="75"/>
      <c r="BI1083" s="74">
        <f t="shared" si="34"/>
        <v>7.1249999999999994E-2</v>
      </c>
    </row>
    <row r="1084" spans="1:61" s="11" customFormat="1" x14ac:dyDescent="0.2">
      <c r="A1084" s="61"/>
      <c r="O1084" s="61"/>
      <c r="AU1084" s="281">
        <v>76686</v>
      </c>
      <c r="AV1084" s="75"/>
      <c r="AW1084" s="75"/>
      <c r="AX1084" s="75"/>
      <c r="AY1084" s="75"/>
      <c r="AZ1084" s="75"/>
      <c r="BA1084" s="75"/>
      <c r="BB1084" s="75"/>
      <c r="BC1084" s="75"/>
      <c r="BD1084" s="75"/>
      <c r="BE1084" s="75"/>
      <c r="BF1084" s="75">
        <v>7.1249999999999994E-2</v>
      </c>
      <c r="BG1084" s="75"/>
      <c r="BH1084" s="75"/>
      <c r="BI1084" s="74">
        <f t="shared" si="34"/>
        <v>7.1249999999999994E-2</v>
      </c>
    </row>
    <row r="1085" spans="1:61" s="11" customFormat="1" x14ac:dyDescent="0.2">
      <c r="A1085" s="61"/>
      <c r="O1085" s="61"/>
      <c r="AU1085" s="281">
        <v>76717</v>
      </c>
      <c r="AV1085" s="75"/>
      <c r="AW1085" s="75"/>
      <c r="AX1085" s="75"/>
      <c r="AY1085" s="75"/>
      <c r="AZ1085" s="75"/>
      <c r="BA1085" s="75"/>
      <c r="BB1085" s="75"/>
      <c r="BC1085" s="75"/>
      <c r="BD1085" s="75"/>
      <c r="BE1085" s="75"/>
      <c r="BF1085" s="75">
        <v>7.1249999999999994E-2</v>
      </c>
      <c r="BG1085" s="75"/>
      <c r="BH1085" s="75"/>
      <c r="BI1085" s="74">
        <f t="shared" si="34"/>
        <v>7.1249999999999994E-2</v>
      </c>
    </row>
    <row r="1086" spans="1:61" s="11" customFormat="1" x14ac:dyDescent="0.2">
      <c r="A1086" s="61"/>
      <c r="O1086" s="61"/>
      <c r="AU1086" s="281">
        <v>76748</v>
      </c>
      <c r="AV1086" s="75"/>
      <c r="AW1086" s="75"/>
      <c r="AX1086" s="75"/>
      <c r="AY1086" s="75"/>
      <c r="AZ1086" s="75"/>
      <c r="BA1086" s="75"/>
      <c r="BB1086" s="75"/>
      <c r="BC1086" s="75"/>
      <c r="BD1086" s="75"/>
      <c r="BE1086" s="75"/>
      <c r="BF1086" s="75">
        <v>7.1249999999999994E-2</v>
      </c>
      <c r="BG1086" s="75"/>
      <c r="BH1086" s="75"/>
      <c r="BI1086" s="74">
        <f t="shared" si="34"/>
        <v>7.1249999999999994E-2</v>
      </c>
    </row>
    <row r="1087" spans="1:61" s="11" customFormat="1" x14ac:dyDescent="0.2">
      <c r="A1087" s="61"/>
      <c r="O1087" s="61"/>
      <c r="AU1087" s="281">
        <v>76776</v>
      </c>
      <c r="AV1087" s="75"/>
      <c r="AW1087" s="75"/>
      <c r="AX1087" s="75"/>
      <c r="AY1087" s="75"/>
      <c r="AZ1087" s="75"/>
      <c r="BA1087" s="75"/>
      <c r="BB1087" s="75"/>
      <c r="BC1087" s="75"/>
      <c r="BD1087" s="75"/>
      <c r="BE1087" s="75"/>
      <c r="BF1087" s="75">
        <v>7.1249999999999994E-2</v>
      </c>
      <c r="BG1087" s="75"/>
      <c r="BH1087" s="75"/>
      <c r="BI1087" s="74">
        <f t="shared" si="34"/>
        <v>7.1249999999999994E-2</v>
      </c>
    </row>
    <row r="1088" spans="1:61" s="11" customFormat="1" x14ac:dyDescent="0.2">
      <c r="A1088" s="61"/>
      <c r="O1088" s="61"/>
      <c r="AU1088" s="281">
        <v>76807</v>
      </c>
      <c r="AV1088" s="75"/>
      <c r="AW1088" s="75"/>
      <c r="AX1088" s="75"/>
      <c r="AY1088" s="75"/>
      <c r="AZ1088" s="75"/>
      <c r="BA1088" s="75"/>
      <c r="BB1088" s="75"/>
      <c r="BC1088" s="75"/>
      <c r="BD1088" s="75"/>
      <c r="BE1088" s="75"/>
      <c r="BF1088" s="75">
        <v>7.1249999999999994E-2</v>
      </c>
      <c r="BG1088" s="75"/>
      <c r="BH1088" s="75"/>
      <c r="BI1088" s="74">
        <f t="shared" si="34"/>
        <v>7.1249999999999994E-2</v>
      </c>
    </row>
    <row r="1089" spans="1:61" s="11" customFormat="1" x14ac:dyDescent="0.2">
      <c r="A1089" s="61"/>
      <c r="O1089" s="61"/>
      <c r="AU1089" s="281">
        <v>76837</v>
      </c>
      <c r="AV1089" s="75"/>
      <c r="AW1089" s="75"/>
      <c r="AX1089" s="75"/>
      <c r="AY1089" s="75"/>
      <c r="AZ1089" s="75"/>
      <c r="BA1089" s="75"/>
      <c r="BB1089" s="75"/>
      <c r="BC1089" s="75"/>
      <c r="BD1089" s="75"/>
      <c r="BE1089" s="75"/>
      <c r="BF1089" s="75">
        <v>7.1249999999999994E-2</v>
      </c>
      <c r="BG1089" s="75"/>
      <c r="BH1089" s="75"/>
      <c r="BI1089" s="74">
        <f t="shared" si="34"/>
        <v>7.1249999999999994E-2</v>
      </c>
    </row>
    <row r="1090" spans="1:61" s="11" customFormat="1" x14ac:dyDescent="0.2">
      <c r="A1090" s="61"/>
      <c r="O1090" s="61"/>
      <c r="AU1090" s="281">
        <v>76868</v>
      </c>
      <c r="AV1090" s="75"/>
      <c r="AW1090" s="75"/>
      <c r="AX1090" s="75"/>
      <c r="AY1090" s="75"/>
      <c r="AZ1090" s="75"/>
      <c r="BA1090" s="75"/>
      <c r="BB1090" s="75"/>
      <c r="BC1090" s="75"/>
      <c r="BD1090" s="75"/>
      <c r="BE1090" s="75"/>
      <c r="BF1090" s="75">
        <v>7.1249999999999994E-2</v>
      </c>
      <c r="BG1090" s="75"/>
      <c r="BH1090" s="75"/>
      <c r="BI1090" s="74">
        <f t="shared" si="34"/>
        <v>7.1249999999999994E-2</v>
      </c>
    </row>
    <row r="1091" spans="1:61" s="11" customFormat="1" x14ac:dyDescent="0.2">
      <c r="A1091" s="61"/>
      <c r="O1091" s="61"/>
      <c r="AU1091" s="281">
        <v>76898</v>
      </c>
      <c r="AV1091" s="75"/>
      <c r="AW1091" s="75"/>
      <c r="AX1091" s="75"/>
      <c r="AY1091" s="75"/>
      <c r="AZ1091" s="75"/>
      <c r="BA1091" s="75"/>
      <c r="BB1091" s="75"/>
      <c r="BC1091" s="75"/>
      <c r="BD1091" s="75"/>
      <c r="BE1091" s="75"/>
      <c r="BF1091" s="75">
        <v>7.1249999999999994E-2</v>
      </c>
      <c r="BG1091" s="75"/>
      <c r="BH1091" s="75"/>
      <c r="BI1091" s="74">
        <f t="shared" si="34"/>
        <v>7.1249999999999994E-2</v>
      </c>
    </row>
    <row r="1092" spans="1:61" s="11" customFormat="1" x14ac:dyDescent="0.2">
      <c r="A1092" s="61"/>
      <c r="O1092" s="61"/>
      <c r="AU1092" s="281">
        <v>76929</v>
      </c>
      <c r="AV1092" s="75"/>
      <c r="AW1092" s="75"/>
      <c r="AX1092" s="75"/>
      <c r="AY1092" s="75"/>
      <c r="AZ1092" s="75"/>
      <c r="BA1092" s="75"/>
      <c r="BB1092" s="75"/>
      <c r="BC1092" s="75"/>
      <c r="BD1092" s="75"/>
      <c r="BE1092" s="75"/>
      <c r="BF1092" s="75">
        <v>7.1249999999999994E-2</v>
      </c>
      <c r="BG1092" s="75"/>
      <c r="BH1092" s="75"/>
      <c r="BI1092" s="74">
        <f t="shared" si="34"/>
        <v>7.1249999999999994E-2</v>
      </c>
    </row>
    <row r="1093" spans="1:61" s="11" customFormat="1" x14ac:dyDescent="0.2">
      <c r="A1093" s="61"/>
      <c r="O1093" s="61"/>
      <c r="AU1093" s="281">
        <v>76960</v>
      </c>
      <c r="AV1093" s="75"/>
      <c r="AW1093" s="75"/>
      <c r="AX1093" s="75"/>
      <c r="AY1093" s="75"/>
      <c r="AZ1093" s="75"/>
      <c r="BA1093" s="75"/>
      <c r="BB1093" s="75"/>
      <c r="BC1093" s="75"/>
      <c r="BD1093" s="75"/>
      <c r="BE1093" s="75"/>
      <c r="BF1093" s="75">
        <v>7.1249999999999994E-2</v>
      </c>
      <c r="BG1093" s="75"/>
      <c r="BH1093" s="75"/>
      <c r="BI1093" s="74">
        <f t="shared" si="34"/>
        <v>7.1249999999999994E-2</v>
      </c>
    </row>
    <row r="1094" spans="1:61" s="11" customFormat="1" x14ac:dyDescent="0.2">
      <c r="A1094" s="61"/>
      <c r="O1094" s="61"/>
      <c r="AU1094" s="281">
        <v>76990</v>
      </c>
      <c r="AV1094" s="75"/>
      <c r="AW1094" s="75"/>
      <c r="AX1094" s="75"/>
      <c r="AY1094" s="75"/>
      <c r="AZ1094" s="75"/>
      <c r="BA1094" s="75"/>
      <c r="BB1094" s="75"/>
      <c r="BC1094" s="75"/>
      <c r="BD1094" s="75"/>
      <c r="BE1094" s="75"/>
      <c r="BF1094" s="75">
        <v>7.1249999999999994E-2</v>
      </c>
      <c r="BG1094" s="75"/>
      <c r="BH1094" s="75"/>
      <c r="BI1094" s="74">
        <f t="shared" si="34"/>
        <v>7.1249999999999994E-2</v>
      </c>
    </row>
    <row r="1095" spans="1:61" s="11" customFormat="1" x14ac:dyDescent="0.2">
      <c r="A1095" s="61"/>
      <c r="O1095" s="61"/>
      <c r="AU1095" s="281">
        <v>77021</v>
      </c>
      <c r="AV1095" s="75"/>
      <c r="AW1095" s="75"/>
      <c r="AX1095" s="75"/>
      <c r="AY1095" s="75"/>
      <c r="AZ1095" s="75"/>
      <c r="BA1095" s="75"/>
      <c r="BB1095" s="75"/>
      <c r="BC1095" s="75"/>
      <c r="BD1095" s="75"/>
      <c r="BE1095" s="75"/>
      <c r="BF1095" s="75">
        <v>7.1249999999999994E-2</v>
      </c>
      <c r="BG1095" s="75"/>
      <c r="BH1095" s="75"/>
      <c r="BI1095" s="74">
        <f t="shared" si="34"/>
        <v>7.1249999999999994E-2</v>
      </c>
    </row>
    <row r="1096" spans="1:61" s="11" customFormat="1" x14ac:dyDescent="0.2">
      <c r="A1096" s="61"/>
      <c r="O1096" s="61"/>
      <c r="AU1096" s="281">
        <v>77051</v>
      </c>
      <c r="AV1096" s="75"/>
      <c r="AW1096" s="75"/>
      <c r="AX1096" s="75"/>
      <c r="AY1096" s="75"/>
      <c r="AZ1096" s="75"/>
      <c r="BA1096" s="75"/>
      <c r="BB1096" s="75"/>
      <c r="BC1096" s="75"/>
      <c r="BD1096" s="75"/>
      <c r="BE1096" s="75"/>
      <c r="BF1096" s="75">
        <v>7.1249999999999994E-2</v>
      </c>
      <c r="BG1096" s="75"/>
      <c r="BH1096" s="75"/>
      <c r="BI1096" s="74">
        <f t="shared" si="34"/>
        <v>7.1249999999999994E-2</v>
      </c>
    </row>
    <row r="1097" spans="1:61" s="11" customFormat="1" x14ac:dyDescent="0.2">
      <c r="A1097" s="61"/>
      <c r="O1097" s="61"/>
      <c r="AU1097" s="281">
        <v>77082</v>
      </c>
      <c r="AV1097" s="75"/>
      <c r="AW1097" s="75"/>
      <c r="AX1097" s="75"/>
      <c r="AY1097" s="75"/>
      <c r="AZ1097" s="75"/>
      <c r="BA1097" s="75"/>
      <c r="BB1097" s="75"/>
      <c r="BC1097" s="75"/>
      <c r="BD1097" s="75"/>
      <c r="BE1097" s="75"/>
      <c r="BF1097" s="75">
        <v>7.1249999999999994E-2</v>
      </c>
      <c r="BG1097" s="75"/>
      <c r="BH1097" s="75"/>
      <c r="BI1097" s="74">
        <f t="shared" ref="BI1097:BI1160" si="35">+AVERAGE(AV1097:BH1097)</f>
        <v>7.1249999999999994E-2</v>
      </c>
    </row>
    <row r="1098" spans="1:61" s="11" customFormat="1" x14ac:dyDescent="0.2">
      <c r="A1098" s="61"/>
      <c r="O1098" s="61"/>
      <c r="AU1098" s="281">
        <v>77113</v>
      </c>
      <c r="AV1098" s="75"/>
      <c r="AW1098" s="75"/>
      <c r="AX1098" s="75"/>
      <c r="AY1098" s="75"/>
      <c r="AZ1098" s="75"/>
      <c r="BA1098" s="75"/>
      <c r="BB1098" s="75"/>
      <c r="BC1098" s="75"/>
      <c r="BD1098" s="75"/>
      <c r="BE1098" s="75"/>
      <c r="BF1098" s="75">
        <v>7.1249999999999994E-2</v>
      </c>
      <c r="BG1098" s="75"/>
      <c r="BH1098" s="75"/>
      <c r="BI1098" s="74">
        <f t="shared" si="35"/>
        <v>7.1249999999999994E-2</v>
      </c>
    </row>
    <row r="1099" spans="1:61" s="11" customFormat="1" x14ac:dyDescent="0.2">
      <c r="A1099" s="61"/>
      <c r="O1099" s="61"/>
      <c r="AU1099" s="281">
        <v>77141</v>
      </c>
      <c r="AV1099" s="75"/>
      <c r="AW1099" s="75"/>
      <c r="AX1099" s="75"/>
      <c r="AY1099" s="75"/>
      <c r="AZ1099" s="75"/>
      <c r="BA1099" s="75"/>
      <c r="BB1099" s="75"/>
      <c r="BC1099" s="75"/>
      <c r="BD1099" s="75"/>
      <c r="BE1099" s="75"/>
      <c r="BF1099" s="75">
        <v>7.1249999999999994E-2</v>
      </c>
      <c r="BG1099" s="75"/>
      <c r="BH1099" s="75"/>
      <c r="BI1099" s="74">
        <f t="shared" si="35"/>
        <v>7.1249999999999994E-2</v>
      </c>
    </row>
    <row r="1100" spans="1:61" s="11" customFormat="1" x14ac:dyDescent="0.2">
      <c r="A1100" s="61"/>
      <c r="O1100" s="61"/>
      <c r="AU1100" s="281">
        <v>77172</v>
      </c>
      <c r="AV1100" s="75"/>
      <c r="AW1100" s="75"/>
      <c r="AX1100" s="75"/>
      <c r="AY1100" s="75"/>
      <c r="AZ1100" s="75"/>
      <c r="BA1100" s="75"/>
      <c r="BB1100" s="75"/>
      <c r="BC1100" s="75"/>
      <c r="BD1100" s="75"/>
      <c r="BE1100" s="75"/>
      <c r="BF1100" s="75">
        <v>7.1249999999999994E-2</v>
      </c>
      <c r="BG1100" s="75"/>
      <c r="BH1100" s="75"/>
      <c r="BI1100" s="74">
        <f t="shared" si="35"/>
        <v>7.1249999999999994E-2</v>
      </c>
    </row>
    <row r="1101" spans="1:61" s="11" customFormat="1" x14ac:dyDescent="0.2">
      <c r="A1101" s="61"/>
      <c r="O1101" s="61"/>
      <c r="AU1101" s="281">
        <v>77202</v>
      </c>
      <c r="AV1101" s="75"/>
      <c r="AW1101" s="75"/>
      <c r="AX1101" s="75"/>
      <c r="AY1101" s="75"/>
      <c r="AZ1101" s="75"/>
      <c r="BA1101" s="75"/>
      <c r="BB1101" s="75"/>
      <c r="BC1101" s="75"/>
      <c r="BD1101" s="75"/>
      <c r="BE1101" s="75"/>
      <c r="BF1101" s="75">
        <v>7.1249999999999994E-2</v>
      </c>
      <c r="BG1101" s="75"/>
      <c r="BH1101" s="75"/>
      <c r="BI1101" s="74">
        <f t="shared" si="35"/>
        <v>7.1249999999999994E-2</v>
      </c>
    </row>
    <row r="1102" spans="1:61" s="11" customFormat="1" x14ac:dyDescent="0.2">
      <c r="A1102" s="61"/>
      <c r="O1102" s="61"/>
      <c r="AU1102" s="281">
        <v>77233</v>
      </c>
      <c r="AV1102" s="75"/>
      <c r="AW1102" s="75"/>
      <c r="AX1102" s="75"/>
      <c r="AY1102" s="75"/>
      <c r="AZ1102" s="75"/>
      <c r="BA1102" s="75"/>
      <c r="BB1102" s="75"/>
      <c r="BC1102" s="75"/>
      <c r="BD1102" s="75"/>
      <c r="BE1102" s="75"/>
      <c r="BF1102" s="75">
        <v>7.1249999999999994E-2</v>
      </c>
      <c r="BG1102" s="75"/>
      <c r="BH1102" s="75"/>
      <c r="BI1102" s="74">
        <f t="shared" si="35"/>
        <v>7.1249999999999994E-2</v>
      </c>
    </row>
    <row r="1103" spans="1:61" s="11" customFormat="1" x14ac:dyDescent="0.2">
      <c r="A1103" s="61"/>
      <c r="O1103" s="61"/>
      <c r="AU1103" s="281">
        <v>77263</v>
      </c>
      <c r="AV1103" s="75"/>
      <c r="AW1103" s="75"/>
      <c r="AX1103" s="75"/>
      <c r="AY1103" s="75"/>
      <c r="AZ1103" s="75"/>
      <c r="BA1103" s="75"/>
      <c r="BB1103" s="75"/>
      <c r="BC1103" s="75"/>
      <c r="BD1103" s="75"/>
      <c r="BE1103" s="75"/>
      <c r="BF1103" s="75">
        <v>7.1249999999999994E-2</v>
      </c>
      <c r="BG1103" s="75"/>
      <c r="BH1103" s="75"/>
      <c r="BI1103" s="74">
        <f t="shared" si="35"/>
        <v>7.1249999999999994E-2</v>
      </c>
    </row>
    <row r="1104" spans="1:61" s="11" customFormat="1" x14ac:dyDescent="0.2">
      <c r="A1104" s="61"/>
      <c r="O1104" s="61"/>
      <c r="AU1104" s="281">
        <v>77294</v>
      </c>
      <c r="AV1104" s="75"/>
      <c r="AW1104" s="75"/>
      <c r="AX1104" s="75"/>
      <c r="AY1104" s="75"/>
      <c r="AZ1104" s="75"/>
      <c r="BA1104" s="75"/>
      <c r="BB1104" s="75"/>
      <c r="BC1104" s="75"/>
      <c r="BD1104" s="75"/>
      <c r="BE1104" s="75"/>
      <c r="BF1104" s="75">
        <v>7.1249999999999994E-2</v>
      </c>
      <c r="BG1104" s="75"/>
      <c r="BH1104" s="75"/>
      <c r="BI1104" s="74">
        <f t="shared" si="35"/>
        <v>7.1249999999999994E-2</v>
      </c>
    </row>
    <row r="1105" spans="1:61" s="11" customFormat="1" x14ac:dyDescent="0.2">
      <c r="A1105" s="61"/>
      <c r="O1105" s="61"/>
      <c r="AU1105" s="281">
        <v>77325</v>
      </c>
      <c r="AV1105" s="75"/>
      <c r="AW1105" s="75"/>
      <c r="AX1105" s="75"/>
      <c r="AY1105" s="75"/>
      <c r="AZ1105" s="75"/>
      <c r="BA1105" s="75"/>
      <c r="BB1105" s="75"/>
      <c r="BC1105" s="75"/>
      <c r="BD1105" s="75"/>
      <c r="BE1105" s="75"/>
      <c r="BF1105" s="75">
        <v>7.1249999999999994E-2</v>
      </c>
      <c r="BG1105" s="75"/>
      <c r="BH1105" s="75"/>
      <c r="BI1105" s="74">
        <f t="shared" si="35"/>
        <v>7.1249999999999994E-2</v>
      </c>
    </row>
    <row r="1106" spans="1:61" s="11" customFormat="1" x14ac:dyDescent="0.2">
      <c r="A1106" s="61"/>
      <c r="O1106" s="61"/>
      <c r="AU1106" s="281">
        <v>77355</v>
      </c>
      <c r="AV1106" s="75"/>
      <c r="AW1106" s="75"/>
      <c r="AX1106" s="75"/>
      <c r="AY1106" s="75"/>
      <c r="AZ1106" s="75"/>
      <c r="BA1106" s="75"/>
      <c r="BB1106" s="75"/>
      <c r="BC1106" s="75"/>
      <c r="BD1106" s="75"/>
      <c r="BE1106" s="75"/>
      <c r="BF1106" s="75">
        <v>7.1249999999999994E-2</v>
      </c>
      <c r="BG1106" s="75"/>
      <c r="BH1106" s="75"/>
      <c r="BI1106" s="74">
        <f t="shared" si="35"/>
        <v>7.1249999999999994E-2</v>
      </c>
    </row>
    <row r="1107" spans="1:61" s="11" customFormat="1" x14ac:dyDescent="0.2">
      <c r="A1107" s="61"/>
      <c r="O1107" s="61"/>
      <c r="AU1107" s="281">
        <v>77386</v>
      </c>
      <c r="AV1107" s="75"/>
      <c r="AW1107" s="75"/>
      <c r="AX1107" s="75"/>
      <c r="AY1107" s="75"/>
      <c r="AZ1107" s="75"/>
      <c r="BA1107" s="75"/>
      <c r="BB1107" s="75"/>
      <c r="BC1107" s="75"/>
      <c r="BD1107" s="75"/>
      <c r="BE1107" s="75"/>
      <c r="BF1107" s="75">
        <v>7.1249999999999994E-2</v>
      </c>
      <c r="BG1107" s="75"/>
      <c r="BH1107" s="75"/>
      <c r="BI1107" s="74">
        <f t="shared" si="35"/>
        <v>7.1249999999999994E-2</v>
      </c>
    </row>
    <row r="1108" spans="1:61" s="11" customFormat="1" x14ac:dyDescent="0.2">
      <c r="A1108" s="61"/>
      <c r="O1108" s="61"/>
      <c r="AU1108" s="281">
        <v>77416</v>
      </c>
      <c r="AV1108" s="75"/>
      <c r="AW1108" s="75"/>
      <c r="AX1108" s="75"/>
      <c r="AY1108" s="75"/>
      <c r="AZ1108" s="75"/>
      <c r="BA1108" s="75"/>
      <c r="BB1108" s="75"/>
      <c r="BC1108" s="75"/>
      <c r="BD1108" s="75"/>
      <c r="BE1108" s="75"/>
      <c r="BF1108" s="75">
        <v>7.1249999999999994E-2</v>
      </c>
      <c r="BG1108" s="75"/>
      <c r="BH1108" s="75"/>
      <c r="BI1108" s="74">
        <f t="shared" si="35"/>
        <v>7.1249999999999994E-2</v>
      </c>
    </row>
    <row r="1109" spans="1:61" s="11" customFormat="1" x14ac:dyDescent="0.2">
      <c r="A1109" s="61"/>
      <c r="O1109" s="61"/>
      <c r="AU1109" s="281">
        <v>77447</v>
      </c>
      <c r="AV1109" s="75"/>
      <c r="AW1109" s="75"/>
      <c r="AX1109" s="75"/>
      <c r="AY1109" s="75"/>
      <c r="AZ1109" s="75"/>
      <c r="BA1109" s="75"/>
      <c r="BB1109" s="75"/>
      <c r="BC1109" s="75"/>
      <c r="BD1109" s="75"/>
      <c r="BE1109" s="75"/>
      <c r="BF1109" s="75">
        <v>7.1249999999999994E-2</v>
      </c>
      <c r="BG1109" s="75"/>
      <c r="BH1109" s="75"/>
      <c r="BI1109" s="74">
        <f t="shared" si="35"/>
        <v>7.1249999999999994E-2</v>
      </c>
    </row>
    <row r="1110" spans="1:61" s="11" customFormat="1" x14ac:dyDescent="0.2">
      <c r="A1110" s="61"/>
      <c r="O1110" s="61"/>
      <c r="AU1110" s="281">
        <v>77478</v>
      </c>
      <c r="AV1110" s="75"/>
      <c r="AW1110" s="75"/>
      <c r="AX1110" s="75"/>
      <c r="AY1110" s="75"/>
      <c r="AZ1110" s="75"/>
      <c r="BA1110" s="75"/>
      <c r="BB1110" s="75"/>
      <c r="BC1110" s="75"/>
      <c r="BD1110" s="75"/>
      <c r="BE1110" s="75"/>
      <c r="BF1110" s="75">
        <v>7.1249999999999994E-2</v>
      </c>
      <c r="BG1110" s="75"/>
      <c r="BH1110" s="75"/>
      <c r="BI1110" s="74">
        <f t="shared" si="35"/>
        <v>7.1249999999999994E-2</v>
      </c>
    </row>
    <row r="1111" spans="1:61" s="11" customFormat="1" x14ac:dyDescent="0.2">
      <c r="A1111" s="61"/>
      <c r="O1111" s="61"/>
      <c r="AU1111" s="281">
        <v>77507</v>
      </c>
      <c r="AV1111" s="75"/>
      <c r="AW1111" s="75"/>
      <c r="AX1111" s="75"/>
      <c r="AY1111" s="75"/>
      <c r="AZ1111" s="75"/>
      <c r="BA1111" s="75"/>
      <c r="BB1111" s="75"/>
      <c r="BC1111" s="75"/>
      <c r="BD1111" s="75"/>
      <c r="BE1111" s="75"/>
      <c r="BF1111" s="75">
        <v>7.1249999999999994E-2</v>
      </c>
      <c r="BG1111" s="75"/>
      <c r="BH1111" s="75"/>
      <c r="BI1111" s="74">
        <f t="shared" si="35"/>
        <v>7.1249999999999994E-2</v>
      </c>
    </row>
    <row r="1112" spans="1:61" s="11" customFormat="1" x14ac:dyDescent="0.2">
      <c r="A1112" s="61"/>
      <c r="O1112" s="61"/>
      <c r="AU1112" s="281">
        <v>77538</v>
      </c>
      <c r="AV1112" s="75"/>
      <c r="AW1112" s="75"/>
      <c r="AX1112" s="75"/>
      <c r="AY1112" s="75"/>
      <c r="AZ1112" s="75"/>
      <c r="BA1112" s="75"/>
      <c r="BB1112" s="75"/>
      <c r="BC1112" s="75"/>
      <c r="BD1112" s="75"/>
      <c r="BE1112" s="75"/>
      <c r="BF1112" s="75">
        <v>7.1249999999999994E-2</v>
      </c>
      <c r="BG1112" s="75"/>
      <c r="BH1112" s="75"/>
      <c r="BI1112" s="74">
        <f t="shared" si="35"/>
        <v>7.1249999999999994E-2</v>
      </c>
    </row>
    <row r="1113" spans="1:61" s="11" customFormat="1" x14ac:dyDescent="0.2">
      <c r="A1113" s="61"/>
      <c r="O1113" s="61"/>
      <c r="AU1113" s="281">
        <v>77568</v>
      </c>
      <c r="AV1113" s="75"/>
      <c r="AW1113" s="75"/>
      <c r="AX1113" s="75"/>
      <c r="AY1113" s="75"/>
      <c r="AZ1113" s="75"/>
      <c r="BA1113" s="75"/>
      <c r="BB1113" s="75"/>
      <c r="BC1113" s="75"/>
      <c r="BD1113" s="75"/>
      <c r="BE1113" s="75"/>
      <c r="BF1113" s="75">
        <v>7.1249999999999994E-2</v>
      </c>
      <c r="BG1113" s="75"/>
      <c r="BH1113" s="75"/>
      <c r="BI1113" s="74">
        <f t="shared" si="35"/>
        <v>7.1249999999999994E-2</v>
      </c>
    </row>
    <row r="1114" spans="1:61" s="11" customFormat="1" x14ac:dyDescent="0.2">
      <c r="A1114" s="61"/>
      <c r="O1114" s="61"/>
      <c r="AU1114" s="281">
        <v>77599</v>
      </c>
      <c r="AV1114" s="75"/>
      <c r="AW1114" s="75"/>
      <c r="AX1114" s="75"/>
      <c r="AY1114" s="75"/>
      <c r="AZ1114" s="75"/>
      <c r="BA1114" s="75"/>
      <c r="BB1114" s="75"/>
      <c r="BC1114" s="75"/>
      <c r="BD1114" s="75"/>
      <c r="BE1114" s="75"/>
      <c r="BF1114" s="75">
        <v>7.1249999999999994E-2</v>
      </c>
      <c r="BG1114" s="75"/>
      <c r="BH1114" s="75"/>
      <c r="BI1114" s="74">
        <f t="shared" si="35"/>
        <v>7.1249999999999994E-2</v>
      </c>
    </row>
    <row r="1115" spans="1:61" s="11" customFormat="1" x14ac:dyDescent="0.2">
      <c r="A1115" s="61"/>
      <c r="O1115" s="61"/>
      <c r="AU1115" s="281">
        <v>77629</v>
      </c>
      <c r="AV1115" s="75"/>
      <c r="AW1115" s="75"/>
      <c r="AX1115" s="75"/>
      <c r="AY1115" s="75"/>
      <c r="AZ1115" s="75"/>
      <c r="BA1115" s="75"/>
      <c r="BB1115" s="75"/>
      <c r="BC1115" s="75"/>
      <c r="BD1115" s="75"/>
      <c r="BE1115" s="75"/>
      <c r="BF1115" s="75">
        <v>7.1249999999999994E-2</v>
      </c>
      <c r="BG1115" s="75"/>
      <c r="BH1115" s="75"/>
      <c r="BI1115" s="74">
        <f t="shared" si="35"/>
        <v>7.1249999999999994E-2</v>
      </c>
    </row>
    <row r="1116" spans="1:61" s="11" customFormat="1" x14ac:dyDescent="0.2">
      <c r="A1116" s="61"/>
      <c r="O1116" s="61"/>
      <c r="AU1116" s="281">
        <v>77660</v>
      </c>
      <c r="AV1116" s="75"/>
      <c r="AW1116" s="75"/>
      <c r="AX1116" s="75"/>
      <c r="AY1116" s="75"/>
      <c r="AZ1116" s="75"/>
      <c r="BA1116" s="75"/>
      <c r="BB1116" s="75"/>
      <c r="BC1116" s="75"/>
      <c r="BD1116" s="75"/>
      <c r="BE1116" s="75"/>
      <c r="BF1116" s="75">
        <v>7.1249999999999994E-2</v>
      </c>
      <c r="BG1116" s="75"/>
      <c r="BH1116" s="75"/>
      <c r="BI1116" s="74">
        <f t="shared" si="35"/>
        <v>7.1249999999999994E-2</v>
      </c>
    </row>
    <row r="1117" spans="1:61" s="11" customFormat="1" x14ac:dyDescent="0.2">
      <c r="A1117" s="61"/>
      <c r="O1117" s="61"/>
      <c r="AU1117" s="281">
        <v>77691</v>
      </c>
      <c r="AV1117" s="75"/>
      <c r="AW1117" s="75"/>
      <c r="AX1117" s="75"/>
      <c r="AY1117" s="75"/>
      <c r="AZ1117" s="75"/>
      <c r="BA1117" s="75"/>
      <c r="BB1117" s="75"/>
      <c r="BC1117" s="75"/>
      <c r="BD1117" s="75"/>
      <c r="BE1117" s="75"/>
      <c r="BF1117" s="75">
        <v>7.1249999999999994E-2</v>
      </c>
      <c r="BG1117" s="75"/>
      <c r="BH1117" s="75"/>
      <c r="BI1117" s="74">
        <f t="shared" si="35"/>
        <v>7.1249999999999994E-2</v>
      </c>
    </row>
    <row r="1118" spans="1:61" s="11" customFormat="1" x14ac:dyDescent="0.2">
      <c r="A1118" s="61"/>
      <c r="O1118" s="61"/>
      <c r="AU1118" s="281">
        <v>77721</v>
      </c>
      <c r="AV1118" s="75"/>
      <c r="AW1118" s="75"/>
      <c r="AX1118" s="75"/>
      <c r="AY1118" s="75"/>
      <c r="AZ1118" s="75"/>
      <c r="BA1118" s="75"/>
      <c r="BB1118" s="75"/>
      <c r="BC1118" s="75"/>
      <c r="BD1118" s="75"/>
      <c r="BE1118" s="75"/>
      <c r="BF1118" s="75">
        <v>7.1249999999999994E-2</v>
      </c>
      <c r="BG1118" s="75"/>
      <c r="BH1118" s="75"/>
      <c r="BI1118" s="74">
        <f t="shared" si="35"/>
        <v>7.1249999999999994E-2</v>
      </c>
    </row>
    <row r="1119" spans="1:61" s="11" customFormat="1" x14ac:dyDescent="0.2">
      <c r="A1119" s="61"/>
      <c r="O1119" s="61"/>
      <c r="AU1119" s="281">
        <v>77752</v>
      </c>
      <c r="AV1119" s="75"/>
      <c r="AW1119" s="75"/>
      <c r="AX1119" s="75"/>
      <c r="AY1119" s="75"/>
      <c r="AZ1119" s="75"/>
      <c r="BA1119" s="75"/>
      <c r="BB1119" s="75"/>
      <c r="BC1119" s="75"/>
      <c r="BD1119" s="75"/>
      <c r="BE1119" s="75"/>
      <c r="BF1119" s="75">
        <v>7.1249999999999994E-2</v>
      </c>
      <c r="BG1119" s="75"/>
      <c r="BH1119" s="75"/>
      <c r="BI1119" s="74">
        <f t="shared" si="35"/>
        <v>7.1249999999999994E-2</v>
      </c>
    </row>
    <row r="1120" spans="1:61" s="11" customFormat="1" x14ac:dyDescent="0.2">
      <c r="A1120" s="61"/>
      <c r="O1120" s="61"/>
      <c r="AU1120" s="281">
        <v>77782</v>
      </c>
      <c r="AV1120" s="75"/>
      <c r="AW1120" s="75"/>
      <c r="AX1120" s="75"/>
      <c r="AY1120" s="75"/>
      <c r="AZ1120" s="75"/>
      <c r="BA1120" s="75"/>
      <c r="BB1120" s="75"/>
      <c r="BC1120" s="75"/>
      <c r="BD1120" s="75"/>
      <c r="BE1120" s="75"/>
      <c r="BF1120" s="75">
        <v>7.1249999999999994E-2</v>
      </c>
      <c r="BG1120" s="75"/>
      <c r="BH1120" s="75"/>
      <c r="BI1120" s="74">
        <f t="shared" si="35"/>
        <v>7.1249999999999994E-2</v>
      </c>
    </row>
    <row r="1121" spans="1:61" s="11" customFormat="1" x14ac:dyDescent="0.2">
      <c r="A1121" s="61"/>
      <c r="O1121" s="61"/>
      <c r="AU1121" s="281">
        <v>77813</v>
      </c>
      <c r="AV1121" s="75"/>
      <c r="AW1121" s="75"/>
      <c r="AX1121" s="75"/>
      <c r="AY1121" s="75"/>
      <c r="AZ1121" s="75"/>
      <c r="BA1121" s="75"/>
      <c r="BB1121" s="75"/>
      <c r="BC1121" s="75"/>
      <c r="BD1121" s="75"/>
      <c r="BE1121" s="75"/>
      <c r="BF1121" s="75">
        <v>7.1249999999999994E-2</v>
      </c>
      <c r="BG1121" s="75"/>
      <c r="BH1121" s="75"/>
      <c r="BI1121" s="74">
        <f t="shared" si="35"/>
        <v>7.1249999999999994E-2</v>
      </c>
    </row>
    <row r="1122" spans="1:61" s="11" customFormat="1" x14ac:dyDescent="0.2">
      <c r="A1122" s="61"/>
      <c r="O1122" s="61"/>
      <c r="AU1122" s="281">
        <v>77844</v>
      </c>
      <c r="AV1122" s="75"/>
      <c r="AW1122" s="75"/>
      <c r="AX1122" s="75"/>
      <c r="AY1122" s="75"/>
      <c r="AZ1122" s="75"/>
      <c r="BA1122" s="75"/>
      <c r="BB1122" s="75"/>
      <c r="BC1122" s="75"/>
      <c r="BD1122" s="75"/>
      <c r="BE1122" s="75"/>
      <c r="BF1122" s="75">
        <v>7.1249999999999994E-2</v>
      </c>
      <c r="BG1122" s="75"/>
      <c r="BH1122" s="75"/>
      <c r="BI1122" s="74">
        <f t="shared" si="35"/>
        <v>7.1249999999999994E-2</v>
      </c>
    </row>
    <row r="1123" spans="1:61" s="11" customFormat="1" x14ac:dyDescent="0.2">
      <c r="A1123" s="61"/>
      <c r="O1123" s="61"/>
      <c r="AU1123" s="281">
        <v>77872</v>
      </c>
      <c r="AV1123" s="75"/>
      <c r="AW1123" s="75"/>
      <c r="AX1123" s="75"/>
      <c r="AY1123" s="75"/>
      <c r="AZ1123" s="75"/>
      <c r="BA1123" s="75"/>
      <c r="BB1123" s="75"/>
      <c r="BC1123" s="75"/>
      <c r="BD1123" s="75"/>
      <c r="BE1123" s="75"/>
      <c r="BF1123" s="75">
        <v>7.1249999999999994E-2</v>
      </c>
      <c r="BG1123" s="75"/>
      <c r="BH1123" s="75"/>
      <c r="BI1123" s="74">
        <f t="shared" si="35"/>
        <v>7.1249999999999994E-2</v>
      </c>
    </row>
    <row r="1124" spans="1:61" s="11" customFormat="1" x14ac:dyDescent="0.2">
      <c r="A1124" s="61"/>
      <c r="O1124" s="61"/>
      <c r="AU1124" s="281">
        <v>77903</v>
      </c>
      <c r="AV1124" s="75"/>
      <c r="AW1124" s="75"/>
      <c r="AX1124" s="75"/>
      <c r="AY1124" s="75"/>
      <c r="AZ1124" s="75"/>
      <c r="BA1124" s="75"/>
      <c r="BB1124" s="75"/>
      <c r="BC1124" s="75"/>
      <c r="BD1124" s="75"/>
      <c r="BE1124" s="75"/>
      <c r="BF1124" s="75">
        <v>7.1249999999999994E-2</v>
      </c>
      <c r="BG1124" s="75"/>
      <c r="BH1124" s="75"/>
      <c r="BI1124" s="74">
        <f t="shared" si="35"/>
        <v>7.1249999999999994E-2</v>
      </c>
    </row>
    <row r="1125" spans="1:61" s="11" customFormat="1" x14ac:dyDescent="0.2">
      <c r="A1125" s="61"/>
      <c r="O1125" s="61"/>
      <c r="AU1125" s="281">
        <v>77933</v>
      </c>
      <c r="AV1125" s="75"/>
      <c r="AW1125" s="75"/>
      <c r="AX1125" s="75"/>
      <c r="AY1125" s="75"/>
      <c r="AZ1125" s="75"/>
      <c r="BA1125" s="75"/>
      <c r="BB1125" s="75"/>
      <c r="BC1125" s="75"/>
      <c r="BD1125" s="75"/>
      <c r="BE1125" s="75"/>
      <c r="BF1125" s="75">
        <v>7.1249999999999994E-2</v>
      </c>
      <c r="BG1125" s="75"/>
      <c r="BH1125" s="75"/>
      <c r="BI1125" s="74">
        <f t="shared" si="35"/>
        <v>7.1249999999999994E-2</v>
      </c>
    </row>
    <row r="1126" spans="1:61" s="11" customFormat="1" x14ac:dyDescent="0.2">
      <c r="A1126" s="61"/>
      <c r="O1126" s="61"/>
      <c r="AU1126" s="281">
        <v>77964</v>
      </c>
      <c r="AV1126" s="75"/>
      <c r="AW1126" s="75"/>
      <c r="AX1126" s="75"/>
      <c r="AY1126" s="75"/>
      <c r="AZ1126" s="75"/>
      <c r="BA1126" s="75"/>
      <c r="BB1126" s="75"/>
      <c r="BC1126" s="75"/>
      <c r="BD1126" s="75"/>
      <c r="BE1126" s="75"/>
      <c r="BF1126" s="75">
        <v>7.1249999999999994E-2</v>
      </c>
      <c r="BG1126" s="75"/>
      <c r="BH1126" s="75"/>
      <c r="BI1126" s="74">
        <f t="shared" si="35"/>
        <v>7.1249999999999994E-2</v>
      </c>
    </row>
    <row r="1127" spans="1:61" s="11" customFormat="1" x14ac:dyDescent="0.2">
      <c r="A1127" s="61"/>
      <c r="O1127" s="61"/>
      <c r="AU1127" s="281">
        <v>77994</v>
      </c>
      <c r="AV1127" s="75"/>
      <c r="AW1127" s="75"/>
      <c r="AX1127" s="75"/>
      <c r="AY1127" s="75"/>
      <c r="AZ1127" s="75"/>
      <c r="BA1127" s="75"/>
      <c r="BB1127" s="75"/>
      <c r="BC1127" s="75"/>
      <c r="BD1127" s="75"/>
      <c r="BE1127" s="75"/>
      <c r="BF1127" s="75">
        <v>7.1249999999999994E-2</v>
      </c>
      <c r="BG1127" s="75"/>
      <c r="BH1127" s="75"/>
      <c r="BI1127" s="74">
        <f t="shared" si="35"/>
        <v>7.1249999999999994E-2</v>
      </c>
    </row>
    <row r="1128" spans="1:61" s="11" customFormat="1" x14ac:dyDescent="0.2">
      <c r="A1128" s="61"/>
      <c r="O1128" s="61"/>
      <c r="AU1128" s="281">
        <v>78025</v>
      </c>
      <c r="AV1128" s="75"/>
      <c r="AW1128" s="75"/>
      <c r="AX1128" s="75"/>
      <c r="AY1128" s="75"/>
      <c r="AZ1128" s="75"/>
      <c r="BA1128" s="75"/>
      <c r="BB1128" s="75"/>
      <c r="BC1128" s="75"/>
      <c r="BD1128" s="75"/>
      <c r="BE1128" s="75"/>
      <c r="BF1128" s="75">
        <v>7.1249999999999994E-2</v>
      </c>
      <c r="BG1128" s="75"/>
      <c r="BH1128" s="75"/>
      <c r="BI1128" s="74">
        <f t="shared" si="35"/>
        <v>7.1249999999999994E-2</v>
      </c>
    </row>
    <row r="1129" spans="1:61" s="11" customFormat="1" x14ac:dyDescent="0.2">
      <c r="A1129" s="61"/>
      <c r="O1129" s="61"/>
      <c r="AU1129" s="281">
        <v>78056</v>
      </c>
      <c r="AV1129" s="75"/>
      <c r="AW1129" s="75"/>
      <c r="AX1129" s="75"/>
      <c r="AY1129" s="75"/>
      <c r="AZ1129" s="75"/>
      <c r="BA1129" s="75"/>
      <c r="BB1129" s="75"/>
      <c r="BC1129" s="75"/>
      <c r="BD1129" s="75"/>
      <c r="BE1129" s="75"/>
      <c r="BF1129" s="75">
        <v>7.1249999999999994E-2</v>
      </c>
      <c r="BG1129" s="75"/>
      <c r="BH1129" s="75"/>
      <c r="BI1129" s="74">
        <f t="shared" si="35"/>
        <v>7.1249999999999994E-2</v>
      </c>
    </row>
    <row r="1130" spans="1:61" s="11" customFormat="1" x14ac:dyDescent="0.2">
      <c r="A1130" s="61"/>
      <c r="O1130" s="61"/>
      <c r="AU1130" s="281">
        <v>78086</v>
      </c>
      <c r="AV1130" s="75"/>
      <c r="AW1130" s="75"/>
      <c r="AX1130" s="75"/>
      <c r="AY1130" s="75"/>
      <c r="AZ1130" s="75"/>
      <c r="BA1130" s="75"/>
      <c r="BB1130" s="75"/>
      <c r="BC1130" s="75"/>
      <c r="BD1130" s="75"/>
      <c r="BE1130" s="75"/>
      <c r="BF1130" s="75">
        <v>7.1249999999999994E-2</v>
      </c>
      <c r="BG1130" s="75"/>
      <c r="BH1130" s="75"/>
      <c r="BI1130" s="74">
        <f t="shared" si="35"/>
        <v>7.1249999999999994E-2</v>
      </c>
    </row>
    <row r="1131" spans="1:61" s="11" customFormat="1" x14ac:dyDescent="0.2">
      <c r="A1131" s="61"/>
      <c r="O1131" s="61"/>
      <c r="AU1131" s="281">
        <v>78117</v>
      </c>
      <c r="AV1131" s="75"/>
      <c r="AW1131" s="75"/>
      <c r="AX1131" s="75"/>
      <c r="AY1131" s="75"/>
      <c r="AZ1131" s="75"/>
      <c r="BA1131" s="75"/>
      <c r="BB1131" s="75"/>
      <c r="BC1131" s="75"/>
      <c r="BD1131" s="75"/>
      <c r="BE1131" s="75"/>
      <c r="BF1131" s="75">
        <v>7.1249999999999994E-2</v>
      </c>
      <c r="BG1131" s="75"/>
      <c r="BH1131" s="75"/>
      <c r="BI1131" s="74">
        <f t="shared" si="35"/>
        <v>7.1249999999999994E-2</v>
      </c>
    </row>
    <row r="1132" spans="1:61" s="11" customFormat="1" x14ac:dyDescent="0.2">
      <c r="A1132" s="61"/>
      <c r="O1132" s="61"/>
      <c r="AU1132" s="281">
        <v>78147</v>
      </c>
      <c r="AV1132" s="75"/>
      <c r="AW1132" s="75"/>
      <c r="AX1132" s="75"/>
      <c r="AY1132" s="75"/>
      <c r="AZ1132" s="75"/>
      <c r="BA1132" s="75"/>
      <c r="BB1132" s="75"/>
      <c r="BC1132" s="75"/>
      <c r="BD1132" s="75"/>
      <c r="BE1132" s="75"/>
      <c r="BF1132" s="75">
        <v>7.1249999999999994E-2</v>
      </c>
      <c r="BG1132" s="75"/>
      <c r="BH1132" s="75"/>
      <c r="BI1132" s="74">
        <f t="shared" si="35"/>
        <v>7.1249999999999994E-2</v>
      </c>
    </row>
    <row r="1133" spans="1:61" s="11" customFormat="1" x14ac:dyDescent="0.2">
      <c r="A1133" s="61"/>
      <c r="O1133" s="61"/>
      <c r="AU1133" s="281">
        <v>78178</v>
      </c>
      <c r="AV1133" s="75"/>
      <c r="AW1133" s="75"/>
      <c r="AX1133" s="75"/>
      <c r="AY1133" s="75"/>
      <c r="AZ1133" s="75"/>
      <c r="BA1133" s="75"/>
      <c r="BB1133" s="75"/>
      <c r="BC1133" s="75"/>
      <c r="BD1133" s="75"/>
      <c r="BE1133" s="75"/>
      <c r="BF1133" s="75">
        <v>7.1249999999999994E-2</v>
      </c>
      <c r="BG1133" s="75"/>
      <c r="BH1133" s="75"/>
      <c r="BI1133" s="74">
        <f t="shared" si="35"/>
        <v>7.1249999999999994E-2</v>
      </c>
    </row>
    <row r="1134" spans="1:61" s="11" customFormat="1" x14ac:dyDescent="0.2">
      <c r="A1134" s="61"/>
      <c r="O1134" s="61"/>
      <c r="AU1134" s="281">
        <v>78209</v>
      </c>
      <c r="AV1134" s="75"/>
      <c r="AW1134" s="75"/>
      <c r="AX1134" s="75"/>
      <c r="AY1134" s="75"/>
      <c r="AZ1134" s="75"/>
      <c r="BA1134" s="75"/>
      <c r="BB1134" s="75"/>
      <c r="BC1134" s="75"/>
      <c r="BD1134" s="75"/>
      <c r="BE1134" s="75"/>
      <c r="BF1134" s="75">
        <v>7.1249999999999994E-2</v>
      </c>
      <c r="BG1134" s="75"/>
      <c r="BH1134" s="75"/>
      <c r="BI1134" s="74">
        <f t="shared" si="35"/>
        <v>7.1249999999999994E-2</v>
      </c>
    </row>
    <row r="1135" spans="1:61" s="11" customFormat="1" x14ac:dyDescent="0.2">
      <c r="A1135" s="61"/>
      <c r="O1135" s="61"/>
      <c r="AU1135" s="281">
        <v>78237</v>
      </c>
      <c r="AV1135" s="75"/>
      <c r="AW1135" s="75"/>
      <c r="AX1135" s="75"/>
      <c r="AY1135" s="75"/>
      <c r="AZ1135" s="75"/>
      <c r="BA1135" s="75"/>
      <c r="BB1135" s="75"/>
      <c r="BC1135" s="75"/>
      <c r="BD1135" s="75"/>
      <c r="BE1135" s="75"/>
      <c r="BF1135" s="75">
        <v>7.1249999999999994E-2</v>
      </c>
      <c r="BG1135" s="75"/>
      <c r="BH1135" s="75"/>
      <c r="BI1135" s="74">
        <f t="shared" si="35"/>
        <v>7.1249999999999994E-2</v>
      </c>
    </row>
    <row r="1136" spans="1:61" s="11" customFormat="1" x14ac:dyDescent="0.2">
      <c r="A1136" s="61"/>
      <c r="O1136" s="61"/>
      <c r="AU1136" s="281">
        <v>78268</v>
      </c>
      <c r="AV1136" s="75"/>
      <c r="AW1136" s="75"/>
      <c r="AX1136" s="75"/>
      <c r="AY1136" s="75"/>
      <c r="AZ1136" s="75"/>
      <c r="BA1136" s="75"/>
      <c r="BB1136" s="75"/>
      <c r="BC1136" s="75"/>
      <c r="BD1136" s="75"/>
      <c r="BE1136" s="75"/>
      <c r="BF1136" s="75">
        <v>7.1249999999999994E-2</v>
      </c>
      <c r="BG1136" s="75"/>
      <c r="BH1136" s="75"/>
      <c r="BI1136" s="74">
        <f t="shared" si="35"/>
        <v>7.1249999999999994E-2</v>
      </c>
    </row>
    <row r="1137" spans="1:61" s="11" customFormat="1" x14ac:dyDescent="0.2">
      <c r="A1137" s="61"/>
      <c r="O1137" s="61"/>
      <c r="AU1137" s="281">
        <v>78298</v>
      </c>
      <c r="AV1137" s="75"/>
      <c r="AW1137" s="75"/>
      <c r="AX1137" s="75"/>
      <c r="AY1137" s="75"/>
      <c r="AZ1137" s="75"/>
      <c r="BA1137" s="75"/>
      <c r="BB1137" s="75"/>
      <c r="BC1137" s="75"/>
      <c r="BD1137" s="75"/>
      <c r="BE1137" s="75"/>
      <c r="BF1137" s="75">
        <v>7.1249999999999994E-2</v>
      </c>
      <c r="BG1137" s="75"/>
      <c r="BH1137" s="75"/>
      <c r="BI1137" s="74">
        <f t="shared" si="35"/>
        <v>7.1249999999999994E-2</v>
      </c>
    </row>
    <row r="1138" spans="1:61" s="11" customFormat="1" x14ac:dyDescent="0.2">
      <c r="A1138" s="61"/>
      <c r="O1138" s="61"/>
      <c r="AU1138" s="281">
        <v>78329</v>
      </c>
      <c r="AV1138" s="75"/>
      <c r="AW1138" s="75"/>
      <c r="AX1138" s="75"/>
      <c r="AY1138" s="75"/>
      <c r="AZ1138" s="75"/>
      <c r="BA1138" s="75"/>
      <c r="BB1138" s="75"/>
      <c r="BC1138" s="75"/>
      <c r="BD1138" s="75"/>
      <c r="BE1138" s="75"/>
      <c r="BF1138" s="75">
        <v>7.1249999999999994E-2</v>
      </c>
      <c r="BG1138" s="75"/>
      <c r="BH1138" s="75"/>
      <c r="BI1138" s="74">
        <f t="shared" si="35"/>
        <v>7.1249999999999994E-2</v>
      </c>
    </row>
    <row r="1139" spans="1:61" s="11" customFormat="1" x14ac:dyDescent="0.2">
      <c r="A1139" s="61"/>
      <c r="O1139" s="61"/>
      <c r="AU1139" s="281">
        <v>78359</v>
      </c>
      <c r="AV1139" s="75"/>
      <c r="AW1139" s="75"/>
      <c r="AX1139" s="75"/>
      <c r="AY1139" s="75"/>
      <c r="AZ1139" s="75"/>
      <c r="BA1139" s="75"/>
      <c r="BB1139" s="75"/>
      <c r="BC1139" s="75"/>
      <c r="BD1139" s="75"/>
      <c r="BE1139" s="75"/>
      <c r="BF1139" s="75">
        <v>7.1249999999999994E-2</v>
      </c>
      <c r="BG1139" s="75"/>
      <c r="BH1139" s="75"/>
      <c r="BI1139" s="74">
        <f t="shared" si="35"/>
        <v>7.1249999999999994E-2</v>
      </c>
    </row>
    <row r="1140" spans="1:61" s="11" customFormat="1" x14ac:dyDescent="0.2">
      <c r="A1140" s="61"/>
      <c r="O1140" s="61"/>
      <c r="AU1140" s="281">
        <v>78390</v>
      </c>
      <c r="AV1140" s="75"/>
      <c r="AW1140" s="75"/>
      <c r="AX1140" s="75"/>
      <c r="AY1140" s="75"/>
      <c r="AZ1140" s="75"/>
      <c r="BA1140" s="75"/>
      <c r="BB1140" s="75"/>
      <c r="BC1140" s="75"/>
      <c r="BD1140" s="75"/>
      <c r="BE1140" s="75"/>
      <c r="BF1140" s="75">
        <v>7.1249999999999994E-2</v>
      </c>
      <c r="BG1140" s="75"/>
      <c r="BH1140" s="75"/>
      <c r="BI1140" s="74">
        <f t="shared" si="35"/>
        <v>7.1249999999999994E-2</v>
      </c>
    </row>
    <row r="1141" spans="1:61" s="11" customFormat="1" x14ac:dyDescent="0.2">
      <c r="A1141" s="61"/>
      <c r="O1141" s="61"/>
      <c r="AU1141" s="281">
        <v>78421</v>
      </c>
      <c r="AV1141" s="75"/>
      <c r="AW1141" s="75"/>
      <c r="AX1141" s="75"/>
      <c r="AY1141" s="75"/>
      <c r="AZ1141" s="75"/>
      <c r="BA1141" s="75"/>
      <c r="BB1141" s="75"/>
      <c r="BC1141" s="75"/>
      <c r="BD1141" s="75"/>
      <c r="BE1141" s="75"/>
      <c r="BF1141" s="75">
        <v>7.1249999999999994E-2</v>
      </c>
      <c r="BG1141" s="75"/>
      <c r="BH1141" s="75"/>
      <c r="BI1141" s="74">
        <f t="shared" si="35"/>
        <v>7.1249999999999994E-2</v>
      </c>
    </row>
    <row r="1142" spans="1:61" s="11" customFormat="1" x14ac:dyDescent="0.2">
      <c r="A1142" s="61"/>
      <c r="O1142" s="61"/>
      <c r="AU1142" s="281">
        <v>78451</v>
      </c>
      <c r="AV1142" s="75"/>
      <c r="AW1142" s="75"/>
      <c r="AX1142" s="75"/>
      <c r="AY1142" s="75"/>
      <c r="AZ1142" s="75"/>
      <c r="BA1142" s="75"/>
      <c r="BB1142" s="75"/>
      <c r="BC1142" s="75"/>
      <c r="BD1142" s="75"/>
      <c r="BE1142" s="75"/>
      <c r="BF1142" s="75">
        <v>7.1249999999999994E-2</v>
      </c>
      <c r="BG1142" s="75"/>
      <c r="BH1142" s="75"/>
      <c r="BI1142" s="74">
        <f t="shared" si="35"/>
        <v>7.1249999999999994E-2</v>
      </c>
    </row>
    <row r="1143" spans="1:61" s="11" customFormat="1" x14ac:dyDescent="0.2">
      <c r="A1143" s="61"/>
      <c r="O1143" s="61"/>
      <c r="AU1143" s="281">
        <v>78482</v>
      </c>
      <c r="AV1143" s="75"/>
      <c r="AW1143" s="75"/>
      <c r="AX1143" s="75"/>
      <c r="AY1143" s="75"/>
      <c r="AZ1143" s="75"/>
      <c r="BA1143" s="75"/>
      <c r="BB1143" s="75"/>
      <c r="BC1143" s="75"/>
      <c r="BD1143" s="75"/>
      <c r="BE1143" s="75"/>
      <c r="BF1143" s="75">
        <v>7.1249999999999994E-2</v>
      </c>
      <c r="BG1143" s="75"/>
      <c r="BH1143" s="75"/>
      <c r="BI1143" s="74">
        <f t="shared" si="35"/>
        <v>7.1249999999999994E-2</v>
      </c>
    </row>
    <row r="1144" spans="1:61" s="11" customFormat="1" x14ac:dyDescent="0.2">
      <c r="A1144" s="61"/>
      <c r="O1144" s="61"/>
      <c r="AU1144" s="281">
        <v>78512</v>
      </c>
      <c r="AV1144" s="75"/>
      <c r="AW1144" s="75"/>
      <c r="AX1144" s="75"/>
      <c r="AY1144" s="75"/>
      <c r="AZ1144" s="75"/>
      <c r="BA1144" s="75"/>
      <c r="BB1144" s="75"/>
      <c r="BC1144" s="75"/>
      <c r="BD1144" s="75"/>
      <c r="BE1144" s="75"/>
      <c r="BF1144" s="75">
        <v>7.1249999999999994E-2</v>
      </c>
      <c r="BG1144" s="75"/>
      <c r="BH1144" s="75"/>
      <c r="BI1144" s="74">
        <f t="shared" si="35"/>
        <v>7.1249999999999994E-2</v>
      </c>
    </row>
    <row r="1145" spans="1:61" s="11" customFormat="1" x14ac:dyDescent="0.2">
      <c r="A1145" s="61"/>
      <c r="O1145" s="61"/>
      <c r="AU1145" s="281">
        <v>78543</v>
      </c>
      <c r="AV1145" s="75"/>
      <c r="AW1145" s="75"/>
      <c r="AX1145" s="75"/>
      <c r="AY1145" s="75"/>
      <c r="AZ1145" s="75"/>
      <c r="BA1145" s="75"/>
      <c r="BB1145" s="75"/>
      <c r="BC1145" s="75"/>
      <c r="BD1145" s="75"/>
      <c r="BE1145" s="75"/>
      <c r="BF1145" s="75">
        <v>7.1249999999999994E-2</v>
      </c>
      <c r="BG1145" s="75"/>
      <c r="BH1145" s="75"/>
      <c r="BI1145" s="74">
        <f t="shared" si="35"/>
        <v>7.1249999999999994E-2</v>
      </c>
    </row>
    <row r="1146" spans="1:61" s="11" customFormat="1" x14ac:dyDescent="0.2">
      <c r="A1146" s="61"/>
      <c r="O1146" s="61"/>
      <c r="AU1146" s="281">
        <v>78574</v>
      </c>
      <c r="AV1146" s="75"/>
      <c r="AW1146" s="75"/>
      <c r="AX1146" s="75"/>
      <c r="AY1146" s="75"/>
      <c r="AZ1146" s="75"/>
      <c r="BA1146" s="75"/>
      <c r="BB1146" s="75"/>
      <c r="BC1146" s="75"/>
      <c r="BD1146" s="75"/>
      <c r="BE1146" s="75"/>
      <c r="BF1146" s="75">
        <v>7.1249999999999994E-2</v>
      </c>
      <c r="BG1146" s="75"/>
      <c r="BH1146" s="75"/>
      <c r="BI1146" s="74">
        <f t="shared" si="35"/>
        <v>7.1249999999999994E-2</v>
      </c>
    </row>
    <row r="1147" spans="1:61" s="11" customFormat="1" x14ac:dyDescent="0.2">
      <c r="A1147" s="61"/>
      <c r="O1147" s="61"/>
      <c r="AU1147" s="281">
        <v>78602</v>
      </c>
      <c r="AV1147" s="75"/>
      <c r="AW1147" s="75"/>
      <c r="AX1147" s="75"/>
      <c r="AY1147" s="75"/>
      <c r="AZ1147" s="75"/>
      <c r="BA1147" s="75"/>
      <c r="BB1147" s="75"/>
      <c r="BC1147" s="75"/>
      <c r="BD1147" s="75"/>
      <c r="BE1147" s="75"/>
      <c r="BF1147" s="75">
        <v>7.1249999999999994E-2</v>
      </c>
      <c r="BG1147" s="75"/>
      <c r="BH1147" s="75"/>
      <c r="BI1147" s="74">
        <f t="shared" si="35"/>
        <v>7.1249999999999994E-2</v>
      </c>
    </row>
    <row r="1148" spans="1:61" s="11" customFormat="1" x14ac:dyDescent="0.2">
      <c r="A1148" s="61"/>
      <c r="O1148" s="61"/>
      <c r="AU1148" s="281">
        <v>78633</v>
      </c>
      <c r="AV1148" s="75"/>
      <c r="AW1148" s="75"/>
      <c r="AX1148" s="75"/>
      <c r="AY1148" s="75"/>
      <c r="AZ1148" s="75"/>
      <c r="BA1148" s="75"/>
      <c r="BB1148" s="75"/>
      <c r="BC1148" s="75"/>
      <c r="BD1148" s="75"/>
      <c r="BE1148" s="75"/>
      <c r="BF1148" s="75">
        <v>7.1249999999999994E-2</v>
      </c>
      <c r="BG1148" s="75"/>
      <c r="BH1148" s="75"/>
      <c r="BI1148" s="74">
        <f t="shared" si="35"/>
        <v>7.1249999999999994E-2</v>
      </c>
    </row>
    <row r="1149" spans="1:61" s="11" customFormat="1" x14ac:dyDescent="0.2">
      <c r="A1149" s="61"/>
      <c r="O1149" s="61"/>
      <c r="AU1149" s="281">
        <v>78663</v>
      </c>
      <c r="AV1149" s="75"/>
      <c r="AW1149" s="75"/>
      <c r="AX1149" s="75"/>
      <c r="AY1149" s="75"/>
      <c r="AZ1149" s="75"/>
      <c r="BA1149" s="75"/>
      <c r="BB1149" s="75"/>
      <c r="BC1149" s="75"/>
      <c r="BD1149" s="75"/>
      <c r="BE1149" s="75"/>
      <c r="BF1149" s="75">
        <v>7.1249999999999994E-2</v>
      </c>
      <c r="BG1149" s="75"/>
      <c r="BH1149" s="75"/>
      <c r="BI1149" s="74">
        <f t="shared" si="35"/>
        <v>7.1249999999999994E-2</v>
      </c>
    </row>
    <row r="1150" spans="1:61" s="11" customFormat="1" x14ac:dyDescent="0.2">
      <c r="A1150" s="61"/>
      <c r="O1150" s="61"/>
      <c r="AU1150" s="281">
        <v>78694</v>
      </c>
      <c r="AV1150" s="75"/>
      <c r="AW1150" s="75"/>
      <c r="AX1150" s="75"/>
      <c r="AY1150" s="75"/>
      <c r="AZ1150" s="75"/>
      <c r="BA1150" s="75"/>
      <c r="BB1150" s="75"/>
      <c r="BC1150" s="75"/>
      <c r="BD1150" s="75"/>
      <c r="BE1150" s="75"/>
      <c r="BF1150" s="75">
        <v>7.1249999999999994E-2</v>
      </c>
      <c r="BG1150" s="75"/>
      <c r="BH1150" s="75"/>
      <c r="BI1150" s="74">
        <f t="shared" si="35"/>
        <v>7.1249999999999994E-2</v>
      </c>
    </row>
    <row r="1151" spans="1:61" s="11" customFormat="1" x14ac:dyDescent="0.2">
      <c r="A1151" s="61"/>
      <c r="O1151" s="61"/>
      <c r="AU1151" s="281">
        <v>78724</v>
      </c>
      <c r="AV1151" s="75"/>
      <c r="AW1151" s="75"/>
      <c r="AX1151" s="75"/>
      <c r="AY1151" s="75"/>
      <c r="AZ1151" s="75"/>
      <c r="BA1151" s="75"/>
      <c r="BB1151" s="75"/>
      <c r="BC1151" s="75"/>
      <c r="BD1151" s="75"/>
      <c r="BE1151" s="75"/>
      <c r="BF1151" s="75">
        <v>7.1249999999999994E-2</v>
      </c>
      <c r="BG1151" s="75"/>
      <c r="BH1151" s="75"/>
      <c r="BI1151" s="74">
        <f t="shared" si="35"/>
        <v>7.1249999999999994E-2</v>
      </c>
    </row>
    <row r="1152" spans="1:61" s="11" customFormat="1" x14ac:dyDescent="0.2">
      <c r="A1152" s="61"/>
      <c r="O1152" s="61"/>
      <c r="AU1152" s="281">
        <v>78755</v>
      </c>
      <c r="AV1152" s="75"/>
      <c r="AW1152" s="75"/>
      <c r="AX1152" s="75"/>
      <c r="AY1152" s="75"/>
      <c r="AZ1152" s="75"/>
      <c r="BA1152" s="75"/>
      <c r="BB1152" s="75"/>
      <c r="BC1152" s="75"/>
      <c r="BD1152" s="75"/>
      <c r="BE1152" s="75"/>
      <c r="BF1152" s="75">
        <v>7.1249999999999994E-2</v>
      </c>
      <c r="BG1152" s="75"/>
      <c r="BH1152" s="75"/>
      <c r="BI1152" s="74">
        <f t="shared" si="35"/>
        <v>7.1249999999999994E-2</v>
      </c>
    </row>
    <row r="1153" spans="1:61" s="11" customFormat="1" x14ac:dyDescent="0.2">
      <c r="A1153" s="61"/>
      <c r="O1153" s="61"/>
      <c r="AU1153" s="281">
        <v>78786</v>
      </c>
      <c r="AV1153" s="75"/>
      <c r="AW1153" s="75"/>
      <c r="AX1153" s="75"/>
      <c r="AY1153" s="75"/>
      <c r="AZ1153" s="75"/>
      <c r="BA1153" s="75"/>
      <c r="BB1153" s="75"/>
      <c r="BC1153" s="75"/>
      <c r="BD1153" s="75"/>
      <c r="BE1153" s="75"/>
      <c r="BF1153" s="75">
        <v>7.1249999999999994E-2</v>
      </c>
      <c r="BG1153" s="75"/>
      <c r="BH1153" s="75"/>
      <c r="BI1153" s="74">
        <f t="shared" si="35"/>
        <v>7.1249999999999994E-2</v>
      </c>
    </row>
    <row r="1154" spans="1:61" s="11" customFormat="1" x14ac:dyDescent="0.2">
      <c r="A1154" s="61"/>
      <c r="O1154" s="61"/>
      <c r="AU1154" s="281">
        <v>78816</v>
      </c>
      <c r="AV1154" s="75"/>
      <c r="AW1154" s="75"/>
      <c r="AX1154" s="75"/>
      <c r="AY1154" s="75"/>
      <c r="AZ1154" s="75"/>
      <c r="BA1154" s="75"/>
      <c r="BB1154" s="75"/>
      <c r="BC1154" s="75"/>
      <c r="BD1154" s="75"/>
      <c r="BE1154" s="75"/>
      <c r="BF1154" s="75">
        <v>7.1249999999999994E-2</v>
      </c>
      <c r="BG1154" s="75"/>
      <c r="BH1154" s="75"/>
      <c r="BI1154" s="74">
        <f t="shared" si="35"/>
        <v>7.1249999999999994E-2</v>
      </c>
    </row>
    <row r="1155" spans="1:61" s="11" customFormat="1" x14ac:dyDescent="0.2">
      <c r="A1155" s="61"/>
      <c r="O1155" s="61"/>
      <c r="AU1155" s="281">
        <v>78847</v>
      </c>
      <c r="AV1155" s="75"/>
      <c r="AW1155" s="75"/>
      <c r="AX1155" s="75"/>
      <c r="AY1155" s="75"/>
      <c r="AZ1155" s="75"/>
      <c r="BA1155" s="75"/>
      <c r="BB1155" s="75"/>
      <c r="BC1155" s="75"/>
      <c r="BD1155" s="75"/>
      <c r="BE1155" s="75"/>
      <c r="BF1155" s="75">
        <v>7.1249999999999994E-2</v>
      </c>
      <c r="BG1155" s="75"/>
      <c r="BH1155" s="75"/>
      <c r="BI1155" s="74">
        <f t="shared" si="35"/>
        <v>7.1249999999999994E-2</v>
      </c>
    </row>
    <row r="1156" spans="1:61" s="11" customFormat="1" x14ac:dyDescent="0.2">
      <c r="A1156" s="61"/>
      <c r="O1156" s="61"/>
      <c r="AU1156" s="281">
        <v>78877</v>
      </c>
      <c r="AV1156" s="75"/>
      <c r="AW1156" s="75"/>
      <c r="AX1156" s="75"/>
      <c r="AY1156" s="75"/>
      <c r="AZ1156" s="75"/>
      <c r="BA1156" s="75"/>
      <c r="BB1156" s="75"/>
      <c r="BC1156" s="75"/>
      <c r="BD1156" s="75"/>
      <c r="BE1156" s="75"/>
      <c r="BF1156" s="75">
        <v>7.1249999999999994E-2</v>
      </c>
      <c r="BG1156" s="75"/>
      <c r="BH1156" s="75"/>
      <c r="BI1156" s="74">
        <f t="shared" si="35"/>
        <v>7.1249999999999994E-2</v>
      </c>
    </row>
    <row r="1157" spans="1:61" s="11" customFormat="1" x14ac:dyDescent="0.2">
      <c r="A1157" s="61"/>
      <c r="O1157" s="61"/>
      <c r="AU1157" s="281">
        <v>78908</v>
      </c>
      <c r="AV1157" s="75"/>
      <c r="AW1157" s="75"/>
      <c r="AX1157" s="75"/>
      <c r="AY1157" s="75"/>
      <c r="AZ1157" s="75"/>
      <c r="BA1157" s="75"/>
      <c r="BB1157" s="75"/>
      <c r="BC1157" s="75"/>
      <c r="BD1157" s="75"/>
      <c r="BE1157" s="75"/>
      <c r="BF1157" s="75">
        <v>7.1249999999999994E-2</v>
      </c>
      <c r="BG1157" s="75"/>
      <c r="BH1157" s="75"/>
      <c r="BI1157" s="74">
        <f t="shared" si="35"/>
        <v>7.1249999999999994E-2</v>
      </c>
    </row>
    <row r="1158" spans="1:61" s="11" customFormat="1" x14ac:dyDescent="0.2">
      <c r="A1158" s="61"/>
      <c r="O1158" s="61"/>
      <c r="AU1158" s="281">
        <v>78939</v>
      </c>
      <c r="AV1158" s="75"/>
      <c r="AW1158" s="75"/>
      <c r="AX1158" s="75"/>
      <c r="AY1158" s="75"/>
      <c r="AZ1158" s="75"/>
      <c r="BA1158" s="75"/>
      <c r="BB1158" s="75"/>
      <c r="BC1158" s="75"/>
      <c r="BD1158" s="75"/>
      <c r="BE1158" s="75"/>
      <c r="BF1158" s="75">
        <v>7.1249999999999994E-2</v>
      </c>
      <c r="BG1158" s="75"/>
      <c r="BH1158" s="75"/>
      <c r="BI1158" s="74">
        <f t="shared" si="35"/>
        <v>7.1249999999999994E-2</v>
      </c>
    </row>
    <row r="1159" spans="1:61" s="11" customFormat="1" x14ac:dyDescent="0.2">
      <c r="A1159" s="61"/>
      <c r="O1159" s="61"/>
      <c r="AU1159" s="281">
        <v>78968</v>
      </c>
      <c r="AV1159" s="75"/>
      <c r="AW1159" s="75"/>
      <c r="AX1159" s="75"/>
      <c r="AY1159" s="75"/>
      <c r="AZ1159" s="75"/>
      <c r="BA1159" s="75"/>
      <c r="BB1159" s="75"/>
      <c r="BC1159" s="75"/>
      <c r="BD1159" s="75"/>
      <c r="BE1159" s="75"/>
      <c r="BF1159" s="75">
        <v>7.1249999999999994E-2</v>
      </c>
      <c r="BG1159" s="75"/>
      <c r="BH1159" s="75"/>
      <c r="BI1159" s="74">
        <f t="shared" si="35"/>
        <v>7.1249999999999994E-2</v>
      </c>
    </row>
    <row r="1160" spans="1:61" s="11" customFormat="1" x14ac:dyDescent="0.2">
      <c r="A1160" s="61"/>
      <c r="O1160" s="61"/>
      <c r="AU1160" s="281">
        <v>78999</v>
      </c>
      <c r="AV1160" s="75"/>
      <c r="AW1160" s="75"/>
      <c r="AX1160" s="75"/>
      <c r="AY1160" s="75"/>
      <c r="AZ1160" s="75"/>
      <c r="BA1160" s="75"/>
      <c r="BB1160" s="75"/>
      <c r="BC1160" s="75"/>
      <c r="BD1160" s="75"/>
      <c r="BE1160" s="75"/>
      <c r="BF1160" s="75">
        <v>7.1249999999999994E-2</v>
      </c>
      <c r="BG1160" s="75"/>
      <c r="BH1160" s="75"/>
      <c r="BI1160" s="74">
        <f t="shared" si="35"/>
        <v>7.1249999999999994E-2</v>
      </c>
    </row>
    <row r="1161" spans="1:61" s="11" customFormat="1" x14ac:dyDescent="0.2">
      <c r="A1161" s="61"/>
      <c r="O1161" s="61"/>
      <c r="AU1161" s="281">
        <v>79029</v>
      </c>
      <c r="AV1161" s="75"/>
      <c r="AW1161" s="75"/>
      <c r="AX1161" s="75"/>
      <c r="AY1161" s="75"/>
      <c r="AZ1161" s="75"/>
      <c r="BA1161" s="75"/>
      <c r="BB1161" s="75"/>
      <c r="BC1161" s="75"/>
      <c r="BD1161" s="75"/>
      <c r="BE1161" s="75"/>
      <c r="BF1161" s="75">
        <v>7.1249999999999994E-2</v>
      </c>
      <c r="BG1161" s="75"/>
      <c r="BH1161" s="75"/>
      <c r="BI1161" s="74">
        <f t="shared" ref="BI1161:BI1174" si="36">+AVERAGE(AV1161:BH1161)</f>
        <v>7.1249999999999994E-2</v>
      </c>
    </row>
    <row r="1162" spans="1:61" s="11" customFormat="1" x14ac:dyDescent="0.2">
      <c r="A1162" s="61"/>
      <c r="O1162" s="61"/>
      <c r="AU1162" s="281">
        <v>79060</v>
      </c>
      <c r="AV1162" s="75"/>
      <c r="AW1162" s="75"/>
      <c r="AX1162" s="75"/>
      <c r="AY1162" s="75"/>
      <c r="AZ1162" s="75"/>
      <c r="BA1162" s="75"/>
      <c r="BB1162" s="75"/>
      <c r="BC1162" s="75"/>
      <c r="BD1162" s="75"/>
      <c r="BE1162" s="75"/>
      <c r="BF1162" s="75">
        <v>7.1249999999999994E-2</v>
      </c>
      <c r="BG1162" s="75"/>
      <c r="BH1162" s="75"/>
      <c r="BI1162" s="74">
        <f t="shared" si="36"/>
        <v>7.1249999999999994E-2</v>
      </c>
    </row>
    <row r="1163" spans="1:61" s="11" customFormat="1" x14ac:dyDescent="0.2">
      <c r="A1163" s="61"/>
      <c r="O1163" s="61"/>
      <c r="AU1163" s="281">
        <v>79090</v>
      </c>
      <c r="AV1163" s="75"/>
      <c r="AW1163" s="75"/>
      <c r="AX1163" s="75"/>
      <c r="AY1163" s="75"/>
      <c r="AZ1163" s="75"/>
      <c r="BA1163" s="75"/>
      <c r="BB1163" s="75"/>
      <c r="BC1163" s="75"/>
      <c r="BD1163" s="75"/>
      <c r="BE1163" s="75"/>
      <c r="BF1163" s="75">
        <v>7.1249999999999994E-2</v>
      </c>
      <c r="BG1163" s="75"/>
      <c r="BH1163" s="75"/>
      <c r="BI1163" s="74">
        <f t="shared" si="36"/>
        <v>7.1249999999999994E-2</v>
      </c>
    </row>
    <row r="1164" spans="1:61" s="11" customFormat="1" x14ac:dyDescent="0.2">
      <c r="A1164" s="61"/>
      <c r="O1164" s="61"/>
      <c r="AU1164" s="281">
        <v>79121</v>
      </c>
      <c r="AV1164" s="75"/>
      <c r="AW1164" s="75"/>
      <c r="AX1164" s="75"/>
      <c r="AY1164" s="75"/>
      <c r="AZ1164" s="75"/>
      <c r="BA1164" s="75"/>
      <c r="BB1164" s="75"/>
      <c r="BC1164" s="75"/>
      <c r="BD1164" s="75"/>
      <c r="BE1164" s="75"/>
      <c r="BF1164" s="75">
        <v>7.1249999999999994E-2</v>
      </c>
      <c r="BG1164" s="75"/>
      <c r="BH1164" s="75"/>
      <c r="BI1164" s="74">
        <f t="shared" si="36"/>
        <v>7.1249999999999994E-2</v>
      </c>
    </row>
    <row r="1165" spans="1:61" s="11" customFormat="1" x14ac:dyDescent="0.2">
      <c r="A1165" s="61"/>
      <c r="O1165" s="61"/>
      <c r="AU1165" s="281">
        <v>79152</v>
      </c>
      <c r="AV1165" s="75"/>
      <c r="AW1165" s="75"/>
      <c r="AX1165" s="75"/>
      <c r="AY1165" s="75"/>
      <c r="AZ1165" s="75"/>
      <c r="BA1165" s="75"/>
      <c r="BB1165" s="75"/>
      <c r="BC1165" s="75"/>
      <c r="BD1165" s="75"/>
      <c r="BE1165" s="75"/>
      <c r="BF1165" s="75">
        <v>7.1249999999999994E-2</v>
      </c>
      <c r="BG1165" s="75"/>
      <c r="BH1165" s="75"/>
      <c r="BI1165" s="74">
        <f t="shared" si="36"/>
        <v>7.1249999999999994E-2</v>
      </c>
    </row>
    <row r="1166" spans="1:61" s="11" customFormat="1" x14ac:dyDescent="0.2">
      <c r="A1166" s="61"/>
      <c r="O1166" s="61"/>
      <c r="AU1166" s="281">
        <v>79182</v>
      </c>
      <c r="AV1166" s="75"/>
      <c r="AW1166" s="75"/>
      <c r="AX1166" s="75"/>
      <c r="AY1166" s="75"/>
      <c r="AZ1166" s="75"/>
      <c r="BA1166" s="75"/>
      <c r="BB1166" s="75"/>
      <c r="BC1166" s="75"/>
      <c r="BD1166" s="75"/>
      <c r="BE1166" s="75"/>
      <c r="BF1166" s="75">
        <v>7.1249999999999994E-2</v>
      </c>
      <c r="BG1166" s="75"/>
      <c r="BH1166" s="75"/>
      <c r="BI1166" s="74">
        <f t="shared" si="36"/>
        <v>7.1249999999999994E-2</v>
      </c>
    </row>
    <row r="1167" spans="1:61" s="11" customFormat="1" x14ac:dyDescent="0.2">
      <c r="A1167" s="61"/>
      <c r="O1167" s="61"/>
      <c r="AU1167" s="281">
        <v>79213</v>
      </c>
      <c r="AV1167" s="75"/>
      <c r="AW1167" s="75"/>
      <c r="AX1167" s="75"/>
      <c r="AY1167" s="75"/>
      <c r="AZ1167" s="75"/>
      <c r="BA1167" s="75"/>
      <c r="BB1167" s="75"/>
      <c r="BC1167" s="75"/>
      <c r="BD1167" s="75"/>
      <c r="BE1167" s="75"/>
      <c r="BF1167" s="75">
        <v>7.1249999999999994E-2</v>
      </c>
      <c r="BG1167" s="75"/>
      <c r="BH1167" s="75"/>
      <c r="BI1167" s="74">
        <f t="shared" si="36"/>
        <v>7.1249999999999994E-2</v>
      </c>
    </row>
    <row r="1168" spans="1:61" s="11" customFormat="1" x14ac:dyDescent="0.2">
      <c r="A1168" s="61"/>
      <c r="O1168" s="61"/>
      <c r="AU1168" s="281">
        <v>79243</v>
      </c>
      <c r="AV1168" s="75"/>
      <c r="AW1168" s="75"/>
      <c r="AX1168" s="75"/>
      <c r="AY1168" s="75"/>
      <c r="AZ1168" s="75"/>
      <c r="BA1168" s="75"/>
      <c r="BB1168" s="75"/>
      <c r="BC1168" s="75"/>
      <c r="BD1168" s="75"/>
      <c r="BE1168" s="75"/>
      <c r="BF1168" s="75">
        <v>7.1249999999999994E-2</v>
      </c>
      <c r="BG1168" s="75"/>
      <c r="BH1168" s="75"/>
      <c r="BI1168" s="74">
        <f t="shared" si="36"/>
        <v>7.1249999999999994E-2</v>
      </c>
    </row>
    <row r="1169" spans="1:61" s="11" customFormat="1" x14ac:dyDescent="0.2">
      <c r="A1169" s="61"/>
      <c r="O1169" s="61"/>
      <c r="AU1169" s="281">
        <v>79274</v>
      </c>
      <c r="AV1169" s="75"/>
      <c r="AW1169" s="75"/>
      <c r="AX1169" s="75"/>
      <c r="AY1169" s="75"/>
      <c r="AZ1169" s="75"/>
      <c r="BA1169" s="75"/>
      <c r="BB1169" s="75"/>
      <c r="BC1169" s="75"/>
      <c r="BD1169" s="75"/>
      <c r="BE1169" s="75"/>
      <c r="BF1169" s="75">
        <v>7.1249999999999994E-2</v>
      </c>
      <c r="BG1169" s="75"/>
      <c r="BH1169" s="75"/>
      <c r="BI1169" s="74">
        <f t="shared" si="36"/>
        <v>7.1249999999999994E-2</v>
      </c>
    </row>
    <row r="1170" spans="1:61" s="11" customFormat="1" x14ac:dyDescent="0.2">
      <c r="A1170" s="61"/>
      <c r="O1170" s="61"/>
      <c r="AU1170" s="281">
        <v>79305</v>
      </c>
      <c r="AV1170" s="75"/>
      <c r="AW1170" s="75"/>
      <c r="AX1170" s="75"/>
      <c r="AY1170" s="75"/>
      <c r="AZ1170" s="75"/>
      <c r="BA1170" s="75"/>
      <c r="BB1170" s="75"/>
      <c r="BC1170" s="75"/>
      <c r="BD1170" s="75"/>
      <c r="BE1170" s="75"/>
      <c r="BF1170" s="75">
        <v>7.1249999999999994E-2</v>
      </c>
      <c r="BG1170" s="75"/>
      <c r="BH1170" s="75"/>
      <c r="BI1170" s="74">
        <f t="shared" si="36"/>
        <v>7.1249999999999994E-2</v>
      </c>
    </row>
    <row r="1171" spans="1:61" s="11" customFormat="1" x14ac:dyDescent="0.2">
      <c r="A1171" s="61"/>
      <c r="O1171" s="61"/>
      <c r="AU1171" s="281">
        <v>79333</v>
      </c>
      <c r="AV1171" s="75"/>
      <c r="AW1171" s="75"/>
      <c r="AX1171" s="75"/>
      <c r="AY1171" s="75"/>
      <c r="AZ1171" s="75"/>
      <c r="BA1171" s="75"/>
      <c r="BB1171" s="75"/>
      <c r="BC1171" s="75"/>
      <c r="BD1171" s="75"/>
      <c r="BE1171" s="75"/>
      <c r="BF1171" s="75">
        <v>7.1249999999999994E-2</v>
      </c>
      <c r="BG1171" s="75"/>
      <c r="BH1171" s="75"/>
      <c r="BI1171" s="74">
        <f t="shared" si="36"/>
        <v>7.1249999999999994E-2</v>
      </c>
    </row>
    <row r="1172" spans="1:61" s="11" customFormat="1" x14ac:dyDescent="0.2">
      <c r="A1172" s="61"/>
      <c r="O1172" s="61"/>
      <c r="AU1172" s="281">
        <v>79364</v>
      </c>
      <c r="AV1172" s="75"/>
      <c r="AW1172" s="75"/>
      <c r="AX1172" s="75"/>
      <c r="AY1172" s="75"/>
      <c r="AZ1172" s="75"/>
      <c r="BA1172" s="75"/>
      <c r="BB1172" s="75"/>
      <c r="BC1172" s="75"/>
      <c r="BD1172" s="75"/>
      <c r="BE1172" s="75"/>
      <c r="BF1172" s="75">
        <v>7.1249999999999994E-2</v>
      </c>
      <c r="BG1172" s="75"/>
      <c r="BH1172" s="75"/>
      <c r="BI1172" s="74">
        <f t="shared" si="36"/>
        <v>7.1249999999999994E-2</v>
      </c>
    </row>
    <row r="1173" spans="1:61" s="11" customFormat="1" x14ac:dyDescent="0.2">
      <c r="A1173" s="61"/>
      <c r="O1173" s="61"/>
      <c r="AU1173" s="281">
        <v>79394</v>
      </c>
      <c r="AV1173" s="75"/>
      <c r="AW1173" s="75"/>
      <c r="AX1173" s="75"/>
      <c r="AY1173" s="75"/>
      <c r="AZ1173" s="75"/>
      <c r="BA1173" s="75"/>
      <c r="BB1173" s="75"/>
      <c r="BC1173" s="75"/>
      <c r="BD1173" s="75"/>
      <c r="BE1173" s="75"/>
      <c r="BF1173" s="75">
        <v>7.1249999999999994E-2</v>
      </c>
      <c r="BG1173" s="75"/>
      <c r="BH1173" s="75"/>
      <c r="BI1173" s="74">
        <f t="shared" si="36"/>
        <v>7.1249999999999994E-2</v>
      </c>
    </row>
    <row r="1174" spans="1:61" s="11" customFormat="1" x14ac:dyDescent="0.2">
      <c r="A1174" s="61"/>
      <c r="O1174" s="61"/>
      <c r="AU1174" s="281">
        <v>79425</v>
      </c>
      <c r="AV1174" s="80"/>
      <c r="AW1174" s="80"/>
      <c r="AX1174" s="80"/>
      <c r="AY1174" s="80"/>
      <c r="AZ1174" s="80"/>
      <c r="BA1174" s="80"/>
      <c r="BB1174" s="80"/>
      <c r="BC1174" s="80"/>
      <c r="BD1174" s="80"/>
      <c r="BE1174" s="80"/>
      <c r="BF1174" s="80">
        <v>7.1249999999999994E-2</v>
      </c>
      <c r="BG1174" s="80"/>
      <c r="BH1174" s="80"/>
      <c r="BI1174" s="82">
        <f t="shared" si="36"/>
        <v>7.1249999999999994E-2</v>
      </c>
    </row>
    <row r="1175" spans="1:61" s="11" customFormat="1" x14ac:dyDescent="0.2">
      <c r="A1175" s="61"/>
      <c r="O1175" s="61"/>
    </row>
    <row r="1176" spans="1:61" s="11" customFormat="1" x14ac:dyDescent="0.2">
      <c r="A1176" s="61"/>
      <c r="O1176" s="61"/>
    </row>
    <row r="1177" spans="1:61" s="11" customFormat="1" x14ac:dyDescent="0.2">
      <c r="A1177" s="61"/>
      <c r="O1177" s="61"/>
    </row>
    <row r="1178" spans="1:61" s="11" customFormat="1" x14ac:dyDescent="0.2">
      <c r="A1178" s="61"/>
      <c r="O1178" s="61"/>
    </row>
    <row r="1179" spans="1:61" s="11" customFormat="1" x14ac:dyDescent="0.2">
      <c r="A1179" s="61"/>
      <c r="O1179" s="61"/>
    </row>
    <row r="1180" spans="1:61" s="11" customFormat="1" x14ac:dyDescent="0.2">
      <c r="A1180" s="61"/>
      <c r="O1180" s="61"/>
    </row>
    <row r="1181" spans="1:61" s="11" customFormat="1" x14ac:dyDescent="0.2">
      <c r="A1181" s="61"/>
      <c r="O1181" s="61"/>
    </row>
    <row r="1182" spans="1:61" s="11" customFormat="1" x14ac:dyDescent="0.2">
      <c r="A1182" s="61"/>
      <c r="O1182" s="61"/>
    </row>
    <row r="1183" spans="1:61" s="11" customFormat="1" x14ac:dyDescent="0.2">
      <c r="A1183" s="61"/>
      <c r="O1183" s="61"/>
    </row>
    <row r="1184" spans="1:61" s="11" customFormat="1" x14ac:dyDescent="0.2">
      <c r="A1184" s="61"/>
      <c r="O1184" s="61"/>
    </row>
    <row r="1185" spans="1:15" s="11" customFormat="1" x14ac:dyDescent="0.2">
      <c r="A1185" s="61"/>
      <c r="O1185" s="61"/>
    </row>
    <row r="1186" spans="1:15" s="11" customFormat="1" x14ac:dyDescent="0.2">
      <c r="A1186" s="61"/>
      <c r="O1186" s="61"/>
    </row>
    <row r="1187" spans="1:15" s="11" customFormat="1" x14ac:dyDescent="0.2">
      <c r="A1187" s="61"/>
      <c r="O1187" s="61"/>
    </row>
    <row r="1188" spans="1:15" s="11" customFormat="1" x14ac:dyDescent="0.2">
      <c r="A1188" s="61"/>
      <c r="O1188" s="61"/>
    </row>
    <row r="1189" spans="1:15" s="11" customFormat="1" x14ac:dyDescent="0.2">
      <c r="A1189" s="61"/>
      <c r="O1189" s="61"/>
    </row>
    <row r="1190" spans="1:15" s="11" customFormat="1" x14ac:dyDescent="0.2">
      <c r="A1190" s="61"/>
      <c r="O1190" s="61"/>
    </row>
    <row r="1191" spans="1:15" s="11" customFormat="1" x14ac:dyDescent="0.2">
      <c r="A1191" s="61"/>
      <c r="O1191" s="61"/>
    </row>
    <row r="1192" spans="1:15" s="11" customFormat="1" x14ac:dyDescent="0.2">
      <c r="A1192" s="61"/>
      <c r="O1192" s="61"/>
    </row>
    <row r="1193" spans="1:15" s="11" customFormat="1" x14ac:dyDescent="0.2">
      <c r="A1193" s="61"/>
      <c r="O1193" s="61"/>
    </row>
    <row r="1194" spans="1:15" s="11" customFormat="1" x14ac:dyDescent="0.2">
      <c r="A1194" s="61"/>
      <c r="O1194" s="61"/>
    </row>
    <row r="1195" spans="1:15" s="11" customFormat="1" x14ac:dyDescent="0.2">
      <c r="A1195" s="61"/>
      <c r="O1195" s="61"/>
    </row>
    <row r="1196" spans="1:15" s="11" customFormat="1" x14ac:dyDescent="0.2">
      <c r="A1196" s="61"/>
      <c r="O1196" s="61"/>
    </row>
    <row r="1197" spans="1:15" s="11" customFormat="1" x14ac:dyDescent="0.2">
      <c r="A1197" s="61"/>
      <c r="O1197" s="61"/>
    </row>
    <row r="1198" spans="1:15" s="11" customFormat="1" x14ac:dyDescent="0.2">
      <c r="A1198" s="61"/>
      <c r="O1198" s="61"/>
    </row>
    <row r="1199" spans="1:15" s="11" customFormat="1" x14ac:dyDescent="0.2">
      <c r="A1199" s="61"/>
      <c r="O1199" s="61"/>
    </row>
    <row r="1200" spans="1:15" s="11" customFormat="1" x14ac:dyDescent="0.2">
      <c r="A1200" s="61"/>
      <c r="O1200" s="61"/>
    </row>
    <row r="1201" spans="1:39" s="11" customFormat="1" x14ac:dyDescent="0.2">
      <c r="A1201" s="61"/>
      <c r="O1201" s="61"/>
    </row>
    <row r="1202" spans="1:39" s="11" customFormat="1" x14ac:dyDescent="0.2">
      <c r="A1202" s="61"/>
      <c r="O1202" s="61"/>
    </row>
    <row r="1203" spans="1:39" s="11" customFormat="1" x14ac:dyDescent="0.2">
      <c r="A1203" s="61"/>
      <c r="O1203" s="61"/>
    </row>
    <row r="1204" spans="1:39" s="11" customFormat="1" x14ac:dyDescent="0.2">
      <c r="A1204" s="61"/>
      <c r="O1204" s="61"/>
    </row>
    <row r="1205" spans="1:39" s="11" customFormat="1" x14ac:dyDescent="0.2">
      <c r="A1205" s="61"/>
      <c r="O1205" s="61"/>
    </row>
    <row r="1206" spans="1:39" s="11" customFormat="1" x14ac:dyDescent="0.2">
      <c r="A1206" s="61"/>
      <c r="O1206" s="61"/>
    </row>
    <row r="1207" spans="1:39" s="11" customFormat="1" x14ac:dyDescent="0.2">
      <c r="A1207" s="61"/>
      <c r="O1207" s="61"/>
    </row>
    <row r="1208" spans="1:39" s="11" customFormat="1" x14ac:dyDescent="0.2">
      <c r="A1208" s="61"/>
      <c r="O1208" s="61"/>
    </row>
    <row r="1209" spans="1:39" s="11" customFormat="1" x14ac:dyDescent="0.2">
      <c r="A1209" s="61"/>
      <c r="O1209" s="61"/>
    </row>
    <row r="1210" spans="1:39" s="11" customFormat="1" x14ac:dyDescent="0.2">
      <c r="A1210" s="61"/>
      <c r="O1210" s="61"/>
    </row>
    <row r="1211" spans="1:39" s="11" customFormat="1" x14ac:dyDescent="0.2">
      <c r="A1211" s="61"/>
      <c r="O1211" s="61"/>
    </row>
    <row r="1212" spans="1:39" s="11" customFormat="1" x14ac:dyDescent="0.2">
      <c r="A1212" s="61"/>
      <c r="O1212" s="61"/>
    </row>
    <row r="1213" spans="1:39" s="11" customFormat="1" x14ac:dyDescent="0.2">
      <c r="A1213" s="61"/>
      <c r="O1213" s="61"/>
    </row>
    <row r="1214" spans="1:39" s="11" customFormat="1" x14ac:dyDescent="0.2">
      <c r="A1214" s="61"/>
      <c r="O1214" s="85"/>
      <c r="P1214" s="2"/>
      <c r="Q1214" s="2"/>
      <c r="R1214" s="2"/>
      <c r="S1214" s="2"/>
      <c r="T1214" s="2"/>
      <c r="U1214" s="2"/>
      <c r="V1214" s="2"/>
      <c r="W1214" s="2"/>
    </row>
    <row r="1215" spans="1:39" s="11" customFormat="1" x14ac:dyDescent="0.2">
      <c r="A1215" s="61"/>
      <c r="O1215" s="85"/>
      <c r="P1215" s="2"/>
      <c r="Q1215" s="2"/>
      <c r="R1215" s="2"/>
      <c r="S1215" s="2"/>
      <c r="T1215" s="2"/>
      <c r="U1215" s="2"/>
      <c r="V1215" s="2"/>
      <c r="W1215" s="2"/>
    </row>
    <row r="1216" spans="1:39" s="11" customFormat="1" x14ac:dyDescent="0.2">
      <c r="A1216" s="85"/>
      <c r="B1216" s="2"/>
      <c r="C1216" s="2"/>
      <c r="D1216" s="2"/>
      <c r="E1216" s="2"/>
      <c r="F1216" s="2"/>
      <c r="G1216" s="2"/>
      <c r="O1216" s="85"/>
      <c r="P1216" s="2"/>
      <c r="Q1216" s="2"/>
      <c r="R1216" s="2"/>
      <c r="S1216" s="2"/>
      <c r="T1216" s="2"/>
      <c r="U1216" s="2"/>
      <c r="V1216" s="2"/>
      <c r="W1216" s="2"/>
      <c r="AG1216" s="2"/>
      <c r="AH1216" s="2"/>
      <c r="AI1216" s="2"/>
      <c r="AJ1216" s="2"/>
      <c r="AK1216" s="2"/>
      <c r="AL1216" s="2"/>
      <c r="AM1216" s="2"/>
    </row>
    <row r="1217" spans="1:39" s="11" customFormat="1" x14ac:dyDescent="0.2">
      <c r="A1217" s="85"/>
      <c r="B1217" s="2"/>
      <c r="C1217" s="2"/>
      <c r="D1217" s="2"/>
      <c r="E1217" s="2"/>
      <c r="F1217" s="2"/>
      <c r="G1217" s="2"/>
      <c r="O1217" s="85"/>
      <c r="P1217" s="2"/>
      <c r="Q1217" s="2"/>
      <c r="R1217" s="2"/>
      <c r="S1217" s="2"/>
      <c r="T1217" s="2"/>
      <c r="U1217" s="2"/>
      <c r="V1217" s="2"/>
      <c r="W1217" s="2"/>
      <c r="AG1217" s="2"/>
      <c r="AH1217" s="2"/>
      <c r="AI1217" s="2"/>
      <c r="AJ1217" s="2"/>
      <c r="AK1217" s="2"/>
      <c r="AL1217" s="2"/>
      <c r="AM1217" s="2"/>
    </row>
    <row r="1218" spans="1:39" s="11" customFormat="1" x14ac:dyDescent="0.2">
      <c r="A1218" s="85"/>
      <c r="B1218" s="2"/>
      <c r="C1218" s="2"/>
      <c r="D1218" s="2"/>
      <c r="E1218" s="2"/>
      <c r="F1218" s="2"/>
      <c r="G1218" s="2"/>
      <c r="O1218" s="85"/>
      <c r="P1218" s="2"/>
      <c r="Q1218" s="2"/>
      <c r="R1218" s="2"/>
      <c r="S1218" s="2"/>
      <c r="T1218" s="2"/>
      <c r="U1218" s="2"/>
      <c r="V1218" s="2"/>
      <c r="W1218" s="2"/>
      <c r="AG1218" s="2"/>
      <c r="AH1218" s="2"/>
      <c r="AI1218" s="2"/>
      <c r="AJ1218" s="2"/>
      <c r="AK1218" s="2"/>
      <c r="AL1218" s="2"/>
      <c r="AM1218" s="2"/>
    </row>
  </sheetData>
  <mergeCells count="27">
    <mergeCell ref="AG6:AG8"/>
    <mergeCell ref="AH6:AS6"/>
    <mergeCell ref="X7:AD7"/>
    <mergeCell ref="AE7:AE8"/>
    <mergeCell ref="AH7:AL7"/>
    <mergeCell ref="AM7:AM8"/>
    <mergeCell ref="W7:W8"/>
    <mergeCell ref="A6:A8"/>
    <mergeCell ref="B6:M6"/>
    <mergeCell ref="O6:O8"/>
    <mergeCell ref="P6:AE6"/>
    <mergeCell ref="B7:F7"/>
    <mergeCell ref="G7:G8"/>
    <mergeCell ref="H7:L7"/>
    <mergeCell ref="M7:M8"/>
    <mergeCell ref="P7:V7"/>
    <mergeCell ref="BU6:BW6"/>
    <mergeCell ref="BU7:BW7"/>
    <mergeCell ref="AN7:AR7"/>
    <mergeCell ref="AS7:AS8"/>
    <mergeCell ref="AV7:BH7"/>
    <mergeCell ref="BI7:BI8"/>
    <mergeCell ref="BJ7:BQ7"/>
    <mergeCell ref="BR7:BR8"/>
    <mergeCell ref="AU6:AU8"/>
    <mergeCell ref="AV6:BR6"/>
    <mergeCell ref="BT6:BT8"/>
  </mergeCells>
  <pageMargins left="0.7" right="0.7" top="0.75" bottom="0.75" header="0.3" footer="0.3"/>
  <pageSetup orientation="portrait" horizontalDpi="0" verticalDpi="0" r:id="rId1"/>
  <ignoredErrors>
    <ignoredError sqref="G9:G6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vt:lpstr>
      <vt:lpstr>Perfil</vt:lpstr>
      <vt:lpstr>Arg IV - Nuevos Bonos 100VN</vt:lpstr>
      <vt:lpstr>Intereses corridos</vt:lpstr>
      <vt:lpstr>Arg IV - Valor propuesta</vt:lpstr>
      <vt:lpstr>Arg IV - Canje optimo</vt:lpstr>
      <vt:lpstr>Arg IV - Nuevos Bonos</vt:lpstr>
      <vt:lpstr>Cupones promedio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OPC</dc:creator>
  <cp:lastModifiedBy>OPC</cp:lastModifiedBy>
  <cp:lastPrinted>2020-06-24T18:43:27Z</cp:lastPrinted>
  <dcterms:created xsi:type="dcterms:W3CDTF">2015-06-05T18:19:34Z</dcterms:created>
  <dcterms:modified xsi:type="dcterms:W3CDTF">2020-07-07T19:16:20Z</dcterms:modified>
</cp:coreProperties>
</file>