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fere\Nextcloud\DASDP\Deuda pública\Reestructuraciones y acuerdos\Reestructuración 2020\Ley argentina\Reestructuración USD Ley Argentina julio 2020\"/>
    </mc:Choice>
  </mc:AlternateContent>
  <xr:revisionPtr revIDLastSave="0" documentId="13_ncr:1_{618F94D6-692D-4A03-A35C-6363CC5CE93C}" xr6:coauthVersionLast="45" xr6:coauthVersionMax="45" xr10:uidLastSave="{00000000-0000-0000-0000-000000000000}"/>
  <bookViews>
    <workbookView xWindow="-120" yWindow="-120" windowWidth="20640" windowHeight="11160" tabRatio="860" xr2:uid="{00000000-000D-0000-FFFF-FFFF00000000}"/>
  </bookViews>
  <sheets>
    <sheet name=" Resumen Perfil" sheetId="28" r:id="rId1"/>
    <sheet name="Valor de la propuesta" sheetId="27" r:id="rId2"/>
    <sheet name="Cupón promedio" sheetId="30" r:id="rId3"/>
    <sheet name="Perfil de vencimientos" sheetId="9" r:id="rId4"/>
    <sheet name="Valuación Nuevos Bonos USD" sheetId="10" r:id="rId5"/>
    <sheet name="Valuación Nuevos BONCER" sheetId="22" r:id="rId6"/>
    <sheet name="Nuevos Bonos USD" sheetId="20" r:id="rId7"/>
    <sheet name="Nuevos BONCER" sheetId="23" r:id="rId8"/>
    <sheet name="Intereses corridos" sheetId="5" r:id="rId9"/>
    <sheet name="Eleccion de canje" sheetId="12" r:id="rId10"/>
  </sheets>
  <externalReferences>
    <externalReference r:id="rId11"/>
    <externalReference r:id="rId12"/>
  </externalReferences>
  <definedNames>
    <definedName name="_xlnm._FilterDatabase" localSheetId="9" hidden="1">'Eleccion de canje'!$A$8:$N$8</definedName>
    <definedName name="_xlnm._FilterDatabase" localSheetId="1" hidden="1">'Valor de la propuesta'!#REF!</definedName>
    <definedName name="_Order1" hidden="1">255</definedName>
    <definedName name="_Order2" hidden="1">255</definedName>
    <definedName name="ACwvu.PLA2." hidden="1">'[1]COP FED'!$A$1:$N$49</definedName>
    <definedName name="Swvu.PLA2." hidden="1">'[1]COP FED'!$A$1:$N$49</definedName>
    <definedName name="Z_0C2BA18A_21C0_43A0_BA72_AEF5075BA836_.wvu.Cols" hidden="1">'[2]Prog. Fin.'!$E:$E,'[2]Prog. Fin.'!$I:$J,'[2]Prog. Fin.'!$N:$N,'[2]Prog. Fin.'!$R:$S</definedName>
    <definedName name="Z_0C2BA18A_21C0_43A0_BA72_AEF5075BA836_.wvu.Rows" hidden="1">'[2]Prog. Fin.'!$9:$14,'[2]Prog. Fin.'!$17:$26,'[2]Prog. Fin.'!$31:$33,'[2]Prog. Fin.'!$40:$41,'[2]Prog. Fin.'!$44:$46,'[2]Prog. Fin.'!$81:$83,'[2]Prog. Fin.'!$157:$159</definedName>
    <definedName name="Z_AB0CFEEA_4F19_4F6A_9BEA_953016B5C36F_.wvu.Cols" hidden="1">'[2]Prog. Fin.'!$E:$E,'[2]Prog. Fin.'!$I:$J,'[2]Prog. Fin.'!$N:$N,'[2]Prog. Fin.'!$R:$S</definedName>
    <definedName name="Z_AB0CFEEA_4F19_4F6A_9BEA_953016B5C36F_.wvu.Rows" hidden="1">'[2]Prog. Fin.'!$9:$14,'[2]Prog. Fin.'!$17:$26,'[2]Prog. Fin.'!$31:$33,'[2]Prog. Fin.'!$40:$41,'[2]Prog. Fin.'!$44:$46,'[2]Prog. Fin.'!$81:$83,'[2]Prog. Fin.'!$157:$159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7" i="30" l="1"/>
  <c r="Q13" i="30"/>
  <c r="P13" i="30"/>
  <c r="O13" i="30"/>
  <c r="N13" i="30"/>
  <c r="Q257" i="30" s="1"/>
  <c r="D37" i="12" l="1"/>
  <c r="H35" i="5" l="1"/>
  <c r="M9" i="9" l="1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N36" i="9" s="1"/>
  <c r="M37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U31" i="9"/>
  <c r="U32" i="9"/>
  <c r="U33" i="9"/>
  <c r="U34" i="9"/>
  <c r="U35" i="9"/>
  <c r="U36" i="9"/>
  <c r="U37" i="9"/>
  <c r="U30" i="9"/>
  <c r="K28" i="9"/>
  <c r="K29" i="9"/>
  <c r="K30" i="9"/>
  <c r="K31" i="9"/>
  <c r="K32" i="9"/>
  <c r="K33" i="9"/>
  <c r="K34" i="9"/>
  <c r="K35" i="9"/>
  <c r="K36" i="9"/>
  <c r="K37" i="9"/>
  <c r="K27" i="9"/>
  <c r="Q38" i="9"/>
  <c r="D10" i="28" s="1"/>
  <c r="P38" i="9"/>
  <c r="E10" i="28" s="1"/>
  <c r="J38" i="9"/>
  <c r="I38" i="9"/>
  <c r="H38" i="9"/>
  <c r="G38" i="9"/>
  <c r="F38" i="9"/>
  <c r="D8" i="28" s="1"/>
  <c r="E38" i="9"/>
  <c r="E8" i="28" s="1"/>
  <c r="C38" i="9"/>
  <c r="D7" i="28" s="1"/>
  <c r="B38" i="9"/>
  <c r="E7" i="28" s="1"/>
  <c r="E13" i="28" s="1"/>
  <c r="R29" i="9"/>
  <c r="R30" i="9"/>
  <c r="R31" i="9"/>
  <c r="R32" i="9"/>
  <c r="R33" i="9"/>
  <c r="R34" i="9"/>
  <c r="R35" i="9"/>
  <c r="R36" i="9"/>
  <c r="R37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M8" i="9"/>
  <c r="L8" i="9"/>
  <c r="W24" i="23"/>
  <c r="V24" i="23"/>
  <c r="W23" i="23"/>
  <c r="V23" i="23"/>
  <c r="W22" i="23"/>
  <c r="V22" i="23"/>
  <c r="W21" i="23"/>
  <c r="V21" i="23"/>
  <c r="W8" i="23"/>
  <c r="V8" i="23"/>
  <c r="E24" i="23"/>
  <c r="X32" i="9" l="1"/>
  <c r="N34" i="9"/>
  <c r="N35" i="9"/>
  <c r="X37" i="9"/>
  <c r="X35" i="9"/>
  <c r="X33" i="9"/>
  <c r="X31" i="9"/>
  <c r="N33" i="9"/>
  <c r="D13" i="28"/>
  <c r="F13" i="28" s="1"/>
  <c r="E6" i="28"/>
  <c r="D6" i="28"/>
  <c r="F8" i="28"/>
  <c r="X36" i="9"/>
  <c r="X34" i="9"/>
  <c r="X30" i="9"/>
  <c r="N37" i="9"/>
  <c r="C7" i="28"/>
  <c r="B7" i="28"/>
  <c r="F7" i="28"/>
  <c r="F10" i="28"/>
  <c r="R38" i="9"/>
  <c r="D38" i="9"/>
  <c r="N32" i="9"/>
  <c r="M38" i="9"/>
  <c r="B10" i="28"/>
  <c r="C10" i="28"/>
  <c r="X22" i="23"/>
  <c r="X8" i="23"/>
  <c r="X24" i="23"/>
  <c r="N31" i="9"/>
  <c r="N23" i="9"/>
  <c r="N30" i="9"/>
  <c r="L38" i="9"/>
  <c r="N11" i="9"/>
  <c r="N15" i="9"/>
  <c r="N19" i="9"/>
  <c r="N27" i="9"/>
  <c r="N9" i="9"/>
  <c r="N13" i="9"/>
  <c r="N17" i="9"/>
  <c r="N21" i="9"/>
  <c r="N25" i="9"/>
  <c r="N29" i="9"/>
  <c r="N10" i="9"/>
  <c r="N14" i="9"/>
  <c r="N18" i="9"/>
  <c r="N22" i="9"/>
  <c r="N26" i="9"/>
  <c r="N12" i="9"/>
  <c r="N16" i="9"/>
  <c r="N20" i="9"/>
  <c r="N24" i="9"/>
  <c r="N28" i="9"/>
  <c r="N8" i="9"/>
  <c r="X23" i="23"/>
  <c r="X21" i="23"/>
  <c r="E25" i="27"/>
  <c r="E26" i="27"/>
  <c r="E27" i="27"/>
  <c r="E28" i="27"/>
  <c r="E29" i="27"/>
  <c r="E30" i="27"/>
  <c r="E31" i="27"/>
  <c r="E32" i="27"/>
  <c r="E24" i="27"/>
  <c r="I1" i="27"/>
  <c r="B13" i="28" l="1"/>
  <c r="C13" i="28"/>
  <c r="F6" i="28"/>
  <c r="N38" i="9"/>
  <c r="E18" i="27" l="1"/>
  <c r="E17" i="27"/>
  <c r="E16" i="27"/>
  <c r="E15" i="27"/>
  <c r="E14" i="27"/>
  <c r="E13" i="27"/>
  <c r="E12" i="27"/>
  <c r="E11" i="27"/>
  <c r="E10" i="27"/>
  <c r="E9" i="27"/>
  <c r="E8" i="27"/>
  <c r="E7" i="27"/>
  <c r="J35" i="12" l="1"/>
  <c r="J36" i="12"/>
  <c r="J34" i="12"/>
  <c r="K9" i="9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8" i="9"/>
  <c r="K38" i="9" l="1"/>
  <c r="C8" i="28"/>
  <c r="B8" i="28"/>
  <c r="C6" i="28" l="1"/>
  <c r="B6" i="28"/>
  <c r="H30" i="12"/>
  <c r="H31" i="12"/>
  <c r="I33" i="12"/>
  <c r="I32" i="12" l="1"/>
  <c r="G26" i="12"/>
  <c r="G27" i="12"/>
  <c r="G29" i="12"/>
  <c r="G28" i="12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L16" i="23" l="1"/>
  <c r="H16" i="23"/>
  <c r="L15" i="23"/>
  <c r="H15" i="23"/>
  <c r="L14" i="23"/>
  <c r="H14" i="23"/>
  <c r="B12" i="23"/>
  <c r="L13" i="23"/>
  <c r="H13" i="23"/>
  <c r="L12" i="23"/>
  <c r="H12" i="23"/>
  <c r="L11" i="23"/>
  <c r="H11" i="23"/>
  <c r="L10" i="23"/>
  <c r="H10" i="23"/>
  <c r="L9" i="23"/>
  <c r="H9" i="23"/>
  <c r="B10" i="23"/>
  <c r="F8" i="23"/>
  <c r="E8" i="23" s="1"/>
  <c r="C7" i="23"/>
  <c r="K25" i="22"/>
  <c r="K24" i="22"/>
  <c r="K23" i="22"/>
  <c r="K22" i="22"/>
  <c r="K21" i="22"/>
  <c r="G21" i="22"/>
  <c r="K20" i="22"/>
  <c r="G20" i="22"/>
  <c r="K19" i="22"/>
  <c r="G19" i="22"/>
  <c r="K18" i="22"/>
  <c r="G18" i="22"/>
  <c r="K17" i="22"/>
  <c r="G17" i="22"/>
  <c r="K16" i="22"/>
  <c r="G16" i="22"/>
  <c r="K15" i="22"/>
  <c r="G15" i="22"/>
  <c r="K14" i="22"/>
  <c r="G14" i="22"/>
  <c r="K13" i="22"/>
  <c r="G13" i="22"/>
  <c r="K12" i="22"/>
  <c r="G12" i="22"/>
  <c r="K11" i="22"/>
  <c r="G11" i="22"/>
  <c r="K10" i="22"/>
  <c r="G10" i="22"/>
  <c r="B10" i="22"/>
  <c r="E9" i="22"/>
  <c r="F10" i="22" s="1"/>
  <c r="C7" i="22"/>
  <c r="J20" i="22" l="1"/>
  <c r="L20" i="22" s="1"/>
  <c r="M20" i="22" s="1"/>
  <c r="H10" i="22"/>
  <c r="I10" i="22" s="1"/>
  <c r="F21" i="22"/>
  <c r="F19" i="22"/>
  <c r="F17" i="22"/>
  <c r="F15" i="22"/>
  <c r="F14" i="22"/>
  <c r="F13" i="22"/>
  <c r="F11" i="22"/>
  <c r="F12" i="22"/>
  <c r="J16" i="22"/>
  <c r="J22" i="22"/>
  <c r="J25" i="22"/>
  <c r="C12" i="23"/>
  <c r="C10" i="22"/>
  <c r="J10" i="22"/>
  <c r="F18" i="22"/>
  <c r="F16" i="22"/>
  <c r="J18" i="22"/>
  <c r="K26" i="22"/>
  <c r="J24" i="22"/>
  <c r="J21" i="22"/>
  <c r="J19" i="22"/>
  <c r="J17" i="22"/>
  <c r="J15" i="22"/>
  <c r="J14" i="22"/>
  <c r="J13" i="22"/>
  <c r="J11" i="22"/>
  <c r="J12" i="22"/>
  <c r="F20" i="22"/>
  <c r="J23" i="22"/>
  <c r="G26" i="22"/>
  <c r="C10" i="23"/>
  <c r="F26" i="22" l="1"/>
  <c r="H13" i="22"/>
  <c r="I13" i="22" s="1"/>
  <c r="L12" i="22"/>
  <c r="M12" i="22" s="1"/>
  <c r="L15" i="22"/>
  <c r="M15" i="22" s="1"/>
  <c r="L24" i="22"/>
  <c r="M24" i="22" s="1"/>
  <c r="L10" i="22"/>
  <c r="J26" i="22"/>
  <c r="H20" i="22"/>
  <c r="I20" i="22" s="1"/>
  <c r="L13" i="22"/>
  <c r="M13" i="22" s="1"/>
  <c r="L19" i="22"/>
  <c r="M19" i="22" s="1"/>
  <c r="L18" i="22"/>
  <c r="M18" i="22" s="1"/>
  <c r="H18" i="22"/>
  <c r="I18" i="22" s="1"/>
  <c r="L16" i="22"/>
  <c r="M16" i="22" s="1"/>
  <c r="H14" i="22"/>
  <c r="I14" i="22" s="1"/>
  <c r="H21" i="22"/>
  <c r="I21" i="22" s="1"/>
  <c r="H11" i="22"/>
  <c r="I11" i="22" s="1"/>
  <c r="H17" i="22"/>
  <c r="I17" i="22" s="1"/>
  <c r="L23" i="22"/>
  <c r="M23" i="22" s="1"/>
  <c r="L11" i="22"/>
  <c r="M11" i="22" s="1"/>
  <c r="L17" i="22"/>
  <c r="M17" i="22" s="1"/>
  <c r="L22" i="22"/>
  <c r="M22" i="22" s="1"/>
  <c r="H19" i="22"/>
  <c r="I19" i="22" s="1"/>
  <c r="L14" i="22"/>
  <c r="M14" i="22" s="1"/>
  <c r="L21" i="22"/>
  <c r="M21" i="22" s="1"/>
  <c r="H16" i="22"/>
  <c r="I16" i="22" s="1"/>
  <c r="L25" i="22"/>
  <c r="M25" i="22" s="1"/>
  <c r="H12" i="22"/>
  <c r="I12" i="22" s="1"/>
  <c r="H15" i="22"/>
  <c r="I15" i="22" s="1"/>
  <c r="I26" i="22" l="1"/>
  <c r="B18" i="22" s="1"/>
  <c r="O11" i="27" s="1"/>
  <c r="L26" i="22"/>
  <c r="M10" i="22"/>
  <c r="M26" i="22" s="1"/>
  <c r="C18" i="22" s="1"/>
  <c r="O12" i="27" s="1"/>
  <c r="B32" i="27" l="1"/>
  <c r="B31" i="27"/>
  <c r="B30" i="27"/>
  <c r="G27" i="27"/>
  <c r="G31" i="27"/>
  <c r="G26" i="27"/>
  <c r="G30" i="27"/>
  <c r="G28" i="27"/>
  <c r="G32" i="27"/>
  <c r="G25" i="27"/>
  <c r="G29" i="27"/>
  <c r="G24" i="27"/>
  <c r="D26" i="27"/>
  <c r="D27" i="27"/>
  <c r="D28" i="27"/>
  <c r="F27" i="27"/>
  <c r="F31" i="27"/>
  <c r="F32" i="27"/>
  <c r="F26" i="27"/>
  <c r="D29" i="27"/>
  <c r="D24" i="27"/>
  <c r="F28" i="27"/>
  <c r="F24" i="27"/>
  <c r="F25" i="27"/>
  <c r="F29" i="27"/>
  <c r="D25" i="27"/>
  <c r="F30" i="27"/>
  <c r="D33" i="27" l="1"/>
  <c r="C26" i="27"/>
  <c r="B26" i="27" s="1"/>
  <c r="C29" i="27"/>
  <c r="C28" i="27"/>
  <c r="B28" i="27" s="1"/>
  <c r="C27" i="27"/>
  <c r="B27" i="27" s="1"/>
  <c r="C25" i="27"/>
  <c r="B25" i="27" s="1"/>
  <c r="D28" i="12"/>
  <c r="E28" i="12" s="1"/>
  <c r="D32" i="12"/>
  <c r="E32" i="12" s="1"/>
  <c r="D24" i="12"/>
  <c r="E24" i="12" s="1"/>
  <c r="D27" i="12"/>
  <c r="E27" i="12" s="1"/>
  <c r="D26" i="12"/>
  <c r="E26" i="12" s="1"/>
  <c r="D22" i="12"/>
  <c r="E22" i="12" s="1"/>
  <c r="D31" i="12"/>
  <c r="E31" i="12" s="1"/>
  <c r="D33" i="12"/>
  <c r="E33" i="12" s="1"/>
  <c r="D29" i="12"/>
  <c r="E29" i="12" s="1"/>
  <c r="D25" i="12"/>
  <c r="E25" i="12" s="1"/>
  <c r="D21" i="12"/>
  <c r="E21" i="12" s="1"/>
  <c r="D30" i="12" l="1"/>
  <c r="E30" i="12" s="1"/>
  <c r="J37" i="12"/>
  <c r="D23" i="12"/>
  <c r="E23" i="12" s="1"/>
  <c r="C24" i="27"/>
  <c r="B24" i="27" s="1"/>
  <c r="B29" i="27"/>
  <c r="C33" i="27"/>
  <c r="B33" i="27" l="1"/>
  <c r="AD25" i="20"/>
  <c r="AE24" i="20"/>
  <c r="AD24" i="20"/>
  <c r="AF24" i="20" l="1"/>
  <c r="Z25" i="20" l="1"/>
  <c r="V25" i="20"/>
  <c r="R25" i="20"/>
  <c r="S25" i="20" s="1"/>
  <c r="T25" i="20" s="1"/>
  <c r="N25" i="20"/>
  <c r="O25" i="20" s="1"/>
  <c r="P25" i="20" s="1"/>
  <c r="J25" i="20"/>
  <c r="A24" i="20"/>
  <c r="H25" i="20" s="1"/>
  <c r="Y22" i="20"/>
  <c r="U22" i="20"/>
  <c r="Q22" i="20"/>
  <c r="M22" i="20"/>
  <c r="I22" i="20"/>
  <c r="B13" i="20"/>
  <c r="F11" i="20"/>
  <c r="E11" i="20"/>
  <c r="D11" i="20"/>
  <c r="C11" i="20"/>
  <c r="B11" i="20"/>
  <c r="F10" i="20"/>
  <c r="E10" i="20"/>
  <c r="D10" i="20"/>
  <c r="C10" i="20"/>
  <c r="B10" i="20"/>
  <c r="H24" i="20" l="1"/>
  <c r="G24" i="20" s="1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G25" i="20"/>
  <c r="H26" i="20"/>
  <c r="AE25" i="20"/>
  <c r="W25" i="20"/>
  <c r="X25" i="20" s="1"/>
  <c r="K25" i="20"/>
  <c r="L25" i="20" s="1"/>
  <c r="AA25" i="20"/>
  <c r="AB25" i="20" s="1"/>
  <c r="H27" i="20" l="1"/>
  <c r="V27" i="20" s="1"/>
  <c r="G26" i="20"/>
  <c r="AF25" i="20"/>
  <c r="J27" i="20" l="1"/>
  <c r="N27" i="20"/>
  <c r="Z27" i="20"/>
  <c r="G27" i="20"/>
  <c r="R27" i="20"/>
  <c r="H28" i="20"/>
  <c r="AE27" i="20" l="1"/>
  <c r="R28" i="20"/>
  <c r="N28" i="20"/>
  <c r="H29" i="20"/>
  <c r="R29" i="20" s="1"/>
  <c r="V28" i="20"/>
  <c r="Z28" i="20"/>
  <c r="G28" i="20"/>
  <c r="J28" i="20"/>
  <c r="H30" i="20" l="1"/>
  <c r="V30" i="20" s="1"/>
  <c r="G29" i="20"/>
  <c r="Z29" i="20"/>
  <c r="N29" i="20"/>
  <c r="J29" i="20"/>
  <c r="V29" i="20"/>
  <c r="AE28" i="20"/>
  <c r="AE29" i="20" l="1"/>
  <c r="G30" i="20"/>
  <c r="R30" i="20"/>
  <c r="J30" i="20"/>
  <c r="Z30" i="20"/>
  <c r="N30" i="20"/>
  <c r="H31" i="20"/>
  <c r="G31" i="20" s="1"/>
  <c r="AE30" i="20" l="1"/>
  <c r="V31" i="20"/>
  <c r="R31" i="20"/>
  <c r="H32" i="20"/>
  <c r="G32" i="20" s="1"/>
  <c r="J31" i="20"/>
  <c r="Z31" i="20"/>
  <c r="N31" i="20"/>
  <c r="AE31" i="20" l="1"/>
  <c r="N32" i="20"/>
  <c r="J32" i="20"/>
  <c r="H33" i="20"/>
  <c r="Z33" i="20" s="1"/>
  <c r="Z32" i="20"/>
  <c r="R32" i="20"/>
  <c r="V32" i="20"/>
  <c r="AE32" i="20" l="1"/>
  <c r="J33" i="20"/>
  <c r="H34" i="20"/>
  <c r="J34" i="20" s="1"/>
  <c r="V33" i="20"/>
  <c r="G33" i="20"/>
  <c r="R33" i="20"/>
  <c r="G34" i="20" l="1"/>
  <c r="R34" i="20"/>
  <c r="H35" i="20"/>
  <c r="V35" i="20" s="1"/>
  <c r="V34" i="20"/>
  <c r="Z34" i="20"/>
  <c r="G35" i="20" l="1"/>
  <c r="Z35" i="20"/>
  <c r="J35" i="20"/>
  <c r="R35" i="20"/>
  <c r="H36" i="20"/>
  <c r="R36" i="20" s="1"/>
  <c r="G36" i="20" l="1"/>
  <c r="H37" i="20"/>
  <c r="R37" i="20" s="1"/>
  <c r="J36" i="20"/>
  <c r="V36" i="20"/>
  <c r="Z36" i="20"/>
  <c r="H38" i="20" l="1"/>
  <c r="G38" i="20" s="1"/>
  <c r="V37" i="20"/>
  <c r="Z37" i="20"/>
  <c r="G37" i="20"/>
  <c r="R38" i="20" l="1"/>
  <c r="H39" i="20"/>
  <c r="H40" i="20" s="1"/>
  <c r="Z38" i="20"/>
  <c r="V38" i="20"/>
  <c r="R39" i="20" l="1"/>
  <c r="G39" i="20"/>
  <c r="R40" i="20"/>
  <c r="H41" i="20"/>
  <c r="G40" i="20"/>
  <c r="H42" i="20" l="1"/>
  <c r="G41" i="20"/>
  <c r="R41" i="20"/>
  <c r="H43" i="20" l="1"/>
  <c r="G42" i="20"/>
  <c r="R42" i="20"/>
  <c r="H44" i="20" l="1"/>
  <c r="R43" i="20"/>
  <c r="G43" i="20"/>
  <c r="R44" i="20" l="1"/>
  <c r="G44" i="20"/>
  <c r="H45" i="20"/>
  <c r="H46" i="20" l="1"/>
  <c r="G45" i="20"/>
  <c r="H47" i="20" l="1"/>
  <c r="G46" i="20"/>
  <c r="H48" i="20" l="1"/>
  <c r="G47" i="20"/>
  <c r="H49" i="20" l="1"/>
  <c r="G48" i="20"/>
  <c r="H50" i="20" l="1"/>
  <c r="G49" i="20"/>
  <c r="H51" i="20" l="1"/>
  <c r="G50" i="20"/>
  <c r="H52" i="20" l="1"/>
  <c r="G51" i="20"/>
  <c r="H53" i="20" l="1"/>
  <c r="G52" i="20"/>
  <c r="H54" i="20" l="1"/>
  <c r="G53" i="20"/>
  <c r="H55" i="20" l="1"/>
  <c r="G54" i="20"/>
  <c r="G55" i="20" l="1"/>
  <c r="H56" i="20"/>
  <c r="H57" i="20" l="1"/>
  <c r="G56" i="20"/>
  <c r="H58" i="20" l="1"/>
  <c r="G57" i="20"/>
  <c r="H59" i="20" l="1"/>
  <c r="G58" i="20"/>
  <c r="H60" i="20" l="1"/>
  <c r="G59" i="20"/>
  <c r="G60" i="20" l="1"/>
  <c r="H61" i="20"/>
  <c r="H62" i="20" l="1"/>
  <c r="G61" i="20"/>
  <c r="H63" i="20" l="1"/>
  <c r="G62" i="20"/>
  <c r="H64" i="20" l="1"/>
  <c r="G63" i="20"/>
  <c r="H65" i="20" l="1"/>
  <c r="G64" i="20"/>
  <c r="H66" i="20" l="1"/>
  <c r="G65" i="20"/>
  <c r="G66" i="20" l="1"/>
  <c r="T8" i="9" l="1"/>
  <c r="S8" i="9"/>
  <c r="G38" i="12"/>
  <c r="D18" i="20" s="1"/>
  <c r="H38" i="12"/>
  <c r="E18" i="20" s="1"/>
  <c r="I38" i="12"/>
  <c r="F18" i="20" s="1"/>
  <c r="J38" i="12"/>
  <c r="B19" i="23" s="1"/>
  <c r="K38" i="12"/>
  <c r="C19" i="23" s="1"/>
  <c r="F21" i="12"/>
  <c r="F22" i="12"/>
  <c r="F23" i="12"/>
  <c r="F24" i="12"/>
  <c r="F25" i="12"/>
  <c r="F10" i="12"/>
  <c r="F11" i="12"/>
  <c r="F12" i="12"/>
  <c r="F13" i="12"/>
  <c r="F14" i="12"/>
  <c r="F15" i="12"/>
  <c r="F16" i="12"/>
  <c r="F17" i="12"/>
  <c r="F18" i="12"/>
  <c r="F19" i="12"/>
  <c r="F20" i="12"/>
  <c r="W8" i="9" l="1"/>
  <c r="V8" i="9"/>
  <c r="U8" i="9"/>
  <c r="R47" i="20"/>
  <c r="X8" i="9" l="1"/>
  <c r="L23" i="23"/>
  <c r="L19" i="23"/>
  <c r="L21" i="23"/>
  <c r="L20" i="23"/>
  <c r="L22" i="23"/>
  <c r="L18" i="23"/>
  <c r="L17" i="23"/>
  <c r="K19" i="23" s="1"/>
  <c r="L24" i="23"/>
  <c r="K10" i="23"/>
  <c r="K17" i="23"/>
  <c r="K14" i="23"/>
  <c r="K9" i="23"/>
  <c r="K16" i="23"/>
  <c r="K15" i="23"/>
  <c r="K12" i="23"/>
  <c r="K13" i="23"/>
  <c r="K11" i="23"/>
  <c r="G10" i="23"/>
  <c r="H19" i="23"/>
  <c r="G16" i="23"/>
  <c r="G15" i="23"/>
  <c r="H20" i="23"/>
  <c r="G12" i="23"/>
  <c r="H17" i="23"/>
  <c r="G18" i="23" s="1"/>
  <c r="H18" i="23"/>
  <c r="G11" i="23"/>
  <c r="G9" i="23"/>
  <c r="G17" i="23"/>
  <c r="G13" i="23"/>
  <c r="G14" i="23"/>
  <c r="R54" i="20"/>
  <c r="R50" i="20"/>
  <c r="R46" i="20"/>
  <c r="R53" i="20"/>
  <c r="R49" i="20"/>
  <c r="R45" i="20"/>
  <c r="R52" i="20"/>
  <c r="R48" i="20"/>
  <c r="Q26" i="20"/>
  <c r="R51" i="20"/>
  <c r="Y26" i="20"/>
  <c r="Z39" i="20"/>
  <c r="Z40" i="20"/>
  <c r="Z41" i="20"/>
  <c r="Z42" i="20"/>
  <c r="Z43" i="20"/>
  <c r="Z44" i="20"/>
  <c r="Z45" i="20"/>
  <c r="Z46" i="20"/>
  <c r="Z47" i="20"/>
  <c r="Z48" i="20"/>
  <c r="Z49" i="20"/>
  <c r="Z50" i="20"/>
  <c r="Z51" i="20"/>
  <c r="Z52" i="20"/>
  <c r="Z53" i="20"/>
  <c r="Z54" i="20"/>
  <c r="Z55" i="20"/>
  <c r="Z56" i="20"/>
  <c r="Z57" i="20"/>
  <c r="Z58" i="20"/>
  <c r="Z59" i="20"/>
  <c r="Z60" i="20"/>
  <c r="Z61" i="20"/>
  <c r="AE61" i="20" s="1"/>
  <c r="Z62" i="20"/>
  <c r="AE62" i="20" s="1"/>
  <c r="Z63" i="20"/>
  <c r="AE63" i="20" s="1"/>
  <c r="Z64" i="20"/>
  <c r="AE64" i="20" s="1"/>
  <c r="Z65" i="20"/>
  <c r="AE65" i="20" s="1"/>
  <c r="Z66" i="20"/>
  <c r="AE66" i="20" s="1"/>
  <c r="U26" i="20"/>
  <c r="V39" i="20"/>
  <c r="V40" i="20"/>
  <c r="V41" i="20"/>
  <c r="V42" i="20"/>
  <c r="V43" i="20"/>
  <c r="V44" i="20"/>
  <c r="V45" i="20"/>
  <c r="V46" i="20"/>
  <c r="V47" i="20"/>
  <c r="V48" i="20"/>
  <c r="V49" i="20"/>
  <c r="V50" i="20"/>
  <c r="V51" i="20"/>
  <c r="V52" i="20"/>
  <c r="V53" i="20"/>
  <c r="V54" i="20"/>
  <c r="V55" i="20"/>
  <c r="V56" i="20"/>
  <c r="V57" i="20"/>
  <c r="V58" i="20"/>
  <c r="V59" i="20"/>
  <c r="V60" i="20"/>
  <c r="K20" i="23" l="1"/>
  <c r="M20" i="23" s="1"/>
  <c r="N20" i="23" s="1"/>
  <c r="T28" i="9"/>
  <c r="K18" i="23"/>
  <c r="M18" i="23" s="1"/>
  <c r="N18" i="23" s="1"/>
  <c r="K24" i="23"/>
  <c r="M24" i="23" s="1"/>
  <c r="N24" i="23" s="1"/>
  <c r="M12" i="23"/>
  <c r="N12" i="23" s="1"/>
  <c r="T29" i="9"/>
  <c r="K23" i="23"/>
  <c r="M19" i="23"/>
  <c r="N19" i="23" s="1"/>
  <c r="M16" i="23"/>
  <c r="N16" i="23" s="1"/>
  <c r="M14" i="23"/>
  <c r="N14" i="23" s="1"/>
  <c r="L25" i="23"/>
  <c r="M11" i="23"/>
  <c r="N11" i="23" s="1"/>
  <c r="K21" i="23"/>
  <c r="K22" i="23"/>
  <c r="M17" i="23"/>
  <c r="N17" i="23" s="1"/>
  <c r="M13" i="23"/>
  <c r="N13" i="23" s="1"/>
  <c r="M15" i="23"/>
  <c r="N15" i="23" s="1"/>
  <c r="M9" i="23"/>
  <c r="M10" i="23"/>
  <c r="N10" i="23" s="1"/>
  <c r="T27" i="9"/>
  <c r="I13" i="23"/>
  <c r="J13" i="23" s="1"/>
  <c r="G20" i="23"/>
  <c r="I17" i="23"/>
  <c r="J17" i="23" s="1"/>
  <c r="H25" i="23"/>
  <c r="I16" i="23"/>
  <c r="J16" i="23" s="1"/>
  <c r="G19" i="23"/>
  <c r="I9" i="23"/>
  <c r="J9" i="23" s="1"/>
  <c r="I12" i="23"/>
  <c r="J12" i="23" s="1"/>
  <c r="I18" i="23"/>
  <c r="J18" i="23" s="1"/>
  <c r="I15" i="23"/>
  <c r="J15" i="23" s="1"/>
  <c r="I14" i="23"/>
  <c r="J14" i="23" s="1"/>
  <c r="I11" i="23"/>
  <c r="J11" i="23" s="1"/>
  <c r="I10" i="23"/>
  <c r="J10" i="23" s="1"/>
  <c r="AE60" i="20"/>
  <c r="AE56" i="20"/>
  <c r="AE52" i="20"/>
  <c r="AE48" i="20"/>
  <c r="AE53" i="20"/>
  <c r="AE45" i="20"/>
  <c r="AE57" i="20"/>
  <c r="AE49" i="20"/>
  <c r="AE55" i="20"/>
  <c r="AE47" i="20"/>
  <c r="AE59" i="20"/>
  <c r="AE51" i="20"/>
  <c r="AE58" i="20"/>
  <c r="AE54" i="20"/>
  <c r="AE50" i="20"/>
  <c r="AE46" i="20"/>
  <c r="C38" i="12"/>
  <c r="Z25" i="10"/>
  <c r="AA25" i="10" s="1"/>
  <c r="V25" i="10"/>
  <c r="W25" i="10" s="1"/>
  <c r="R25" i="10"/>
  <c r="S25" i="10" s="1"/>
  <c r="N25" i="10"/>
  <c r="O25" i="10" s="1"/>
  <c r="J25" i="10"/>
  <c r="K25" i="10" s="1"/>
  <c r="A24" i="10"/>
  <c r="H25" i="10" s="1"/>
  <c r="W27" i="9" l="1"/>
  <c r="W28" i="9"/>
  <c r="W29" i="9"/>
  <c r="T22" i="9"/>
  <c r="K25" i="23"/>
  <c r="T19" i="9"/>
  <c r="T20" i="9"/>
  <c r="T21" i="9"/>
  <c r="M22" i="23"/>
  <c r="N22" i="23" s="1"/>
  <c r="T23" i="9"/>
  <c r="T25" i="9"/>
  <c r="N9" i="23"/>
  <c r="M21" i="23"/>
  <c r="N21" i="23" s="1"/>
  <c r="M23" i="23"/>
  <c r="N23" i="23" s="1"/>
  <c r="T26" i="9"/>
  <c r="T24" i="9"/>
  <c r="W15" i="23"/>
  <c r="W13" i="23"/>
  <c r="V18" i="23"/>
  <c r="W11" i="23"/>
  <c r="V14" i="23"/>
  <c r="V16" i="23"/>
  <c r="W16" i="23"/>
  <c r="V10" i="23"/>
  <c r="W10" i="23"/>
  <c r="V12" i="23"/>
  <c r="W12" i="23"/>
  <c r="G25" i="23"/>
  <c r="I20" i="23"/>
  <c r="J20" i="23" s="1"/>
  <c r="I19" i="23"/>
  <c r="J19" i="23" s="1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T12" i="9" l="1"/>
  <c r="W12" i="9" s="1"/>
  <c r="W24" i="9"/>
  <c r="W26" i="9"/>
  <c r="W21" i="9"/>
  <c r="W20" i="9"/>
  <c r="W19" i="9"/>
  <c r="W23" i="9"/>
  <c r="W25" i="9"/>
  <c r="W22" i="9"/>
  <c r="T10" i="9"/>
  <c r="M25" i="23"/>
  <c r="N25" i="23"/>
  <c r="X16" i="23"/>
  <c r="V13" i="23"/>
  <c r="V11" i="23"/>
  <c r="W14" i="23"/>
  <c r="X14" i="23" s="1"/>
  <c r="V15" i="23"/>
  <c r="V20" i="23"/>
  <c r="W18" i="23"/>
  <c r="X18" i="23" s="1"/>
  <c r="V9" i="23"/>
  <c r="V17" i="23"/>
  <c r="W9" i="23"/>
  <c r="W17" i="23"/>
  <c r="X10" i="23"/>
  <c r="X12" i="23"/>
  <c r="J25" i="23"/>
  <c r="G25" i="10"/>
  <c r="T11" i="9" l="1"/>
  <c r="W11" i="9" s="1"/>
  <c r="X15" i="23"/>
  <c r="X11" i="23"/>
  <c r="X13" i="23"/>
  <c r="W10" i="9"/>
  <c r="W19" i="23"/>
  <c r="W20" i="23"/>
  <c r="X20" i="23" s="1"/>
  <c r="V19" i="23"/>
  <c r="X9" i="23"/>
  <c r="X17" i="23"/>
  <c r="F9" i="12"/>
  <c r="H26" i="10"/>
  <c r="H24" i="10"/>
  <c r="Y22" i="10"/>
  <c r="U22" i="10"/>
  <c r="Q22" i="10"/>
  <c r="M22" i="10"/>
  <c r="I22" i="10"/>
  <c r="F11" i="10"/>
  <c r="E11" i="10"/>
  <c r="D11" i="10"/>
  <c r="C11" i="10"/>
  <c r="B11" i="10"/>
  <c r="F10" i="10"/>
  <c r="E10" i="10"/>
  <c r="D10" i="10"/>
  <c r="C10" i="10"/>
  <c r="B10" i="10"/>
  <c r="X19" i="23" l="1"/>
  <c r="X25" i="23"/>
  <c r="W25" i="23"/>
  <c r="V25" i="23"/>
  <c r="Y26" i="10"/>
  <c r="M26" i="10"/>
  <c r="I26" i="10"/>
  <c r="U26" i="10"/>
  <c r="Q26" i="10"/>
  <c r="G26" i="10"/>
  <c r="G24" i="10"/>
  <c r="F38" i="12"/>
  <c r="C18" i="20" s="1"/>
  <c r="H27" i="10"/>
  <c r="G27" i="10" s="1"/>
  <c r="E38" i="12"/>
  <c r="B18" i="20" s="1"/>
  <c r="T25" i="10" l="1"/>
  <c r="AB25" i="10"/>
  <c r="X25" i="10"/>
  <c r="L25" i="10"/>
  <c r="P25" i="10"/>
  <c r="N27" i="10"/>
  <c r="R27" i="10"/>
  <c r="Z27" i="10"/>
  <c r="H28" i="10"/>
  <c r="G28" i="10" s="1"/>
  <c r="V27" i="10"/>
  <c r="J27" i="10"/>
  <c r="J39" i="20" l="1"/>
  <c r="J43" i="20"/>
  <c r="J37" i="20"/>
  <c r="J42" i="20"/>
  <c r="I26" i="20"/>
  <c r="J40" i="20"/>
  <c r="J44" i="20"/>
  <c r="J41" i="20"/>
  <c r="J38" i="20"/>
  <c r="M26" i="20"/>
  <c r="N33" i="20"/>
  <c r="AE33" i="20" s="1"/>
  <c r="N34" i="20"/>
  <c r="AE34" i="20" s="1"/>
  <c r="N35" i="20"/>
  <c r="AE35" i="20" s="1"/>
  <c r="N36" i="20"/>
  <c r="AE36" i="20" s="1"/>
  <c r="N37" i="20"/>
  <c r="AE37" i="20" s="1"/>
  <c r="N38" i="20"/>
  <c r="N39" i="20"/>
  <c r="AE39" i="20" s="1"/>
  <c r="N40" i="20"/>
  <c r="N41" i="20"/>
  <c r="N42" i="20"/>
  <c r="N43" i="20"/>
  <c r="AE43" i="20" s="1"/>
  <c r="N44" i="20"/>
  <c r="H29" i="10"/>
  <c r="G29" i="10" s="1"/>
  <c r="Z28" i="10"/>
  <c r="V28" i="10"/>
  <c r="R28" i="10"/>
  <c r="N28" i="10"/>
  <c r="J28" i="10"/>
  <c r="AE44" i="20" l="1"/>
  <c r="T18" i="9"/>
  <c r="W18" i="9" s="1"/>
  <c r="T13" i="9"/>
  <c r="W13" i="9" s="1"/>
  <c r="T14" i="9"/>
  <c r="W14" i="9" s="1"/>
  <c r="AD26" i="20"/>
  <c r="S9" i="9" s="1"/>
  <c r="AE41" i="20"/>
  <c r="AE40" i="20"/>
  <c r="T16" i="9" s="1"/>
  <c r="AE42" i="20"/>
  <c r="AE38" i="20"/>
  <c r="T15" i="9" s="1"/>
  <c r="Z26" i="20"/>
  <c r="J26" i="20"/>
  <c r="V26" i="20"/>
  <c r="R26" i="20"/>
  <c r="N26" i="20"/>
  <c r="O26" i="20" s="1"/>
  <c r="P26" i="20" s="1"/>
  <c r="R29" i="10"/>
  <c r="H30" i="10"/>
  <c r="G30" i="10" s="1"/>
  <c r="V29" i="10"/>
  <c r="N29" i="10"/>
  <c r="Z29" i="10"/>
  <c r="J29" i="10"/>
  <c r="T17" i="9" l="1"/>
  <c r="W17" i="9" s="1"/>
  <c r="V9" i="9"/>
  <c r="W15" i="9"/>
  <c r="W16" i="9"/>
  <c r="U27" i="20"/>
  <c r="U32" i="20"/>
  <c r="W32" i="20" s="1"/>
  <c r="X32" i="20" s="1"/>
  <c r="U37" i="20"/>
  <c r="W37" i="20" s="1"/>
  <c r="X37" i="20" s="1"/>
  <c r="U30" i="20"/>
  <c r="W30" i="20" s="1"/>
  <c r="X30" i="20" s="1"/>
  <c r="U34" i="20"/>
  <c r="W34" i="20" s="1"/>
  <c r="X34" i="20" s="1"/>
  <c r="U38" i="20"/>
  <c r="W38" i="20" s="1"/>
  <c r="X38" i="20" s="1"/>
  <c r="U36" i="20"/>
  <c r="W36" i="20" s="1"/>
  <c r="X36" i="20" s="1"/>
  <c r="U29" i="20"/>
  <c r="W29" i="20" s="1"/>
  <c r="X29" i="20" s="1"/>
  <c r="U28" i="20"/>
  <c r="W28" i="20" s="1"/>
  <c r="X28" i="20" s="1"/>
  <c r="U31" i="20"/>
  <c r="W31" i="20" s="1"/>
  <c r="X31" i="20" s="1"/>
  <c r="U35" i="20"/>
  <c r="W35" i="20" s="1"/>
  <c r="X35" i="20" s="1"/>
  <c r="U39" i="20"/>
  <c r="W39" i="20" s="1"/>
  <c r="X39" i="20" s="1"/>
  <c r="U33" i="20"/>
  <c r="W33" i="20" s="1"/>
  <c r="X33" i="20" s="1"/>
  <c r="U51" i="20"/>
  <c r="W51" i="20" s="1"/>
  <c r="X51" i="20" s="1"/>
  <c r="U43" i="20"/>
  <c r="W43" i="20" s="1"/>
  <c r="X43" i="20" s="1"/>
  <c r="U54" i="20"/>
  <c r="W54" i="20" s="1"/>
  <c r="X54" i="20" s="1"/>
  <c r="U60" i="20"/>
  <c r="U48" i="20"/>
  <c r="W48" i="20" s="1"/>
  <c r="X48" i="20" s="1"/>
  <c r="U53" i="20"/>
  <c r="W53" i="20" s="1"/>
  <c r="X53" i="20" s="1"/>
  <c r="U47" i="20"/>
  <c r="W47" i="20" s="1"/>
  <c r="X47" i="20" s="1"/>
  <c r="U41" i="20"/>
  <c r="W41" i="20" s="1"/>
  <c r="X41" i="20" s="1"/>
  <c r="W26" i="20"/>
  <c r="X26" i="20" s="1"/>
  <c r="U56" i="20"/>
  <c r="U46" i="20"/>
  <c r="W46" i="20" s="1"/>
  <c r="X46" i="20" s="1"/>
  <c r="U45" i="20"/>
  <c r="W45" i="20" s="1"/>
  <c r="X45" i="20" s="1"/>
  <c r="U42" i="20"/>
  <c r="W42" i="20" s="1"/>
  <c r="X42" i="20" s="1"/>
  <c r="U55" i="20"/>
  <c r="U44" i="20"/>
  <c r="W44" i="20" s="1"/>
  <c r="X44" i="20" s="1"/>
  <c r="U52" i="20"/>
  <c r="W52" i="20" s="1"/>
  <c r="X52" i="20" s="1"/>
  <c r="U59" i="20"/>
  <c r="V67" i="20"/>
  <c r="U40" i="20"/>
  <c r="W40" i="20" s="1"/>
  <c r="X40" i="20" s="1"/>
  <c r="U49" i="20"/>
  <c r="W49" i="20" s="1"/>
  <c r="X49" i="20" s="1"/>
  <c r="U58" i="20"/>
  <c r="U50" i="20"/>
  <c r="W50" i="20" s="1"/>
  <c r="X50" i="20" s="1"/>
  <c r="U57" i="20"/>
  <c r="AE26" i="20"/>
  <c r="T9" i="9" s="1"/>
  <c r="I28" i="20"/>
  <c r="I32" i="20"/>
  <c r="I36" i="20"/>
  <c r="I29" i="20"/>
  <c r="I33" i="20"/>
  <c r="I30" i="20"/>
  <c r="I34" i="20"/>
  <c r="I37" i="20"/>
  <c r="I27" i="20"/>
  <c r="I31" i="20"/>
  <c r="I35" i="20"/>
  <c r="I40" i="20"/>
  <c r="I41" i="20"/>
  <c r="K26" i="20"/>
  <c r="L26" i="20" s="1"/>
  <c r="I39" i="20"/>
  <c r="I38" i="20"/>
  <c r="I42" i="20"/>
  <c r="I43" i="20"/>
  <c r="J67" i="20"/>
  <c r="I44" i="20"/>
  <c r="M29" i="20"/>
  <c r="O29" i="20" s="1"/>
  <c r="P29" i="20" s="1"/>
  <c r="M35" i="20"/>
  <c r="O35" i="20" s="1"/>
  <c r="P35" i="20" s="1"/>
  <c r="M37" i="20"/>
  <c r="O37" i="20" s="1"/>
  <c r="P37" i="20" s="1"/>
  <c r="M30" i="20"/>
  <c r="O30" i="20" s="1"/>
  <c r="P30" i="20" s="1"/>
  <c r="M33" i="20"/>
  <c r="O33" i="20" s="1"/>
  <c r="P33" i="20" s="1"/>
  <c r="M39" i="20"/>
  <c r="O39" i="20" s="1"/>
  <c r="P39" i="20" s="1"/>
  <c r="M41" i="20"/>
  <c r="O41" i="20" s="1"/>
  <c r="P41" i="20" s="1"/>
  <c r="M43" i="20"/>
  <c r="O43" i="20" s="1"/>
  <c r="P43" i="20" s="1"/>
  <c r="M27" i="20"/>
  <c r="M31" i="20"/>
  <c r="O31" i="20" s="1"/>
  <c r="P31" i="20" s="1"/>
  <c r="M38" i="20"/>
  <c r="O38" i="20" s="1"/>
  <c r="P38" i="20" s="1"/>
  <c r="M40" i="20"/>
  <c r="O40" i="20" s="1"/>
  <c r="P40" i="20" s="1"/>
  <c r="M42" i="20"/>
  <c r="O42" i="20" s="1"/>
  <c r="P42" i="20" s="1"/>
  <c r="M28" i="20"/>
  <c r="O28" i="20" s="1"/>
  <c r="P28" i="20" s="1"/>
  <c r="M32" i="20"/>
  <c r="O32" i="20" s="1"/>
  <c r="P32" i="20" s="1"/>
  <c r="M34" i="20"/>
  <c r="O34" i="20" s="1"/>
  <c r="P34" i="20" s="1"/>
  <c r="M36" i="20"/>
  <c r="O36" i="20" s="1"/>
  <c r="P36" i="20" s="1"/>
  <c r="M44" i="20"/>
  <c r="O44" i="20" s="1"/>
  <c r="P44" i="20" s="1"/>
  <c r="Z67" i="20"/>
  <c r="Y27" i="20"/>
  <c r="Y31" i="20"/>
  <c r="AA31" i="20" s="1"/>
  <c r="AB31" i="20" s="1"/>
  <c r="Y35" i="20"/>
  <c r="AA35" i="20" s="1"/>
  <c r="AB35" i="20" s="1"/>
  <c r="Y41" i="20"/>
  <c r="AA41" i="20" s="1"/>
  <c r="AB41" i="20" s="1"/>
  <c r="Y43" i="20"/>
  <c r="AA43" i="20" s="1"/>
  <c r="AB43" i="20" s="1"/>
  <c r="Y47" i="20"/>
  <c r="AA47" i="20" s="1"/>
  <c r="AB47" i="20" s="1"/>
  <c r="Y49" i="20"/>
  <c r="AA49" i="20" s="1"/>
  <c r="AB49" i="20" s="1"/>
  <c r="Y51" i="20"/>
  <c r="AA51" i="20" s="1"/>
  <c r="AB51" i="20" s="1"/>
  <c r="Y55" i="20"/>
  <c r="AA55" i="20" s="1"/>
  <c r="AB55" i="20" s="1"/>
  <c r="Y59" i="20"/>
  <c r="AA59" i="20" s="1"/>
  <c r="AB59" i="20" s="1"/>
  <c r="Y63" i="20"/>
  <c r="Y28" i="20"/>
  <c r="AA28" i="20" s="1"/>
  <c r="AB28" i="20" s="1"/>
  <c r="Y32" i="20"/>
  <c r="AA32" i="20" s="1"/>
  <c r="AB32" i="20" s="1"/>
  <c r="Y36" i="20"/>
  <c r="AA36" i="20" s="1"/>
  <c r="AB36" i="20" s="1"/>
  <c r="Y39" i="20"/>
  <c r="AA39" i="20" s="1"/>
  <c r="AB39" i="20" s="1"/>
  <c r="Y45" i="20"/>
  <c r="AA45" i="20" s="1"/>
  <c r="AB45" i="20" s="1"/>
  <c r="Y53" i="20"/>
  <c r="AA53" i="20" s="1"/>
  <c r="AB53" i="20" s="1"/>
  <c r="Y57" i="20"/>
  <c r="AA57" i="20" s="1"/>
  <c r="AB57" i="20" s="1"/>
  <c r="Y61" i="20"/>
  <c r="Y65" i="20"/>
  <c r="Y29" i="20"/>
  <c r="AA29" i="20" s="1"/>
  <c r="AB29" i="20" s="1"/>
  <c r="Y33" i="20"/>
  <c r="AA33" i="20" s="1"/>
  <c r="AB33" i="20" s="1"/>
  <c r="Y37" i="20"/>
  <c r="AA37" i="20" s="1"/>
  <c r="AB37" i="20" s="1"/>
  <c r="Y44" i="20"/>
  <c r="AA44" i="20" s="1"/>
  <c r="AB44" i="20" s="1"/>
  <c r="Y46" i="20"/>
  <c r="AA46" i="20" s="1"/>
  <c r="AB46" i="20" s="1"/>
  <c r="Y50" i="20"/>
  <c r="AA50" i="20" s="1"/>
  <c r="AB50" i="20" s="1"/>
  <c r="Y54" i="20"/>
  <c r="AA54" i="20" s="1"/>
  <c r="AB54" i="20" s="1"/>
  <c r="Y66" i="20"/>
  <c r="Y30" i="20"/>
  <c r="AA30" i="20" s="1"/>
  <c r="AB30" i="20" s="1"/>
  <c r="Y34" i="20"/>
  <c r="AA34" i="20" s="1"/>
  <c r="AB34" i="20" s="1"/>
  <c r="Y38" i="20"/>
  <c r="AA38" i="20" s="1"/>
  <c r="AB38" i="20" s="1"/>
  <c r="Y40" i="20"/>
  <c r="AA40" i="20" s="1"/>
  <c r="AB40" i="20" s="1"/>
  <c r="Y42" i="20"/>
  <c r="AA42" i="20" s="1"/>
  <c r="AB42" i="20" s="1"/>
  <c r="Y48" i="20"/>
  <c r="AA48" i="20" s="1"/>
  <c r="AB48" i="20" s="1"/>
  <c r="Y52" i="20"/>
  <c r="AA52" i="20" s="1"/>
  <c r="AB52" i="20" s="1"/>
  <c r="Y56" i="20"/>
  <c r="AA56" i="20" s="1"/>
  <c r="AB56" i="20" s="1"/>
  <c r="Y58" i="20"/>
  <c r="AA58" i="20" s="1"/>
  <c r="AB58" i="20" s="1"/>
  <c r="Y60" i="20"/>
  <c r="AA60" i="20" s="1"/>
  <c r="AB60" i="20" s="1"/>
  <c r="Y62" i="20"/>
  <c r="Y64" i="20"/>
  <c r="AA26" i="20"/>
  <c r="AB26" i="20" s="1"/>
  <c r="Q28" i="20"/>
  <c r="S28" i="20" s="1"/>
  <c r="T28" i="20" s="1"/>
  <c r="Q32" i="20"/>
  <c r="S32" i="20" s="1"/>
  <c r="T32" i="20" s="1"/>
  <c r="Q36" i="20"/>
  <c r="S36" i="20" s="1"/>
  <c r="T36" i="20" s="1"/>
  <c r="Q40" i="20"/>
  <c r="S40" i="20" s="1"/>
  <c r="T40" i="20" s="1"/>
  <c r="Q44" i="20"/>
  <c r="S44" i="20" s="1"/>
  <c r="T44" i="20" s="1"/>
  <c r="Q33" i="20"/>
  <c r="S33" i="20" s="1"/>
  <c r="T33" i="20" s="1"/>
  <c r="Q37" i="20"/>
  <c r="S37" i="20" s="1"/>
  <c r="T37" i="20" s="1"/>
  <c r="Q45" i="20"/>
  <c r="Q30" i="20"/>
  <c r="S30" i="20" s="1"/>
  <c r="T30" i="20" s="1"/>
  <c r="Q38" i="20"/>
  <c r="S38" i="20" s="1"/>
  <c r="T38" i="20" s="1"/>
  <c r="Q27" i="20"/>
  <c r="Q35" i="20"/>
  <c r="S35" i="20" s="1"/>
  <c r="T35" i="20" s="1"/>
  <c r="Q43" i="20"/>
  <c r="S43" i="20" s="1"/>
  <c r="T43" i="20" s="1"/>
  <c r="Q29" i="20"/>
  <c r="S29" i="20" s="1"/>
  <c r="T29" i="20" s="1"/>
  <c r="Q41" i="20"/>
  <c r="S41" i="20" s="1"/>
  <c r="T41" i="20" s="1"/>
  <c r="Q34" i="20"/>
  <c r="S34" i="20" s="1"/>
  <c r="T34" i="20" s="1"/>
  <c r="Q42" i="20"/>
  <c r="S42" i="20" s="1"/>
  <c r="T42" i="20" s="1"/>
  <c r="Q31" i="20"/>
  <c r="S31" i="20" s="1"/>
  <c r="T31" i="20" s="1"/>
  <c r="Q39" i="20"/>
  <c r="S39" i="20" s="1"/>
  <c r="T39" i="20" s="1"/>
  <c r="Q52" i="20"/>
  <c r="Q51" i="20"/>
  <c r="Q47" i="20"/>
  <c r="R67" i="20"/>
  <c r="Q48" i="20"/>
  <c r="Q50" i="20"/>
  <c r="Q46" i="20"/>
  <c r="S26" i="20"/>
  <c r="T26" i="20" s="1"/>
  <c r="Q54" i="20"/>
  <c r="Q53" i="20"/>
  <c r="Q49" i="20"/>
  <c r="N67" i="20"/>
  <c r="H31" i="10"/>
  <c r="G31" i="10" s="1"/>
  <c r="Z30" i="10"/>
  <c r="V30" i="10"/>
  <c r="R30" i="10"/>
  <c r="N30" i="10"/>
  <c r="J30" i="10"/>
  <c r="W9" i="9" l="1"/>
  <c r="X9" i="9" s="1"/>
  <c r="T38" i="9"/>
  <c r="D11" i="28" s="1"/>
  <c r="U9" i="9"/>
  <c r="S53" i="20"/>
  <c r="T53" i="20" s="1"/>
  <c r="AD53" i="20"/>
  <c r="S51" i="20"/>
  <c r="T51" i="20" s="1"/>
  <c r="AD51" i="20"/>
  <c r="S27" i="20"/>
  <c r="T27" i="20" s="1"/>
  <c r="Q67" i="20"/>
  <c r="AA64" i="20"/>
  <c r="AB64" i="20" s="1"/>
  <c r="AD64" i="20"/>
  <c r="AF64" i="20" s="1"/>
  <c r="AD66" i="20"/>
  <c r="AF66" i="20" s="1"/>
  <c r="AA66" i="20"/>
  <c r="AB66" i="20" s="1"/>
  <c r="AA65" i="20"/>
  <c r="AB65" i="20" s="1"/>
  <c r="AD65" i="20"/>
  <c r="AD39" i="20"/>
  <c r="K39" i="20"/>
  <c r="L39" i="20" s="1"/>
  <c r="AD35" i="20"/>
  <c r="K35" i="20"/>
  <c r="L35" i="20" s="1"/>
  <c r="K34" i="20"/>
  <c r="L34" i="20" s="1"/>
  <c r="AD34" i="20"/>
  <c r="AF34" i="20" s="1"/>
  <c r="K36" i="20"/>
  <c r="L36" i="20" s="1"/>
  <c r="AD36" i="20"/>
  <c r="AF36" i="20" s="1"/>
  <c r="AD57" i="20"/>
  <c r="W57" i="20"/>
  <c r="X57" i="20" s="1"/>
  <c r="S49" i="20"/>
  <c r="T49" i="20" s="1"/>
  <c r="AD49" i="20"/>
  <c r="S46" i="20"/>
  <c r="T46" i="20" s="1"/>
  <c r="AD46" i="20"/>
  <c r="AF46" i="20" s="1"/>
  <c r="S47" i="20"/>
  <c r="T47" i="20" s="1"/>
  <c r="AD47" i="20"/>
  <c r="AA62" i="20"/>
  <c r="AB62" i="20" s="1"/>
  <c r="AD62" i="20"/>
  <c r="AF62" i="20" s="1"/>
  <c r="AA61" i="20"/>
  <c r="AB61" i="20" s="1"/>
  <c r="AD61" i="20"/>
  <c r="AA63" i="20"/>
  <c r="AB63" i="20" s="1"/>
  <c r="AD63" i="20"/>
  <c r="AD43" i="20"/>
  <c r="K43" i="20"/>
  <c r="L43" i="20" s="1"/>
  <c r="K31" i="20"/>
  <c r="L31" i="20" s="1"/>
  <c r="AD31" i="20"/>
  <c r="AD30" i="20"/>
  <c r="AF30" i="20" s="1"/>
  <c r="K30" i="20"/>
  <c r="L30" i="20" s="1"/>
  <c r="K32" i="20"/>
  <c r="L32" i="20" s="1"/>
  <c r="AD32" i="20"/>
  <c r="AF32" i="20" s="1"/>
  <c r="AD55" i="20"/>
  <c r="W55" i="20"/>
  <c r="X55" i="20" s="1"/>
  <c r="AD56" i="20"/>
  <c r="AF56" i="20" s="1"/>
  <c r="W56" i="20"/>
  <c r="X56" i="20" s="1"/>
  <c r="S50" i="20"/>
  <c r="T50" i="20" s="1"/>
  <c r="AD50" i="20"/>
  <c r="AF50" i="20" s="1"/>
  <c r="O27" i="20"/>
  <c r="P27" i="20" s="1"/>
  <c r="P67" i="20" s="1"/>
  <c r="M67" i="20"/>
  <c r="K42" i="20"/>
  <c r="L42" i="20" s="1"/>
  <c r="AD42" i="20"/>
  <c r="AF42" i="20" s="1"/>
  <c r="AD41" i="20"/>
  <c r="K41" i="20"/>
  <c r="L41" i="20" s="1"/>
  <c r="K27" i="20"/>
  <c r="L27" i="20" s="1"/>
  <c r="AD27" i="20"/>
  <c r="I67" i="20"/>
  <c r="K33" i="20"/>
  <c r="L33" i="20" s="1"/>
  <c r="AD33" i="20"/>
  <c r="S13" i="9" s="1"/>
  <c r="K28" i="20"/>
  <c r="L28" i="20" s="1"/>
  <c r="AD28" i="20"/>
  <c r="AF28" i="20" s="1"/>
  <c r="W58" i="20"/>
  <c r="X58" i="20" s="1"/>
  <c r="AD58" i="20"/>
  <c r="AF58" i="20" s="1"/>
  <c r="W59" i="20"/>
  <c r="X59" i="20" s="1"/>
  <c r="AD59" i="20"/>
  <c r="S54" i="20"/>
  <c r="T54" i="20" s="1"/>
  <c r="AD54" i="20"/>
  <c r="AF54" i="20" s="1"/>
  <c r="S48" i="20"/>
  <c r="T48" i="20" s="1"/>
  <c r="AD48" i="20"/>
  <c r="AF48" i="20" s="1"/>
  <c r="S52" i="20"/>
  <c r="T52" i="20" s="1"/>
  <c r="AD52" i="20"/>
  <c r="AF52" i="20" s="1"/>
  <c r="S45" i="20"/>
  <c r="T45" i="20" s="1"/>
  <c r="AD45" i="20"/>
  <c r="S19" i="9" s="1"/>
  <c r="AA27" i="20"/>
  <c r="AB27" i="20" s="1"/>
  <c r="Y67" i="20"/>
  <c r="AD44" i="20"/>
  <c r="AF44" i="20" s="1"/>
  <c r="K44" i="20"/>
  <c r="L44" i="20" s="1"/>
  <c r="K38" i="20"/>
  <c r="L38" i="20" s="1"/>
  <c r="AD38" i="20"/>
  <c r="AF38" i="20" s="1"/>
  <c r="K40" i="20"/>
  <c r="L40" i="20" s="1"/>
  <c r="AD40" i="20"/>
  <c r="AF40" i="20" s="1"/>
  <c r="K37" i="20"/>
  <c r="L37" i="20" s="1"/>
  <c r="AD37" i="20"/>
  <c r="S15" i="9" s="1"/>
  <c r="K29" i="20"/>
  <c r="L29" i="20" s="1"/>
  <c r="AD29" i="20"/>
  <c r="S11" i="9" s="1"/>
  <c r="AE67" i="20"/>
  <c r="AF26" i="20"/>
  <c r="W60" i="20"/>
  <c r="X60" i="20" s="1"/>
  <c r="AD60" i="20"/>
  <c r="AF60" i="20" s="1"/>
  <c r="W27" i="20"/>
  <c r="X27" i="20" s="1"/>
  <c r="U67" i="20"/>
  <c r="H32" i="10"/>
  <c r="G32" i="10" s="1"/>
  <c r="V31" i="10"/>
  <c r="Z31" i="10"/>
  <c r="J31" i="10"/>
  <c r="R31" i="10"/>
  <c r="N31" i="10"/>
  <c r="S14" i="9" l="1"/>
  <c r="S10" i="9"/>
  <c r="S12" i="9"/>
  <c r="S27" i="9"/>
  <c r="V27" i="9" s="1"/>
  <c r="W38" i="9"/>
  <c r="V15" i="9"/>
  <c r="D9" i="28"/>
  <c r="D14" i="28"/>
  <c r="S29" i="9"/>
  <c r="S24" i="9"/>
  <c r="U11" i="9"/>
  <c r="V11" i="9"/>
  <c r="S28" i="9"/>
  <c r="U19" i="9"/>
  <c r="V19" i="9"/>
  <c r="U15" i="9"/>
  <c r="S21" i="9"/>
  <c r="S17" i="9"/>
  <c r="S25" i="9"/>
  <c r="S16" i="9"/>
  <c r="S20" i="9"/>
  <c r="S22" i="9"/>
  <c r="S18" i="9"/>
  <c r="S23" i="9"/>
  <c r="S26" i="9"/>
  <c r="X67" i="20"/>
  <c r="T67" i="20"/>
  <c r="AF29" i="20"/>
  <c r="AF45" i="20"/>
  <c r="AF31" i="20"/>
  <c r="AF35" i="20"/>
  <c r="AF51" i="20"/>
  <c r="AF59" i="20"/>
  <c r="AF41" i="20"/>
  <c r="AF63" i="20"/>
  <c r="AB67" i="20"/>
  <c r="AF37" i="20"/>
  <c r="AF27" i="20"/>
  <c r="AD67" i="20"/>
  <c r="AF57" i="20"/>
  <c r="AF39" i="20"/>
  <c r="AF53" i="20"/>
  <c r="AF33" i="20"/>
  <c r="L67" i="20"/>
  <c r="AF55" i="20"/>
  <c r="AF43" i="20"/>
  <c r="AF61" i="20"/>
  <c r="AF47" i="20"/>
  <c r="AF49" i="20"/>
  <c r="AF65" i="20"/>
  <c r="H33" i="10"/>
  <c r="G33" i="10" s="1"/>
  <c r="Z32" i="10"/>
  <c r="V32" i="10"/>
  <c r="R32" i="10"/>
  <c r="N32" i="10"/>
  <c r="J32" i="10"/>
  <c r="U27" i="9" l="1"/>
  <c r="V13" i="9"/>
  <c r="X13" i="9" s="1"/>
  <c r="U13" i="9"/>
  <c r="V10" i="9"/>
  <c r="X10" i="9" s="1"/>
  <c r="X11" i="9"/>
  <c r="X27" i="9"/>
  <c r="U24" i="9"/>
  <c r="X19" i="9"/>
  <c r="U29" i="9"/>
  <c r="X15" i="9"/>
  <c r="D12" i="28"/>
  <c r="U10" i="9"/>
  <c r="V29" i="9"/>
  <c r="V24" i="9"/>
  <c r="U26" i="9"/>
  <c r="V26" i="9"/>
  <c r="U17" i="9"/>
  <c r="V17" i="9"/>
  <c r="U23" i="9"/>
  <c r="V23" i="9"/>
  <c r="U14" i="9"/>
  <c r="V14" i="9"/>
  <c r="U18" i="9"/>
  <c r="V18" i="9"/>
  <c r="U21" i="9"/>
  <c r="V21" i="9"/>
  <c r="U12" i="9"/>
  <c r="V12" i="9"/>
  <c r="U22" i="9"/>
  <c r="V22" i="9"/>
  <c r="U20" i="9"/>
  <c r="V20" i="9"/>
  <c r="U16" i="9"/>
  <c r="V16" i="9"/>
  <c r="U25" i="9"/>
  <c r="V25" i="9"/>
  <c r="U28" i="9"/>
  <c r="V28" i="9"/>
  <c r="S38" i="9"/>
  <c r="E11" i="28" s="1"/>
  <c r="E14" i="28" s="1"/>
  <c r="E12" i="28" s="1"/>
  <c r="AF67" i="20"/>
  <c r="Z33" i="10"/>
  <c r="J33" i="10"/>
  <c r="N33" i="10"/>
  <c r="R33" i="10"/>
  <c r="H34" i="10"/>
  <c r="G34" i="10" s="1"/>
  <c r="V33" i="10"/>
  <c r="X17" i="9" l="1"/>
  <c r="X26" i="9"/>
  <c r="X21" i="9"/>
  <c r="X24" i="9"/>
  <c r="X16" i="9"/>
  <c r="X20" i="9"/>
  <c r="X28" i="9"/>
  <c r="X22" i="9"/>
  <c r="X29" i="9"/>
  <c r="X18" i="9"/>
  <c r="X14" i="9"/>
  <c r="X25" i="9"/>
  <c r="X23" i="9"/>
  <c r="F14" i="28"/>
  <c r="F12" i="28" s="1"/>
  <c r="U38" i="9"/>
  <c r="C11" i="28"/>
  <c r="B11" i="28"/>
  <c r="B14" i="28" s="1"/>
  <c r="B12" i="28" s="1"/>
  <c r="X12" i="9"/>
  <c r="V38" i="9"/>
  <c r="F11" i="28"/>
  <c r="E9" i="28"/>
  <c r="H35" i="10"/>
  <c r="G35" i="10" s="1"/>
  <c r="Z34" i="10"/>
  <c r="V34" i="10"/>
  <c r="R34" i="10"/>
  <c r="N34" i="10"/>
  <c r="J34" i="10"/>
  <c r="X38" i="9" l="1"/>
  <c r="C9" i="28"/>
  <c r="C14" i="28"/>
  <c r="C12" i="28" s="1"/>
  <c r="B9" i="28"/>
  <c r="F9" i="28"/>
  <c r="H36" i="10"/>
  <c r="G36" i="10" s="1"/>
  <c r="V35" i="10"/>
  <c r="N35" i="10"/>
  <c r="Z35" i="10"/>
  <c r="R35" i="10"/>
  <c r="J35" i="10"/>
  <c r="H37" i="10" l="1"/>
  <c r="G37" i="10" s="1"/>
  <c r="Z36" i="10"/>
  <c r="V36" i="10"/>
  <c r="R36" i="10"/>
  <c r="N36" i="10"/>
  <c r="J36" i="10"/>
  <c r="Z37" i="10" l="1"/>
  <c r="R37" i="10"/>
  <c r="J37" i="10"/>
  <c r="H38" i="10"/>
  <c r="G38" i="10" s="1"/>
  <c r="V37" i="10"/>
  <c r="N37" i="10"/>
  <c r="H39" i="10" l="1"/>
  <c r="G39" i="10" s="1"/>
  <c r="Z38" i="10"/>
  <c r="V38" i="10"/>
  <c r="R38" i="10"/>
  <c r="N38" i="10"/>
  <c r="J38" i="10"/>
  <c r="H40" i="10" l="1"/>
  <c r="G40" i="10" s="1"/>
  <c r="V39" i="10"/>
  <c r="N39" i="10"/>
  <c r="Z39" i="10"/>
  <c r="R39" i="10"/>
  <c r="J39" i="10"/>
  <c r="H41" i="10" l="1"/>
  <c r="G41" i="10" s="1"/>
  <c r="Z40" i="10"/>
  <c r="V40" i="10"/>
  <c r="R40" i="10"/>
  <c r="N40" i="10"/>
  <c r="J40" i="10"/>
  <c r="Z41" i="10" l="1"/>
  <c r="R41" i="10"/>
  <c r="J41" i="10"/>
  <c r="H42" i="10"/>
  <c r="G42" i="10" s="1"/>
  <c r="V41" i="10"/>
  <c r="N41" i="10"/>
  <c r="H43" i="10" l="1"/>
  <c r="G43" i="10" s="1"/>
  <c r="Z42" i="10"/>
  <c r="V42" i="10"/>
  <c r="R42" i="10"/>
  <c r="N42" i="10"/>
  <c r="J42" i="10"/>
  <c r="H44" i="10" l="1"/>
  <c r="G44" i="10" s="1"/>
  <c r="V43" i="10"/>
  <c r="N43" i="10"/>
  <c r="Z43" i="10"/>
  <c r="R43" i="10"/>
  <c r="J43" i="10"/>
  <c r="H45" i="10" l="1"/>
  <c r="G45" i="10" s="1"/>
  <c r="Z44" i="10"/>
  <c r="V44" i="10"/>
  <c r="R44" i="10"/>
  <c r="N44" i="10"/>
  <c r="J44" i="10"/>
  <c r="H46" i="10" l="1"/>
  <c r="V45" i="10"/>
  <c r="Z45" i="10"/>
  <c r="R45" i="10"/>
  <c r="G46" i="10" l="1"/>
  <c r="R46" i="10"/>
  <c r="Z46" i="10"/>
  <c r="H47" i="10"/>
  <c r="V46" i="10"/>
  <c r="G47" i="10" l="1"/>
  <c r="R47" i="10"/>
  <c r="H48" i="10"/>
  <c r="Z47" i="10"/>
  <c r="V47" i="10"/>
  <c r="G48" i="10" l="1"/>
  <c r="R48" i="10"/>
  <c r="Z48" i="10"/>
  <c r="H49" i="10"/>
  <c r="V48" i="10"/>
  <c r="G49" i="10" l="1"/>
  <c r="R49" i="10"/>
  <c r="H50" i="10"/>
  <c r="Z49" i="10"/>
  <c r="V49" i="10"/>
  <c r="G50" i="10" l="1"/>
  <c r="R50" i="10"/>
  <c r="H51" i="10"/>
  <c r="V50" i="10"/>
  <c r="Z50" i="10"/>
  <c r="G51" i="10" l="1"/>
  <c r="R51" i="10"/>
  <c r="H52" i="10"/>
  <c r="Z51" i="10"/>
  <c r="V51" i="10"/>
  <c r="G52" i="10" l="1"/>
  <c r="R52" i="10"/>
  <c r="Z52" i="10"/>
  <c r="H53" i="10"/>
  <c r="V52" i="10"/>
  <c r="G53" i="10" l="1"/>
  <c r="R53" i="10"/>
  <c r="H54" i="10"/>
  <c r="Z53" i="10"/>
  <c r="V53" i="10"/>
  <c r="G54" i="10" l="1"/>
  <c r="R54" i="10"/>
  <c r="H55" i="10"/>
  <c r="G55" i="10" s="1"/>
  <c r="V54" i="10"/>
  <c r="Z54" i="10"/>
  <c r="H56" i="10" l="1"/>
  <c r="Z55" i="10"/>
  <c r="V55" i="10"/>
  <c r="G56" i="10" l="1"/>
  <c r="V56" i="10"/>
  <c r="Z56" i="10"/>
  <c r="H57" i="10"/>
  <c r="G57" i="10" l="1"/>
  <c r="Z57" i="10"/>
  <c r="V57" i="10"/>
  <c r="H58" i="10"/>
  <c r="G58" i="10" l="1"/>
  <c r="V58" i="10"/>
  <c r="Z58" i="10"/>
  <c r="H59" i="10"/>
  <c r="G59" i="10" l="1"/>
  <c r="V59" i="10"/>
  <c r="Z59" i="10"/>
  <c r="H60" i="10"/>
  <c r="G60" i="10" l="1"/>
  <c r="V60" i="10"/>
  <c r="Z60" i="10"/>
  <c r="H61" i="10"/>
  <c r="G61" i="10" l="1"/>
  <c r="Z61" i="10"/>
  <c r="H62" i="10"/>
  <c r="G62" i="10" l="1"/>
  <c r="Z62" i="10"/>
  <c r="H63" i="10"/>
  <c r="G63" i="10" l="1"/>
  <c r="Z63" i="10"/>
  <c r="H64" i="10"/>
  <c r="G64" i="10" l="1"/>
  <c r="Z64" i="10"/>
  <c r="H65" i="10"/>
  <c r="G65" i="10" l="1"/>
  <c r="Z65" i="10"/>
  <c r="H66" i="10"/>
  <c r="G66" i="10" l="1"/>
  <c r="Z66" i="10"/>
  <c r="H67" i="10"/>
  <c r="G67" i="10" s="1"/>
  <c r="H68" i="10" l="1"/>
  <c r="G68" i="10" s="1"/>
  <c r="H69" i="10" l="1"/>
  <c r="G69" i="10" s="1"/>
  <c r="H70" i="10" l="1"/>
  <c r="G70" i="10" s="1"/>
  <c r="H71" i="10" l="1"/>
  <c r="G71" i="10" s="1"/>
  <c r="H72" i="10" l="1"/>
  <c r="G72" i="10" s="1"/>
  <c r="H73" i="10" l="1"/>
  <c r="G73" i="10" s="1"/>
  <c r="H74" i="10" l="1"/>
  <c r="G74" i="10" s="1"/>
  <c r="H75" i="10" l="1"/>
  <c r="G75" i="10" s="1"/>
  <c r="H76" i="10" l="1"/>
  <c r="G76" i="10" s="1"/>
  <c r="H77" i="10" l="1"/>
  <c r="G77" i="10" s="1"/>
  <c r="V26" i="10" l="1"/>
  <c r="R26" i="10"/>
  <c r="J26" i="10"/>
  <c r="I27" i="10" s="1"/>
  <c r="Z26" i="10"/>
  <c r="N26" i="10"/>
  <c r="M27" i="10" s="1"/>
  <c r="U28" i="10" l="1"/>
  <c r="U32" i="10"/>
  <c r="U36" i="10"/>
  <c r="W36" i="10" s="1"/>
  <c r="X36" i="10" s="1"/>
  <c r="U40" i="10"/>
  <c r="W40" i="10" s="1"/>
  <c r="X40" i="10" s="1"/>
  <c r="U44" i="10"/>
  <c r="U48" i="10"/>
  <c r="U52" i="10"/>
  <c r="W52" i="10" s="1"/>
  <c r="X52" i="10" s="1"/>
  <c r="U56" i="10"/>
  <c r="W56" i="10" s="1"/>
  <c r="X56" i="10" s="1"/>
  <c r="U60" i="10"/>
  <c r="U35" i="10"/>
  <c r="U47" i="10"/>
  <c r="W47" i="10" s="1"/>
  <c r="X47" i="10" s="1"/>
  <c r="U55" i="10"/>
  <c r="W55" i="10" s="1"/>
  <c r="X55" i="10" s="1"/>
  <c r="U29" i="10"/>
  <c r="W29" i="10" s="1"/>
  <c r="X29" i="10" s="1"/>
  <c r="U33" i="10"/>
  <c r="U37" i="10"/>
  <c r="W37" i="10" s="1"/>
  <c r="X37" i="10" s="1"/>
  <c r="U41" i="10"/>
  <c r="W41" i="10" s="1"/>
  <c r="X41" i="10" s="1"/>
  <c r="U45" i="10"/>
  <c r="W45" i="10" s="1"/>
  <c r="X45" i="10" s="1"/>
  <c r="U49" i="10"/>
  <c r="U53" i="10"/>
  <c r="W53" i="10" s="1"/>
  <c r="X53" i="10" s="1"/>
  <c r="U57" i="10"/>
  <c r="W57" i="10" s="1"/>
  <c r="X57" i="10" s="1"/>
  <c r="U31" i="10"/>
  <c r="W31" i="10" s="1"/>
  <c r="X31" i="10" s="1"/>
  <c r="U39" i="10"/>
  <c r="W39" i="10" s="1"/>
  <c r="X39" i="10" s="1"/>
  <c r="U43" i="10"/>
  <c r="W43" i="10" s="1"/>
  <c r="X43" i="10" s="1"/>
  <c r="U51" i="10"/>
  <c r="W51" i="10" s="1"/>
  <c r="X51" i="10" s="1"/>
  <c r="U30" i="10"/>
  <c r="W30" i="10" s="1"/>
  <c r="X30" i="10" s="1"/>
  <c r="U34" i="10"/>
  <c r="W34" i="10" s="1"/>
  <c r="X34" i="10" s="1"/>
  <c r="U38" i="10"/>
  <c r="W38" i="10" s="1"/>
  <c r="X38" i="10" s="1"/>
  <c r="U42" i="10"/>
  <c r="W42" i="10" s="1"/>
  <c r="X42" i="10" s="1"/>
  <c r="U46" i="10"/>
  <c r="U50" i="10"/>
  <c r="U54" i="10"/>
  <c r="W54" i="10" s="1"/>
  <c r="X54" i="10" s="1"/>
  <c r="U58" i="10"/>
  <c r="W58" i="10" s="1"/>
  <c r="X58" i="10" s="1"/>
  <c r="U59" i="10"/>
  <c r="W59" i="10" s="1"/>
  <c r="X59" i="10" s="1"/>
  <c r="Y56" i="10"/>
  <c r="AA56" i="10" s="1"/>
  <c r="AB56" i="10" s="1"/>
  <c r="Y57" i="10"/>
  <c r="AA57" i="10" s="1"/>
  <c r="AB57" i="10" s="1"/>
  <c r="Y58" i="10"/>
  <c r="AA58" i="10" s="1"/>
  <c r="AB58" i="10" s="1"/>
  <c r="Y59" i="10"/>
  <c r="AA59" i="10" s="1"/>
  <c r="AB59" i="10" s="1"/>
  <c r="Y60" i="10"/>
  <c r="AA60" i="10" s="1"/>
  <c r="AB60" i="10" s="1"/>
  <c r="Y61" i="10"/>
  <c r="AA61" i="10" s="1"/>
  <c r="AB61" i="10" s="1"/>
  <c r="Y62" i="10"/>
  <c r="AA62" i="10" s="1"/>
  <c r="AB62" i="10" s="1"/>
  <c r="Y63" i="10"/>
  <c r="AA63" i="10" s="1"/>
  <c r="AB63" i="10" s="1"/>
  <c r="Y64" i="10"/>
  <c r="AA64" i="10" s="1"/>
  <c r="AB64" i="10" s="1"/>
  <c r="Y65" i="10"/>
  <c r="AA65" i="10" s="1"/>
  <c r="AB65" i="10" s="1"/>
  <c r="Y66" i="10"/>
  <c r="AA66" i="10" s="1"/>
  <c r="AB66" i="10" s="1"/>
  <c r="W60" i="10"/>
  <c r="X60" i="10" s="1"/>
  <c r="Q46" i="10"/>
  <c r="S46" i="10" s="1"/>
  <c r="T46" i="10" s="1"/>
  <c r="Q47" i="10"/>
  <c r="S47" i="10" s="1"/>
  <c r="T47" i="10" s="1"/>
  <c r="Q48" i="10"/>
  <c r="S48" i="10" s="1"/>
  <c r="T48" i="10" s="1"/>
  <c r="Q49" i="10"/>
  <c r="S49" i="10" s="1"/>
  <c r="T49" i="10" s="1"/>
  <c r="Q50" i="10"/>
  <c r="S50" i="10" s="1"/>
  <c r="T50" i="10" s="1"/>
  <c r="Q51" i="10"/>
  <c r="S51" i="10" s="1"/>
  <c r="T51" i="10" s="1"/>
  <c r="Q52" i="10"/>
  <c r="S52" i="10" s="1"/>
  <c r="T52" i="10" s="1"/>
  <c r="Q53" i="10"/>
  <c r="S53" i="10" s="1"/>
  <c r="T53" i="10" s="1"/>
  <c r="Q54" i="10"/>
  <c r="S54" i="10" s="1"/>
  <c r="T54" i="10" s="1"/>
  <c r="Y27" i="10"/>
  <c r="Y28" i="10"/>
  <c r="AA28" i="10" s="1"/>
  <c r="AB28" i="10" s="1"/>
  <c r="Y32" i="10"/>
  <c r="AA32" i="10" s="1"/>
  <c r="AB32" i="10" s="1"/>
  <c r="Y36" i="10"/>
  <c r="AA36" i="10" s="1"/>
  <c r="AB36" i="10" s="1"/>
  <c r="Y40" i="10"/>
  <c r="AA40" i="10" s="1"/>
  <c r="AB40" i="10" s="1"/>
  <c r="Y44" i="10"/>
  <c r="AA44" i="10" s="1"/>
  <c r="AB44" i="10" s="1"/>
  <c r="Y48" i="10"/>
  <c r="AA48" i="10" s="1"/>
  <c r="AB48" i="10" s="1"/>
  <c r="Y52" i="10"/>
  <c r="AA52" i="10" s="1"/>
  <c r="AB52" i="10" s="1"/>
  <c r="Y29" i="10"/>
  <c r="AA29" i="10" s="1"/>
  <c r="AB29" i="10" s="1"/>
  <c r="Y33" i="10"/>
  <c r="AA33" i="10" s="1"/>
  <c r="AB33" i="10" s="1"/>
  <c r="Y37" i="10"/>
  <c r="AA37" i="10" s="1"/>
  <c r="AB37" i="10" s="1"/>
  <c r="Y41" i="10"/>
  <c r="AA41" i="10" s="1"/>
  <c r="AB41" i="10" s="1"/>
  <c r="Y30" i="10"/>
  <c r="AA30" i="10" s="1"/>
  <c r="AB30" i="10" s="1"/>
  <c r="Y34" i="10"/>
  <c r="AA34" i="10" s="1"/>
  <c r="AB34" i="10" s="1"/>
  <c r="Y38" i="10"/>
  <c r="AA38" i="10" s="1"/>
  <c r="AB38" i="10" s="1"/>
  <c r="Y42" i="10"/>
  <c r="AA42" i="10" s="1"/>
  <c r="AB42" i="10" s="1"/>
  <c r="Y46" i="10"/>
  <c r="AA46" i="10" s="1"/>
  <c r="AB46" i="10" s="1"/>
  <c r="Y50" i="10"/>
  <c r="AA50" i="10" s="1"/>
  <c r="AB50" i="10" s="1"/>
  <c r="Y54" i="10"/>
  <c r="AA54" i="10" s="1"/>
  <c r="AB54" i="10" s="1"/>
  <c r="Y53" i="10"/>
  <c r="AA53" i="10" s="1"/>
  <c r="AB53" i="10" s="1"/>
  <c r="Y31" i="10"/>
  <c r="AA31" i="10" s="1"/>
  <c r="AB31" i="10" s="1"/>
  <c r="Y35" i="10"/>
  <c r="AA35" i="10" s="1"/>
  <c r="AB35" i="10" s="1"/>
  <c r="Y39" i="10"/>
  <c r="AA39" i="10" s="1"/>
  <c r="AB39" i="10" s="1"/>
  <c r="Y43" i="10"/>
  <c r="AA43" i="10" s="1"/>
  <c r="AB43" i="10" s="1"/>
  <c r="Y47" i="10"/>
  <c r="AA47" i="10" s="1"/>
  <c r="AB47" i="10" s="1"/>
  <c r="Y51" i="10"/>
  <c r="AA51" i="10" s="1"/>
  <c r="AB51" i="10" s="1"/>
  <c r="Y55" i="10"/>
  <c r="AA55" i="10" s="1"/>
  <c r="AB55" i="10" s="1"/>
  <c r="Y45" i="10"/>
  <c r="AA45" i="10" s="1"/>
  <c r="AB45" i="10" s="1"/>
  <c r="Y49" i="10"/>
  <c r="AA49" i="10" s="1"/>
  <c r="AB49" i="10" s="1"/>
  <c r="W28" i="10"/>
  <c r="X28" i="10" s="1"/>
  <c r="W32" i="10"/>
  <c r="X32" i="10" s="1"/>
  <c r="W44" i="10"/>
  <c r="X44" i="10" s="1"/>
  <c r="W48" i="10"/>
  <c r="X48" i="10" s="1"/>
  <c r="W33" i="10"/>
  <c r="X33" i="10" s="1"/>
  <c r="W35" i="10"/>
  <c r="X35" i="10" s="1"/>
  <c r="U27" i="10"/>
  <c r="Q28" i="10"/>
  <c r="S28" i="10" s="1"/>
  <c r="T28" i="10" s="1"/>
  <c r="Q32" i="10"/>
  <c r="S32" i="10" s="1"/>
  <c r="T32" i="10" s="1"/>
  <c r="Q36" i="10"/>
  <c r="S36" i="10" s="1"/>
  <c r="T36" i="10" s="1"/>
  <c r="Q40" i="10"/>
  <c r="S40" i="10" s="1"/>
  <c r="T40" i="10" s="1"/>
  <c r="Q44" i="10"/>
  <c r="S44" i="10" s="1"/>
  <c r="T44" i="10" s="1"/>
  <c r="Q39" i="10"/>
  <c r="S39" i="10" s="1"/>
  <c r="T39" i="10" s="1"/>
  <c r="Q29" i="10"/>
  <c r="S29" i="10" s="1"/>
  <c r="T29" i="10" s="1"/>
  <c r="Q33" i="10"/>
  <c r="S33" i="10" s="1"/>
  <c r="T33" i="10" s="1"/>
  <c r="Q37" i="10"/>
  <c r="S37" i="10" s="1"/>
  <c r="T37" i="10" s="1"/>
  <c r="Q41" i="10"/>
  <c r="S41" i="10" s="1"/>
  <c r="T41" i="10" s="1"/>
  <c r="Q45" i="10"/>
  <c r="S45" i="10" s="1"/>
  <c r="T45" i="10" s="1"/>
  <c r="Q31" i="10"/>
  <c r="S31" i="10" s="1"/>
  <c r="T31" i="10" s="1"/>
  <c r="Q35" i="10"/>
  <c r="S35" i="10" s="1"/>
  <c r="T35" i="10" s="1"/>
  <c r="Q43" i="10"/>
  <c r="S43" i="10" s="1"/>
  <c r="T43" i="10" s="1"/>
  <c r="Q30" i="10"/>
  <c r="S30" i="10" s="1"/>
  <c r="T30" i="10" s="1"/>
  <c r="Q34" i="10"/>
  <c r="S34" i="10" s="1"/>
  <c r="T34" i="10" s="1"/>
  <c r="Q38" i="10"/>
  <c r="S38" i="10" s="1"/>
  <c r="T38" i="10" s="1"/>
  <c r="Q42" i="10"/>
  <c r="S42" i="10" s="1"/>
  <c r="T42" i="10" s="1"/>
  <c r="Q27" i="10"/>
  <c r="M29" i="10"/>
  <c r="O29" i="10" s="1"/>
  <c r="P29" i="10" s="1"/>
  <c r="I32" i="10"/>
  <c r="K32" i="10" s="1"/>
  <c r="L32" i="10" s="1"/>
  <c r="M31" i="10"/>
  <c r="O31" i="10" s="1"/>
  <c r="P31" i="10" s="1"/>
  <c r="V78" i="10"/>
  <c r="S26" i="10"/>
  <c r="T26" i="10" s="1"/>
  <c r="W26" i="10"/>
  <c r="X26" i="10" s="1"/>
  <c r="AA26" i="10"/>
  <c r="AB26" i="10" s="1"/>
  <c r="Z78" i="10"/>
  <c r="M39" i="10"/>
  <c r="O39" i="10" s="1"/>
  <c r="P39" i="10" s="1"/>
  <c r="I38" i="10"/>
  <c r="K38" i="10" s="1"/>
  <c r="L38" i="10" s="1"/>
  <c r="I39" i="10"/>
  <c r="K39" i="10" s="1"/>
  <c r="L39" i="10" s="1"/>
  <c r="I36" i="10"/>
  <c r="K36" i="10" s="1"/>
  <c r="L36" i="10" s="1"/>
  <c r="I40" i="10"/>
  <c r="K40" i="10" s="1"/>
  <c r="L40" i="10" s="1"/>
  <c r="I29" i="10"/>
  <c r="K29" i="10" s="1"/>
  <c r="L29" i="10" s="1"/>
  <c r="I37" i="10"/>
  <c r="K37" i="10" s="1"/>
  <c r="L37" i="10" s="1"/>
  <c r="I30" i="10"/>
  <c r="K30" i="10" s="1"/>
  <c r="L30" i="10" s="1"/>
  <c r="I44" i="10"/>
  <c r="K44" i="10" s="1"/>
  <c r="L44" i="10" s="1"/>
  <c r="I34" i="10"/>
  <c r="K34" i="10" s="1"/>
  <c r="L34" i="10" s="1"/>
  <c r="I31" i="10"/>
  <c r="K31" i="10" s="1"/>
  <c r="L31" i="10" s="1"/>
  <c r="J78" i="10"/>
  <c r="I42" i="10"/>
  <c r="K42" i="10" s="1"/>
  <c r="L42" i="10" s="1"/>
  <c r="I41" i="10"/>
  <c r="K41" i="10" s="1"/>
  <c r="L41" i="10" s="1"/>
  <c r="I33" i="10"/>
  <c r="K33" i="10" s="1"/>
  <c r="L33" i="10" s="1"/>
  <c r="K26" i="10"/>
  <c r="L26" i="10" s="1"/>
  <c r="I43" i="10"/>
  <c r="K43" i="10" s="1"/>
  <c r="L43" i="10" s="1"/>
  <c r="I28" i="10"/>
  <c r="K28" i="10" s="1"/>
  <c r="L28" i="10" s="1"/>
  <c r="I35" i="10"/>
  <c r="K35" i="10" s="1"/>
  <c r="L35" i="10" s="1"/>
  <c r="O26" i="10"/>
  <c r="P26" i="10" s="1"/>
  <c r="M41" i="10"/>
  <c r="O41" i="10" s="1"/>
  <c r="P41" i="10" s="1"/>
  <c r="W46" i="10"/>
  <c r="X46" i="10" s="1"/>
  <c r="M32" i="10"/>
  <c r="O32" i="10" s="1"/>
  <c r="P32" i="10" s="1"/>
  <c r="M44" i="10"/>
  <c r="O44" i="10" s="1"/>
  <c r="P44" i="10" s="1"/>
  <c r="M37" i="10"/>
  <c r="O37" i="10" s="1"/>
  <c r="P37" i="10" s="1"/>
  <c r="M36" i="10"/>
  <c r="O36" i="10" s="1"/>
  <c r="P36" i="10" s="1"/>
  <c r="M28" i="10"/>
  <c r="O28" i="10" s="1"/>
  <c r="P28" i="10" s="1"/>
  <c r="M34" i="10"/>
  <c r="O34" i="10" s="1"/>
  <c r="P34" i="10" s="1"/>
  <c r="M42" i="10"/>
  <c r="O42" i="10" s="1"/>
  <c r="P42" i="10" s="1"/>
  <c r="M35" i="10"/>
  <c r="O35" i="10" s="1"/>
  <c r="P35" i="10" s="1"/>
  <c r="M40" i="10"/>
  <c r="O40" i="10" s="1"/>
  <c r="P40" i="10" s="1"/>
  <c r="W49" i="10"/>
  <c r="X49" i="10" s="1"/>
  <c r="M30" i="10"/>
  <c r="O30" i="10" s="1"/>
  <c r="P30" i="10" s="1"/>
  <c r="W50" i="10"/>
  <c r="X50" i="10" s="1"/>
  <c r="M43" i="10"/>
  <c r="O43" i="10" s="1"/>
  <c r="P43" i="10" s="1"/>
  <c r="N78" i="10"/>
  <c r="R78" i="10"/>
  <c r="M33" i="10"/>
  <c r="O33" i="10" s="1"/>
  <c r="P33" i="10" s="1"/>
  <c r="M38" i="10"/>
  <c r="O38" i="10" s="1"/>
  <c r="P38" i="10" s="1"/>
  <c r="AA27" i="10" l="1"/>
  <c r="AB27" i="10" s="1"/>
  <c r="Y78" i="10"/>
  <c r="W27" i="10"/>
  <c r="X27" i="10" s="1"/>
  <c r="U78" i="10"/>
  <c r="S27" i="10"/>
  <c r="T27" i="10" s="1"/>
  <c r="Q78" i="10"/>
  <c r="M78" i="10"/>
  <c r="O27" i="10"/>
  <c r="P27" i="10" s="1"/>
  <c r="I78" i="10"/>
  <c r="K27" i="10"/>
  <c r="L27" i="10" s="1"/>
  <c r="AB78" i="10" l="1"/>
  <c r="F19" i="10" s="1"/>
  <c r="O10" i="27" s="1"/>
  <c r="X78" i="10"/>
  <c r="E19" i="10" s="1"/>
  <c r="T78" i="10"/>
  <c r="D19" i="10" s="1"/>
  <c r="O8" i="27" s="1"/>
  <c r="P78" i="10"/>
  <c r="C19" i="10" s="1"/>
  <c r="O7" i="27" s="1"/>
  <c r="L78" i="10"/>
  <c r="B19" i="10" s="1"/>
  <c r="O14" i="27" s="1"/>
  <c r="O9" i="27" l="1"/>
  <c r="H17" i="27" s="1"/>
  <c r="C17" i="27" s="1"/>
  <c r="D17" i="27"/>
  <c r="D13" i="27"/>
  <c r="D8" i="27"/>
  <c r="D12" i="27"/>
  <c r="D14" i="27"/>
  <c r="D7" i="27"/>
  <c r="D15" i="27"/>
  <c r="D9" i="27"/>
  <c r="D16" i="27"/>
  <c r="D10" i="27"/>
  <c r="D18" i="27"/>
  <c r="D11" i="27"/>
  <c r="F12" i="27"/>
  <c r="C12" i="27" s="1"/>
  <c r="F8" i="27"/>
  <c r="C8" i="27" s="1"/>
  <c r="F7" i="27"/>
  <c r="C7" i="27" s="1"/>
  <c r="F10" i="27"/>
  <c r="C10" i="27" s="1"/>
  <c r="F9" i="27"/>
  <c r="C9" i="27" s="1"/>
  <c r="F11" i="27"/>
  <c r="C11" i="27" s="1"/>
  <c r="G14" i="27"/>
  <c r="C14" i="27" s="1"/>
  <c r="G11" i="27"/>
  <c r="G13" i="27"/>
  <c r="C13" i="27" s="1"/>
  <c r="G7" i="27"/>
  <c r="G16" i="27"/>
  <c r="C16" i="27" s="1"/>
  <c r="G12" i="27"/>
  <c r="G15" i="27"/>
  <c r="C15" i="27" s="1"/>
  <c r="G8" i="27"/>
  <c r="G9" i="27"/>
  <c r="G10" i="27"/>
  <c r="I7" i="27"/>
  <c r="I12" i="27"/>
  <c r="I15" i="27"/>
  <c r="I8" i="27"/>
  <c r="I13" i="27"/>
  <c r="I9" i="27"/>
  <c r="I18" i="27"/>
  <c r="C18" i="27" s="1"/>
  <c r="I11" i="27"/>
  <c r="I16" i="27"/>
  <c r="I10" i="27"/>
  <c r="I17" i="27"/>
  <c r="I14" i="27"/>
  <c r="B13" i="27" l="1"/>
  <c r="B8" i="27"/>
  <c r="B17" i="27"/>
  <c r="B10" i="27"/>
  <c r="B18" i="27"/>
  <c r="B15" i="27"/>
  <c r="B16" i="27"/>
  <c r="B14" i="27"/>
  <c r="B11" i="27"/>
  <c r="B9" i="27"/>
  <c r="B12" i="27"/>
  <c r="B7" i="27"/>
  <c r="C19" i="27"/>
  <c r="D19" i="27"/>
  <c r="B19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Mariano Ortiz</author>
  </authors>
  <commentList>
    <comment ref="A13" authorId="0" shapeId="0" xr:uid="{BF6047F1-76A4-4524-B78F-1798E54AB6A6}">
      <text>
        <r>
          <rPr>
            <b/>
            <sz val="9"/>
            <color indexed="81"/>
            <rFont val="Tahoma"/>
            <family val="2"/>
          </rPr>
          <t>OPC:</t>
        </r>
        <r>
          <rPr>
            <sz val="9"/>
            <color indexed="81"/>
            <rFont val="Tahoma"/>
            <family val="2"/>
          </rPr>
          <t xml:space="preserve">
En Sep-2021 los bonos nuevos pagan un cupón doble (anual, en lugar de semestral) con una tasa de 0,125%.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Mariano Ortiz</author>
  </authors>
  <commentList>
    <comment ref="B6" authorId="0" shapeId="0" xr:uid="{EAB8C79F-C218-4F26-948D-2C2BF3E41362}">
      <text>
        <r>
          <rPr>
            <b/>
            <sz val="9"/>
            <color indexed="81"/>
            <rFont val="Tahoma"/>
            <family val="2"/>
          </rPr>
          <t>OPC:</t>
        </r>
        <r>
          <rPr>
            <sz val="9"/>
            <color indexed="81"/>
            <rFont val="Tahoma"/>
            <family val="2"/>
          </rPr>
          <t xml:space="preserve">
Bono para reconocimiento de intereses corridos</t>
        </r>
      </text>
    </comment>
  </commentList>
</comments>
</file>

<file path=xl/sharedStrings.xml><?xml version="1.0" encoding="utf-8"?>
<sst xmlns="http://schemas.openxmlformats.org/spreadsheetml/2006/main" count="503" uniqueCount="174">
  <si>
    <t>Semestral</t>
  </si>
  <si>
    <t>Mensual</t>
  </si>
  <si>
    <t xml:space="preserve">Cada 100 VN </t>
  </si>
  <si>
    <t>Trimestral</t>
  </si>
  <si>
    <t>Base de cálculo 30/360</t>
  </si>
  <si>
    <t>Anual</t>
  </si>
  <si>
    <t>Características</t>
  </si>
  <si>
    <t>Fecha de emisión</t>
  </si>
  <si>
    <t>Fecha de vencimiento</t>
  </si>
  <si>
    <t>Moneda</t>
  </si>
  <si>
    <t>USD</t>
  </si>
  <si>
    <t>Plazo en años</t>
  </si>
  <si>
    <t>Años de gracia</t>
  </si>
  <si>
    <t>Final período de gracia</t>
  </si>
  <si>
    <t>Primer pago de intereses</t>
  </si>
  <si>
    <t>Capitalización</t>
  </si>
  <si>
    <t>no</t>
  </si>
  <si>
    <t>Pago de intereses</t>
  </si>
  <si>
    <t>Primera amortización</t>
  </si>
  <si>
    <t>Valor presente @ exit yield</t>
  </si>
  <si>
    <t>Fecha final de cupón</t>
  </si>
  <si>
    <t>Tasas nominales anuales</t>
  </si>
  <si>
    <t>Fecha cupón</t>
  </si>
  <si>
    <t>Interés</t>
  </si>
  <si>
    <t>Amort.</t>
  </si>
  <si>
    <t>Total (I+K)</t>
  </si>
  <si>
    <t>Valor presente</t>
  </si>
  <si>
    <t>TOTAL</t>
  </si>
  <si>
    <t>Intereses</t>
  </si>
  <si>
    <t>Principal</t>
  </si>
  <si>
    <t>Total</t>
  </si>
  <si>
    <t>Bonos elegibles</t>
  </si>
  <si>
    <t>Tasa</t>
  </si>
  <si>
    <t>Intereses corridos
c/100 VNA</t>
  </si>
  <si>
    <t>VPN</t>
  </si>
  <si>
    <t>en millones de USD</t>
  </si>
  <si>
    <t>Año</t>
  </si>
  <si>
    <t>TOTALES</t>
  </si>
  <si>
    <t>Amortizaciones</t>
  </si>
  <si>
    <t>USD 2030 LA</t>
  </si>
  <si>
    <t>USD 2035 LA</t>
  </si>
  <si>
    <t>USD 2038 LA</t>
  </si>
  <si>
    <t>USD 2041 LA</t>
  </si>
  <si>
    <t>BONCER 2026</t>
  </si>
  <si>
    <t>BONCER 2028</t>
  </si>
  <si>
    <t>USDI 2030 LA</t>
  </si>
  <si>
    <t>LETES (U30G9)</t>
  </si>
  <si>
    <t>LETES (U13S9)</t>
  </si>
  <si>
    <t>LETES (U27S9)</t>
  </si>
  <si>
    <t>LETES (U11O9)</t>
  </si>
  <si>
    <t>LETES (U25O9)</t>
  </si>
  <si>
    <t>LETES (U15N9)</t>
  </si>
  <si>
    <t>LETES (U29N9)</t>
  </si>
  <si>
    <t>LETES (U20D9)</t>
  </si>
  <si>
    <t>LETES (U17E0)</t>
  </si>
  <si>
    <t>LETES (U31E0)</t>
  </si>
  <si>
    <t>LETES (U14F0)</t>
  </si>
  <si>
    <t>LETES (U28F0)</t>
  </si>
  <si>
    <t>LELINK (V04D9)</t>
  </si>
  <si>
    <t>BONAR DUAL 2020 (AF20)</t>
  </si>
  <si>
    <t>BONAR 2020 (AY20)</t>
  </si>
  <si>
    <t>BONAR 2020 (AO20)</t>
  </si>
  <si>
    <t>BONAD 2021 (TV21)</t>
  </si>
  <si>
    <t>BONAR 2022 (AD22)</t>
  </si>
  <si>
    <t>BONAR 2023 (Blanqueo)</t>
  </si>
  <si>
    <t>BONAR 2024 (AY24)</t>
  </si>
  <si>
    <t>BONAR 2025 (AD25)</t>
  </si>
  <si>
    <t>BONAR 2025 (AA25)</t>
  </si>
  <si>
    <t>BONAR 2027 (AD27)</t>
  </si>
  <si>
    <t>BONAR 2037 (AA37)</t>
  </si>
  <si>
    <t>DISCOUNT USD (DICA)</t>
  </si>
  <si>
    <t>DISCOUNT USD (DIA0)</t>
  </si>
  <si>
    <t>PAR USD (PARA)</t>
  </si>
  <si>
    <t>PAR USD (PAA0)</t>
  </si>
  <si>
    <t>DLK</t>
  </si>
  <si>
    <t>Descuento</t>
  </si>
  <si>
    <t>Amortización</t>
  </si>
  <si>
    <t>ARP</t>
  </si>
  <si>
    <t>Tasa de interés</t>
  </si>
  <si>
    <t>Frecuencia de intereses</t>
  </si>
  <si>
    <t>Frecuencia amortización</t>
  </si>
  <si>
    <t>semestral</t>
  </si>
  <si>
    <t>en millones de pesos</t>
  </si>
  <si>
    <t>TC</t>
  </si>
  <si>
    <t>TOTAL BONCER</t>
  </si>
  <si>
    <t>LELINK (V05N9)</t>
  </si>
  <si>
    <t>DISCOUNT Y PAR</t>
  </si>
  <si>
    <t>Al 4/9/2020</t>
  </si>
  <si>
    <t>Al 6/4/2020</t>
  </si>
  <si>
    <t>Diferencia</t>
  </si>
  <si>
    <t>LETES</t>
  </si>
  <si>
    <t>LELINK</t>
  </si>
  <si>
    <t>BONOS DLK</t>
  </si>
  <si>
    <t>Bono elegido</t>
  </si>
  <si>
    <t>DISCOUNT USD</t>
  </si>
  <si>
    <t>PAR USD</t>
  </si>
  <si>
    <t>En millones de USD</t>
  </si>
  <si>
    <t>Elegibles reestructuración legislación extranjera</t>
  </si>
  <si>
    <t>Elegibles reestructuración legislación argentina</t>
  </si>
  <si>
    <t>Perfil de vencimientos títulos elegibles y nuevos bonos</t>
  </si>
  <si>
    <t>2049 a 2117</t>
  </si>
  <si>
    <t>Total perfil bonos nuevos</t>
  </si>
  <si>
    <t>Total elegibles</t>
  </si>
  <si>
    <t>Perfil de vencimientos</t>
  </si>
  <si>
    <t>2020-2024</t>
  </si>
  <si>
    <t>2020-2030</t>
  </si>
  <si>
    <t>Perfil total (2020-2117)</t>
  </si>
  <si>
    <t>Servicios totales</t>
  </si>
  <si>
    <t>Legislación extranjera</t>
  </si>
  <si>
    <t>Legislación argentina</t>
  </si>
  <si>
    <t>Perfil actual de los títulos elegibles (I)</t>
  </si>
  <si>
    <t>Nuevo perfil con últimas propuestas oficiales (II)</t>
  </si>
  <si>
    <t>Legislación extranjera (Oferta del 5-jul)</t>
  </si>
  <si>
    <t>Legislación argentina (Proyecto de Ley del 16-jul)</t>
  </si>
  <si>
    <t>Diferencias (I - II)</t>
  </si>
  <si>
    <t>Bonares</t>
  </si>
  <si>
    <t>Letes en USD</t>
  </si>
  <si>
    <t>Títulos USD linked</t>
  </si>
  <si>
    <t>LETES/BONARES</t>
  </si>
  <si>
    <t>Discount y Pares</t>
  </si>
  <si>
    <t>Perfil actual de los bonos elegibles (reestructuración legislación extranjera + argentina)</t>
  </si>
  <si>
    <t>Perfil bonos nuevos (escenario de aceptación 100% de la reestructuración de deuda ley extranjera y argentina)</t>
  </si>
  <si>
    <t>Elección de nuevos bonos por bono elegible</t>
  </si>
  <si>
    <t>Valor de la propuesta para cada bono elegible</t>
  </si>
  <si>
    <t>Bono nuevo</t>
  </si>
  <si>
    <t>Nota: Se asume que solo los bonos en USD linked se canjean por bonos en pesos ajustados por CER.</t>
  </si>
  <si>
    <t>No incluye Bono por Intereses Corridos</t>
  </si>
  <si>
    <t>USD 2030</t>
  </si>
  <si>
    <t>USD 2035</t>
  </si>
  <si>
    <t>USD 2038</t>
  </si>
  <si>
    <t>USD 2041</t>
  </si>
  <si>
    <t>SERVICIOS TOTALES</t>
  </si>
  <si>
    <t>Legislación extranjera (Oferta 5-jul)</t>
  </si>
  <si>
    <t>Legislación argentina (Proyecto de ley 16-jul)</t>
  </si>
  <si>
    <t>Cupón de interés</t>
  </si>
  <si>
    <t>Cuotas de amortización</t>
  </si>
  <si>
    <t>Fecha último pago</t>
  </si>
  <si>
    <t>VN</t>
  </si>
  <si>
    <t>VN a emitir</t>
  </si>
  <si>
    <t>Valor presente @ exit yield (en pesos)</t>
  </si>
  <si>
    <t>Perfil total</t>
  </si>
  <si>
    <t>Montos en millones de USD</t>
  </si>
  <si>
    <t>Reestructuración títulos en dólares legislación argentina 2020 - Nuevos bonos USD</t>
  </si>
  <si>
    <t>Reestructuración títulos en dólares legislación argentina 2020 - BONCER</t>
  </si>
  <si>
    <t>Exit yield ($ + CER)</t>
  </si>
  <si>
    <t>Exit yield (USD)</t>
  </si>
  <si>
    <t>$ sin ajuste</t>
  </si>
  <si>
    <t>En millones de USD*</t>
  </si>
  <si>
    <t>* En base a escenario propio de inflación y TC.</t>
  </si>
  <si>
    <t>Stock vigente en millones de USD</t>
  </si>
  <si>
    <t>Intereses corridos
en millones de USD</t>
  </si>
  <si>
    <t>Monto adicional de BONCER
c/100 VNA</t>
  </si>
  <si>
    <t>Opción de canje por BONCER</t>
  </si>
  <si>
    <t>Reconocimiento de intereses corridos de bonos elegibles al canje</t>
  </si>
  <si>
    <t>VNA (en millones de USD)</t>
  </si>
  <si>
    <t>Intereses devengados (en millones de USD)</t>
  </si>
  <si>
    <t>Monto máximo de emisión</t>
  </si>
  <si>
    <t>Monto de emisión (mill. $)</t>
  </si>
  <si>
    <t>Monto de emisión (millones de USD)</t>
  </si>
  <si>
    <t>Títulos elegibles</t>
  </si>
  <si>
    <t>Relación de canje (cada USD1 de VNA elegible)</t>
  </si>
  <si>
    <t>Cada 100 VNA de bono elegible</t>
  </si>
  <si>
    <t>Opción de canje por bonos en USD</t>
  </si>
  <si>
    <t>Con intereses corridos al 6/4</t>
  </si>
  <si>
    <t>Diferencial intereses corridos
(6/4 al 4/9)</t>
  </si>
  <si>
    <t>Valor de la propuesta (en USD)</t>
  </si>
  <si>
    <t>Valor de la propuesta (en $)</t>
  </si>
  <si>
    <t>Valor de cada opción de canje
(en USD; sin intereses corridos)</t>
  </si>
  <si>
    <t>Valor de cada opción de canje (en $; sin intereses corridos)</t>
  </si>
  <si>
    <t>Promedio simple</t>
  </si>
  <si>
    <t>Fecha de pago</t>
  </si>
  <si>
    <t>Bonos Elegibles en USD</t>
  </si>
  <si>
    <t>Nuevos Bonos en USD</t>
  </si>
  <si>
    <t xml:space="preserve">Tasa de Cupón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</si>
</sst>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00%"/>
    <numFmt numFmtId="167" formatCode="#,##0.0_);\(#,##0.0\)"/>
    <numFmt numFmtId="168" formatCode="_ * #,##0_ ;_ * \-#,##0_ ;_ * &quot;-&quot;??_ ;_ @_ "/>
    <numFmt numFmtId="169" formatCode="#,##0.0"/>
    <numFmt numFmtId="170" formatCode="0_ ;\-0\ "/>
    <numFmt numFmtId="171" formatCode="dd/mm/yy;@"/>
    <numFmt numFmtId="172" formatCode="#,##0.0_ ;\-#,##0.0\ "/>
    <numFmt numFmtId="173" formatCode="_-* #,##0_-;\-* #,##0_-;_-* &quot;-&quot;??_-;_-@_-"/>
    <numFmt numFmtId="174" formatCode="#,##0.0000_ ;\-#,##0.0000\ "/>
    <numFmt numFmtId="175" formatCode="#,##0.00000_ ;\-#,##0.00000\ "/>
    <numFmt numFmtId="176" formatCode="_-* #,##0.0_-;\-* #,##0.0_-;_-* &quot;-&quot;??_-;_-@_-"/>
    <numFmt numFmtId="17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3E3E3E"/>
      <name val="Calibri"/>
      <family val="2"/>
      <scheme val="minor"/>
    </font>
    <font>
      <sz val="10"/>
      <color rgb="FF3E3E3E"/>
      <name val="Calibri"/>
      <family val="2"/>
      <scheme val="minor"/>
    </font>
    <font>
      <b/>
      <sz val="10"/>
      <color rgb="FF3E3E3E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rgb="FF3E3E3E"/>
      <name val="Calibri"/>
      <family val="2"/>
      <scheme val="minor"/>
    </font>
    <font>
      <b/>
      <sz val="10"/>
      <color rgb="FF345AA6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3E3E3E"/>
      <name val="Calibri"/>
      <family val="2"/>
      <scheme val="minor"/>
    </font>
    <font>
      <sz val="9"/>
      <color rgb="FF3E3E3E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3E3E3E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E3E3E"/>
      <name val="Calibri"/>
      <family val="2"/>
      <scheme val="minor"/>
    </font>
    <font>
      <b/>
      <u/>
      <sz val="8"/>
      <color rgb="FF3E3E3E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E3E3E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87A5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45AA6"/>
        <bgColor indexed="64"/>
      </patternFill>
    </fill>
    <fill>
      <patternFill patternType="solid">
        <fgColor rgb="FF3E3E3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rgb="FF345AA6"/>
      </left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rgb="FF345AA6"/>
      </left>
      <right/>
      <top style="thin">
        <color rgb="FF345AA6"/>
      </top>
      <bottom style="thin">
        <color rgb="FF345AA6"/>
      </bottom>
      <diagonal/>
    </border>
    <border>
      <left/>
      <right/>
      <top style="thin">
        <color rgb="FF345AA6"/>
      </top>
      <bottom style="thin">
        <color rgb="FF345AA6"/>
      </bottom>
      <diagonal/>
    </border>
    <border>
      <left style="thin">
        <color rgb="FF345AA6"/>
      </left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 style="thin">
        <color rgb="FF345AA6"/>
      </right>
      <top/>
      <bottom style="thin">
        <color rgb="FF345AA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45AA6"/>
      </left>
      <right/>
      <top/>
      <bottom/>
      <diagonal/>
    </border>
    <border>
      <left style="thin">
        <color rgb="FF345AA6"/>
      </left>
      <right style="thin">
        <color rgb="FF345AA6"/>
      </right>
      <top/>
      <bottom/>
      <diagonal/>
    </border>
    <border>
      <left style="thin">
        <color rgb="FF345AA6"/>
      </left>
      <right/>
      <top style="thin">
        <color theme="0"/>
      </top>
      <bottom style="thin">
        <color rgb="FF345AA6"/>
      </bottom>
      <diagonal/>
    </border>
    <border>
      <left style="thin">
        <color rgb="FF345AA6"/>
      </left>
      <right style="thin">
        <color rgb="FF345AA6"/>
      </right>
      <top style="thin">
        <color theme="0"/>
      </top>
      <bottom style="thin">
        <color rgb="FF345A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45AA6"/>
      </left>
      <right/>
      <top/>
      <bottom style="thin">
        <color rgb="FF345AA6"/>
      </bottom>
      <diagonal/>
    </border>
    <border>
      <left/>
      <right/>
      <top/>
      <bottom style="thin">
        <color rgb="FF345AA6"/>
      </bottom>
      <diagonal/>
    </border>
    <border>
      <left/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/>
      <top style="thin">
        <color rgb="FF345AA6"/>
      </top>
      <bottom/>
      <diagonal/>
    </border>
    <border>
      <left/>
      <right/>
      <top style="thin">
        <color rgb="FF345AA6"/>
      </top>
      <bottom/>
      <diagonal/>
    </border>
    <border>
      <left/>
      <right style="thin">
        <color rgb="FF345AA6"/>
      </right>
      <top/>
      <bottom/>
      <diagonal/>
    </border>
    <border>
      <left/>
      <right style="thin">
        <color rgb="FF345AA6"/>
      </right>
      <top/>
      <bottom style="thin">
        <color rgb="FF345AA6"/>
      </bottom>
      <diagonal/>
    </border>
    <border>
      <left/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45AA6"/>
      </left>
      <right style="thin">
        <color rgb="FF345AA6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45AA6"/>
      </left>
      <right/>
      <top/>
      <bottom style="thin">
        <color theme="0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rgb="FF345AA6"/>
      </left>
      <right style="thin">
        <color rgb="FF345AA6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345AA6"/>
      </right>
      <top style="thin">
        <color theme="8" tint="-0.249977111117893"/>
      </top>
      <bottom/>
      <diagonal/>
    </border>
    <border>
      <left style="thin">
        <color rgb="FF345AA6"/>
      </left>
      <right style="thin">
        <color rgb="FF345AA6"/>
      </right>
      <top style="thin">
        <color theme="8" tint="-0.249977111117893"/>
      </top>
      <bottom/>
      <diagonal/>
    </border>
    <border>
      <left style="thin">
        <color rgb="FF345AA6"/>
      </left>
      <right style="thin">
        <color theme="8" tint="-0.249977111117893"/>
      </right>
      <top style="thin">
        <color theme="8" tint="-0.249977111117893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43" fontId="3" fillId="0" borderId="0" xfId="1" applyFont="1"/>
    <xf numFmtId="0" fontId="2" fillId="0" borderId="0" xfId="0" applyFont="1"/>
    <xf numFmtId="4" fontId="9" fillId="0" borderId="0" xfId="0" applyNumberFormat="1" applyFont="1"/>
    <xf numFmtId="0" fontId="9" fillId="0" borderId="0" xfId="0" applyFont="1"/>
    <xf numFmtId="172" fontId="9" fillId="0" borderId="0" xfId="1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right" vertical="center" wrapText="1"/>
    </xf>
    <xf numFmtId="168" fontId="9" fillId="0" borderId="11" xfId="3" applyNumberFormat="1" applyFont="1" applyFill="1" applyBorder="1"/>
    <xf numFmtId="168" fontId="9" fillId="0" borderId="11" xfId="3" applyNumberFormat="1" applyFont="1" applyBorder="1"/>
    <xf numFmtId="0" fontId="9" fillId="0" borderId="0" xfId="0" applyFont="1" applyAlignment="1">
      <alignment vertical="center"/>
    </xf>
    <xf numFmtId="172" fontId="3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168" fontId="9" fillId="0" borderId="4" xfId="3" applyNumberFormat="1" applyFont="1" applyBorder="1"/>
    <xf numFmtId="168" fontId="9" fillId="0" borderId="23" xfId="3" applyNumberFormat="1" applyFont="1" applyBorder="1"/>
    <xf numFmtId="3" fontId="9" fillId="5" borderId="23" xfId="0" applyNumberFormat="1" applyFont="1" applyFill="1" applyBorder="1"/>
    <xf numFmtId="3" fontId="9" fillId="5" borderId="22" xfId="0" applyNumberFormat="1" applyFont="1" applyFill="1" applyBorder="1"/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168" fontId="9" fillId="0" borderId="12" xfId="3" applyNumberFormat="1" applyFont="1" applyBorder="1"/>
    <xf numFmtId="3" fontId="9" fillId="5" borderId="11" xfId="0" applyNumberFormat="1" applyFont="1" applyFill="1" applyBorder="1"/>
    <xf numFmtId="3" fontId="9" fillId="5" borderId="25" xfId="0" applyNumberFormat="1" applyFont="1" applyFill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168" fontId="9" fillId="0" borderId="5" xfId="3" applyNumberFormat="1" applyFont="1" applyBorder="1"/>
    <xf numFmtId="168" fontId="9" fillId="0" borderId="20" xfId="3" applyNumberFormat="1" applyFont="1" applyBorder="1"/>
    <xf numFmtId="3" fontId="9" fillId="5" borderId="24" xfId="0" applyNumberFormat="1" applyFont="1" applyFill="1" applyBorder="1"/>
    <xf numFmtId="3" fontId="9" fillId="5" borderId="0" xfId="0" applyNumberFormat="1" applyFont="1" applyFill="1"/>
    <xf numFmtId="168" fontId="9" fillId="0" borderId="12" xfId="3" applyNumberFormat="1" applyFont="1" applyFill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14" fontId="9" fillId="0" borderId="12" xfId="0" applyNumberFormat="1" applyFont="1" applyFill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14" fontId="9" fillId="0" borderId="12" xfId="2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9" fillId="0" borderId="14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168" fontId="9" fillId="0" borderId="5" xfId="3" applyNumberFormat="1" applyFont="1" applyFill="1" applyBorder="1"/>
    <xf numFmtId="166" fontId="9" fillId="0" borderId="5" xfId="2" applyNumberFormat="1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66" fontId="5" fillId="0" borderId="6" xfId="2" applyNumberFormat="1" applyFont="1" applyBorder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166" fontId="5" fillId="0" borderId="0" xfId="2" applyNumberFormat="1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166" fontId="5" fillId="0" borderId="0" xfId="2" applyNumberFormat="1" applyFont="1" applyAlignment="1">
      <alignment vertical="center"/>
    </xf>
    <xf numFmtId="166" fontId="5" fillId="0" borderId="8" xfId="2" applyNumberFormat="1" applyFont="1" applyBorder="1" applyAlignment="1">
      <alignment horizontal="center" vertical="center"/>
    </xf>
    <xf numFmtId="166" fontId="5" fillId="0" borderId="9" xfId="2" applyNumberFormat="1" applyFont="1" applyBorder="1" applyAlignment="1">
      <alignment vertical="center"/>
    </xf>
    <xf numFmtId="166" fontId="5" fillId="0" borderId="9" xfId="2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3" fontId="5" fillId="0" borderId="15" xfId="0" applyNumberFormat="1" applyFont="1" applyBorder="1" applyAlignment="1">
      <alignment horizontal="center" vertical="center"/>
    </xf>
    <xf numFmtId="43" fontId="5" fillId="0" borderId="16" xfId="0" applyNumberFormat="1" applyFont="1" applyBorder="1" applyAlignment="1">
      <alignment horizontal="center" vertical="center"/>
    </xf>
    <xf numFmtId="43" fontId="5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3" fontId="5" fillId="0" borderId="6" xfId="1" applyNumberFormat="1" applyFont="1" applyBorder="1" applyAlignment="1">
      <alignment horizontal="center" vertical="center"/>
    </xf>
    <xf numFmtId="43" fontId="5" fillId="0" borderId="0" xfId="1" applyNumberFormat="1" applyFont="1" applyFill="1" applyAlignment="1">
      <alignment vertical="center"/>
    </xf>
    <xf numFmtId="43" fontId="5" fillId="0" borderId="0" xfId="1" applyNumberFormat="1" applyFont="1" applyFill="1" applyBorder="1" applyAlignment="1">
      <alignment horizontal="center" vertical="center"/>
    </xf>
    <xf numFmtId="43" fontId="5" fillId="0" borderId="7" xfId="1" applyNumberFormat="1" applyFont="1" applyFill="1" applyBorder="1" applyAlignment="1">
      <alignment horizontal="center" vertical="center"/>
    </xf>
    <xf numFmtId="43" fontId="5" fillId="0" borderId="0" xfId="1" applyNumberFormat="1" applyFont="1" applyBorder="1" applyAlignment="1">
      <alignment horizontal="center" vertical="center"/>
    </xf>
    <xf numFmtId="43" fontId="5" fillId="0" borderId="6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7" fillId="7" borderId="27" xfId="0" applyNumberFormat="1" applyFont="1" applyFill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3" fontId="5" fillId="5" borderId="6" xfId="1" applyFont="1" applyFill="1" applyBorder="1" applyAlignment="1">
      <alignment horizontal="center" vertical="center"/>
    </xf>
    <xf numFmtId="43" fontId="5" fillId="5" borderId="0" xfId="1" applyFont="1" applyFill="1" applyAlignment="1">
      <alignment vertical="center"/>
    </xf>
    <xf numFmtId="43" fontId="5" fillId="5" borderId="0" xfId="1" applyFont="1" applyFill="1" applyBorder="1" applyAlignment="1">
      <alignment horizontal="center" vertical="center"/>
    </xf>
    <xf numFmtId="43" fontId="5" fillId="5" borderId="7" xfId="1" applyFont="1" applyFill="1" applyBorder="1" applyAlignment="1">
      <alignment horizontal="center" vertical="center"/>
    </xf>
    <xf numFmtId="3" fontId="9" fillId="5" borderId="20" xfId="0" applyNumberFormat="1" applyFont="1" applyFill="1" applyBorder="1"/>
    <xf numFmtId="3" fontId="9" fillId="5" borderId="21" xfId="0" applyNumberFormat="1" applyFont="1" applyFill="1" applyBorder="1"/>
    <xf numFmtId="3" fontId="9" fillId="0" borderId="25" xfId="0" applyNumberFormat="1" applyFont="1" applyFill="1" applyBorder="1"/>
    <xf numFmtId="3" fontId="9" fillId="0" borderId="0" xfId="0" applyNumberFormat="1" applyFont="1" applyFill="1"/>
    <xf numFmtId="3" fontId="9" fillId="5" borderId="26" xfId="0" applyNumberFormat="1" applyFont="1" applyFill="1" applyBorder="1"/>
    <xf numFmtId="3" fontId="9" fillId="0" borderId="11" xfId="0" applyNumberFormat="1" applyFont="1" applyFill="1" applyBorder="1"/>
    <xf numFmtId="3" fontId="9" fillId="0" borderId="20" xfId="0" applyNumberFormat="1" applyFont="1" applyFill="1" applyBorder="1"/>
    <xf numFmtId="3" fontId="9" fillId="0" borderId="21" xfId="0" applyNumberFormat="1" applyFont="1" applyFill="1" applyBorder="1"/>
    <xf numFmtId="3" fontId="9" fillId="0" borderId="26" xfId="0" applyNumberFormat="1" applyFont="1" applyFill="1" applyBorder="1"/>
    <xf numFmtId="0" fontId="6" fillId="0" borderId="15" xfId="0" applyFont="1" applyBorder="1" applyAlignment="1">
      <alignment horizontal="center" vertical="center"/>
    </xf>
    <xf numFmtId="3" fontId="9" fillId="0" borderId="24" xfId="0" applyNumberFormat="1" applyFont="1" applyFill="1" applyBorder="1"/>
    <xf numFmtId="0" fontId="10" fillId="0" borderId="0" xfId="0" applyFont="1" applyBorder="1" applyAlignment="1">
      <alignment horizontal="center"/>
    </xf>
    <xf numFmtId="165" fontId="9" fillId="0" borderId="0" xfId="0" applyNumberFormat="1" applyFont="1"/>
    <xf numFmtId="165" fontId="3" fillId="0" borderId="0" xfId="0" applyNumberFormat="1" applyFont="1"/>
    <xf numFmtId="165" fontId="10" fillId="5" borderId="18" xfId="0" applyNumberFormat="1" applyFont="1" applyFill="1" applyBorder="1" applyAlignment="1">
      <alignment horizontal="center" vertical="center"/>
    </xf>
    <xf numFmtId="165" fontId="9" fillId="3" borderId="4" xfId="3" applyNumberFormat="1" applyFont="1" applyFill="1" applyBorder="1" applyAlignment="1">
      <alignment horizontal="center" vertical="center"/>
    </xf>
    <xf numFmtId="169" fontId="9" fillId="3" borderId="4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165" fontId="9" fillId="5" borderId="19" xfId="0" applyNumberFormat="1" applyFont="1" applyFill="1" applyBorder="1" applyAlignment="1">
      <alignment horizontal="center"/>
    </xf>
    <xf numFmtId="165" fontId="9" fillId="3" borderId="12" xfId="3" applyNumberFormat="1" applyFont="1" applyFill="1" applyBorder="1" applyAlignment="1">
      <alignment horizontal="center" vertical="center"/>
    </xf>
    <xf numFmtId="169" fontId="9" fillId="3" borderId="12" xfId="3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165" fontId="9" fillId="3" borderId="5" xfId="3" applyNumberFormat="1" applyFont="1" applyFill="1" applyBorder="1" applyAlignment="1">
      <alignment horizontal="center" vertical="center"/>
    </xf>
    <xf numFmtId="169" fontId="9" fillId="3" borderId="5" xfId="3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/>
    </xf>
    <xf numFmtId="165" fontId="7" fillId="2" borderId="5" xfId="1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/>
    <xf numFmtId="165" fontId="3" fillId="0" borderId="0" xfId="0" applyNumberFormat="1" applyFont="1" applyFill="1"/>
    <xf numFmtId="165" fontId="9" fillId="5" borderId="3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3" fontId="5" fillId="0" borderId="6" xfId="1" applyNumberFormat="1" applyFont="1" applyBorder="1" applyAlignment="1">
      <alignment horizontal="center" vertical="center"/>
    </xf>
    <xf numFmtId="173" fontId="5" fillId="0" borderId="0" xfId="1" applyNumberFormat="1" applyFont="1" applyAlignment="1">
      <alignment horizontal="center" vertical="center"/>
    </xf>
    <xf numFmtId="173" fontId="5" fillId="0" borderId="7" xfId="1" applyNumberFormat="1" applyFont="1" applyBorder="1" applyAlignment="1">
      <alignment horizontal="center" vertical="center"/>
    </xf>
    <xf numFmtId="166" fontId="5" fillId="0" borderId="0" xfId="2" applyNumberFormat="1" applyFont="1" applyBorder="1" applyAlignment="1">
      <alignment vertical="center"/>
    </xf>
    <xf numFmtId="166" fontId="5" fillId="0" borderId="0" xfId="2" applyNumberFormat="1" applyFont="1" applyFill="1" applyBorder="1" applyAlignment="1">
      <alignment horizontal="center" vertical="center"/>
    </xf>
    <xf numFmtId="173" fontId="5" fillId="0" borderId="8" xfId="1" applyNumberFormat="1" applyFont="1" applyBorder="1" applyAlignment="1">
      <alignment horizontal="center" vertical="center"/>
    </xf>
    <xf numFmtId="173" fontId="5" fillId="0" borderId="9" xfId="1" applyNumberFormat="1" applyFont="1" applyBorder="1" applyAlignment="1">
      <alignment horizontal="center" vertical="center"/>
    </xf>
    <xf numFmtId="173" fontId="5" fillId="0" borderId="10" xfId="1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168" fontId="9" fillId="0" borderId="4" xfId="3" applyNumberFormat="1" applyFont="1" applyFill="1" applyBorder="1"/>
    <xf numFmtId="166" fontId="9" fillId="0" borderId="4" xfId="2" applyNumberFormat="1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9" fillId="0" borderId="0" xfId="1" applyFont="1" applyAlignment="1">
      <alignment vertical="center"/>
    </xf>
    <xf numFmtId="171" fontId="9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3" fontId="5" fillId="3" borderId="31" xfId="1" applyFont="1" applyFill="1" applyBorder="1" applyAlignment="1">
      <alignment horizontal="center" vertical="center"/>
    </xf>
    <xf numFmtId="43" fontId="5" fillId="3" borderId="0" xfId="1" applyFont="1" applyFill="1" applyBorder="1" applyAlignment="1">
      <alignment vertical="center"/>
    </xf>
    <xf numFmtId="43" fontId="5" fillId="3" borderId="7" xfId="1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/>
    </xf>
    <xf numFmtId="43" fontId="5" fillId="3" borderId="0" xfId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43" fontId="5" fillId="0" borderId="6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9" fontId="9" fillId="0" borderId="12" xfId="2" applyFont="1" applyBorder="1" applyAlignment="1">
      <alignment horizontal="center" vertical="center"/>
    </xf>
    <xf numFmtId="10" fontId="9" fillId="0" borderId="12" xfId="2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4" fontId="9" fillId="0" borderId="12" xfId="2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173" fontId="9" fillId="0" borderId="29" xfId="1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43" fontId="5" fillId="0" borderId="8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3" fontId="5" fillId="0" borderId="16" xfId="1" applyFont="1" applyBorder="1" applyAlignment="1">
      <alignment horizontal="center" vertical="center"/>
    </xf>
    <xf numFmtId="43" fontId="5" fillId="0" borderId="17" xfId="1" applyFont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0" fontId="9" fillId="0" borderId="12" xfId="0" applyFont="1" applyFill="1" applyBorder="1"/>
    <xf numFmtId="165" fontId="10" fillId="3" borderId="4" xfId="1" applyNumberFormat="1" applyFont="1" applyFill="1" applyBorder="1" applyAlignment="1">
      <alignment horizontal="center" vertical="center"/>
    </xf>
    <xf numFmtId="165" fontId="10" fillId="3" borderId="12" xfId="1" applyNumberFormat="1" applyFont="1" applyFill="1" applyBorder="1" applyAlignment="1">
      <alignment horizontal="center" vertical="center"/>
    </xf>
    <xf numFmtId="165" fontId="10" fillId="3" borderId="5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72" fontId="7" fillId="2" borderId="5" xfId="1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9" fillId="0" borderId="0" xfId="0" applyNumberFormat="1" applyFont="1" applyFill="1" applyBorder="1"/>
    <xf numFmtId="0" fontId="9" fillId="0" borderId="0" xfId="0" applyFont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Border="1"/>
    <xf numFmtId="172" fontId="7" fillId="0" borderId="0" xfId="1" applyNumberFormat="1" applyFont="1" applyFill="1" applyBorder="1" applyAlignment="1">
      <alignment vertical="center" wrapText="1"/>
    </xf>
    <xf numFmtId="169" fontId="9" fillId="3" borderId="23" xfId="3" applyNumberFormat="1" applyFont="1" applyFill="1" applyBorder="1" applyAlignment="1">
      <alignment horizontal="center" vertical="center"/>
    </xf>
    <xf numFmtId="169" fontId="9" fillId="3" borderId="11" xfId="3" applyNumberFormat="1" applyFont="1" applyFill="1" applyBorder="1" applyAlignment="1">
      <alignment horizontal="center" vertical="center"/>
    </xf>
    <xf numFmtId="172" fontId="7" fillId="0" borderId="11" xfId="1" applyNumberFormat="1" applyFont="1" applyFill="1" applyBorder="1" applyAlignment="1">
      <alignment vertical="center" wrapText="1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169" fontId="10" fillId="3" borderId="12" xfId="1" applyNumberFormat="1" applyFont="1" applyFill="1" applyBorder="1" applyAlignment="1">
      <alignment horizontal="center" vertical="center"/>
    </xf>
    <xf numFmtId="169" fontId="10" fillId="3" borderId="5" xfId="1" applyNumberFormat="1" applyFont="1" applyFill="1" applyBorder="1" applyAlignment="1">
      <alignment horizontal="center" vertical="center"/>
    </xf>
    <xf numFmtId="174" fontId="10" fillId="0" borderId="11" xfId="1" applyNumberFormat="1" applyFont="1" applyFill="1" applyBorder="1" applyAlignment="1">
      <alignment vertical="center" wrapText="1"/>
    </xf>
    <xf numFmtId="175" fontId="10" fillId="0" borderId="11" xfId="1" applyNumberFormat="1" applyFont="1" applyFill="1" applyBorder="1" applyAlignment="1">
      <alignment vertical="center" wrapText="1"/>
    </xf>
    <xf numFmtId="43" fontId="9" fillId="0" borderId="0" xfId="1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4" fontId="19" fillId="0" borderId="0" xfId="0" applyNumberFormat="1" applyFont="1" applyAlignment="1">
      <alignment horizontal="left" vertical="center"/>
    </xf>
    <xf numFmtId="14" fontId="19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70" fontId="19" fillId="0" borderId="12" xfId="0" applyNumberFormat="1" applyFont="1" applyBorder="1" applyAlignment="1">
      <alignment horizontal="center"/>
    </xf>
    <xf numFmtId="168" fontId="19" fillId="0" borderId="11" xfId="3" applyNumberFormat="1" applyFont="1" applyBorder="1"/>
    <xf numFmtId="168" fontId="19" fillId="0" borderId="0" xfId="3" applyNumberFormat="1" applyFont="1" applyBorder="1"/>
    <xf numFmtId="168" fontId="19" fillId="0" borderId="25" xfId="3" applyNumberFormat="1" applyFont="1" applyBorder="1"/>
    <xf numFmtId="168" fontId="19" fillId="0" borderId="11" xfId="3" applyNumberFormat="1" applyFont="1" applyFill="1" applyBorder="1"/>
    <xf numFmtId="0" fontId="17" fillId="2" borderId="1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right" vertical="center" wrapText="1"/>
    </xf>
    <xf numFmtId="3" fontId="17" fillId="2" borderId="3" xfId="0" applyNumberFormat="1" applyFont="1" applyFill="1" applyBorder="1" applyAlignment="1">
      <alignment horizontal="right" vertical="center" wrapText="1"/>
    </xf>
    <xf numFmtId="3" fontId="17" fillId="2" borderId="27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168" fontId="19" fillId="0" borderId="25" xfId="0" applyNumberFormat="1" applyFont="1" applyBorder="1"/>
    <xf numFmtId="0" fontId="3" fillId="3" borderId="3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9" fontId="21" fillId="0" borderId="0" xfId="0" applyNumberFormat="1" applyFont="1"/>
    <xf numFmtId="3" fontId="21" fillId="0" borderId="0" xfId="0" applyNumberFormat="1" applyFont="1"/>
    <xf numFmtId="0" fontId="22" fillId="0" borderId="0" xfId="0" applyFont="1"/>
    <xf numFmtId="9" fontId="22" fillId="0" borderId="0" xfId="2" applyFont="1"/>
    <xf numFmtId="0" fontId="21" fillId="0" borderId="0" xfId="0" applyFont="1" applyAlignment="1">
      <alignment vertical="center"/>
    </xf>
    <xf numFmtId="3" fontId="22" fillId="0" borderId="0" xfId="0" applyNumberFormat="1" applyFont="1"/>
    <xf numFmtId="0" fontId="22" fillId="0" borderId="0" xfId="0" applyFont="1" applyBorder="1"/>
    <xf numFmtId="9" fontId="22" fillId="0" borderId="0" xfId="2" applyFont="1" applyBorder="1"/>
    <xf numFmtId="0" fontId="23" fillId="5" borderId="1" xfId="0" applyFont="1" applyFill="1" applyBorder="1" applyAlignment="1">
      <alignment vertical="center"/>
    </xf>
    <xf numFmtId="3" fontId="23" fillId="5" borderId="1" xfId="0" applyNumberFormat="1" applyFont="1" applyFill="1" applyBorder="1" applyAlignment="1">
      <alignment vertical="center"/>
    </xf>
    <xf numFmtId="0" fontId="21" fillId="0" borderId="23" xfId="0" applyFont="1" applyBorder="1" applyAlignment="1">
      <alignment horizontal="left" vertical="center" indent="2"/>
    </xf>
    <xf numFmtId="3" fontId="21" fillId="0" borderId="4" xfId="0" applyNumberFormat="1" applyFont="1" applyBorder="1" applyAlignment="1">
      <alignment vertical="center"/>
    </xf>
    <xf numFmtId="3" fontId="21" fillId="0" borderId="22" xfId="0" applyNumberFormat="1" applyFont="1" applyBorder="1" applyAlignment="1">
      <alignment vertical="center"/>
    </xf>
    <xf numFmtId="0" fontId="23" fillId="0" borderId="20" xfId="0" applyFont="1" applyBorder="1" applyAlignment="1">
      <alignment horizontal="left" vertical="center" indent="2"/>
    </xf>
    <xf numFmtId="3" fontId="23" fillId="0" borderId="5" xfId="0" applyNumberFormat="1" applyFont="1" applyBorder="1" applyAlignment="1">
      <alignment vertical="center"/>
    </xf>
    <xf numFmtId="3" fontId="23" fillId="0" borderId="26" xfId="0" applyNumberFormat="1" applyFont="1" applyBorder="1" applyAlignment="1">
      <alignment vertical="center"/>
    </xf>
    <xf numFmtId="0" fontId="24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10" fontId="21" fillId="0" borderId="0" xfId="0" applyNumberFormat="1" applyFont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vertical="center"/>
    </xf>
    <xf numFmtId="168" fontId="19" fillId="0" borderId="0" xfId="3" applyNumberFormat="1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3" fontId="9" fillId="0" borderId="4" xfId="1" applyNumberFormat="1" applyFont="1" applyFill="1" applyBorder="1" applyAlignment="1">
      <alignment horizontal="center" vertical="center" wrapText="1"/>
    </xf>
    <xf numFmtId="173" fontId="9" fillId="0" borderId="4" xfId="1" applyNumberFormat="1" applyFont="1" applyBorder="1" applyAlignment="1">
      <alignment horizontal="right" vertical="center" wrapText="1"/>
    </xf>
    <xf numFmtId="173" fontId="9" fillId="0" borderId="12" xfId="1" applyNumberFormat="1" applyFont="1" applyFill="1" applyBorder="1" applyAlignment="1">
      <alignment horizontal="center" vertical="center" wrapText="1"/>
    </xf>
    <xf numFmtId="173" fontId="9" fillId="0" borderId="12" xfId="1" applyNumberFormat="1" applyFont="1" applyBorder="1" applyAlignment="1">
      <alignment horizontal="right" vertical="center" wrapText="1"/>
    </xf>
    <xf numFmtId="173" fontId="9" fillId="0" borderId="5" xfId="1" applyNumberFormat="1" applyFont="1" applyFill="1" applyBorder="1" applyAlignment="1">
      <alignment horizontal="center" vertical="center" wrapText="1"/>
    </xf>
    <xf numFmtId="173" fontId="9" fillId="0" borderId="5" xfId="1" applyNumberFormat="1" applyFont="1" applyBorder="1" applyAlignment="1">
      <alignment horizontal="right" vertical="center" wrapText="1"/>
    </xf>
    <xf numFmtId="173" fontId="9" fillId="0" borderId="12" xfId="1" applyNumberFormat="1" applyFont="1" applyBorder="1" applyAlignment="1">
      <alignment horizontal="center" vertical="center" wrapText="1"/>
    </xf>
    <xf numFmtId="173" fontId="9" fillId="0" borderId="4" xfId="1" applyNumberFormat="1" applyFont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1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0" fillId="0" borderId="31" xfId="0" applyFont="1" applyBorder="1" applyAlignment="1">
      <alignment horizontal="left"/>
    </xf>
    <xf numFmtId="165" fontId="10" fillId="0" borderId="6" xfId="0" applyNumberFormat="1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Fill="1" applyBorder="1"/>
    <xf numFmtId="3" fontId="9" fillId="5" borderId="36" xfId="1" applyNumberFormat="1" applyFont="1" applyFill="1" applyBorder="1" applyAlignment="1">
      <alignment horizontal="center" vertical="center" wrapText="1"/>
    </xf>
    <xf numFmtId="3" fontId="9" fillId="10" borderId="36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1" fillId="0" borderId="0" xfId="0" applyFont="1"/>
    <xf numFmtId="169" fontId="27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9" fontId="7" fillId="2" borderId="5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43" fontId="5" fillId="0" borderId="0" xfId="1" applyNumberFormat="1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6" fontId="9" fillId="0" borderId="1" xfId="1" applyNumberFormat="1" applyFont="1" applyBorder="1" applyAlignment="1">
      <alignment horizontal="center" vertical="center"/>
    </xf>
    <xf numFmtId="43" fontId="9" fillId="0" borderId="4" xfId="1" applyNumberFormat="1" applyFont="1" applyFill="1" applyBorder="1" applyAlignment="1">
      <alignment horizontal="center" vertical="center" wrapText="1"/>
    </xf>
    <xf numFmtId="43" fontId="9" fillId="0" borderId="12" xfId="1" applyNumberFormat="1" applyFont="1" applyFill="1" applyBorder="1" applyAlignment="1">
      <alignment horizontal="center" vertical="center" wrapText="1"/>
    </xf>
    <xf numFmtId="43" fontId="9" fillId="0" borderId="5" xfId="1" applyNumberFormat="1" applyFont="1" applyFill="1" applyBorder="1" applyAlignment="1">
      <alignment horizontal="center" vertical="center" wrapText="1"/>
    </xf>
    <xf numFmtId="43" fontId="9" fillId="0" borderId="12" xfId="1" applyNumberFormat="1" applyFont="1" applyBorder="1" applyAlignment="1">
      <alignment horizontal="center" vertical="center" wrapText="1"/>
    </xf>
    <xf numFmtId="43" fontId="9" fillId="0" borderId="4" xfId="1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3" fontId="9" fillId="5" borderId="0" xfId="0" applyNumberFormat="1" applyFont="1" applyFill="1" applyBorder="1"/>
    <xf numFmtId="172" fontId="7" fillId="12" borderId="5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9" fillId="5" borderId="45" xfId="1" applyNumberFormat="1" applyFont="1" applyFill="1" applyBorder="1" applyAlignment="1">
      <alignment horizontal="center" vertical="center" wrapText="1"/>
    </xf>
    <xf numFmtId="3" fontId="9" fillId="10" borderId="46" xfId="1" applyNumberFormat="1" applyFont="1" applyFill="1" applyBorder="1" applyAlignment="1">
      <alignment horizontal="center" vertical="center" wrapText="1"/>
    </xf>
    <xf numFmtId="3" fontId="9" fillId="10" borderId="47" xfId="1" applyNumberFormat="1" applyFont="1" applyFill="1" applyBorder="1" applyAlignment="1">
      <alignment horizontal="center" vertical="center" wrapText="1"/>
    </xf>
    <xf numFmtId="17" fontId="3" fillId="5" borderId="35" xfId="0" applyNumberFormat="1" applyFont="1" applyFill="1" applyBorder="1" applyAlignment="1">
      <alignment horizontal="center"/>
    </xf>
    <xf numFmtId="10" fontId="3" fillId="5" borderId="37" xfId="0" applyNumberFormat="1" applyFont="1" applyFill="1" applyBorder="1" applyAlignment="1">
      <alignment horizontal="center"/>
    </xf>
    <xf numFmtId="10" fontId="3" fillId="5" borderId="38" xfId="0" applyNumberFormat="1" applyFont="1" applyFill="1" applyBorder="1" applyAlignment="1">
      <alignment horizontal="center"/>
    </xf>
    <xf numFmtId="166" fontId="3" fillId="3" borderId="38" xfId="0" applyNumberFormat="1" applyFont="1" applyFill="1" applyBorder="1" applyAlignment="1">
      <alignment horizontal="center"/>
    </xf>
    <xf numFmtId="166" fontId="3" fillId="3" borderId="39" xfId="0" applyNumberFormat="1" applyFont="1" applyFill="1" applyBorder="1" applyAlignment="1">
      <alignment horizontal="center"/>
    </xf>
    <xf numFmtId="166" fontId="3" fillId="3" borderId="37" xfId="0" applyNumberFormat="1" applyFont="1" applyFill="1" applyBorder="1" applyAlignment="1">
      <alignment horizontal="center"/>
    </xf>
    <xf numFmtId="17" fontId="3" fillId="5" borderId="40" xfId="0" applyNumberFormat="1" applyFont="1" applyFill="1" applyBorder="1" applyAlignment="1">
      <alignment horizontal="center"/>
    </xf>
    <xf numFmtId="10" fontId="3" fillId="5" borderId="41" xfId="0" applyNumberFormat="1" applyFont="1" applyFill="1" applyBorder="1" applyAlignment="1">
      <alignment horizontal="center"/>
    </xf>
    <xf numFmtId="10" fontId="3" fillId="5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6" fontId="3" fillId="3" borderId="42" xfId="0" applyNumberFormat="1" applyFont="1" applyFill="1" applyBorder="1" applyAlignment="1">
      <alignment horizontal="center"/>
    </xf>
    <xf numFmtId="166" fontId="3" fillId="3" borderId="41" xfId="0" applyNumberFormat="1" applyFont="1" applyFill="1" applyBorder="1" applyAlignment="1">
      <alignment horizontal="center"/>
    </xf>
    <xf numFmtId="166" fontId="3" fillId="13" borderId="41" xfId="0" applyNumberFormat="1" applyFont="1" applyFill="1" applyBorder="1" applyAlignment="1">
      <alignment horizontal="center"/>
    </xf>
    <xf numFmtId="166" fontId="3" fillId="13" borderId="0" xfId="0" applyNumberFormat="1" applyFont="1" applyFill="1" applyAlignment="1">
      <alignment horizontal="center"/>
    </xf>
    <xf numFmtId="166" fontId="3" fillId="13" borderId="42" xfId="0" applyNumberFormat="1" applyFont="1" applyFill="1" applyBorder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6" fontId="3" fillId="5" borderId="41" xfId="0" applyNumberFormat="1" applyFont="1" applyFill="1" applyBorder="1" applyAlignment="1">
      <alignment horizontal="center"/>
    </xf>
    <xf numFmtId="166" fontId="3" fillId="5" borderId="42" xfId="0" applyNumberFormat="1" applyFont="1" applyFill="1" applyBorder="1" applyAlignment="1">
      <alignment horizontal="center"/>
    </xf>
    <xf numFmtId="0" fontId="3" fillId="5" borderId="15" xfId="0" applyFont="1" applyFill="1" applyBorder="1"/>
    <xf numFmtId="0" fontId="3" fillId="5" borderId="16" xfId="0" applyFont="1" applyFill="1" applyBorder="1"/>
    <xf numFmtId="177" fontId="3" fillId="5" borderId="18" xfId="0" applyNumberFormat="1" applyFont="1" applyFill="1" applyBorder="1" applyAlignment="1">
      <alignment horizontal="center"/>
    </xf>
    <xf numFmtId="177" fontId="3" fillId="0" borderId="0" xfId="0" applyNumberFormat="1" applyFont="1"/>
    <xf numFmtId="177" fontId="3" fillId="5" borderId="16" xfId="0" applyNumberFormat="1" applyFont="1" applyFill="1" applyBorder="1"/>
    <xf numFmtId="177" fontId="3" fillId="5" borderId="17" xfId="0" applyNumberFormat="1" applyFont="1" applyFill="1" applyBorder="1"/>
    <xf numFmtId="0" fontId="31" fillId="0" borderId="0" xfId="0" applyFont="1"/>
    <xf numFmtId="169" fontId="27" fillId="2" borderId="4" xfId="0" applyNumberFormat="1" applyFont="1" applyFill="1" applyBorder="1" applyAlignment="1">
      <alignment horizontal="center" vertical="center" wrapText="1"/>
    </xf>
    <xf numFmtId="169" fontId="27" fillId="2" borderId="5" xfId="0" applyNumberFormat="1" applyFont="1" applyFill="1" applyBorder="1" applyAlignment="1">
      <alignment horizontal="center" vertical="center" wrapText="1"/>
    </xf>
    <xf numFmtId="169" fontId="27" fillId="2" borderId="2" xfId="0" applyNumberFormat="1" applyFont="1" applyFill="1" applyBorder="1" applyAlignment="1">
      <alignment horizontal="center" vertical="center" wrapText="1"/>
    </xf>
    <xf numFmtId="169" fontId="27" fillId="2" borderId="3" xfId="0" applyNumberFormat="1" applyFont="1" applyFill="1" applyBorder="1" applyAlignment="1">
      <alignment horizontal="center" vertical="center" wrapText="1"/>
    </xf>
    <xf numFmtId="169" fontId="27" fillId="2" borderId="2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2" fontId="7" fillId="2" borderId="2" xfId="1" applyNumberFormat="1" applyFont="1" applyFill="1" applyBorder="1" applyAlignment="1">
      <alignment horizontal="center" vertical="center" wrapText="1"/>
    </xf>
    <xf numFmtId="172" fontId="7" fillId="2" borderId="3" xfId="1" applyNumberFormat="1" applyFont="1" applyFill="1" applyBorder="1" applyAlignment="1">
      <alignment horizontal="center" vertical="center" wrapText="1"/>
    </xf>
    <xf numFmtId="172" fontId="7" fillId="2" borderId="27" xfId="1" applyNumberFormat="1" applyFont="1" applyFill="1" applyBorder="1" applyAlignment="1">
      <alignment horizontal="center" vertical="center" wrapText="1"/>
    </xf>
    <xf numFmtId="172" fontId="7" fillId="2" borderId="1" xfId="1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14" fontId="7" fillId="4" borderId="2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7" borderId="2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1B5D5195-CCA8-40D6-BD9E-FB04F640A0D5}"/>
    <cellStyle name="Millares 2 2" xfId="4" xr:uid="{EC96995A-6D5D-44DC-BE89-5B12FBE11FC7}"/>
    <cellStyle name="Millares 2 2 2" xfId="5" xr:uid="{327A278E-EBB2-40DF-BD2C-CEB8324AC9D5}"/>
    <cellStyle name="Normal" xfId="0" builtinId="0"/>
    <cellStyle name="Normal 141 2" xfId="6" xr:uid="{0306CFEC-4F63-4D0E-8B78-ACF49ED8D6E5}"/>
    <cellStyle name="Porcentaje" xfId="2" builtinId="5"/>
  </cellStyles>
  <dxfs count="0"/>
  <tableStyles count="0" defaultTableStyle="TableStyleMedium2" defaultPivotStyle="PivotStyleLight16"/>
  <colors>
    <mruColors>
      <color rgb="FF3E3E3E"/>
      <color rgb="FFF2F2F2"/>
      <color rgb="FF5B9BD5"/>
      <color rgb="FF88BE62"/>
      <color rgb="FF345AA6"/>
      <color rgb="FFBE0027"/>
      <color rgb="FFECCD4C"/>
      <color rgb="FF2654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33.8\secretar&#237;a%20finanzas\0INFORMA\Programas%20Financieros\Pmg%202009\Consolidado2009%20ver%2014-07-1%20Teso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Fin."/>
      <sheetName val="pesos"/>
      <sheetName val="dolares"/>
      <sheetName val="RESUMEN "/>
      <sheetName val="dolares cosentino"/>
    </sheetNames>
    <sheetDataSet>
      <sheetData sheetId="0" refreshError="1">
        <row r="1">
          <cell r="E1" t="str">
            <v xml:space="preserve">I TRIM. </v>
          </cell>
          <cell r="I1" t="str">
            <v>II TRIM</v>
          </cell>
          <cell r="J1" t="str">
            <v xml:space="preserve">I SEM </v>
          </cell>
          <cell r="N1" t="str">
            <v xml:space="preserve">III TRIM </v>
          </cell>
          <cell r="R1" t="str">
            <v>IV TRIM</v>
          </cell>
          <cell r="S1" t="str">
            <v>II SEM</v>
          </cell>
        </row>
        <row r="3">
          <cell r="E3">
            <v>11136.157385710585</v>
          </cell>
          <cell r="I3">
            <v>-6015.7447552821868</v>
          </cell>
          <cell r="J3">
            <v>11136.157385710585</v>
          </cell>
          <cell r="N3">
            <v>2609.2660964269198</v>
          </cell>
          <cell r="R3">
            <v>-10688.165500810494</v>
          </cell>
          <cell r="S3">
            <v>2609.2660964269198</v>
          </cell>
        </row>
        <row r="5">
          <cell r="E5">
            <v>26350.808121834471</v>
          </cell>
          <cell r="I5">
            <v>44439.368716526878</v>
          </cell>
          <cell r="J5">
            <v>70790.176838361353</v>
          </cell>
          <cell r="N5">
            <v>14563.912527213753</v>
          </cell>
          <cell r="R5">
            <v>28463.269178655319</v>
          </cell>
          <cell r="S5">
            <v>43027.181705869072</v>
          </cell>
        </row>
        <row r="7">
          <cell r="E7">
            <v>1040.5000000000027</v>
          </cell>
          <cell r="I7">
            <v>3894.1999999999935</v>
          </cell>
          <cell r="J7">
            <v>4934.6999999999962</v>
          </cell>
          <cell r="N7">
            <v>-2083.3340585442038</v>
          </cell>
          <cell r="R7">
            <v>-1438.0519999999979</v>
          </cell>
          <cell r="S7">
            <v>-3521.3860585442017</v>
          </cell>
        </row>
        <row r="8">
          <cell r="E8">
            <v>24734.100000000002</v>
          </cell>
          <cell r="I8">
            <v>32006.099999999991</v>
          </cell>
          <cell r="J8">
            <v>56740.2</v>
          </cell>
          <cell r="N8">
            <v>28066.534327933492</v>
          </cell>
          <cell r="R8">
            <v>30268.175000000003</v>
          </cell>
          <cell r="S8">
            <v>58334.709327933495</v>
          </cell>
        </row>
        <row r="9">
          <cell r="A9" t="str">
            <v xml:space="preserve">        Tributarios</v>
          </cell>
          <cell r="B9">
            <v>8189.1</v>
          </cell>
          <cell r="C9">
            <v>8110.3</v>
          </cell>
          <cell r="D9">
            <v>7848.1</v>
          </cell>
          <cell r="E9">
            <v>24147.5</v>
          </cell>
          <cell r="F9">
            <v>8592.2999999999993</v>
          </cell>
          <cell r="G9">
            <v>9596.6</v>
          </cell>
          <cell r="H9">
            <v>10141.299999999999</v>
          </cell>
          <cell r="I9">
            <v>28330.2</v>
          </cell>
          <cell r="J9">
            <v>52477.7</v>
          </cell>
          <cell r="K9">
            <v>9055.8259946001526</v>
          </cell>
          <cell r="L9">
            <v>9326.4000000000015</v>
          </cell>
          <cell r="M9">
            <v>9079.9</v>
          </cell>
          <cell r="N9">
            <v>27462.125994600152</v>
          </cell>
          <cell r="O9">
            <v>9520</v>
          </cell>
          <cell r="P9">
            <v>9410.3000000000011</v>
          </cell>
          <cell r="Q9">
            <v>9333.4</v>
          </cell>
          <cell r="R9">
            <v>28263.700000000004</v>
          </cell>
          <cell r="S9">
            <v>55725.825994600156</v>
          </cell>
          <cell r="T9">
            <v>108203.52599460015</v>
          </cell>
          <cell r="U9">
            <v>74001.100000000006</v>
          </cell>
          <cell r="V9">
            <v>-34202.42599460014</v>
          </cell>
        </row>
        <row r="10">
          <cell r="A10" t="str">
            <v xml:space="preserve">        No Tributarios</v>
          </cell>
          <cell r="B10">
            <v>9.3000000000000007</v>
          </cell>
          <cell r="C10">
            <v>8.5</v>
          </cell>
          <cell r="D10">
            <v>68.7</v>
          </cell>
          <cell r="E10">
            <v>86.5</v>
          </cell>
          <cell r="F10">
            <v>24.8</v>
          </cell>
          <cell r="G10">
            <v>8.3000000000000007</v>
          </cell>
          <cell r="H10">
            <v>73.599999999999994</v>
          </cell>
          <cell r="I10">
            <v>106.69999999999999</v>
          </cell>
          <cell r="J10">
            <v>193.2</v>
          </cell>
          <cell r="K10">
            <v>20.6</v>
          </cell>
          <cell r="L10">
            <v>20.6</v>
          </cell>
          <cell r="M10">
            <v>20.641666666666666</v>
          </cell>
          <cell r="N10">
            <v>61.841666666666669</v>
          </cell>
          <cell r="O10">
            <v>20.641666666666666</v>
          </cell>
          <cell r="P10">
            <v>20.641666666666666</v>
          </cell>
          <cell r="Q10">
            <v>20.641666666666666</v>
          </cell>
          <cell r="R10">
            <v>61.924999999999997</v>
          </cell>
          <cell r="S10">
            <v>123.76666666666667</v>
          </cell>
          <cell r="T10">
            <v>316.96666666666664</v>
          </cell>
          <cell r="U10">
            <v>174.4</v>
          </cell>
          <cell r="V10">
            <v>-142.56666666666663</v>
          </cell>
        </row>
        <row r="11">
          <cell r="A11" t="str">
            <v xml:space="preserve">        Venta de bienes y servicios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</row>
        <row r="12">
          <cell r="A12" t="str">
            <v xml:space="preserve">        Rentas de la Propiedad</v>
          </cell>
          <cell r="B12">
            <v>51.7</v>
          </cell>
          <cell r="C12">
            <v>75.099999999999994</v>
          </cell>
          <cell r="D12">
            <v>71.5</v>
          </cell>
          <cell r="E12">
            <v>198.3</v>
          </cell>
          <cell r="F12">
            <v>83</v>
          </cell>
          <cell r="G12">
            <v>68.3</v>
          </cell>
          <cell r="H12">
            <v>3147.4</v>
          </cell>
          <cell r="I12">
            <v>3298.7000000000003</v>
          </cell>
          <cell r="J12">
            <v>3497.0000000000005</v>
          </cell>
          <cell r="K12">
            <v>56.7</v>
          </cell>
          <cell r="L12">
            <v>56.7</v>
          </cell>
          <cell r="M12">
            <v>56.691666666666663</v>
          </cell>
          <cell r="N12">
            <v>170.09166666666667</v>
          </cell>
          <cell r="O12">
            <v>56.691666666666663</v>
          </cell>
          <cell r="P12">
            <v>56.691666666666663</v>
          </cell>
          <cell r="Q12">
            <v>1456.6916666666666</v>
          </cell>
          <cell r="R12">
            <v>1570.0749999999998</v>
          </cell>
          <cell r="S12">
            <v>1740.1666666666665</v>
          </cell>
          <cell r="T12">
            <v>5237.166666666667</v>
          </cell>
          <cell r="U12">
            <v>1243.8</v>
          </cell>
          <cell r="V12">
            <v>-3993.3666666666668</v>
          </cell>
        </row>
        <row r="13">
          <cell r="A13" t="str">
            <v xml:space="preserve">        Transferencias</v>
          </cell>
          <cell r="B13">
            <v>18</v>
          </cell>
          <cell r="C13">
            <v>32.700000000000003</v>
          </cell>
          <cell r="D13">
            <v>28.5</v>
          </cell>
          <cell r="E13">
            <v>79.2</v>
          </cell>
          <cell r="F13">
            <v>42.8</v>
          </cell>
          <cell r="G13">
            <v>20.3</v>
          </cell>
          <cell r="H13">
            <v>29.6</v>
          </cell>
          <cell r="I13">
            <v>92.699999999999989</v>
          </cell>
          <cell r="J13">
            <v>171.89999999999998</v>
          </cell>
          <cell r="K13">
            <v>40</v>
          </cell>
          <cell r="L13">
            <v>40</v>
          </cell>
          <cell r="M13">
            <v>40</v>
          </cell>
          <cell r="N13">
            <v>120</v>
          </cell>
          <cell r="O13">
            <v>40</v>
          </cell>
          <cell r="P13">
            <v>40</v>
          </cell>
          <cell r="Q13">
            <v>40</v>
          </cell>
          <cell r="R13">
            <v>120</v>
          </cell>
          <cell r="S13">
            <v>240</v>
          </cell>
          <cell r="T13">
            <v>411.9</v>
          </cell>
          <cell r="U13">
            <v>208.6</v>
          </cell>
          <cell r="V13">
            <v>-203.29999999999998</v>
          </cell>
        </row>
        <row r="14">
          <cell r="A14" t="str">
            <v xml:space="preserve">        Contribuciones Figurativas</v>
          </cell>
          <cell r="B14">
            <v>58.2</v>
          </cell>
          <cell r="C14">
            <v>30</v>
          </cell>
          <cell r="D14">
            <v>134</v>
          </cell>
          <cell r="E14">
            <v>222.2</v>
          </cell>
          <cell r="F14">
            <v>31.5</v>
          </cell>
          <cell r="G14">
            <v>101.8</v>
          </cell>
          <cell r="H14">
            <v>43.3</v>
          </cell>
          <cell r="I14">
            <v>176.60000000000002</v>
          </cell>
          <cell r="J14">
            <v>398.8</v>
          </cell>
          <cell r="K14">
            <v>0</v>
          </cell>
          <cell r="L14">
            <v>0</v>
          </cell>
          <cell r="M14">
            <v>214.97499999999999</v>
          </cell>
          <cell r="N14">
            <v>214.97499999999999</v>
          </cell>
          <cell r="O14">
            <v>0</v>
          </cell>
          <cell r="P14">
            <v>0</v>
          </cell>
          <cell r="Q14">
            <v>214.97499999999999</v>
          </cell>
          <cell r="R14">
            <v>214.97499999999999</v>
          </cell>
          <cell r="S14">
            <v>429.95</v>
          </cell>
          <cell r="T14">
            <v>828.75</v>
          </cell>
          <cell r="U14">
            <v>960.4</v>
          </cell>
          <cell r="V14">
            <v>131.64999999999998</v>
          </cell>
        </row>
        <row r="15">
          <cell r="E15">
            <v>0.4</v>
          </cell>
          <cell r="I15">
            <v>1.2</v>
          </cell>
          <cell r="J15">
            <v>1.6</v>
          </cell>
          <cell r="N15">
            <v>37.5</v>
          </cell>
          <cell r="R15">
            <v>37.5</v>
          </cell>
          <cell r="S15">
            <v>75</v>
          </cell>
        </row>
        <row r="16">
          <cell r="E16">
            <v>23693.599999999999</v>
          </cell>
          <cell r="I16">
            <v>28111.9</v>
          </cell>
          <cell r="J16">
            <v>51805.5</v>
          </cell>
          <cell r="N16">
            <v>30149.868386477698</v>
          </cell>
          <cell r="R16">
            <v>31706.226999999999</v>
          </cell>
          <cell r="S16">
            <v>61856.095386477697</v>
          </cell>
        </row>
        <row r="17">
          <cell r="A17" t="str">
            <v xml:space="preserve">      - Remuneraciones</v>
          </cell>
          <cell r="B17">
            <v>1277.4000000000001</v>
          </cell>
          <cell r="C17">
            <v>1245.5</v>
          </cell>
          <cell r="D17">
            <v>1228.0999999999999</v>
          </cell>
          <cell r="E17">
            <v>3751</v>
          </cell>
          <cell r="F17">
            <v>1224.5</v>
          </cell>
          <cell r="G17">
            <v>1203</v>
          </cell>
          <cell r="H17">
            <v>1234.5999999999999</v>
          </cell>
          <cell r="I17">
            <v>3662.1</v>
          </cell>
          <cell r="J17">
            <v>7413.1</v>
          </cell>
          <cell r="K17">
            <v>1795.16</v>
          </cell>
          <cell r="L17">
            <v>1345.8000000000002</v>
          </cell>
          <cell r="M17">
            <v>1405.66</v>
          </cell>
          <cell r="N17">
            <v>4546.62</v>
          </cell>
          <cell r="O17">
            <v>1405.66</v>
          </cell>
          <cell r="P17">
            <v>1405.66</v>
          </cell>
          <cell r="Q17">
            <v>1886.8</v>
          </cell>
          <cell r="R17">
            <v>4698.12</v>
          </cell>
          <cell r="S17">
            <v>9244.74</v>
          </cell>
          <cell r="T17">
            <v>16657.84</v>
          </cell>
          <cell r="U17">
            <v>10334</v>
          </cell>
          <cell r="V17">
            <v>-6323.84</v>
          </cell>
        </row>
        <row r="18">
          <cell r="A18" t="str">
            <v xml:space="preserve">      - Bienes y Servicios</v>
          </cell>
          <cell r="B18">
            <v>574.70000000000005</v>
          </cell>
          <cell r="C18">
            <v>329.1</v>
          </cell>
          <cell r="D18">
            <v>337.3</v>
          </cell>
          <cell r="E18">
            <v>1241.1000000000001</v>
          </cell>
          <cell r="F18">
            <v>448.7</v>
          </cell>
          <cell r="G18">
            <v>406.4</v>
          </cell>
          <cell r="H18">
            <v>553.6</v>
          </cell>
          <cell r="I18">
            <v>1408.6999999999998</v>
          </cell>
          <cell r="J18">
            <v>2649.8</v>
          </cell>
          <cell r="K18">
            <v>551.81999999999994</v>
          </cell>
          <cell r="L18">
            <v>470.67999999999995</v>
          </cell>
          <cell r="M18">
            <v>470.68999999999994</v>
          </cell>
          <cell r="N18">
            <v>1493.1899999999998</v>
          </cell>
          <cell r="O18">
            <v>470.68999999999994</v>
          </cell>
          <cell r="P18">
            <v>470.68999999999994</v>
          </cell>
          <cell r="Q18">
            <v>472.28999999999996</v>
          </cell>
          <cell r="R18">
            <v>1413.6699999999998</v>
          </cell>
          <cell r="S18">
            <v>2906.8599999999997</v>
          </cell>
          <cell r="T18">
            <v>5556.66</v>
          </cell>
          <cell r="U18">
            <v>3584.4</v>
          </cell>
          <cell r="V18">
            <v>-1972.2599999999998</v>
          </cell>
        </row>
        <row r="19">
          <cell r="A19" t="str">
            <v xml:space="preserve">      - Transferencias</v>
          </cell>
          <cell r="B19">
            <v>3951.8999999999996</v>
          </cell>
          <cell r="C19">
            <v>3284.7</v>
          </cell>
          <cell r="D19">
            <v>3313.4000000000005</v>
          </cell>
          <cell r="E19">
            <v>10550</v>
          </cell>
          <cell r="F19">
            <v>4367.8</v>
          </cell>
          <cell r="G19">
            <v>4988.1000000000004</v>
          </cell>
          <cell r="H19">
            <v>5959.2999999999993</v>
          </cell>
          <cell r="I19">
            <v>15315.2</v>
          </cell>
          <cell r="J19">
            <v>25865.200000000001</v>
          </cell>
          <cell r="K19">
            <v>5323.7100000000009</v>
          </cell>
          <cell r="L19">
            <v>4991.9000000000005</v>
          </cell>
          <cell r="M19">
            <v>5013.4599999999991</v>
          </cell>
          <cell r="N19">
            <v>15329.07</v>
          </cell>
          <cell r="O19">
            <v>5299.76</v>
          </cell>
          <cell r="P19">
            <v>5277.4599999999991</v>
          </cell>
          <cell r="Q19">
            <v>5539.56</v>
          </cell>
          <cell r="R19">
            <v>16116.779999999999</v>
          </cell>
          <cell r="S19">
            <v>31445.85</v>
          </cell>
          <cell r="T19">
            <v>57311.05</v>
          </cell>
          <cell r="U19">
            <v>27338.49</v>
          </cell>
          <cell r="V19">
            <v>-29972.560000000001</v>
          </cell>
        </row>
        <row r="20">
          <cell r="A20" t="str">
            <v xml:space="preserve">          Corrientes</v>
          </cell>
          <cell r="B20">
            <v>2299.7999999999997</v>
          </cell>
          <cell r="C20">
            <v>2508.1</v>
          </cell>
          <cell r="D20">
            <v>2640.1000000000004</v>
          </cell>
          <cell r="E20">
            <v>7448</v>
          </cell>
          <cell r="F20">
            <v>2929.3</v>
          </cell>
          <cell r="G20">
            <v>3592.5</v>
          </cell>
          <cell r="H20">
            <v>4210.8999999999996</v>
          </cell>
          <cell r="I20">
            <v>10732.7</v>
          </cell>
          <cell r="J20">
            <v>18180.7</v>
          </cell>
          <cell r="K20">
            <v>3782.9100000000003</v>
          </cell>
          <cell r="L20">
            <v>3423.7000000000003</v>
          </cell>
          <cell r="M20">
            <v>3471.1199999999994</v>
          </cell>
          <cell r="N20">
            <v>10677.73</v>
          </cell>
          <cell r="O20">
            <v>3691.02</v>
          </cell>
          <cell r="P20">
            <v>3701.8199999999993</v>
          </cell>
          <cell r="Q20">
            <v>4011.82</v>
          </cell>
          <cell r="R20">
            <v>11404.66</v>
          </cell>
          <cell r="S20">
            <v>22082.39</v>
          </cell>
          <cell r="T20">
            <v>40263.089999999997</v>
          </cell>
          <cell r="U20">
            <v>20576.061999999998</v>
          </cell>
          <cell r="V20">
            <v>-19687.027999999998</v>
          </cell>
        </row>
        <row r="21">
          <cell r="A21" t="str">
            <v xml:space="preserve">          Capital</v>
          </cell>
          <cell r="B21">
            <v>1652.1</v>
          </cell>
          <cell r="C21">
            <v>776.6</v>
          </cell>
          <cell r="D21">
            <v>673.3</v>
          </cell>
          <cell r="E21">
            <v>3102</v>
          </cell>
          <cell r="F21">
            <v>1438.5</v>
          </cell>
          <cell r="G21">
            <v>1395.6000000000001</v>
          </cell>
          <cell r="H21">
            <v>1748.4</v>
          </cell>
          <cell r="I21">
            <v>4582.5</v>
          </cell>
          <cell r="J21">
            <v>7684.5</v>
          </cell>
          <cell r="K21">
            <v>1540.8000000000002</v>
          </cell>
          <cell r="L21">
            <v>1568.2</v>
          </cell>
          <cell r="M21">
            <v>1542.3400000000001</v>
          </cell>
          <cell r="N21">
            <v>4651.34</v>
          </cell>
          <cell r="O21">
            <v>1608.74</v>
          </cell>
          <cell r="P21">
            <v>1575.6399999999999</v>
          </cell>
          <cell r="Q21">
            <v>1527.74</v>
          </cell>
          <cell r="R21">
            <v>4712.12</v>
          </cell>
          <cell r="S21">
            <v>9363.4599999999991</v>
          </cell>
          <cell r="T21">
            <v>17047.96</v>
          </cell>
          <cell r="U21">
            <v>6762.4279999999999</v>
          </cell>
          <cell r="V21">
            <v>-10285.531999999999</v>
          </cell>
        </row>
        <row r="22">
          <cell r="A22" t="str">
            <v xml:space="preserve">      - Inversión Financiera</v>
          </cell>
          <cell r="B22">
            <v>32.9</v>
          </cell>
          <cell r="C22">
            <v>0</v>
          </cell>
          <cell r="D22">
            <v>0</v>
          </cell>
          <cell r="E22">
            <v>32.9</v>
          </cell>
          <cell r="F22">
            <v>2</v>
          </cell>
          <cell r="G22">
            <v>51.2</v>
          </cell>
          <cell r="H22">
            <v>53.4</v>
          </cell>
          <cell r="I22">
            <v>106.6</v>
          </cell>
          <cell r="J22">
            <v>139.5</v>
          </cell>
          <cell r="K22">
            <v>9.9</v>
          </cell>
          <cell r="L22">
            <v>19.3</v>
          </cell>
          <cell r="M22">
            <v>19.259</v>
          </cell>
          <cell r="N22">
            <v>48.459000000000003</v>
          </cell>
          <cell r="O22">
            <v>19.259</v>
          </cell>
          <cell r="P22">
            <v>19.259</v>
          </cell>
          <cell r="Q22">
            <v>879.53899999999987</v>
          </cell>
          <cell r="R22">
            <v>918.0569999999999</v>
          </cell>
          <cell r="S22">
            <v>966.51599999999985</v>
          </cell>
          <cell r="T22">
            <v>1106.0159999999998</v>
          </cell>
          <cell r="U22">
            <v>1537.1</v>
          </cell>
          <cell r="V22">
            <v>431.08400000000006</v>
          </cell>
        </row>
        <row r="23">
          <cell r="A23" t="str">
            <v xml:space="preserve">      - Gastos Figurativos (OD)</v>
          </cell>
          <cell r="B23">
            <v>1089.3</v>
          </cell>
          <cell r="C23">
            <v>1321.3</v>
          </cell>
          <cell r="D23">
            <v>1048.3999999999999</v>
          </cell>
          <cell r="E23">
            <v>3459</v>
          </cell>
          <cell r="F23">
            <v>1006.4000000000001</v>
          </cell>
          <cell r="G23">
            <v>1143.0999999999999</v>
          </cell>
          <cell r="H23">
            <v>938.6</v>
          </cell>
          <cell r="I23">
            <v>3088.1</v>
          </cell>
          <cell r="J23">
            <v>6547.1</v>
          </cell>
          <cell r="K23">
            <v>1341</v>
          </cell>
          <cell r="L23">
            <v>1141.9000000000001</v>
          </cell>
          <cell r="M23">
            <v>1158.3</v>
          </cell>
          <cell r="N23">
            <v>3641.2</v>
          </cell>
          <cell r="O23">
            <v>1166.0999999999999</v>
          </cell>
          <cell r="P23">
            <v>1166.0999999999999</v>
          </cell>
          <cell r="Q23">
            <v>1311.4</v>
          </cell>
          <cell r="R23">
            <v>3643.6</v>
          </cell>
          <cell r="S23">
            <v>7284.7999999999993</v>
          </cell>
          <cell r="T23">
            <v>13831.9</v>
          </cell>
          <cell r="U23">
            <v>7107.9</v>
          </cell>
          <cell r="V23">
            <v>-6724</v>
          </cell>
        </row>
        <row r="24">
          <cell r="A24" t="str">
            <v xml:space="preserve">      - Inversión Real Directa</v>
          </cell>
          <cell r="B24">
            <v>283.89999999999998</v>
          </cell>
          <cell r="C24">
            <v>69.7</v>
          </cell>
          <cell r="D24">
            <v>75.599999999999994</v>
          </cell>
          <cell r="E24">
            <v>429.19999999999993</v>
          </cell>
          <cell r="F24">
            <v>68.7</v>
          </cell>
          <cell r="G24">
            <v>79.599999999999994</v>
          </cell>
          <cell r="H24">
            <v>104.8</v>
          </cell>
          <cell r="I24">
            <v>253.10000000000002</v>
          </cell>
          <cell r="J24">
            <v>682.3</v>
          </cell>
          <cell r="K24">
            <v>124.5</v>
          </cell>
          <cell r="L24">
            <v>150</v>
          </cell>
          <cell r="M24">
            <v>150</v>
          </cell>
          <cell r="N24">
            <v>424.5</v>
          </cell>
          <cell r="O24">
            <v>150</v>
          </cell>
          <cell r="P24">
            <v>150</v>
          </cell>
          <cell r="Q24">
            <v>150</v>
          </cell>
          <cell r="R24">
            <v>450</v>
          </cell>
          <cell r="S24">
            <v>874.5</v>
          </cell>
          <cell r="T24">
            <v>1556.8</v>
          </cell>
          <cell r="U24">
            <v>1174.0999999999999</v>
          </cell>
          <cell r="V24">
            <v>-382.70000000000005</v>
          </cell>
        </row>
        <row r="25">
          <cell r="A25" t="str">
            <v xml:space="preserve">      - Instit. De Seg. Social</v>
          </cell>
          <cell r="B25">
            <v>1473.3</v>
          </cell>
          <cell r="C25">
            <v>1371.6</v>
          </cell>
          <cell r="D25">
            <v>1377.8</v>
          </cell>
          <cell r="E25">
            <v>4222.7</v>
          </cell>
          <cell r="F25">
            <v>1334</v>
          </cell>
          <cell r="G25">
            <v>1337.5</v>
          </cell>
          <cell r="H25">
            <v>1604.6</v>
          </cell>
          <cell r="I25">
            <v>4276.1000000000004</v>
          </cell>
          <cell r="J25">
            <v>8498.7999999999993</v>
          </cell>
          <cell r="K25">
            <v>1689.65171644</v>
          </cell>
          <cell r="L25">
            <v>1456.1376700376929</v>
          </cell>
          <cell r="M25">
            <v>1519.2</v>
          </cell>
          <cell r="N25">
            <v>4664.9893864776932</v>
          </cell>
          <cell r="O25">
            <v>1474.1</v>
          </cell>
          <cell r="P25">
            <v>1504.9</v>
          </cell>
          <cell r="Q25">
            <v>1485.2000000000003</v>
          </cell>
          <cell r="R25">
            <v>4464.2000000000007</v>
          </cell>
          <cell r="S25">
            <v>9129.1893864776939</v>
          </cell>
          <cell r="T25">
            <v>17627.989386477693</v>
          </cell>
          <cell r="U25">
            <v>12159.400000000001</v>
          </cell>
          <cell r="V25">
            <v>-5468.5893864776917</v>
          </cell>
        </row>
        <row r="26">
          <cell r="A26" t="str">
            <v xml:space="preserve">      - Otros gastos primarios </v>
          </cell>
          <cell r="B26">
            <v>3</v>
          </cell>
          <cell r="C26">
            <v>2.8</v>
          </cell>
          <cell r="D26">
            <v>1.9</v>
          </cell>
          <cell r="E26">
            <v>7.6999999999999993</v>
          </cell>
          <cell r="F26">
            <v>1.1000000000000001</v>
          </cell>
          <cell r="G26">
            <v>0.8</v>
          </cell>
          <cell r="H26">
            <v>0.1</v>
          </cell>
          <cell r="I26">
            <v>2</v>
          </cell>
          <cell r="J26">
            <v>9.6999999999999993</v>
          </cell>
          <cell r="K26">
            <v>0.64</v>
          </cell>
          <cell r="L26">
            <v>0.60000000000000009</v>
          </cell>
          <cell r="M26">
            <v>0.6</v>
          </cell>
          <cell r="N26">
            <v>1.8400000000000003</v>
          </cell>
          <cell r="O26">
            <v>0.6</v>
          </cell>
          <cell r="P26">
            <v>0.6</v>
          </cell>
          <cell r="Q26">
            <v>0.6</v>
          </cell>
          <cell r="R26">
            <v>1.7999999999999998</v>
          </cell>
          <cell r="S26">
            <v>3.64</v>
          </cell>
          <cell r="T26">
            <v>13.34</v>
          </cell>
          <cell r="U26">
            <v>41.7</v>
          </cell>
          <cell r="V26">
            <v>28.360000000000003</v>
          </cell>
        </row>
        <row r="28">
          <cell r="E28">
            <v>16129.331902150399</v>
          </cell>
          <cell r="I28">
            <v>24194.747320925999</v>
          </cell>
          <cell r="J28">
            <v>40324.079223076398</v>
          </cell>
          <cell r="N28">
            <v>14126.44095366</v>
          </cell>
          <cell r="R28">
            <v>20400.5</v>
          </cell>
          <cell r="S28">
            <v>34526.94095366</v>
          </cell>
        </row>
        <row r="29">
          <cell r="E29">
            <v>489.09957215040004</v>
          </cell>
          <cell r="I29">
            <v>1563.4261097459998</v>
          </cell>
          <cell r="J29">
            <v>2052.5256818963999</v>
          </cell>
          <cell r="N29">
            <v>991.40251965999994</v>
          </cell>
          <cell r="R29">
            <v>1262.3</v>
          </cell>
          <cell r="S29">
            <v>2253.7025196599998</v>
          </cell>
        </row>
        <row r="30">
          <cell r="E30">
            <v>290.34057215040002</v>
          </cell>
          <cell r="I30">
            <v>547.74</v>
          </cell>
          <cell r="J30">
            <v>838.08057215040003</v>
          </cell>
          <cell r="N30">
            <v>315.90251966</v>
          </cell>
          <cell r="R30">
            <v>401.99999999999994</v>
          </cell>
          <cell r="S30">
            <v>717.90251965999994</v>
          </cell>
        </row>
        <row r="31">
          <cell r="A31" t="str">
            <v xml:space="preserve">      LETRAS</v>
          </cell>
          <cell r="B31">
            <v>0</v>
          </cell>
          <cell r="C31">
            <v>163.87960000000001</v>
          </cell>
          <cell r="D31">
            <v>126.46097215040001</v>
          </cell>
          <cell r="E31">
            <v>290.34057215040002</v>
          </cell>
          <cell r="F31">
            <v>0</v>
          </cell>
          <cell r="G31">
            <v>547.74</v>
          </cell>
          <cell r="H31">
            <v>0</v>
          </cell>
          <cell r="I31">
            <v>547.74</v>
          </cell>
          <cell r="J31">
            <v>838.08057215040003</v>
          </cell>
          <cell r="K31">
            <v>0</v>
          </cell>
          <cell r="L31">
            <v>181.42</v>
          </cell>
          <cell r="M31">
            <v>134.48251966000001</v>
          </cell>
          <cell r="N31">
            <v>315.90251966</v>
          </cell>
          <cell r="O31">
            <v>0</v>
          </cell>
          <cell r="P31">
            <v>401.99999999999994</v>
          </cell>
          <cell r="Q31">
            <v>0</v>
          </cell>
          <cell r="R31">
            <v>401.99999999999994</v>
          </cell>
          <cell r="S31">
            <v>717.90251965999994</v>
          </cell>
          <cell r="T31">
            <v>1555.9830918104001</v>
          </cell>
          <cell r="U31">
            <v>17237.597438615401</v>
          </cell>
        </row>
        <row r="32">
          <cell r="A32" t="str">
            <v xml:space="preserve">      BONOS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 xml:space="preserve">      OTROS</v>
          </cell>
          <cell r="B33">
            <v>0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198.75899999999999</v>
          </cell>
          <cell r="I34">
            <v>1015.6861097459999</v>
          </cell>
          <cell r="J34">
            <v>1214.4451097459998</v>
          </cell>
          <cell r="N34">
            <v>675.5</v>
          </cell>
          <cell r="R34">
            <v>860.3</v>
          </cell>
          <cell r="S34">
            <v>1535.8</v>
          </cell>
        </row>
        <row r="35">
          <cell r="E35">
            <v>0</v>
          </cell>
          <cell r="I35">
            <v>0</v>
          </cell>
          <cell r="J35">
            <v>0</v>
          </cell>
          <cell r="N35">
            <v>0</v>
          </cell>
          <cell r="R35">
            <v>0</v>
          </cell>
          <cell r="S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  <cell r="N36">
            <v>0</v>
          </cell>
          <cell r="R36">
            <v>0</v>
          </cell>
          <cell r="S36">
            <v>0</v>
          </cell>
        </row>
        <row r="37">
          <cell r="E37">
            <v>0</v>
          </cell>
          <cell r="I37">
            <v>1015.6861097459999</v>
          </cell>
          <cell r="J37">
            <v>1015.6861097459999</v>
          </cell>
          <cell r="N37">
            <v>675.5</v>
          </cell>
          <cell r="R37">
            <v>0</v>
          </cell>
          <cell r="S37">
            <v>675.5</v>
          </cell>
        </row>
        <row r="38">
          <cell r="E38">
            <v>198.75899999999999</v>
          </cell>
          <cell r="I38">
            <v>0</v>
          </cell>
          <cell r="J38">
            <v>198.75899999999999</v>
          </cell>
          <cell r="N38">
            <v>0</v>
          </cell>
          <cell r="R38">
            <v>860.3</v>
          </cell>
          <cell r="S38">
            <v>860.3</v>
          </cell>
        </row>
        <row r="39">
          <cell r="E39">
            <v>0</v>
          </cell>
          <cell r="I39">
            <v>0</v>
          </cell>
          <cell r="J39">
            <v>0</v>
          </cell>
          <cell r="N39">
            <v>0</v>
          </cell>
          <cell r="R39">
            <v>0</v>
          </cell>
          <cell r="S39">
            <v>0</v>
          </cell>
        </row>
        <row r="40">
          <cell r="A40" t="str">
            <v xml:space="preserve">       Bilaterales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 xml:space="preserve">       Invers.Instit. Locales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15640.232329999999</v>
          </cell>
          <cell r="I42">
            <v>22631.321211179998</v>
          </cell>
          <cell r="J42">
            <v>38271.553541179994</v>
          </cell>
          <cell r="N42">
            <v>13135.038434</v>
          </cell>
          <cell r="R42">
            <v>19138.2</v>
          </cell>
          <cell r="S42">
            <v>32273.238433999999</v>
          </cell>
        </row>
        <row r="43">
          <cell r="E43">
            <v>6240.2323299999998</v>
          </cell>
          <cell r="I43">
            <v>11731.32121118</v>
          </cell>
          <cell r="J43">
            <v>17971.553541180001</v>
          </cell>
          <cell r="N43">
            <v>4855.0384340000001</v>
          </cell>
          <cell r="R43">
            <v>3038.2</v>
          </cell>
          <cell r="S43">
            <v>7893.2384339999999</v>
          </cell>
        </row>
        <row r="44">
          <cell r="A44" t="str">
            <v xml:space="preserve">      LETRAS</v>
          </cell>
          <cell r="B44">
            <v>150</v>
          </cell>
          <cell r="C44">
            <v>585.71241299999997</v>
          </cell>
          <cell r="D44">
            <v>2904.5199170000001</v>
          </cell>
          <cell r="E44">
            <v>3640.2323299999998</v>
          </cell>
          <cell r="F44">
            <v>2700</v>
          </cell>
          <cell r="G44">
            <v>0</v>
          </cell>
          <cell r="H44">
            <v>717</v>
          </cell>
          <cell r="I44">
            <v>3417</v>
          </cell>
          <cell r="J44">
            <v>7057.2323299999998</v>
          </cell>
          <cell r="K44">
            <v>150</v>
          </cell>
          <cell r="L44">
            <v>1034.9384340000001</v>
          </cell>
          <cell r="M44">
            <v>2270.1</v>
          </cell>
          <cell r="N44">
            <v>3455.0384340000001</v>
          </cell>
          <cell r="O44">
            <v>89.600000000000023</v>
          </cell>
          <cell r="P44">
            <v>1291.5999999999999</v>
          </cell>
          <cell r="Q44">
            <v>1257</v>
          </cell>
          <cell r="R44">
            <v>2638.2</v>
          </cell>
          <cell r="S44">
            <v>6093.2384339999999</v>
          </cell>
          <cell r="T44">
            <v>13150.470764000002</v>
          </cell>
          <cell r="U44">
            <v>-8436.1727796599971</v>
          </cell>
          <cell r="V44">
            <v>3920</v>
          </cell>
        </row>
        <row r="45">
          <cell r="A45" t="str">
            <v xml:space="preserve">      BONOS</v>
          </cell>
          <cell r="B45">
            <v>0</v>
          </cell>
          <cell r="D45">
            <v>2600</v>
          </cell>
          <cell r="E45">
            <v>2600</v>
          </cell>
          <cell r="F45">
            <v>2713.0967350000001</v>
          </cell>
          <cell r="G45">
            <v>0</v>
          </cell>
          <cell r="H45">
            <v>5601.2244761800002</v>
          </cell>
          <cell r="I45">
            <v>8314.3212111800003</v>
          </cell>
          <cell r="J45">
            <v>10914.32121118</v>
          </cell>
          <cell r="K45">
            <v>0</v>
          </cell>
          <cell r="L45">
            <v>0</v>
          </cell>
          <cell r="M45">
            <v>1400</v>
          </cell>
          <cell r="N45">
            <v>1400</v>
          </cell>
          <cell r="O45">
            <v>400</v>
          </cell>
          <cell r="P45">
            <v>0</v>
          </cell>
          <cell r="Q45">
            <v>0</v>
          </cell>
          <cell r="R45">
            <v>400</v>
          </cell>
          <cell r="S45">
            <v>1800</v>
          </cell>
          <cell r="T45">
            <v>12714.32121118</v>
          </cell>
          <cell r="U45">
            <v>12714.32121118</v>
          </cell>
          <cell r="V45">
            <v>5834.1315233304013</v>
          </cell>
        </row>
        <row r="46">
          <cell r="A46" t="str">
            <v xml:space="preserve">      OTROS</v>
          </cell>
          <cell r="B46">
            <v>0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7252</v>
          </cell>
          <cell r="V46">
            <v>4432.1315233304013</v>
          </cell>
        </row>
        <row r="47">
          <cell r="E47">
            <v>1400</v>
          </cell>
          <cell r="I47">
            <v>2700</v>
          </cell>
          <cell r="J47">
            <v>4100</v>
          </cell>
          <cell r="N47">
            <v>5800</v>
          </cell>
          <cell r="R47">
            <v>800</v>
          </cell>
          <cell r="S47">
            <v>6600</v>
          </cell>
        </row>
        <row r="48">
          <cell r="E48">
            <v>8000</v>
          </cell>
          <cell r="I48">
            <v>8200</v>
          </cell>
          <cell r="J48">
            <v>16200</v>
          </cell>
          <cell r="N48">
            <v>2480</v>
          </cell>
          <cell r="R48">
            <v>15300</v>
          </cell>
          <cell r="S48">
            <v>17780</v>
          </cell>
        </row>
        <row r="50">
          <cell r="E50">
            <v>291.93050019406542</v>
          </cell>
          <cell r="I50">
            <v>-29.112186450433668</v>
          </cell>
          <cell r="J50">
            <v>262.81831374363173</v>
          </cell>
          <cell r="N50">
            <v>594.21921643999963</v>
          </cell>
          <cell r="R50">
            <v>991.10000000000014</v>
          </cell>
          <cell r="S50">
            <v>1585.3192164399998</v>
          </cell>
        </row>
        <row r="52">
          <cell r="E52">
            <v>0</v>
          </cell>
          <cell r="I52">
            <v>0</v>
          </cell>
          <cell r="J52">
            <v>0</v>
          </cell>
          <cell r="N52">
            <v>0</v>
          </cell>
          <cell r="R52">
            <v>0</v>
          </cell>
          <cell r="S52">
            <v>0</v>
          </cell>
        </row>
        <row r="53">
          <cell r="E53">
            <v>139.31161528999985</v>
          </cell>
          <cell r="I53">
            <v>-355.94274492999989</v>
          </cell>
          <cell r="J53">
            <v>-216.63112964000004</v>
          </cell>
          <cell r="N53">
            <v>215.55171644000006</v>
          </cell>
          <cell r="R53">
            <v>-31.899999999999864</v>
          </cell>
          <cell r="S53">
            <v>183.6517164400002</v>
          </cell>
        </row>
        <row r="54">
          <cell r="E54">
            <v>134.01613785184185</v>
          </cell>
          <cell r="I54">
            <v>154.65065064999999</v>
          </cell>
          <cell r="J54">
            <v>288.66678850184184</v>
          </cell>
          <cell r="N54">
            <v>150.02149999999961</v>
          </cell>
          <cell r="R54">
            <v>0</v>
          </cell>
          <cell r="S54">
            <v>150.02149999999961</v>
          </cell>
        </row>
        <row r="55">
          <cell r="E55">
            <v>-195</v>
          </cell>
          <cell r="I55">
            <v>-20</v>
          </cell>
          <cell r="J55">
            <v>-215</v>
          </cell>
          <cell r="N55">
            <v>0</v>
          </cell>
          <cell r="R55">
            <v>195</v>
          </cell>
          <cell r="S55">
            <v>195</v>
          </cell>
        </row>
        <row r="56">
          <cell r="E56">
            <v>244.49599999999998</v>
          </cell>
          <cell r="I56">
            <v>247.72900000000001</v>
          </cell>
          <cell r="J56">
            <v>492.22500000000002</v>
          </cell>
          <cell r="N56">
            <v>228.64600000000002</v>
          </cell>
          <cell r="R56">
            <v>828</v>
          </cell>
          <cell r="S56">
            <v>1056.646</v>
          </cell>
        </row>
        <row r="57">
          <cell r="E57">
            <v>10.408185849285818</v>
          </cell>
          <cell r="I57">
            <v>254.80712400020388</v>
          </cell>
          <cell r="J57">
            <v>265.2153098494897</v>
          </cell>
          <cell r="N57">
            <v>0</v>
          </cell>
          <cell r="R57">
            <v>0</v>
          </cell>
          <cell r="S57">
            <v>0</v>
          </cell>
        </row>
        <row r="58">
          <cell r="E58">
            <v>-41.301438797062126</v>
          </cell>
          <cell r="I58">
            <v>-310.35621617063771</v>
          </cell>
          <cell r="J58">
            <v>-351.65765496769984</v>
          </cell>
          <cell r="N58">
            <v>0</v>
          </cell>
          <cell r="R58">
            <v>0</v>
          </cell>
          <cell r="S58">
            <v>0</v>
          </cell>
        </row>
        <row r="60">
          <cell r="E60">
            <v>1078.6080000000002</v>
          </cell>
          <cell r="I60">
            <v>1467.4019453363223</v>
          </cell>
          <cell r="J60">
            <v>2546.0099453363227</v>
          </cell>
          <cell r="N60">
            <v>1153.2511626747273</v>
          </cell>
          <cell r="R60">
            <v>1223.5564491674495</v>
          </cell>
          <cell r="S60">
            <v>2376.8076118421768</v>
          </cell>
        </row>
        <row r="61">
          <cell r="E61">
            <v>172.79099999999997</v>
          </cell>
          <cell r="I61">
            <v>232.72886</v>
          </cell>
          <cell r="J61">
            <v>405.51985999999999</v>
          </cell>
          <cell r="N61">
            <v>91.100609674727323</v>
          </cell>
          <cell r="R61">
            <v>204.76844916744946</v>
          </cell>
          <cell r="S61">
            <v>295.8690588421768</v>
          </cell>
        </row>
        <row r="62">
          <cell r="E62">
            <v>43.592000000000006</v>
          </cell>
          <cell r="I62">
            <v>144.23836</v>
          </cell>
          <cell r="J62">
            <v>187.83036000000001</v>
          </cell>
          <cell r="N62">
            <v>86.800609674727326</v>
          </cell>
          <cell r="R62">
            <v>89.758534666089474</v>
          </cell>
          <cell r="S62">
            <v>176.5591443408168</v>
          </cell>
        </row>
        <row r="63">
          <cell r="E63">
            <v>119.03899999999999</v>
          </cell>
          <cell r="I63">
            <v>80.301500000000004</v>
          </cell>
          <cell r="J63">
            <v>199.34049999999999</v>
          </cell>
          <cell r="N63">
            <v>4.3</v>
          </cell>
          <cell r="R63">
            <v>104.28441854495999</v>
          </cell>
          <cell r="S63">
            <v>108.58441854495999</v>
          </cell>
        </row>
        <row r="64">
          <cell r="E64">
            <v>10.16</v>
          </cell>
          <cell r="I64">
            <v>8.1890000000000001</v>
          </cell>
          <cell r="J64">
            <v>18.349</v>
          </cell>
          <cell r="N64">
            <v>0</v>
          </cell>
          <cell r="R64">
            <v>10.725495956399998</v>
          </cell>
          <cell r="S64">
            <v>10.725495956399998</v>
          </cell>
        </row>
        <row r="65">
          <cell r="E65">
            <v>264.45299999999997</v>
          </cell>
          <cell r="I65">
            <v>478.50878599999999</v>
          </cell>
          <cell r="J65">
            <v>742.96178599999996</v>
          </cell>
          <cell r="N65">
            <v>219.423553</v>
          </cell>
          <cell r="R65">
            <v>429.88800000000009</v>
          </cell>
          <cell r="S65">
            <v>649.31155300000012</v>
          </cell>
        </row>
        <row r="66">
          <cell r="E66">
            <v>114.738</v>
          </cell>
          <cell r="I66">
            <v>238.84248600000001</v>
          </cell>
          <cell r="J66">
            <v>353.58048600000001</v>
          </cell>
          <cell r="N66">
            <v>108.60255299999999</v>
          </cell>
          <cell r="R66">
            <v>221.59100000000001</v>
          </cell>
          <cell r="S66">
            <v>330.19355300000001</v>
          </cell>
        </row>
        <row r="67">
          <cell r="E67">
            <v>119.65900000000001</v>
          </cell>
          <cell r="I67">
            <v>220.61829999999998</v>
          </cell>
          <cell r="J67">
            <v>340.27729999999997</v>
          </cell>
          <cell r="N67">
            <v>103.102</v>
          </cell>
          <cell r="R67">
            <v>185.31900000000005</v>
          </cell>
          <cell r="S67">
            <v>288.42100000000005</v>
          </cell>
        </row>
        <row r="68">
          <cell r="E68">
            <v>30.056000000000004</v>
          </cell>
          <cell r="I68">
            <v>19.048000000000002</v>
          </cell>
          <cell r="J68">
            <v>49.104000000000006</v>
          </cell>
          <cell r="N68">
            <v>7.7189999999999994</v>
          </cell>
          <cell r="R68">
            <v>22.978000000000002</v>
          </cell>
          <cell r="S68">
            <v>30.697000000000003</v>
          </cell>
        </row>
        <row r="69">
          <cell r="E69">
            <v>5</v>
          </cell>
          <cell r="I69">
            <v>0</v>
          </cell>
          <cell r="J69">
            <v>5</v>
          </cell>
          <cell r="N69">
            <v>3.8269999999999995</v>
          </cell>
          <cell r="R69">
            <v>0</v>
          </cell>
          <cell r="S69">
            <v>3.8269999999999995</v>
          </cell>
        </row>
        <row r="70">
          <cell r="E70">
            <v>0</v>
          </cell>
          <cell r="I70">
            <v>0</v>
          </cell>
          <cell r="J70">
            <v>0</v>
          </cell>
          <cell r="N70">
            <v>0.45300000000000001</v>
          </cell>
          <cell r="R70">
            <v>0</v>
          </cell>
          <cell r="S70">
            <v>0.45300000000000001</v>
          </cell>
        </row>
        <row r="71">
          <cell r="E71">
            <v>5</v>
          </cell>
          <cell r="I71">
            <v>0</v>
          </cell>
          <cell r="J71">
            <v>5</v>
          </cell>
          <cell r="N71">
            <v>3.3739999999999997</v>
          </cell>
          <cell r="R71">
            <v>0</v>
          </cell>
          <cell r="S71">
            <v>3.3739999999999997</v>
          </cell>
        </row>
        <row r="72">
          <cell r="E72">
            <v>326.65500000000003</v>
          </cell>
          <cell r="I72">
            <v>216.11949999999999</v>
          </cell>
          <cell r="J72">
            <v>542.77449999999999</v>
          </cell>
          <cell r="N72">
            <v>324</v>
          </cell>
          <cell r="R72">
            <v>324</v>
          </cell>
          <cell r="S72">
            <v>648</v>
          </cell>
        </row>
        <row r="73">
          <cell r="E73">
            <v>0</v>
          </cell>
          <cell r="I73">
            <v>0</v>
          </cell>
          <cell r="J73">
            <v>0</v>
          </cell>
          <cell r="N73">
            <v>0</v>
          </cell>
          <cell r="R73">
            <v>0</v>
          </cell>
          <cell r="S73">
            <v>0</v>
          </cell>
        </row>
        <row r="74">
          <cell r="E74">
            <v>211.09899999999999</v>
          </cell>
          <cell r="I74">
            <v>217.42375600000003</v>
          </cell>
          <cell r="J74">
            <v>428.52275600000002</v>
          </cell>
          <cell r="N74">
            <v>234.89999999999998</v>
          </cell>
          <cell r="R74">
            <v>234.89999999999998</v>
          </cell>
          <cell r="S74">
            <v>469.79999999999995</v>
          </cell>
        </row>
        <row r="75">
          <cell r="E75">
            <v>74.697000000000003</v>
          </cell>
          <cell r="I75">
            <v>299.65794533632226</v>
          </cell>
          <cell r="J75">
            <v>374.35494533632226</v>
          </cell>
          <cell r="N75">
            <v>250</v>
          </cell>
          <cell r="R75">
            <v>0</v>
          </cell>
          <cell r="S75">
            <v>250</v>
          </cell>
        </row>
        <row r="76">
          <cell r="E76">
            <v>23.912999999999954</v>
          </cell>
          <cell r="I76">
            <v>22.963098000000024</v>
          </cell>
          <cell r="J76">
            <v>46.876097999999978</v>
          </cell>
          <cell r="N76">
            <v>30</v>
          </cell>
          <cell r="R76">
            <v>30</v>
          </cell>
          <cell r="S76">
            <v>60</v>
          </cell>
        </row>
        <row r="78">
          <cell r="E78">
            <v>359.53</v>
          </cell>
          <cell r="I78">
            <v>274.65899999999999</v>
          </cell>
          <cell r="J78">
            <v>634.18899999999996</v>
          </cell>
          <cell r="N78">
            <v>241.54262232343174</v>
          </cell>
          <cell r="R78">
            <v>241.16472948786736</v>
          </cell>
          <cell r="S78">
            <v>482.70735181129908</v>
          </cell>
        </row>
        <row r="80">
          <cell r="E80">
            <v>0</v>
          </cell>
          <cell r="I80">
            <v>0</v>
          </cell>
          <cell r="N80">
            <v>0</v>
          </cell>
          <cell r="R80">
            <v>7000</v>
          </cell>
          <cell r="S80">
            <v>7000</v>
          </cell>
        </row>
        <row r="81">
          <cell r="U81">
            <v>-787.2645193401986</v>
          </cell>
          <cell r="V81">
            <v>31.855999999999966</v>
          </cell>
        </row>
        <row r="82">
          <cell r="A82" t="str">
            <v xml:space="preserve"> .Vta. de Activos Financ.</v>
          </cell>
          <cell r="B82">
            <v>2363.3144961900002</v>
          </cell>
          <cell r="C82">
            <v>3298.1360999999997</v>
          </cell>
          <cell r="D82">
            <v>1789.4571232999999</v>
          </cell>
          <cell r="E82">
            <v>7450.9077194899992</v>
          </cell>
          <cell r="F82">
            <v>4592.2141732999999</v>
          </cell>
          <cell r="G82">
            <v>2928.5926272000002</v>
          </cell>
          <cell r="H82">
            <v>7116.6658362149992</v>
          </cell>
          <cell r="I82">
            <v>14637.472636715</v>
          </cell>
          <cell r="J82">
            <v>22088.380356204998</v>
          </cell>
          <cell r="K82">
            <v>15</v>
          </cell>
          <cell r="L82">
            <v>501.79263065980001</v>
          </cell>
          <cell r="M82">
            <v>15</v>
          </cell>
          <cell r="N82">
            <v>531.79263065980001</v>
          </cell>
          <cell r="O82">
            <v>15</v>
          </cell>
          <cell r="P82">
            <v>15</v>
          </cell>
          <cell r="Q82">
            <v>15</v>
          </cell>
          <cell r="R82">
            <v>45</v>
          </cell>
          <cell r="S82">
            <v>576.79263065980001</v>
          </cell>
          <cell r="T82">
            <v>22665.172986864796</v>
          </cell>
          <cell r="U82">
            <v>56.443582805000005</v>
          </cell>
          <cell r="V82">
            <v>819.35599999999999</v>
          </cell>
        </row>
        <row r="83">
          <cell r="A83" t="str">
            <v xml:space="preserve">    Títulos y Valores</v>
          </cell>
          <cell r="B83">
            <v>680.82890078999992</v>
          </cell>
          <cell r="C83">
            <v>204.07599999999999</v>
          </cell>
          <cell r="D83">
            <v>0</v>
          </cell>
          <cell r="E83">
            <v>884.90490078999994</v>
          </cell>
          <cell r="F83">
            <v>0</v>
          </cell>
          <cell r="G83">
            <v>0</v>
          </cell>
          <cell r="H83">
            <v>1442.162682015</v>
          </cell>
          <cell r="I83">
            <v>1442.162682015</v>
          </cell>
          <cell r="J83">
            <v>2327.0675828049998</v>
          </cell>
          <cell r="K83">
            <v>0</v>
          </cell>
          <cell r="L83">
            <v>204.07599999999999</v>
          </cell>
          <cell r="M83">
            <v>0</v>
          </cell>
          <cell r="N83">
            <v>204.07599999999999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204.07599999999999</v>
          </cell>
          <cell r="T83">
            <v>2531.1435828049998</v>
          </cell>
          <cell r="U83">
            <v>-848.76251853000031</v>
          </cell>
          <cell r="V83">
            <v>-848.76251853000031</v>
          </cell>
        </row>
        <row r="84">
          <cell r="E84">
            <v>6508.3811000000005</v>
          </cell>
          <cell r="I84">
            <v>13134.674999999999</v>
          </cell>
          <cell r="J84">
            <v>19643.056100000002</v>
          </cell>
          <cell r="N84">
            <v>36.979380659800015</v>
          </cell>
          <cell r="R84">
            <v>0</v>
          </cell>
          <cell r="S84">
            <v>36.979380659800015</v>
          </cell>
        </row>
        <row r="85">
          <cell r="E85">
            <v>0</v>
          </cell>
          <cell r="I85">
            <v>0</v>
          </cell>
          <cell r="J85">
            <v>0</v>
          </cell>
          <cell r="N85">
            <v>0</v>
          </cell>
          <cell r="R85">
            <v>0</v>
          </cell>
          <cell r="S85">
            <v>0</v>
          </cell>
        </row>
        <row r="86">
          <cell r="E86">
            <v>57.621718700000002</v>
          </cell>
          <cell r="I86">
            <v>60.634954700000002</v>
          </cell>
          <cell r="J86">
            <v>118.25667340000001</v>
          </cell>
          <cell r="N86">
            <v>290.73725000000002</v>
          </cell>
          <cell r="R86">
            <v>45</v>
          </cell>
          <cell r="S86">
            <v>335.73725000000002</v>
          </cell>
        </row>
        <row r="88">
          <cell r="E88">
            <v>43502.710262827241</v>
          </cell>
          <cell r="I88">
            <v>35814.357864817779</v>
          </cell>
          <cell r="J88">
            <v>79317.06812764502</v>
          </cell>
          <cell r="N88">
            <v>27861.344124451167</v>
          </cell>
          <cell r="R88">
            <v>53898.651095955633</v>
          </cell>
          <cell r="S88">
            <v>81759.995220406796</v>
          </cell>
        </row>
        <row r="90">
          <cell r="E90">
            <v>32544.768481827163</v>
          </cell>
          <cell r="I90">
            <v>18378.058459702217</v>
          </cell>
          <cell r="J90">
            <v>50922.826941529376</v>
          </cell>
          <cell r="N90">
            <v>24734.761416838981</v>
          </cell>
          <cell r="R90">
            <v>41450.232783621119</v>
          </cell>
          <cell r="S90">
            <v>66184.994200460103</v>
          </cell>
        </row>
        <row r="92">
          <cell r="E92">
            <v>20867.775860640002</v>
          </cell>
          <cell r="I92">
            <v>12334.570023010001</v>
          </cell>
          <cell r="J92">
            <v>33202.345883650007</v>
          </cell>
          <cell r="N92">
            <v>11654.060540875009</v>
          </cell>
          <cell r="R92">
            <v>29450.325911921729</v>
          </cell>
          <cell r="S92">
            <v>41104.386452796738</v>
          </cell>
        </row>
        <row r="94">
          <cell r="E94">
            <v>1179.1656831799999</v>
          </cell>
          <cell r="I94">
            <v>2499.9800776700004</v>
          </cell>
          <cell r="J94">
            <v>3679.1457608500004</v>
          </cell>
          <cell r="N94">
            <v>2400.0047691592813</v>
          </cell>
          <cell r="R94">
            <v>4605.5965506788561</v>
          </cell>
          <cell r="S94">
            <v>7005.601319838137</v>
          </cell>
        </row>
        <row r="96">
          <cell r="E96">
            <v>55.74222846</v>
          </cell>
          <cell r="I96">
            <v>53.161811569999998</v>
          </cell>
          <cell r="J96">
            <v>108.90404003</v>
          </cell>
          <cell r="N96">
            <v>52.205833007915487</v>
          </cell>
          <cell r="R96">
            <v>47.939558823909294</v>
          </cell>
          <cell r="S96">
            <v>100.14539183182478</v>
          </cell>
        </row>
        <row r="97">
          <cell r="E97">
            <v>125.38759683999955</v>
          </cell>
          <cell r="I97">
            <v>16.20040706</v>
          </cell>
          <cell r="J97">
            <v>141.58800389999953</v>
          </cell>
          <cell r="N97">
            <v>125.73726879625836</v>
          </cell>
          <cell r="R97">
            <v>12.762146064051541</v>
          </cell>
          <cell r="S97">
            <v>138.49941486030991</v>
          </cell>
        </row>
        <row r="98">
          <cell r="E98">
            <v>15.609873670000002</v>
          </cell>
          <cell r="I98">
            <v>14.39527256</v>
          </cell>
          <cell r="J98">
            <v>30.005146230000001</v>
          </cell>
          <cell r="N98">
            <v>12.805490496453029</v>
          </cell>
          <cell r="R98">
            <v>11.128598504051542</v>
          </cell>
          <cell r="S98">
            <v>23.934089000504571</v>
          </cell>
        </row>
        <row r="99">
          <cell r="E99">
            <v>0</v>
          </cell>
          <cell r="I99">
            <v>1.8051345000000001</v>
          </cell>
          <cell r="J99">
            <v>1.8051345000000001</v>
          </cell>
          <cell r="N99">
            <v>0</v>
          </cell>
          <cell r="R99">
            <v>1.63354756</v>
          </cell>
          <cell r="S99">
            <v>1.63354756</v>
          </cell>
        </row>
        <row r="100">
          <cell r="E100">
            <v>109.77772316999955</v>
          </cell>
          <cell r="I100">
            <v>0</v>
          </cell>
          <cell r="J100">
            <v>109.77772316999955</v>
          </cell>
          <cell r="N100">
            <v>112.93177829980533</v>
          </cell>
          <cell r="R100">
            <v>0</v>
          </cell>
          <cell r="S100">
            <v>112.93177829980533</v>
          </cell>
        </row>
        <row r="101">
          <cell r="E101">
            <v>161.53507690000001</v>
          </cell>
          <cell r="I101">
            <v>777.81370083000002</v>
          </cell>
          <cell r="J101">
            <v>939.34877773000005</v>
          </cell>
          <cell r="N101">
            <v>954.95220145000008</v>
          </cell>
          <cell r="R101">
            <v>312.08764631999998</v>
          </cell>
          <cell r="S101">
            <v>1267.0398477700001</v>
          </cell>
        </row>
        <row r="102">
          <cell r="E102">
            <v>0</v>
          </cell>
          <cell r="I102">
            <v>0</v>
          </cell>
          <cell r="J102">
            <v>0</v>
          </cell>
          <cell r="N102">
            <v>0</v>
          </cell>
          <cell r="R102">
            <v>78.75</v>
          </cell>
          <cell r="S102">
            <v>78.75</v>
          </cell>
        </row>
        <row r="103">
          <cell r="E103">
            <v>161.53507690000001</v>
          </cell>
          <cell r="I103">
            <v>777.81370083000002</v>
          </cell>
          <cell r="J103">
            <v>939.34877773000005</v>
          </cell>
          <cell r="N103">
            <v>954.95220145000008</v>
          </cell>
          <cell r="R103">
            <v>233.33764632</v>
          </cell>
          <cell r="S103">
            <v>1188.2898477700001</v>
          </cell>
        </row>
        <row r="104">
          <cell r="E104">
            <v>373.45377626000004</v>
          </cell>
          <cell r="I104">
            <v>372.45106154999996</v>
          </cell>
          <cell r="J104">
            <v>745.90483781</v>
          </cell>
          <cell r="N104">
            <v>411.02652678999993</v>
          </cell>
          <cell r="R104">
            <v>211.17951099999999</v>
          </cell>
          <cell r="S104">
            <v>622.20603778999998</v>
          </cell>
        </row>
        <row r="105">
          <cell r="E105">
            <v>359.53</v>
          </cell>
          <cell r="I105">
            <v>274.65899999999999</v>
          </cell>
          <cell r="J105">
            <v>634.18899999999996</v>
          </cell>
          <cell r="N105">
            <v>241.54262232343174</v>
          </cell>
          <cell r="R105">
            <v>241.16472948786736</v>
          </cell>
          <cell r="S105">
            <v>482.70735181129908</v>
          </cell>
        </row>
        <row r="106">
          <cell r="E106">
            <v>25.431588810000001</v>
          </cell>
          <cell r="I106">
            <v>451.44332347</v>
          </cell>
          <cell r="J106">
            <v>476.87491227999999</v>
          </cell>
          <cell r="N106">
            <v>49.022169595435365</v>
          </cell>
          <cell r="R106">
            <v>1926.6441220908061</v>
          </cell>
          <cell r="S106">
            <v>1975.6662916862415</v>
          </cell>
        </row>
        <row r="107">
          <cell r="E107">
            <v>7.2523095500000005</v>
          </cell>
          <cell r="I107">
            <v>487.04644149000012</v>
          </cell>
          <cell r="J107">
            <v>494.29875104000013</v>
          </cell>
          <cell r="N107">
            <v>553.09775346596643</v>
          </cell>
          <cell r="R107">
            <v>1853.5874060422223</v>
          </cell>
          <cell r="S107">
            <v>2406.6851595081889</v>
          </cell>
        </row>
        <row r="108">
          <cell r="E108">
            <v>70.83310636000023</v>
          </cell>
          <cell r="I108">
            <v>67.204331699999997</v>
          </cell>
          <cell r="J108">
            <v>138.03743806000023</v>
          </cell>
          <cell r="N108">
            <v>12.420393730273998</v>
          </cell>
          <cell r="R108">
            <v>0.23143084999999999</v>
          </cell>
          <cell r="S108">
            <v>12.651824580273999</v>
          </cell>
        </row>
        <row r="110">
          <cell r="E110">
            <v>19688.610177459999</v>
          </cell>
          <cell r="I110">
            <v>9834.5899453399998</v>
          </cell>
          <cell r="J110">
            <v>29523.200122800001</v>
          </cell>
          <cell r="N110">
            <v>9254.055771715728</v>
          </cell>
          <cell r="R110">
            <v>24844.729361242877</v>
          </cell>
          <cell r="S110">
            <v>34098.785132958605</v>
          </cell>
        </row>
        <row r="112">
          <cell r="E112">
            <v>882.82484410000006</v>
          </cell>
          <cell r="I112">
            <v>909.37484428000005</v>
          </cell>
          <cell r="J112">
            <v>1792.1996883800002</v>
          </cell>
          <cell r="N112">
            <v>946.35383734095205</v>
          </cell>
          <cell r="R112">
            <v>959.55520200441333</v>
          </cell>
          <cell r="S112">
            <v>1905.9090393453653</v>
          </cell>
        </row>
        <row r="113">
          <cell r="E113">
            <v>354.34863057000001</v>
          </cell>
          <cell r="I113">
            <v>365.14727646</v>
          </cell>
          <cell r="J113">
            <v>719.49590703000001</v>
          </cell>
          <cell r="N113">
            <v>365.06153186260747</v>
          </cell>
          <cell r="R113">
            <v>376.01043338019895</v>
          </cell>
          <cell r="S113">
            <v>741.07196524280641</v>
          </cell>
        </row>
        <row r="114">
          <cell r="E114">
            <v>354.34863057000001</v>
          </cell>
          <cell r="I114">
            <v>359.46409376999998</v>
          </cell>
          <cell r="J114">
            <v>713.81272433999993</v>
          </cell>
          <cell r="N114">
            <v>365.06153186260747</v>
          </cell>
          <cell r="R114">
            <v>370.32725069019898</v>
          </cell>
          <cell r="S114">
            <v>735.38878255280645</v>
          </cell>
        </row>
        <row r="115">
          <cell r="E115">
            <v>0</v>
          </cell>
          <cell r="I115">
            <v>5.6831826899999998</v>
          </cell>
          <cell r="J115">
            <v>5.6831826899999998</v>
          </cell>
          <cell r="N115">
            <v>0</v>
          </cell>
          <cell r="R115">
            <v>5.6831826900000006</v>
          </cell>
          <cell r="S115">
            <v>5.6831826900000006</v>
          </cell>
        </row>
        <row r="116">
          <cell r="E116">
            <v>7417.2938960000001</v>
          </cell>
          <cell r="I116">
            <v>4490</v>
          </cell>
          <cell r="J116">
            <v>11907.293895999999</v>
          </cell>
          <cell r="N116">
            <v>5105.0384340000001</v>
          </cell>
          <cell r="R116">
            <v>3338.2</v>
          </cell>
          <cell r="S116">
            <v>8443.238433999999</v>
          </cell>
        </row>
        <row r="117">
          <cell r="E117">
            <v>127.8684510699988</v>
          </cell>
          <cell r="I117">
            <v>4064.8546125799999</v>
          </cell>
          <cell r="J117">
            <v>4192.7230636499989</v>
          </cell>
          <cell r="N117">
            <v>321.97064449216879</v>
          </cell>
          <cell r="R117">
            <v>788.26882353645192</v>
          </cell>
          <cell r="S117">
            <v>1110.2394680286206</v>
          </cell>
        </row>
        <row r="118">
          <cell r="E118">
            <v>0</v>
          </cell>
          <cell r="I118">
            <v>0</v>
          </cell>
          <cell r="J118">
            <v>0</v>
          </cell>
          <cell r="N118">
            <v>0</v>
          </cell>
          <cell r="R118">
            <v>2929.5</v>
          </cell>
          <cell r="S118">
            <v>2929.5</v>
          </cell>
        </row>
        <row r="119">
          <cell r="E119">
            <v>10900</v>
          </cell>
          <cell r="I119">
            <v>0</v>
          </cell>
          <cell r="J119">
            <v>10900</v>
          </cell>
          <cell r="N119">
            <v>2480</v>
          </cell>
          <cell r="R119">
            <v>13200</v>
          </cell>
          <cell r="S119">
            <v>15680</v>
          </cell>
        </row>
        <row r="120">
          <cell r="E120">
            <v>6.2743557199999991</v>
          </cell>
          <cell r="I120">
            <v>5.2132120200000003</v>
          </cell>
          <cell r="J120">
            <v>11.487567739999999</v>
          </cell>
          <cell r="N120">
            <v>35.631324020000001</v>
          </cell>
          <cell r="R120">
            <v>3253.1949023218094</v>
          </cell>
          <cell r="S120">
            <v>3288.8262263418096</v>
          </cell>
        </row>
        <row r="122">
          <cell r="E122">
            <v>3917.4578211871631</v>
          </cell>
          <cell r="I122">
            <v>5484.9119612227296</v>
          </cell>
          <cell r="J122">
            <v>9402.3697824098927</v>
          </cell>
          <cell r="N122">
            <v>12328.077825923971</v>
          </cell>
          <cell r="R122">
            <v>11435.906871699393</v>
          </cell>
          <cell r="S122">
            <v>23763.984697623364</v>
          </cell>
        </row>
        <row r="124">
          <cell r="E124">
            <v>2130.0173506103406</v>
          </cell>
          <cell r="I124">
            <v>2637.9290612816585</v>
          </cell>
          <cell r="J124">
            <v>4767.9464118919987</v>
          </cell>
          <cell r="N124">
            <v>1976.7054696893852</v>
          </cell>
          <cell r="R124">
            <v>6644.8296118372409</v>
          </cell>
          <cell r="S124">
            <v>8621.5350815266265</v>
          </cell>
        </row>
        <row r="126">
          <cell r="E126">
            <v>449.59075000000001</v>
          </cell>
          <cell r="I126">
            <v>266.83080452000002</v>
          </cell>
          <cell r="J126">
            <v>716.42155451999997</v>
          </cell>
          <cell r="N126">
            <v>472.85</v>
          </cell>
          <cell r="R126">
            <v>291.80082540000001</v>
          </cell>
          <cell r="S126">
            <v>764.65082540000003</v>
          </cell>
        </row>
        <row r="127">
          <cell r="E127">
            <v>194.79075</v>
          </cell>
          <cell r="I127">
            <v>0</v>
          </cell>
          <cell r="J127">
            <v>194.79075</v>
          </cell>
          <cell r="N127">
            <v>202.65</v>
          </cell>
          <cell r="R127">
            <v>0</v>
          </cell>
          <cell r="S127">
            <v>202.65</v>
          </cell>
        </row>
        <row r="128">
          <cell r="E128">
            <v>254.8</v>
          </cell>
          <cell r="I128">
            <v>0</v>
          </cell>
          <cell r="J128">
            <v>254.8</v>
          </cell>
          <cell r="N128">
            <v>270.2</v>
          </cell>
          <cell r="R128">
            <v>0</v>
          </cell>
          <cell r="S128">
            <v>270.2</v>
          </cell>
        </row>
        <row r="129">
          <cell r="E129">
            <v>0</v>
          </cell>
          <cell r="I129">
            <v>266.83080452000002</v>
          </cell>
          <cell r="J129">
            <v>266.83080452000002</v>
          </cell>
          <cell r="N129">
            <v>0</v>
          </cell>
          <cell r="R129">
            <v>291.80082540000001</v>
          </cell>
          <cell r="S129">
            <v>291.80082540000001</v>
          </cell>
        </row>
        <row r="130">
          <cell r="E130">
            <v>473.76244545302404</v>
          </cell>
          <cell r="I130">
            <v>874.72668203163107</v>
          </cell>
          <cell r="J130">
            <v>1348.489127484655</v>
          </cell>
          <cell r="N130">
            <v>278.69200000000001</v>
          </cell>
          <cell r="R130">
            <v>851.56048323959988</v>
          </cell>
          <cell r="S130">
            <v>1130.2524832395998</v>
          </cell>
        </row>
        <row r="131">
          <cell r="E131">
            <v>473.76244545302404</v>
          </cell>
          <cell r="I131">
            <v>50.380141471879007</v>
          </cell>
          <cell r="J131">
            <v>524.14258692490307</v>
          </cell>
          <cell r="N131">
            <v>278.69200000000001</v>
          </cell>
          <cell r="R131">
            <v>0</v>
          </cell>
          <cell r="S131">
            <v>278.69200000000001</v>
          </cell>
        </row>
        <row r="132">
          <cell r="E132">
            <v>0</v>
          </cell>
          <cell r="I132">
            <v>67.192935569592009</v>
          </cell>
          <cell r="J132">
            <v>67.192935569592009</v>
          </cell>
          <cell r="N132">
            <v>0</v>
          </cell>
          <cell r="R132">
            <v>33.016045412399997</v>
          </cell>
          <cell r="S132">
            <v>33.016045412399997</v>
          </cell>
        </row>
        <row r="133">
          <cell r="E133">
            <v>0</v>
          </cell>
          <cell r="I133">
            <v>757.15360499016003</v>
          </cell>
          <cell r="J133">
            <v>757.15360499016003</v>
          </cell>
          <cell r="N133">
            <v>0</v>
          </cell>
          <cell r="R133">
            <v>818.54443782719989</v>
          </cell>
          <cell r="S133">
            <v>818.54443782719989</v>
          </cell>
        </row>
        <row r="134">
          <cell r="E134">
            <v>311.62274944596419</v>
          </cell>
          <cell r="I134">
            <v>972.9175197720142</v>
          </cell>
          <cell r="J134">
            <v>1284.5402692179784</v>
          </cell>
          <cell r="N134">
            <v>612.23192291965643</v>
          </cell>
          <cell r="R134">
            <v>5041.7570765346891</v>
          </cell>
          <cell r="S134">
            <v>5653.9889994543455</v>
          </cell>
        </row>
        <row r="135">
          <cell r="E135">
            <v>419.98249746440104</v>
          </cell>
          <cell r="I135">
            <v>0.32333425320000003</v>
          </cell>
          <cell r="J135">
            <v>420.30583171760105</v>
          </cell>
          <cell r="N135">
            <v>203.39039432000001</v>
          </cell>
          <cell r="R135">
            <v>7.0148999999999999</v>
          </cell>
          <cell r="S135">
            <v>210.40529432000002</v>
          </cell>
        </row>
        <row r="136">
          <cell r="E136">
            <v>265.63411239025498</v>
          </cell>
          <cell r="I136">
            <v>307.55647675197179</v>
          </cell>
          <cell r="J136">
            <v>573.19058914222683</v>
          </cell>
          <cell r="N136">
            <v>234.31190968511305</v>
          </cell>
          <cell r="R136">
            <v>282.16136777877392</v>
          </cell>
          <cell r="S136">
            <v>516.47327746388692</v>
          </cell>
        </row>
        <row r="137">
          <cell r="E137">
            <v>157.99432490165225</v>
          </cell>
          <cell r="I137">
            <v>153.81370127769</v>
          </cell>
          <cell r="J137">
            <v>311.80802617934228</v>
          </cell>
          <cell r="N137">
            <v>115.76454532099999</v>
          </cell>
          <cell r="R137">
            <v>101.45515513559998</v>
          </cell>
          <cell r="S137">
            <v>217.21970045659998</v>
          </cell>
        </row>
        <row r="138">
          <cell r="E138">
            <v>0</v>
          </cell>
          <cell r="I138">
            <v>0</v>
          </cell>
          <cell r="J138">
            <v>0</v>
          </cell>
          <cell r="N138">
            <v>0</v>
          </cell>
          <cell r="R138">
            <v>0</v>
          </cell>
          <cell r="S138">
            <v>0</v>
          </cell>
        </row>
        <row r="139">
          <cell r="E139">
            <v>30.439067994995</v>
          </cell>
          <cell r="I139">
            <v>37.711250626838996</v>
          </cell>
          <cell r="J139">
            <v>68.150318621834003</v>
          </cell>
          <cell r="N139">
            <v>23.0755793296</v>
          </cell>
          <cell r="R139">
            <v>35.642008669219045</v>
          </cell>
          <cell r="S139">
            <v>58.717587998819042</v>
          </cell>
        </row>
        <row r="140">
          <cell r="E140">
            <v>20.991402960049061</v>
          </cell>
          <cell r="I140">
            <v>24.049292048312672</v>
          </cell>
          <cell r="J140">
            <v>45.040695008361737</v>
          </cell>
          <cell r="N140">
            <v>36.389118114015581</v>
          </cell>
          <cell r="R140">
            <v>33.437795079358544</v>
          </cell>
          <cell r="S140">
            <v>69.826913193374125</v>
          </cell>
        </row>
        <row r="142">
          <cell r="E142">
            <v>1787.4404705768225</v>
          </cell>
          <cell r="I142">
            <v>2846.9828999410711</v>
          </cell>
          <cell r="J142">
            <v>4634.423370517894</v>
          </cell>
          <cell r="N142">
            <v>10351.372356234588</v>
          </cell>
          <cell r="R142">
            <v>4791.0772598621515</v>
          </cell>
          <cell r="S142">
            <v>15142.449616096739</v>
          </cell>
        </row>
        <row r="145">
          <cell r="E145">
            <v>0</v>
          </cell>
          <cell r="I145">
            <v>1142.006954655069</v>
          </cell>
          <cell r="J145">
            <v>1142.006954655069</v>
          </cell>
          <cell r="N145">
            <v>8289.735999999999</v>
          </cell>
          <cell r="R145">
            <v>0</v>
          </cell>
          <cell r="S145">
            <v>8289.735999999999</v>
          </cell>
        </row>
        <row r="146">
          <cell r="E146">
            <v>0</v>
          </cell>
          <cell r="I146">
            <v>238.87610022506902</v>
          </cell>
          <cell r="J146">
            <v>238.87610022506902</v>
          </cell>
          <cell r="N146">
            <v>8289.735999999999</v>
          </cell>
          <cell r="R146">
            <v>0</v>
          </cell>
          <cell r="S146">
            <v>8289.735999999999</v>
          </cell>
        </row>
        <row r="147">
          <cell r="E147">
            <v>0</v>
          </cell>
          <cell r="I147">
            <v>903.13085443</v>
          </cell>
          <cell r="J147">
            <v>903.13085443</v>
          </cell>
          <cell r="N147">
            <v>0</v>
          </cell>
          <cell r="R147">
            <v>0</v>
          </cell>
          <cell r="S147">
            <v>0</v>
          </cell>
        </row>
        <row r="148">
          <cell r="E148">
            <v>0</v>
          </cell>
          <cell r="I148">
            <v>0</v>
          </cell>
          <cell r="J148">
            <v>0</v>
          </cell>
          <cell r="N148">
            <v>0</v>
          </cell>
          <cell r="R148">
            <v>2929.5</v>
          </cell>
          <cell r="S148">
            <v>2929.5</v>
          </cell>
        </row>
        <row r="149">
          <cell r="E149">
            <v>343.368694</v>
          </cell>
          <cell r="I149">
            <v>174.84</v>
          </cell>
          <cell r="J149">
            <v>518.20869400000004</v>
          </cell>
          <cell r="N149">
            <v>315.90251966</v>
          </cell>
          <cell r="R149">
            <v>401.99999999999994</v>
          </cell>
          <cell r="S149">
            <v>717.90251965999994</v>
          </cell>
        </row>
        <row r="150">
          <cell r="E150">
            <v>431.44188530900578</v>
          </cell>
          <cell r="I150">
            <v>752.38597541268405</v>
          </cell>
          <cell r="J150">
            <v>1183.8278607216898</v>
          </cell>
          <cell r="N150">
            <v>528.79186560491814</v>
          </cell>
          <cell r="R150">
            <v>789.38341968664224</v>
          </cell>
          <cell r="S150">
            <v>1318.1752852915604</v>
          </cell>
        </row>
        <row r="151">
          <cell r="E151">
            <v>790.12497285030804</v>
          </cell>
          <cell r="I151">
            <v>534.79583377122117</v>
          </cell>
          <cell r="J151">
            <v>1324.9208066215292</v>
          </cell>
          <cell r="N151">
            <v>854.96078439339988</v>
          </cell>
          <cell r="R151">
            <v>597.04374814217999</v>
          </cell>
          <cell r="S151">
            <v>1452.00453253558</v>
          </cell>
        </row>
        <row r="152">
          <cell r="E152">
            <v>147.82693552590376</v>
          </cell>
          <cell r="I152">
            <v>98.040386668393396</v>
          </cell>
          <cell r="J152">
            <v>245.86732219429717</v>
          </cell>
          <cell r="N152">
            <v>348.65630851946958</v>
          </cell>
          <cell r="R152">
            <v>0</v>
          </cell>
          <cell r="S152">
            <v>348.65630851946958</v>
          </cell>
        </row>
        <row r="153">
          <cell r="E153">
            <v>9.9789181882899989</v>
          </cell>
          <cell r="I153">
            <v>49.917640924624003</v>
          </cell>
          <cell r="J153">
            <v>59.896559112914005</v>
          </cell>
          <cell r="N153">
            <v>13.185687509199997</v>
          </cell>
          <cell r="R153">
            <v>50.744867249253822</v>
          </cell>
          <cell r="S153">
            <v>63.930554758453823</v>
          </cell>
        </row>
        <row r="154">
          <cell r="E154">
            <v>64.699064703315116</v>
          </cell>
          <cell r="I154">
            <v>94.996108509079477</v>
          </cell>
          <cell r="J154">
            <v>159.69517321239459</v>
          </cell>
          <cell r="N154">
            <v>0.13919054759997587</v>
          </cell>
          <cell r="R154">
            <v>22.405224784076108</v>
          </cell>
          <cell r="S154">
            <v>22.544415331676085</v>
          </cell>
        </row>
        <row r="156">
          <cell r="E156">
            <v>7759.5347999999994</v>
          </cell>
          <cell r="I156">
            <v>558.57647546948806</v>
          </cell>
          <cell r="J156">
            <v>8318.1112754694877</v>
          </cell>
          <cell r="N156">
            <v>752.62305003999995</v>
          </cell>
          <cell r="R156">
            <v>564</v>
          </cell>
          <cell r="S156">
            <v>1316.62305004</v>
          </cell>
        </row>
        <row r="158">
          <cell r="A158" t="str">
            <v xml:space="preserve"> II .Compra de Act. Financ.</v>
          </cell>
          <cell r="B158">
            <v>3591.7033193199995</v>
          </cell>
          <cell r="C158">
            <v>3038.8773000000001</v>
          </cell>
          <cell r="D158">
            <v>1763.88</v>
          </cell>
          <cell r="E158">
            <v>8394.4606193199998</v>
          </cell>
          <cell r="F158">
            <v>4820.6109999999999</v>
          </cell>
          <cell r="G158">
            <v>3058.9380000000001</v>
          </cell>
          <cell r="H158">
            <v>6520.4467820149994</v>
          </cell>
          <cell r="I158">
            <v>14399.995782014999</v>
          </cell>
          <cell r="J158">
            <v>22794.456401334999</v>
          </cell>
          <cell r="K158">
            <v>0</v>
          </cell>
          <cell r="L158">
            <v>204.07599999999999</v>
          </cell>
          <cell r="M158">
            <v>0</v>
          </cell>
          <cell r="N158">
            <v>204.07599999999999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204.07599999999999</v>
          </cell>
          <cell r="T158">
            <v>22998.532401335</v>
          </cell>
        </row>
        <row r="159">
          <cell r="A159" t="str">
            <v xml:space="preserve">    Títulos y Valores</v>
          </cell>
          <cell r="B159">
            <v>1441.7553193199999</v>
          </cell>
          <cell r="C159">
            <v>450</v>
          </cell>
          <cell r="D159">
            <v>0</v>
          </cell>
          <cell r="E159">
            <v>1891.7553193199999</v>
          </cell>
          <cell r="F159">
            <v>0</v>
          </cell>
          <cell r="G159">
            <v>0</v>
          </cell>
          <cell r="H159">
            <v>1284.074782015</v>
          </cell>
          <cell r="I159">
            <v>1284.074782015</v>
          </cell>
          <cell r="J159">
            <v>3175.8301013350001</v>
          </cell>
          <cell r="K159">
            <v>0</v>
          </cell>
          <cell r="L159">
            <v>204.07599999999999</v>
          </cell>
          <cell r="M159">
            <v>0</v>
          </cell>
          <cell r="N159">
            <v>204.07599999999999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204.07599999999999</v>
          </cell>
          <cell r="T159">
            <v>3379.9061013350001</v>
          </cell>
          <cell r="U159">
            <v>24966.549644995001</v>
          </cell>
        </row>
        <row r="160">
          <cell r="E160">
            <v>6502.7053000000005</v>
          </cell>
          <cell r="I160">
            <v>13115.920999999998</v>
          </cell>
          <cell r="J160">
            <v>19618.6263</v>
          </cell>
          <cell r="N160">
            <v>0</v>
          </cell>
          <cell r="R160">
            <v>0</v>
          </cell>
          <cell r="S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N161">
            <v>0</v>
          </cell>
          <cell r="R161">
            <v>0</v>
          </cell>
          <cell r="S161">
            <v>0</v>
          </cell>
        </row>
        <row r="162">
          <cell r="E162">
            <v>0</v>
          </cell>
          <cell r="I162">
            <v>0</v>
          </cell>
          <cell r="J162">
            <v>0</v>
          </cell>
          <cell r="N162">
            <v>0</v>
          </cell>
          <cell r="R162">
            <v>0</v>
          </cell>
          <cell r="S162">
            <v>0</v>
          </cell>
        </row>
        <row r="164">
          <cell r="E164">
            <v>2563.4811616800766</v>
          </cell>
          <cell r="I164">
            <v>3036.3036231005572</v>
          </cell>
          <cell r="J164">
            <v>5599.7847847806333</v>
          </cell>
          <cell r="N164">
            <v>2922.5067076121863</v>
          </cell>
          <cell r="R164">
            <v>12448.41831233451</v>
          </cell>
          <cell r="S164">
            <v>15370.925019946697</v>
          </cell>
        </row>
        <row r="165">
          <cell r="E165">
            <v>32.59332960389272</v>
          </cell>
          <cell r="I165">
            <v>35.584381651239006</v>
          </cell>
          <cell r="J165">
            <v>68.177711255131726</v>
          </cell>
          <cell r="N165">
            <v>42.073999999999991</v>
          </cell>
          <cell r="R165">
            <v>41.677183471623529</v>
          </cell>
          <cell r="S165">
            <v>83.75118347162352</v>
          </cell>
        </row>
        <row r="166">
          <cell r="E166">
            <v>32.59332960389272</v>
          </cell>
          <cell r="I166">
            <v>35.584381651239006</v>
          </cell>
          <cell r="J166">
            <v>68.177711255131726</v>
          </cell>
          <cell r="N166">
            <v>42.073999999999991</v>
          </cell>
          <cell r="R166">
            <v>41.677183471623529</v>
          </cell>
          <cell r="S166">
            <v>83.75118347162352</v>
          </cell>
        </row>
        <row r="167">
          <cell r="E167">
            <v>0</v>
          </cell>
          <cell r="I167">
            <v>0</v>
          </cell>
          <cell r="J167">
            <v>0</v>
          </cell>
          <cell r="N167">
            <v>0</v>
          </cell>
          <cell r="R167">
            <v>0</v>
          </cell>
          <cell r="S167">
            <v>0</v>
          </cell>
        </row>
        <row r="168">
          <cell r="E168">
            <v>0</v>
          </cell>
          <cell r="I168">
            <v>0</v>
          </cell>
          <cell r="J168">
            <v>0</v>
          </cell>
          <cell r="N168">
            <v>0</v>
          </cell>
          <cell r="R168">
            <v>0</v>
          </cell>
          <cell r="S168">
            <v>0</v>
          </cell>
        </row>
        <row r="169">
          <cell r="E169">
            <v>95.734023066134</v>
          </cell>
          <cell r="I169">
            <v>210.87047210477903</v>
          </cell>
          <cell r="J169">
            <v>306.60449517091303</v>
          </cell>
          <cell r="N169">
            <v>93.219880200727331</v>
          </cell>
          <cell r="R169">
            <v>204.76844916744946</v>
          </cell>
          <cell r="S169">
            <v>297.98832936817678</v>
          </cell>
        </row>
        <row r="170">
          <cell r="E170">
            <v>91.132105973143993</v>
          </cell>
          <cell r="I170">
            <v>90.233490856688007</v>
          </cell>
          <cell r="J170">
            <v>181.36559682983199</v>
          </cell>
          <cell r="N170">
            <v>88.549280200727324</v>
          </cell>
          <cell r="R170">
            <v>89.758534666089474</v>
          </cell>
          <cell r="S170">
            <v>178.30781486681678</v>
          </cell>
        </row>
        <row r="171">
          <cell r="E171">
            <v>4.6019170929900008</v>
          </cell>
          <cell r="I171">
            <v>110.58129285248501</v>
          </cell>
          <cell r="J171">
            <v>115.18320994547501</v>
          </cell>
          <cell r="N171">
            <v>4.6706000000000003</v>
          </cell>
          <cell r="R171">
            <v>104.28441854495999</v>
          </cell>
          <cell r="S171">
            <v>108.95501854495998</v>
          </cell>
        </row>
        <row r="172">
          <cell r="E172">
            <v>0</v>
          </cell>
          <cell r="I172">
            <v>10.055688395605999</v>
          </cell>
          <cell r="J172">
            <v>10.055688395605999</v>
          </cell>
          <cell r="N172">
            <v>0</v>
          </cell>
          <cell r="R172">
            <v>10.725495956399998</v>
          </cell>
          <cell r="S172">
            <v>10.725495956399998</v>
          </cell>
        </row>
        <row r="173">
          <cell r="E173">
            <v>58.563445428620994</v>
          </cell>
          <cell r="I173">
            <v>58.931624269638995</v>
          </cell>
          <cell r="J173">
            <v>117.49506969825998</v>
          </cell>
          <cell r="N173">
            <v>54.422091460458972</v>
          </cell>
          <cell r="R173">
            <v>51.39675401585999</v>
          </cell>
          <cell r="S173">
            <v>105.81884547631896</v>
          </cell>
        </row>
        <row r="174">
          <cell r="E174">
            <v>49.140087589887003</v>
          </cell>
          <cell r="I174">
            <v>56.974977154656997</v>
          </cell>
          <cell r="J174">
            <v>106.115064744544</v>
          </cell>
          <cell r="N174">
            <v>44.790055263599996</v>
          </cell>
          <cell r="R174">
            <v>49.91707390325999</v>
          </cell>
          <cell r="S174">
            <v>94.707129166859986</v>
          </cell>
        </row>
        <row r="175">
          <cell r="E175">
            <v>1.2497724428399999</v>
          </cell>
          <cell r="I175">
            <v>1.9566471149820002</v>
          </cell>
          <cell r="J175">
            <v>3.2064195578220001</v>
          </cell>
          <cell r="N175">
            <v>1.1555840645589797</v>
          </cell>
          <cell r="R175">
            <v>1.4796801125999999</v>
          </cell>
          <cell r="S175">
            <v>2.6352641771589793</v>
          </cell>
        </row>
        <row r="176">
          <cell r="E176">
            <v>8.1735853958939995</v>
          </cell>
          <cell r="I176">
            <v>0</v>
          </cell>
          <cell r="J176">
            <v>8.1735853958939995</v>
          </cell>
          <cell r="N176">
            <v>8.4764521323000004</v>
          </cell>
          <cell r="R176">
            <v>0</v>
          </cell>
          <cell r="S176">
            <v>8.4764521323000004</v>
          </cell>
        </row>
        <row r="177">
          <cell r="E177">
            <v>18.961777992216</v>
          </cell>
          <cell r="I177">
            <v>2.0234450749000001</v>
          </cell>
          <cell r="J177">
            <v>20.985223067115999</v>
          </cell>
          <cell r="N177">
            <v>18.808665425000001</v>
          </cell>
          <cell r="R177">
            <v>0</v>
          </cell>
          <cell r="S177">
            <v>18.808665425000001</v>
          </cell>
        </row>
        <row r="178">
          <cell r="E178">
            <v>447</v>
          </cell>
          <cell r="I178">
            <v>59</v>
          </cell>
          <cell r="J178">
            <v>506</v>
          </cell>
          <cell r="N178">
            <v>64</v>
          </cell>
          <cell r="R178">
            <v>252</v>
          </cell>
          <cell r="S178">
            <v>316</v>
          </cell>
        </row>
        <row r="179">
          <cell r="E179">
            <v>138.41400000000002</v>
          </cell>
          <cell r="I179">
            <v>198.25150000000002</v>
          </cell>
          <cell r="J179">
            <v>336.66550000000007</v>
          </cell>
          <cell r="N179">
            <v>95.182070526000004</v>
          </cell>
          <cell r="R179">
            <v>181.31592567957478</v>
          </cell>
          <cell r="S179">
            <v>276.49799620557479</v>
          </cell>
        </row>
        <row r="180">
          <cell r="E180">
            <v>1301.6399999999999</v>
          </cell>
          <cell r="I180">
            <v>2318.65</v>
          </cell>
          <cell r="J180">
            <v>3620.29</v>
          </cell>
          <cell r="N180">
            <v>2253</v>
          </cell>
          <cell r="R180">
            <v>2018.52</v>
          </cell>
          <cell r="S180">
            <v>4271.5200000000004</v>
          </cell>
        </row>
        <row r="181">
          <cell r="E181">
            <v>0</v>
          </cell>
          <cell r="I181">
            <v>0</v>
          </cell>
          <cell r="J181">
            <v>0</v>
          </cell>
          <cell r="N181">
            <v>0</v>
          </cell>
          <cell r="R181">
            <v>0</v>
          </cell>
          <cell r="S181">
            <v>0</v>
          </cell>
        </row>
        <row r="182">
          <cell r="E182">
            <v>470.5745855892128</v>
          </cell>
          <cell r="I182">
            <v>152.9922</v>
          </cell>
          <cell r="J182">
            <v>623.56678558921283</v>
          </cell>
          <cell r="N182">
            <v>301.79999999999995</v>
          </cell>
          <cell r="R182">
            <v>9698.7400000000016</v>
          </cell>
          <cell r="S182">
            <v>10000.540000000001</v>
          </cell>
        </row>
        <row r="184">
          <cell r="E184">
            <v>-17151.90214099277</v>
          </cell>
          <cell r="I184">
            <v>8625.0108517090994</v>
          </cell>
          <cell r="J184">
            <v>-8526.891289283667</v>
          </cell>
          <cell r="N184">
            <v>-13297.431597237413</v>
          </cell>
          <cell r="R184">
            <v>-25435.381917300314</v>
          </cell>
          <cell r="S184">
            <v>-38732.813514537724</v>
          </cell>
        </row>
        <row r="186">
          <cell r="E186">
            <v>-6015.7447552821832</v>
          </cell>
          <cell r="I186">
            <v>2609.2660964269162</v>
          </cell>
          <cell r="J186">
            <v>2609.2660964269162</v>
          </cell>
          <cell r="N186">
            <v>-10688.165500810494</v>
          </cell>
          <cell r="R186">
            <v>-36123.547418110807</v>
          </cell>
          <cell r="S186">
            <v>-36123.5474181108</v>
          </cell>
        </row>
        <row r="194">
          <cell r="E194">
            <v>6015.7447552821832</v>
          </cell>
          <cell r="I194">
            <v>-2609.2660964269162</v>
          </cell>
          <cell r="J194">
            <v>-2609.2660964269162</v>
          </cell>
          <cell r="N194">
            <v>10688.165500810494</v>
          </cell>
          <cell r="R194">
            <v>36123.547418110807</v>
          </cell>
          <cell r="S194">
            <v>36123.5474181108</v>
          </cell>
        </row>
        <row r="197">
          <cell r="E197">
            <v>8420.7014238708471</v>
          </cell>
          <cell r="I197">
            <v>6063.9863512436477</v>
          </cell>
          <cell r="J197">
            <v>6063.9869077537151</v>
          </cell>
          <cell r="N197">
            <v>7949.444036734285</v>
          </cell>
          <cell r="R197">
            <v>22562.674562454318</v>
          </cell>
          <cell r="S197">
            <v>22562.674562454311</v>
          </cell>
        </row>
        <row r="198">
          <cell r="E198">
            <v>-2.4730001314310357E-5</v>
          </cell>
          <cell r="I198">
            <v>-2075.5352732679985</v>
          </cell>
          <cell r="J198">
            <v>-2075.5352732679985</v>
          </cell>
        </row>
        <row r="199">
          <cell r="E199">
            <v>8420.7019293899993</v>
          </cell>
          <cell r="I199">
            <v>8252.2635178700002</v>
          </cell>
          <cell r="J199">
            <v>8252.2635178700002</v>
          </cell>
        </row>
        <row r="202">
          <cell r="E202">
            <v>-2404.956668588663</v>
          </cell>
          <cell r="I202">
            <v>-8673.2524476705639</v>
          </cell>
          <cell r="J202">
            <v>-8673.2530041806313</v>
          </cell>
          <cell r="N202">
            <v>2738.721464076209</v>
          </cell>
          <cell r="R202">
            <v>13560.872855656491</v>
          </cell>
          <cell r="S202">
            <v>13560.872855656491</v>
          </cell>
        </row>
        <row r="206">
          <cell r="E206">
            <v>3100.7151836100011</v>
          </cell>
          <cell r="I206">
            <v>3753.0839271300001</v>
          </cell>
          <cell r="J206">
            <v>3753.0839271300001</v>
          </cell>
        </row>
        <row r="209">
          <cell r="I209">
            <v>-2609.2660964269162</v>
          </cell>
          <cell r="J209">
            <v>-2609.2660964269162</v>
          </cell>
        </row>
        <row r="210">
          <cell r="I210">
            <v>0</v>
          </cell>
          <cell r="J210">
            <v>0</v>
          </cell>
        </row>
        <row r="214">
          <cell r="R214">
            <v>-4.0199999999999996</v>
          </cell>
          <cell r="S214">
            <v>-4.0200000000000005</v>
          </cell>
        </row>
        <row r="226">
          <cell r="R226">
            <v>36123.547418110807</v>
          </cell>
        </row>
        <row r="248">
          <cell r="N248" t="e">
            <v>#DIV/0!</v>
          </cell>
          <cell r="R248">
            <v>2918.8430990931165</v>
          </cell>
          <cell r="S248">
            <v>6037.4009257125581</v>
          </cell>
        </row>
        <row r="250">
          <cell r="N250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A666-E78E-4310-BF6C-FC73CE84B101}">
  <sheetPr>
    <tabColor theme="1"/>
  </sheetPr>
  <dimension ref="A1:F22"/>
  <sheetViews>
    <sheetView showGridLines="0" tabSelected="1" zoomScale="110" zoomScaleNormal="110" workbookViewId="0"/>
  </sheetViews>
  <sheetFormatPr baseColWidth="10" defaultColWidth="11.42578125" defaultRowHeight="11.25" x14ac:dyDescent="0.2"/>
  <cols>
    <col min="1" max="1" width="44.140625" style="259" bestFit="1" customWidth="1"/>
    <col min="2" max="16384" width="11.42578125" style="259"/>
  </cols>
  <sheetData>
    <row r="1" spans="1:6" s="310" customFormat="1" ht="15.75" x14ac:dyDescent="0.25">
      <c r="A1" s="78" t="s">
        <v>103</v>
      </c>
      <c r="B1" s="257"/>
      <c r="C1" s="257"/>
      <c r="D1" s="257"/>
      <c r="E1" s="258"/>
      <c r="F1" s="258"/>
    </row>
    <row r="2" spans="1:6" s="310" customFormat="1" x14ac:dyDescent="0.2">
      <c r="A2" s="261" t="s">
        <v>96</v>
      </c>
      <c r="B2" s="257"/>
      <c r="C2" s="257"/>
      <c r="D2" s="257"/>
      <c r="E2" s="258"/>
      <c r="F2" s="258"/>
    </row>
    <row r="3" spans="1:6" s="310" customFormat="1" x14ac:dyDescent="0.2">
      <c r="A3" s="261"/>
      <c r="B3" s="257"/>
      <c r="C3" s="257"/>
      <c r="D3" s="257"/>
      <c r="E3" s="258"/>
      <c r="F3" s="258"/>
    </row>
    <row r="4" spans="1:6" s="312" customFormat="1" ht="24" customHeight="1" x14ac:dyDescent="0.2">
      <c r="A4" s="369"/>
      <c r="B4" s="311" t="s">
        <v>104</v>
      </c>
      <c r="C4" s="311" t="s">
        <v>105</v>
      </c>
      <c r="D4" s="371" t="s">
        <v>106</v>
      </c>
      <c r="E4" s="372"/>
      <c r="F4" s="373"/>
    </row>
    <row r="5" spans="1:6" s="312" customFormat="1" ht="22.5" x14ac:dyDescent="0.2">
      <c r="A5" s="370"/>
      <c r="B5" s="311" t="s">
        <v>107</v>
      </c>
      <c r="C5" s="311" t="s">
        <v>107</v>
      </c>
      <c r="D5" s="311" t="s">
        <v>29</v>
      </c>
      <c r="E5" s="311" t="s">
        <v>28</v>
      </c>
      <c r="F5" s="311" t="s">
        <v>107</v>
      </c>
    </row>
    <row r="6" spans="1:6" ht="17.25" customHeight="1" x14ac:dyDescent="0.2">
      <c r="A6" s="265" t="s">
        <v>110</v>
      </c>
      <c r="B6" s="266">
        <f>+SUM(B7:B8)</f>
        <v>63664.482147988405</v>
      </c>
      <c r="C6" s="266">
        <f t="shared" ref="C6:F6" si="0">+SUM(C7:C8)</f>
        <v>124641.65860792872</v>
      </c>
      <c r="D6" s="266">
        <f t="shared" si="0"/>
        <v>108033.55082866366</v>
      </c>
      <c r="E6" s="266">
        <f t="shared" si="0"/>
        <v>78173.304643109441</v>
      </c>
      <c r="F6" s="266">
        <f t="shared" si="0"/>
        <v>186206.85547177307</v>
      </c>
    </row>
    <row r="7" spans="1:6" ht="17.25" customHeight="1" x14ac:dyDescent="0.2">
      <c r="A7" s="267" t="s">
        <v>108</v>
      </c>
      <c r="B7" s="268">
        <f>+SUM('Perfil de vencimientos'!D8:D12)</f>
        <v>31126.527267433528</v>
      </c>
      <c r="C7" s="268">
        <f>+SUM('Perfil de vencimientos'!D8:D18)</f>
        <v>72540.904425171786</v>
      </c>
      <c r="D7" s="268">
        <f>+'Perfil de vencimientos'!C38</f>
        <v>66316.372170313669</v>
      </c>
      <c r="E7" s="268">
        <f>+'Perfil de vencimientos'!B38</f>
        <v>60068.145450131859</v>
      </c>
      <c r="F7" s="269">
        <f>+SUM(D7:E7)</f>
        <v>126384.51762044552</v>
      </c>
    </row>
    <row r="8" spans="1:6" ht="17.25" customHeight="1" x14ac:dyDescent="0.2">
      <c r="A8" s="270" t="s">
        <v>109</v>
      </c>
      <c r="B8" s="271">
        <f>+SUM('Perfil de vencimientos'!K8:K12)</f>
        <v>32537.954880554877</v>
      </c>
      <c r="C8" s="271">
        <f>+SUM('Perfil de vencimientos'!K8:K18)</f>
        <v>52100.754182756944</v>
      </c>
      <c r="D8" s="271">
        <f>+'Perfil de vencimientos'!F38</f>
        <v>41717.178658349992</v>
      </c>
      <c r="E8" s="271">
        <f>+'Perfil de vencimientos'!E38</f>
        <v>18105.159192977579</v>
      </c>
      <c r="F8" s="272">
        <f>+SUM(D8:E8)</f>
        <v>59822.337851327567</v>
      </c>
    </row>
    <row r="9" spans="1:6" ht="17.25" customHeight="1" x14ac:dyDescent="0.2">
      <c r="A9" s="265" t="s">
        <v>111</v>
      </c>
      <c r="B9" s="266">
        <f>+SUM(B10:B11)</f>
        <v>6116.3088655180909</v>
      </c>
      <c r="C9" s="266">
        <f t="shared" ref="C9:F9" si="1">+SUM(C10:C11)</f>
        <v>74886.141556311399</v>
      </c>
      <c r="D9" s="266">
        <f t="shared" si="1"/>
        <v>110884.67162194384</v>
      </c>
      <c r="E9" s="266">
        <f t="shared" si="1"/>
        <v>35814.175698035346</v>
      </c>
      <c r="F9" s="266">
        <f t="shared" si="1"/>
        <v>146698.84731997916</v>
      </c>
    </row>
    <row r="10" spans="1:6" ht="17.25" customHeight="1" x14ac:dyDescent="0.2">
      <c r="A10" s="267" t="s">
        <v>112</v>
      </c>
      <c r="B10" s="268">
        <f>+SUM('Perfil de vencimientos'!R8:R12)</f>
        <v>3958.613110738771</v>
      </c>
      <c r="C10" s="268">
        <f>+SUM('Perfil de vencimientos'!R8:R18)</f>
        <v>42404.962981458615</v>
      </c>
      <c r="D10" s="268">
        <f>+'Perfil de vencimientos'!Q38</f>
        <v>67866.193825876544</v>
      </c>
      <c r="E10" s="268">
        <f>+'Perfil de vencimientos'!P38</f>
        <v>23797.501546937136</v>
      </c>
      <c r="F10" s="269">
        <f t="shared" ref="F10:F14" si="2">+SUM(D10:E10)</f>
        <v>91663.695372813672</v>
      </c>
    </row>
    <row r="11" spans="1:6" ht="17.25" customHeight="1" x14ac:dyDescent="0.2">
      <c r="A11" s="270" t="s">
        <v>113</v>
      </c>
      <c r="B11" s="271">
        <f>+SUM('Perfil de vencimientos'!U8:U12)</f>
        <v>2157.6957547793199</v>
      </c>
      <c r="C11" s="271">
        <f>+SUM('Perfil de vencimientos'!U8:U18)</f>
        <v>32481.178574852787</v>
      </c>
      <c r="D11" s="271">
        <f>+'Perfil de vencimientos'!T38</f>
        <v>43018.477796067295</v>
      </c>
      <c r="E11" s="271">
        <f>+'Perfil de vencimientos'!S38</f>
        <v>12016.67415109821</v>
      </c>
      <c r="F11" s="272">
        <f t="shared" si="2"/>
        <v>55035.151947165505</v>
      </c>
    </row>
    <row r="12" spans="1:6" ht="18" customHeight="1" x14ac:dyDescent="0.2">
      <c r="A12" s="265" t="s">
        <v>114</v>
      </c>
      <c r="B12" s="266">
        <f>+SUM(B13:B14)</f>
        <v>57548.173282470314</v>
      </c>
      <c r="C12" s="266">
        <f t="shared" ref="C12:F12" si="3">+SUM(C13:C14)</f>
        <v>49755.517051617324</v>
      </c>
      <c r="D12" s="266">
        <f t="shared" si="3"/>
        <v>-2851.1207932801772</v>
      </c>
      <c r="E12" s="266">
        <f t="shared" si="3"/>
        <v>42359.128945074088</v>
      </c>
      <c r="F12" s="266">
        <f t="shared" si="3"/>
        <v>39508.008151793911</v>
      </c>
    </row>
    <row r="13" spans="1:6" ht="18" customHeight="1" x14ac:dyDescent="0.2">
      <c r="A13" s="267" t="s">
        <v>108</v>
      </c>
      <c r="B13" s="268">
        <f t="shared" ref="B13:E14" si="4">+B7-B10</f>
        <v>27167.914156694758</v>
      </c>
      <c r="C13" s="268">
        <f t="shared" si="4"/>
        <v>30135.941443713171</v>
      </c>
      <c r="D13" s="268">
        <f t="shared" si="4"/>
        <v>-1549.8216555628751</v>
      </c>
      <c r="E13" s="268">
        <f t="shared" si="4"/>
        <v>36270.643903194723</v>
      </c>
      <c r="F13" s="269">
        <f t="shared" si="2"/>
        <v>34720.822247631848</v>
      </c>
    </row>
    <row r="14" spans="1:6" ht="18" customHeight="1" x14ac:dyDescent="0.2">
      <c r="A14" s="270" t="s">
        <v>109</v>
      </c>
      <c r="B14" s="271">
        <f t="shared" si="4"/>
        <v>30380.259125775556</v>
      </c>
      <c r="C14" s="271">
        <f t="shared" si="4"/>
        <v>19619.575607904157</v>
      </c>
      <c r="D14" s="271">
        <f t="shared" si="4"/>
        <v>-1301.2991377173021</v>
      </c>
      <c r="E14" s="271">
        <f t="shared" si="4"/>
        <v>6088.4850418793685</v>
      </c>
      <c r="F14" s="272">
        <f t="shared" si="2"/>
        <v>4787.1859041620664</v>
      </c>
    </row>
    <row r="15" spans="1:6" x14ac:dyDescent="0.2">
      <c r="B15" s="262"/>
      <c r="F15" s="260"/>
    </row>
    <row r="16" spans="1:6" x14ac:dyDescent="0.2">
      <c r="A16" s="263"/>
      <c r="B16" s="263"/>
      <c r="C16" s="263"/>
      <c r="D16" s="263"/>
      <c r="E16" s="263"/>
      <c r="F16" s="264"/>
    </row>
    <row r="17" spans="1:6" x14ac:dyDescent="0.2">
      <c r="A17" s="273"/>
      <c r="B17" s="274"/>
      <c r="C17" s="263"/>
      <c r="D17" s="263"/>
      <c r="E17" s="263"/>
      <c r="F17" s="263"/>
    </row>
    <row r="18" spans="1:6" x14ac:dyDescent="0.2">
      <c r="A18" s="274"/>
      <c r="B18" s="275"/>
      <c r="C18" s="275"/>
      <c r="D18" s="263"/>
      <c r="E18" s="263"/>
      <c r="F18" s="263"/>
    </row>
    <row r="19" spans="1:6" x14ac:dyDescent="0.2">
      <c r="A19" s="275"/>
      <c r="B19" s="276"/>
      <c r="C19" s="276"/>
      <c r="D19" s="263"/>
      <c r="E19" s="263"/>
      <c r="F19" s="263"/>
    </row>
    <row r="20" spans="1:6" x14ac:dyDescent="0.2">
      <c r="A20" s="275"/>
      <c r="B20" s="276"/>
      <c r="C20" s="276"/>
      <c r="D20" s="263"/>
      <c r="E20" s="263"/>
      <c r="F20" s="263"/>
    </row>
    <row r="21" spans="1:6" x14ac:dyDescent="0.2">
      <c r="A21" s="263"/>
      <c r="B21" s="263"/>
      <c r="C21" s="263"/>
      <c r="D21" s="263"/>
      <c r="E21" s="263"/>
      <c r="F21" s="263"/>
    </row>
    <row r="22" spans="1:6" x14ac:dyDescent="0.2">
      <c r="A22" s="263"/>
      <c r="B22" s="263"/>
      <c r="C22" s="263"/>
      <c r="D22" s="263"/>
      <c r="E22" s="263"/>
      <c r="F22" s="263"/>
    </row>
  </sheetData>
  <mergeCells count="2">
    <mergeCell ref="A4:A5"/>
    <mergeCell ref="D4:F4"/>
  </mergeCells>
  <pageMargins left="0.7" right="0.7" top="0.75" bottom="0.75" header="0.3" footer="0.3"/>
  <pageSetup orientation="portrait" r:id="rId1"/>
  <ignoredErrors>
    <ignoredError sqref="F9 F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0A0B-E196-426A-B86F-C401A3464929}">
  <sheetPr codeName="Hoja6"/>
  <dimension ref="A1:N46"/>
  <sheetViews>
    <sheetView showGridLines="0" zoomScaleNormal="100" workbookViewId="0"/>
  </sheetViews>
  <sheetFormatPr baseColWidth="10" defaultColWidth="11.42578125" defaultRowHeight="12.75" x14ac:dyDescent="0.2"/>
  <cols>
    <col min="1" max="1" width="11.42578125" style="2"/>
    <col min="2" max="2" width="20.85546875" style="2" bestFit="1" customWidth="1"/>
    <col min="3" max="3" width="13" style="2" customWidth="1"/>
    <col min="4" max="4" width="15" style="2" customWidth="1"/>
    <col min="5" max="11" width="13.85546875" style="2" customWidth="1"/>
    <col min="12" max="13" width="16.42578125" style="2" customWidth="1"/>
    <col min="14" max="14" width="12.42578125" style="2" bestFit="1" customWidth="1"/>
    <col min="15" max="15" width="13.5703125" style="2" bestFit="1" customWidth="1"/>
    <col min="16" max="16384" width="11.42578125" style="2"/>
  </cols>
  <sheetData>
    <row r="1" spans="1:14" s="27" customFormat="1" ht="14.25" customHeight="1" x14ac:dyDescent="0.25">
      <c r="A1" s="15" t="s">
        <v>122</v>
      </c>
      <c r="F1" s="412" t="s">
        <v>160</v>
      </c>
      <c r="G1" s="413"/>
      <c r="H1" s="413"/>
      <c r="I1" s="413"/>
      <c r="J1" s="413"/>
      <c r="K1" s="413"/>
      <c r="L1" s="65"/>
      <c r="M1" s="65"/>
    </row>
    <row r="2" spans="1:14" s="13" customFormat="1" ht="14.25" customHeight="1" x14ac:dyDescent="0.2">
      <c r="A2" s="319"/>
      <c r="E2" s="305" t="s">
        <v>118</v>
      </c>
      <c r="F2" s="293">
        <v>0.97</v>
      </c>
      <c r="G2" s="293">
        <v>0.97</v>
      </c>
      <c r="H2" s="293"/>
      <c r="I2" s="293">
        <v>0.97</v>
      </c>
      <c r="J2" s="293">
        <v>70.814999999999998</v>
      </c>
      <c r="K2" s="293">
        <v>70.814999999999998</v>
      </c>
      <c r="M2" s="28"/>
      <c r="N2" s="30"/>
    </row>
    <row r="3" spans="1:14" s="3" customFormat="1" ht="14.25" customHeight="1" x14ac:dyDescent="0.25">
      <c r="A3" s="49"/>
      <c r="E3" s="305" t="s">
        <v>86</v>
      </c>
      <c r="F3" s="293"/>
      <c r="G3" s="293"/>
      <c r="H3" s="293">
        <v>1</v>
      </c>
      <c r="I3" s="293">
        <v>1</v>
      </c>
      <c r="J3" s="294"/>
      <c r="K3" s="295"/>
      <c r="L3" s="16"/>
      <c r="M3" s="28"/>
      <c r="N3" s="30"/>
    </row>
    <row r="4" spans="1:14" s="16" customFormat="1" ht="14.25" customHeight="1" x14ac:dyDescent="0.25">
      <c r="E4" s="305" t="s">
        <v>91</v>
      </c>
      <c r="F4" s="295"/>
      <c r="G4" s="295"/>
      <c r="H4" s="295"/>
      <c r="I4" s="295"/>
      <c r="J4" s="295">
        <v>70.814999999999998</v>
      </c>
      <c r="K4" s="295"/>
    </row>
    <row r="5" spans="1:14" s="16" customFormat="1" ht="14.25" customHeight="1" x14ac:dyDescent="0.25">
      <c r="E5" s="305" t="s">
        <v>92</v>
      </c>
      <c r="F5" s="295"/>
      <c r="G5" s="295"/>
      <c r="H5" s="295"/>
      <c r="I5" s="295"/>
      <c r="J5" s="295">
        <v>70.814999999999998</v>
      </c>
      <c r="K5" s="295"/>
    </row>
    <row r="6" spans="1:14" s="16" customFormat="1" ht="12.75" customHeight="1" x14ac:dyDescent="0.25"/>
    <row r="7" spans="1:14" s="16" customFormat="1" ht="22.5" customHeight="1" x14ac:dyDescent="0.25">
      <c r="E7" s="414" t="s">
        <v>158</v>
      </c>
      <c r="F7" s="415"/>
      <c r="G7" s="415"/>
      <c r="H7" s="415"/>
      <c r="I7" s="416"/>
      <c r="J7" s="417" t="s">
        <v>157</v>
      </c>
      <c r="K7" s="418"/>
    </row>
    <row r="8" spans="1:14" s="16" customFormat="1" ht="39" customHeight="1" x14ac:dyDescent="0.25">
      <c r="A8" s="211" t="s">
        <v>9</v>
      </c>
      <c r="B8" s="211" t="s">
        <v>159</v>
      </c>
      <c r="C8" s="315" t="s">
        <v>154</v>
      </c>
      <c r="D8" s="315" t="s">
        <v>155</v>
      </c>
      <c r="E8" s="333" t="s">
        <v>45</v>
      </c>
      <c r="F8" s="333" t="s">
        <v>39</v>
      </c>
      <c r="G8" s="333" t="s">
        <v>40</v>
      </c>
      <c r="H8" s="333" t="s">
        <v>41</v>
      </c>
      <c r="I8" s="334" t="s">
        <v>42</v>
      </c>
      <c r="J8" s="335" t="s">
        <v>43</v>
      </c>
      <c r="K8" s="335" t="s">
        <v>44</v>
      </c>
    </row>
    <row r="9" spans="1:14" s="13" customFormat="1" x14ac:dyDescent="0.2">
      <c r="A9" s="31" t="s">
        <v>10</v>
      </c>
      <c r="B9" s="32" t="s">
        <v>46</v>
      </c>
      <c r="C9" s="33">
        <v>105.70243645000004</v>
      </c>
      <c r="D9" s="34"/>
      <c r="E9" s="34"/>
      <c r="F9" s="35">
        <f t="shared" ref="F9:F25" si="0">+C9*F$2</f>
        <v>102.53136335650004</v>
      </c>
      <c r="G9" s="46"/>
      <c r="H9" s="133"/>
      <c r="I9" s="46"/>
      <c r="J9" s="35"/>
      <c r="K9" s="36"/>
      <c r="L9" s="16"/>
      <c r="M9" s="16"/>
    </row>
    <row r="10" spans="1:14" s="13" customFormat="1" x14ac:dyDescent="0.2">
      <c r="A10" s="37" t="s">
        <v>10</v>
      </c>
      <c r="B10" s="38" t="s">
        <v>47</v>
      </c>
      <c r="C10" s="39">
        <v>148.28371760000005</v>
      </c>
      <c r="D10" s="22"/>
      <c r="E10" s="22"/>
      <c r="F10" s="40">
        <f t="shared" si="0"/>
        <v>143.83520607200003</v>
      </c>
      <c r="G10" s="47"/>
      <c r="H10" s="126"/>
      <c r="I10" s="47"/>
      <c r="J10" s="40"/>
      <c r="K10" s="41"/>
      <c r="L10" s="16"/>
      <c r="M10" s="16"/>
    </row>
    <row r="11" spans="1:14" s="13" customFormat="1" x14ac:dyDescent="0.2">
      <c r="A11" s="37" t="s">
        <v>10</v>
      </c>
      <c r="B11" s="38" t="s">
        <v>48</v>
      </c>
      <c r="C11" s="39">
        <v>501.26266979999991</v>
      </c>
      <c r="D11" s="22"/>
      <c r="E11" s="22"/>
      <c r="F11" s="40">
        <f t="shared" si="0"/>
        <v>486.22478970599991</v>
      </c>
      <c r="G11" s="47"/>
      <c r="H11" s="126"/>
      <c r="I11" s="47"/>
      <c r="J11" s="40"/>
      <c r="K11" s="41"/>
      <c r="L11" s="16"/>
      <c r="M11" s="16"/>
    </row>
    <row r="12" spans="1:14" s="13" customFormat="1" x14ac:dyDescent="0.2">
      <c r="A12" s="37" t="s">
        <v>10</v>
      </c>
      <c r="B12" s="38" t="s">
        <v>49</v>
      </c>
      <c r="C12" s="39">
        <v>303.57470669999998</v>
      </c>
      <c r="D12" s="22"/>
      <c r="E12" s="22"/>
      <c r="F12" s="40">
        <f t="shared" si="0"/>
        <v>294.46746549899996</v>
      </c>
      <c r="G12" s="47"/>
      <c r="H12" s="126"/>
      <c r="I12" s="47"/>
      <c r="J12" s="40"/>
      <c r="K12" s="41"/>
      <c r="L12" s="16"/>
      <c r="M12" s="16"/>
    </row>
    <row r="13" spans="1:14" s="13" customFormat="1" x14ac:dyDescent="0.2">
      <c r="A13" s="37" t="s">
        <v>10</v>
      </c>
      <c r="B13" s="38" t="s">
        <v>50</v>
      </c>
      <c r="C13" s="39">
        <v>236.48884824999996</v>
      </c>
      <c r="D13" s="22"/>
      <c r="E13" s="22"/>
      <c r="F13" s="40">
        <f t="shared" si="0"/>
        <v>229.39418280249996</v>
      </c>
      <c r="G13" s="47"/>
      <c r="H13" s="126"/>
      <c r="I13" s="47"/>
      <c r="J13" s="40"/>
      <c r="K13" s="41"/>
      <c r="L13" s="16"/>
      <c r="M13" s="16"/>
    </row>
    <row r="14" spans="1:14" s="13" customFormat="1" x14ac:dyDescent="0.2">
      <c r="A14" s="37" t="s">
        <v>10</v>
      </c>
      <c r="B14" s="38" t="s">
        <v>51</v>
      </c>
      <c r="C14" s="39">
        <v>374.09587810000005</v>
      </c>
      <c r="D14" s="22"/>
      <c r="E14" s="22"/>
      <c r="F14" s="40">
        <f t="shared" si="0"/>
        <v>362.87300175700005</v>
      </c>
      <c r="G14" s="47"/>
      <c r="H14" s="126"/>
      <c r="I14" s="47"/>
      <c r="J14" s="40"/>
      <c r="K14" s="41"/>
      <c r="L14" s="16"/>
      <c r="M14" s="16"/>
    </row>
    <row r="15" spans="1:14" s="13" customFormat="1" x14ac:dyDescent="0.2">
      <c r="A15" s="37" t="s">
        <v>10</v>
      </c>
      <c r="B15" s="38" t="s">
        <v>52</v>
      </c>
      <c r="C15" s="39">
        <v>294.7779136499999</v>
      </c>
      <c r="D15" s="22"/>
      <c r="E15" s="22"/>
      <c r="F15" s="40">
        <f t="shared" si="0"/>
        <v>285.93457624049989</v>
      </c>
      <c r="G15" s="47"/>
      <c r="H15" s="126"/>
      <c r="I15" s="47"/>
      <c r="J15" s="40"/>
      <c r="K15" s="41"/>
      <c r="L15" s="16"/>
      <c r="M15" s="16"/>
    </row>
    <row r="16" spans="1:14" s="13" customFormat="1" x14ac:dyDescent="0.2">
      <c r="A16" s="37" t="s">
        <v>10</v>
      </c>
      <c r="B16" s="38" t="s">
        <v>53</v>
      </c>
      <c r="C16" s="39">
        <v>145.06805600000001</v>
      </c>
      <c r="D16" s="22"/>
      <c r="E16" s="22"/>
      <c r="F16" s="40">
        <f t="shared" si="0"/>
        <v>140.71601432</v>
      </c>
      <c r="G16" s="47"/>
      <c r="H16" s="126"/>
      <c r="I16" s="47"/>
      <c r="J16" s="40"/>
      <c r="K16" s="41"/>
      <c r="L16" s="16"/>
      <c r="M16" s="16"/>
    </row>
    <row r="17" spans="1:13" s="13" customFormat="1" x14ac:dyDescent="0.2">
      <c r="A17" s="37" t="s">
        <v>10</v>
      </c>
      <c r="B17" s="38" t="s">
        <v>54</v>
      </c>
      <c r="C17" s="39">
        <v>107.81312000000003</v>
      </c>
      <c r="D17" s="22"/>
      <c r="E17" s="22"/>
      <c r="F17" s="40">
        <f t="shared" si="0"/>
        <v>104.57872640000002</v>
      </c>
      <c r="G17" s="47"/>
      <c r="H17" s="126"/>
      <c r="I17" s="47"/>
      <c r="J17" s="40"/>
      <c r="K17" s="41"/>
      <c r="L17" s="16"/>
      <c r="M17" s="16"/>
    </row>
    <row r="18" spans="1:13" s="13" customFormat="1" x14ac:dyDescent="0.2">
      <c r="A18" s="37" t="s">
        <v>10</v>
      </c>
      <c r="B18" s="38" t="s">
        <v>55</v>
      </c>
      <c r="C18" s="39">
        <v>208.27296100000007</v>
      </c>
      <c r="D18" s="22"/>
      <c r="E18" s="22"/>
      <c r="F18" s="40">
        <f t="shared" si="0"/>
        <v>202.02477217000006</v>
      </c>
      <c r="G18" s="47"/>
      <c r="H18" s="126"/>
      <c r="I18" s="47"/>
      <c r="J18" s="40"/>
      <c r="K18" s="41"/>
      <c r="L18" s="16"/>
      <c r="M18" s="16"/>
    </row>
    <row r="19" spans="1:13" s="13" customFormat="1" x14ac:dyDescent="0.2">
      <c r="A19" s="37" t="s">
        <v>10</v>
      </c>
      <c r="B19" s="38" t="s">
        <v>56</v>
      </c>
      <c r="C19" s="48">
        <v>18.804008</v>
      </c>
      <c r="D19" s="21"/>
      <c r="E19" s="21"/>
      <c r="F19" s="40">
        <f t="shared" si="0"/>
        <v>18.239887759999998</v>
      </c>
      <c r="G19" s="47"/>
      <c r="H19" s="126"/>
      <c r="I19" s="47"/>
      <c r="J19" s="40"/>
      <c r="K19" s="41"/>
      <c r="L19" s="16"/>
      <c r="M19" s="16"/>
    </row>
    <row r="20" spans="1:13" s="13" customFormat="1" x14ac:dyDescent="0.2">
      <c r="A20" s="42" t="s">
        <v>10</v>
      </c>
      <c r="B20" s="43" t="s">
        <v>57</v>
      </c>
      <c r="C20" s="44">
        <v>282.16980100000001</v>
      </c>
      <c r="D20" s="45"/>
      <c r="E20" s="45"/>
      <c r="F20" s="123">
        <f t="shared" si="0"/>
        <v>273.70470697000002</v>
      </c>
      <c r="G20" s="124"/>
      <c r="H20" s="130"/>
      <c r="I20" s="124"/>
      <c r="J20" s="123"/>
      <c r="K20" s="127"/>
      <c r="L20" s="16"/>
      <c r="M20" s="16"/>
    </row>
    <row r="21" spans="1:13" s="13" customFormat="1" x14ac:dyDescent="0.2">
      <c r="A21" s="31" t="s">
        <v>10</v>
      </c>
      <c r="B21" s="32" t="s">
        <v>61</v>
      </c>
      <c r="C21" s="33">
        <v>2947.5606670000002</v>
      </c>
      <c r="D21" s="34">
        <f>+VLOOKUP(B21,'Intereses corridos'!$A$6:$E$34,5,FALSE)/100*VLOOKUP(B21,'Intereses corridos'!A6:B34,2,FALSE)</f>
        <v>213.53439498711114</v>
      </c>
      <c r="E21" s="34">
        <f>D21</f>
        <v>213.53439498711114</v>
      </c>
      <c r="F21" s="35">
        <f t="shared" si="0"/>
        <v>2859.1338469900002</v>
      </c>
      <c r="G21" s="46"/>
      <c r="H21" s="133"/>
      <c r="I21" s="46"/>
      <c r="J21" s="35"/>
      <c r="K21" s="36"/>
      <c r="L21" s="16"/>
      <c r="M21" s="16"/>
    </row>
    <row r="22" spans="1:13" s="13" customFormat="1" x14ac:dyDescent="0.2">
      <c r="A22" s="37" t="s">
        <v>10</v>
      </c>
      <c r="B22" s="38" t="s">
        <v>60</v>
      </c>
      <c r="C22" s="39">
        <v>2120.2848490000001</v>
      </c>
      <c r="D22" s="22">
        <f>+VLOOKUP(B22,'Intereses corridos'!$A$6:$E$34,5,FALSE)/100*VLOOKUP(B22,'Intereses corridos'!A7:B34,2,FALSE)</f>
        <v>129.57296299444445</v>
      </c>
      <c r="E22" s="22">
        <f t="shared" ref="E22:E33" si="1">D22</f>
        <v>129.57296299444445</v>
      </c>
      <c r="F22" s="40">
        <f t="shared" si="0"/>
        <v>2056.67630353</v>
      </c>
      <c r="G22" s="336"/>
      <c r="H22" s="216"/>
      <c r="I22" s="336"/>
      <c r="J22" s="40"/>
      <c r="K22" s="41"/>
      <c r="L22" s="16"/>
      <c r="M22" s="16"/>
    </row>
    <row r="23" spans="1:13" s="13" customFormat="1" x14ac:dyDescent="0.2">
      <c r="A23" s="37" t="s">
        <v>10</v>
      </c>
      <c r="B23" s="38" t="s">
        <v>63</v>
      </c>
      <c r="C23" s="39">
        <v>4497.7534109999997</v>
      </c>
      <c r="D23" s="22">
        <f>+VLOOKUP(B23,'Intereses corridos'!$A$6:$E$34,5,FALSE)/100*VLOOKUP(B23,'Intereses corridos'!A8:B35,2,FALSE)</f>
        <v>236.25699167224994</v>
      </c>
      <c r="E23" s="22">
        <f t="shared" si="1"/>
        <v>236.25699167224994</v>
      </c>
      <c r="F23" s="40">
        <f t="shared" si="0"/>
        <v>4362.8208086699997</v>
      </c>
      <c r="G23" s="336"/>
      <c r="H23" s="216"/>
      <c r="I23" s="336"/>
      <c r="J23" s="40"/>
      <c r="K23" s="41"/>
      <c r="L23" s="16"/>
      <c r="M23" s="16"/>
    </row>
    <row r="24" spans="1:13" s="13" customFormat="1" x14ac:dyDescent="0.2">
      <c r="A24" s="37" t="s">
        <v>10</v>
      </c>
      <c r="B24" s="205" t="s">
        <v>64</v>
      </c>
      <c r="C24" s="39">
        <v>694.68719399999998</v>
      </c>
      <c r="D24" s="22">
        <f>+VLOOKUP(B24,'Intereses corridos'!$A$6:$E$34,5,FALSE)/100*VLOOKUP(B24,'Intereses corridos'!A9:B36,2,FALSE)</f>
        <v>4.0330450985000006</v>
      </c>
      <c r="E24" s="22">
        <f t="shared" si="1"/>
        <v>4.0330450985000006</v>
      </c>
      <c r="F24" s="40">
        <f t="shared" si="0"/>
        <v>673.84657817999994</v>
      </c>
      <c r="G24" s="336"/>
      <c r="H24" s="216"/>
      <c r="I24" s="336"/>
      <c r="J24" s="40"/>
      <c r="K24" s="41"/>
      <c r="L24" s="16"/>
      <c r="M24" s="16"/>
    </row>
    <row r="25" spans="1:13" s="13" customFormat="1" x14ac:dyDescent="0.2">
      <c r="A25" s="37" t="s">
        <v>10</v>
      </c>
      <c r="B25" s="38" t="s">
        <v>65</v>
      </c>
      <c r="C25" s="39">
        <v>6634.2127845699997</v>
      </c>
      <c r="D25" s="22">
        <f>+VLOOKUP(B25,'Intereses corridos'!$A$6:$E$34,5,FALSE)/100*VLOOKUP(B25,'Intereses corridos'!A10:B37,2,FALSE)</f>
        <v>478.90723538614679</v>
      </c>
      <c r="E25" s="22">
        <f t="shared" si="1"/>
        <v>478.90723538614679</v>
      </c>
      <c r="F25" s="40">
        <f t="shared" si="0"/>
        <v>6435.1864010329</v>
      </c>
      <c r="G25" s="336"/>
      <c r="H25" s="216"/>
      <c r="I25" s="336"/>
      <c r="J25" s="40"/>
      <c r="K25" s="41"/>
      <c r="L25" s="16"/>
      <c r="M25" s="16"/>
    </row>
    <row r="26" spans="1:13" s="13" customFormat="1" x14ac:dyDescent="0.2">
      <c r="A26" s="37" t="s">
        <v>10</v>
      </c>
      <c r="B26" s="38" t="s">
        <v>66</v>
      </c>
      <c r="C26" s="39">
        <v>4510.4625749999996</v>
      </c>
      <c r="D26" s="22">
        <f>+VLOOKUP(B26,'Intereses corridos'!$A$6:$E$34,5,FALSE)/100*VLOOKUP(B26,'Intereses corridos'!A11:B38,2,FALSE)</f>
        <v>240.74593994062499</v>
      </c>
      <c r="E26" s="22">
        <f t="shared" si="1"/>
        <v>240.74593994062499</v>
      </c>
      <c r="F26" s="128"/>
      <c r="G26" s="336">
        <f>+C26*G$2</f>
        <v>4375.1486977499999</v>
      </c>
      <c r="H26" s="216"/>
      <c r="I26" s="336"/>
      <c r="J26" s="128"/>
      <c r="K26" s="125"/>
      <c r="L26" s="16"/>
      <c r="M26" s="16"/>
    </row>
    <row r="27" spans="1:13" s="13" customFormat="1" x14ac:dyDescent="0.2">
      <c r="A27" s="37" t="s">
        <v>10</v>
      </c>
      <c r="B27" s="38" t="s">
        <v>67</v>
      </c>
      <c r="C27" s="39">
        <v>1535.8139940000001</v>
      </c>
      <c r="D27" s="22">
        <f>+VLOOKUP(B27,'Intereses corridos'!$A$6:$E$34,5,FALSE)/100*VLOOKUP(B27,'Intereses corridos'!A12:B39,2,FALSE)</f>
        <v>77.515945197166673</v>
      </c>
      <c r="E27" s="22">
        <f t="shared" si="1"/>
        <v>77.515945197166673</v>
      </c>
      <c r="F27" s="128"/>
      <c r="G27" s="336">
        <f>+C27*G$2</f>
        <v>1489.7395741800001</v>
      </c>
      <c r="H27" s="216"/>
      <c r="I27" s="336"/>
      <c r="J27" s="128"/>
      <c r="K27" s="125"/>
      <c r="L27" s="16"/>
      <c r="M27" s="16"/>
    </row>
    <row r="28" spans="1:13" s="13" customFormat="1" x14ac:dyDescent="0.2">
      <c r="A28" s="37" t="s">
        <v>10</v>
      </c>
      <c r="B28" s="38" t="s">
        <v>68</v>
      </c>
      <c r="C28" s="39">
        <v>4690.4995630000003</v>
      </c>
      <c r="D28" s="22">
        <f>+VLOOKUP(B28,'Intereses corridos'!$A$6:$E$34,5,FALSE)/100*VLOOKUP(B28,'Intereses corridos'!A13:B40,2,FALSE)</f>
        <v>250.35541417512505</v>
      </c>
      <c r="E28" s="22">
        <f t="shared" si="1"/>
        <v>250.35541417512505</v>
      </c>
      <c r="F28" s="128"/>
      <c r="G28" s="336">
        <f>+C28*G$2</f>
        <v>4549.7845761099998</v>
      </c>
      <c r="H28" s="216"/>
      <c r="I28" s="336"/>
      <c r="J28" s="128"/>
      <c r="K28" s="125"/>
      <c r="L28" s="16"/>
      <c r="M28" s="16"/>
    </row>
    <row r="29" spans="1:13" s="13" customFormat="1" x14ac:dyDescent="0.2">
      <c r="A29" s="42" t="s">
        <v>10</v>
      </c>
      <c r="B29" s="43" t="s">
        <v>69</v>
      </c>
      <c r="C29" s="44">
        <v>2720.7815150000001</v>
      </c>
      <c r="D29" s="45">
        <f>+VLOOKUP(B29,'Intereses corridos'!$A$6:$E$34,5,FALSE)/100*VLOOKUP(B29,'Intereses corridos'!A14:B41,2,FALSE)</f>
        <v>182.1034183442361</v>
      </c>
      <c r="E29" s="45">
        <f t="shared" si="1"/>
        <v>182.1034183442361</v>
      </c>
      <c r="F29" s="129"/>
      <c r="G29" s="124">
        <f>+C29*G$2</f>
        <v>2639.1580695500002</v>
      </c>
      <c r="H29" s="130"/>
      <c r="I29" s="124"/>
      <c r="J29" s="129"/>
      <c r="K29" s="131"/>
      <c r="L29" s="16"/>
      <c r="M29" s="16"/>
    </row>
    <row r="30" spans="1:13" s="13" customFormat="1" x14ac:dyDescent="0.2">
      <c r="A30" s="37" t="s">
        <v>10</v>
      </c>
      <c r="B30" s="38" t="s">
        <v>70</v>
      </c>
      <c r="C30" s="39">
        <v>7069.4110490100002</v>
      </c>
      <c r="D30" s="22">
        <f>+VLOOKUP(B30,'Intereses corridos'!$A$6:$E$34,5,FALSE)/100*VLOOKUP(B30,'Intereses corridos'!A15:B42,2,FALSE)</f>
        <v>396.7353480704412</v>
      </c>
      <c r="E30" s="22">
        <f t="shared" si="1"/>
        <v>396.7353480704412</v>
      </c>
      <c r="F30" s="128"/>
      <c r="G30" s="126"/>
      <c r="H30" s="47">
        <f>+C30*H$3</f>
        <v>7069.4110490100002</v>
      </c>
      <c r="I30" s="47"/>
      <c r="J30" s="128"/>
      <c r="K30" s="125"/>
      <c r="L30" s="16"/>
      <c r="M30" s="16"/>
    </row>
    <row r="31" spans="1:13" s="13" customFormat="1" x14ac:dyDescent="0.2">
      <c r="A31" s="37" t="s">
        <v>10</v>
      </c>
      <c r="B31" s="38" t="s">
        <v>71</v>
      </c>
      <c r="C31" s="39">
        <v>184.33416581999998</v>
      </c>
      <c r="D31" s="22">
        <f>+VLOOKUP(B31,'Intereses corridos'!$A$6:$E$34,5,FALSE)/100*VLOOKUP(B31,'Intereses corridos'!A16:B43,2,FALSE)</f>
        <v>10.344833385818399</v>
      </c>
      <c r="E31" s="22">
        <f t="shared" si="1"/>
        <v>10.344833385818399</v>
      </c>
      <c r="F31" s="128"/>
      <c r="G31" s="126"/>
      <c r="H31" s="47">
        <f>+C31*H$3</f>
        <v>184.33416581999998</v>
      </c>
      <c r="I31" s="47"/>
      <c r="J31" s="128"/>
      <c r="K31" s="125"/>
      <c r="L31" s="16"/>
      <c r="M31" s="16"/>
    </row>
    <row r="32" spans="1:13" s="13" customFormat="1" x14ac:dyDescent="0.2">
      <c r="A32" s="37" t="s">
        <v>10</v>
      </c>
      <c r="B32" s="38" t="s">
        <v>72</v>
      </c>
      <c r="C32" s="39">
        <v>1229.562842</v>
      </c>
      <c r="D32" s="22">
        <f>+VLOOKUP(B32,'Intereses corridos'!$A$6:$E$34,5,FALSE)/100*VLOOKUP(B32,'Intereses corridos'!A17:B44,2,FALSE)</f>
        <v>19.724237257083335</v>
      </c>
      <c r="E32" s="22">
        <f t="shared" si="1"/>
        <v>19.724237257083335</v>
      </c>
      <c r="F32" s="128"/>
      <c r="G32" s="126"/>
      <c r="H32" s="126"/>
      <c r="I32" s="47">
        <f>+C32*I$3</f>
        <v>1229.562842</v>
      </c>
      <c r="J32" s="128"/>
      <c r="K32" s="125"/>
      <c r="L32" s="16"/>
      <c r="M32" s="16"/>
    </row>
    <row r="33" spans="1:13" s="13" customFormat="1" x14ac:dyDescent="0.2">
      <c r="A33" s="42" t="s">
        <v>10</v>
      </c>
      <c r="B33" s="43" t="s">
        <v>73</v>
      </c>
      <c r="C33" s="44">
        <v>71.439701999999997</v>
      </c>
      <c r="D33" s="45">
        <f>+VLOOKUP(B33,'Intereses corridos'!$A$6:$E$34,5,FALSE)/100*VLOOKUP(B33,'Intereses corridos'!A18:B45,2,FALSE)</f>
        <v>1.1460118862499999</v>
      </c>
      <c r="E33" s="45">
        <f t="shared" si="1"/>
        <v>1.1460118862499999</v>
      </c>
      <c r="F33" s="129"/>
      <c r="G33" s="130"/>
      <c r="H33" s="130"/>
      <c r="I33" s="124">
        <f>+C33*I$3</f>
        <v>71.439701999999997</v>
      </c>
      <c r="J33" s="129"/>
      <c r="K33" s="131"/>
      <c r="L33" s="16"/>
      <c r="M33" s="16"/>
    </row>
    <row r="34" spans="1:13" s="13" customFormat="1" x14ac:dyDescent="0.2">
      <c r="A34" s="37" t="s">
        <v>74</v>
      </c>
      <c r="B34" s="38" t="s">
        <v>85</v>
      </c>
      <c r="C34" s="39">
        <v>0.60119460000000224</v>
      </c>
      <c r="D34" s="22"/>
      <c r="E34" s="22"/>
      <c r="F34" s="128"/>
      <c r="G34" s="126"/>
      <c r="H34" s="126"/>
      <c r="I34" s="126"/>
      <c r="J34" s="40">
        <f>+C34*J$4</f>
        <v>42.573595599000157</v>
      </c>
      <c r="K34" s="125"/>
      <c r="L34" s="16"/>
      <c r="M34" s="16"/>
    </row>
    <row r="35" spans="1:13" s="13" customFormat="1" x14ac:dyDescent="0.2">
      <c r="A35" s="42" t="s">
        <v>74</v>
      </c>
      <c r="B35" s="43" t="s">
        <v>58</v>
      </c>
      <c r="C35" s="44">
        <v>1.7632638000000156</v>
      </c>
      <c r="D35" s="45"/>
      <c r="E35" s="45"/>
      <c r="F35" s="129"/>
      <c r="G35" s="130"/>
      <c r="H35" s="130"/>
      <c r="I35" s="130"/>
      <c r="J35" s="123">
        <f>+C35*J$4</f>
        <v>124.8655259970011</v>
      </c>
      <c r="K35" s="131"/>
      <c r="L35" s="16"/>
      <c r="M35" s="16"/>
    </row>
    <row r="36" spans="1:13" s="13" customFormat="1" x14ac:dyDescent="0.2">
      <c r="A36" s="37" t="s">
        <v>74</v>
      </c>
      <c r="B36" s="38" t="s">
        <v>59</v>
      </c>
      <c r="C36" s="39">
        <v>73.248783000000003</v>
      </c>
      <c r="D36" s="22"/>
      <c r="E36" s="22"/>
      <c r="F36" s="128"/>
      <c r="G36" s="126"/>
      <c r="H36" s="126"/>
      <c r="I36" s="126"/>
      <c r="J36" s="40">
        <f>+C36*J$5</f>
        <v>5187.1125681450003</v>
      </c>
      <c r="K36" s="125"/>
      <c r="L36" s="16"/>
      <c r="M36" s="16"/>
    </row>
    <row r="37" spans="1:13" s="13" customFormat="1" x14ac:dyDescent="0.2">
      <c r="A37" s="42" t="s">
        <v>74</v>
      </c>
      <c r="B37" s="43" t="s">
        <v>62</v>
      </c>
      <c r="C37" s="44">
        <v>8.4001859999999997</v>
      </c>
      <c r="D37" s="45">
        <f>+VLOOKUP(B37,'Intereses corridos'!$A$6:$E$34,5,FALSE)/100*VLOOKUP(B37,'Intereses corridos'!A22:B49,2,FALSE)</f>
        <v>0.195070986</v>
      </c>
      <c r="E37" s="45"/>
      <c r="F37" s="129"/>
      <c r="G37" s="130"/>
      <c r="H37" s="130"/>
      <c r="I37" s="130"/>
      <c r="J37" s="123">
        <f>+(C37+D37)*J$5</f>
        <v>608.67312346358995</v>
      </c>
      <c r="K37" s="131"/>
      <c r="L37" s="16"/>
      <c r="M37" s="16"/>
    </row>
    <row r="38" spans="1:13" s="16" customFormat="1" ht="18" customHeight="1" x14ac:dyDescent="0.25">
      <c r="A38" s="410" t="s">
        <v>27</v>
      </c>
      <c r="B38" s="411"/>
      <c r="C38" s="17">
        <f>+SUM(C9:C37)</f>
        <v>41717.13185535001</v>
      </c>
      <c r="D38" s="17"/>
      <c r="E38" s="17">
        <f t="shared" ref="E38:K38" si="2">+SUM(E9:E37)</f>
        <v>2240.9757783951982</v>
      </c>
      <c r="F38" s="18">
        <f t="shared" si="2"/>
        <v>19032.1886314564</v>
      </c>
      <c r="G38" s="18">
        <f t="shared" si="2"/>
        <v>13053.830917589999</v>
      </c>
      <c r="H38" s="18">
        <f t="shared" si="2"/>
        <v>7253.7452148299999</v>
      </c>
      <c r="I38" s="18">
        <f t="shared" si="2"/>
        <v>1301.0025439999999</v>
      </c>
      <c r="J38" s="18">
        <f t="shared" si="2"/>
        <v>5963.2248132045916</v>
      </c>
      <c r="K38" s="18">
        <f t="shared" si="2"/>
        <v>0</v>
      </c>
    </row>
    <row r="39" spans="1:13" s="16" customFormat="1" ht="18" customHeight="1" x14ac:dyDescent="0.25">
      <c r="A39" s="407" t="s">
        <v>156</v>
      </c>
      <c r="B39" s="408"/>
      <c r="C39" s="409"/>
      <c r="D39" s="19"/>
      <c r="E39" s="114"/>
      <c r="F39" s="20">
        <v>22609</v>
      </c>
      <c r="G39" s="20">
        <v>35663</v>
      </c>
      <c r="H39" s="20">
        <v>7254</v>
      </c>
      <c r="I39" s="20">
        <v>44217</v>
      </c>
      <c r="J39" s="20">
        <v>578975</v>
      </c>
      <c r="K39" s="20">
        <v>1727129</v>
      </c>
    </row>
    <row r="40" spans="1:13" x14ac:dyDescent="0.2">
      <c r="A40" s="49" t="s">
        <v>125</v>
      </c>
      <c r="C40" s="4"/>
      <c r="D40" s="4"/>
      <c r="E40" s="4"/>
      <c r="F40" s="5"/>
      <c r="H40" s="5"/>
      <c r="I40" s="5"/>
      <c r="J40" s="5"/>
      <c r="K40" s="9"/>
      <c r="L40" s="16"/>
      <c r="M40" s="16"/>
    </row>
    <row r="41" spans="1:13" s="4" customFormat="1" x14ac:dyDescent="0.2">
      <c r="A41" s="218"/>
      <c r="B41" s="218"/>
      <c r="C41" s="218"/>
      <c r="D41" s="218"/>
      <c r="E41" s="218"/>
      <c r="F41" s="5"/>
      <c r="G41" s="5"/>
      <c r="H41" s="5"/>
      <c r="I41" s="5"/>
      <c r="J41" s="5"/>
      <c r="K41" s="5"/>
      <c r="L41" s="16"/>
      <c r="M41" s="16"/>
    </row>
    <row r="42" spans="1:13" x14ac:dyDescent="0.2">
      <c r="A42" s="219"/>
      <c r="B42" s="219"/>
      <c r="C42" s="219"/>
      <c r="D42" s="219"/>
      <c r="E42" s="219"/>
    </row>
    <row r="43" spans="1:13" x14ac:dyDescent="0.2">
      <c r="A43" s="219"/>
      <c r="B43" s="219"/>
      <c r="C43" s="219"/>
      <c r="D43" s="219"/>
      <c r="E43" s="219"/>
      <c r="G43" s="9"/>
    </row>
    <row r="44" spans="1:13" x14ac:dyDescent="0.2">
      <c r="A44" s="219"/>
      <c r="B44" s="219"/>
      <c r="C44" s="219"/>
      <c r="D44" s="219"/>
      <c r="E44" s="219"/>
      <c r="G44" s="10"/>
    </row>
    <row r="45" spans="1:13" x14ac:dyDescent="0.2">
      <c r="A45" s="219"/>
      <c r="B45" s="219"/>
      <c r="C45" s="219"/>
      <c r="D45" s="219"/>
      <c r="E45" s="219"/>
    </row>
    <row r="46" spans="1:13" x14ac:dyDescent="0.2">
      <c r="A46" s="219"/>
      <c r="B46" s="219"/>
      <c r="C46" s="219"/>
      <c r="D46" s="219"/>
      <c r="E46" s="219"/>
    </row>
  </sheetData>
  <mergeCells count="5">
    <mergeCell ref="A39:C39"/>
    <mergeCell ref="A38:B38"/>
    <mergeCell ref="F1:K1"/>
    <mergeCell ref="E7:I7"/>
    <mergeCell ref="J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5752-16E4-44D1-8CBB-35E45E670023}">
  <sheetPr>
    <tabColor theme="1"/>
  </sheetPr>
  <dimension ref="A1:S42"/>
  <sheetViews>
    <sheetView showGridLines="0" zoomScaleNormal="100" workbookViewId="0"/>
  </sheetViews>
  <sheetFormatPr baseColWidth="10" defaultColWidth="11.42578125" defaultRowHeight="12.75" x14ac:dyDescent="0.2"/>
  <cols>
    <col min="1" max="1" width="22.5703125" style="2" customWidth="1"/>
    <col min="2" max="2" width="13.85546875" style="24" customWidth="1"/>
    <col min="3" max="4" width="13.85546875" style="2" customWidth="1"/>
    <col min="5" max="5" width="11.5703125" style="2" customWidth="1"/>
    <col min="6" max="9" width="11" style="2" customWidth="1"/>
    <col min="10" max="12" width="8.42578125" style="2" customWidth="1"/>
    <col min="13" max="13" width="6.42578125" style="2" customWidth="1"/>
    <col min="14" max="14" width="18" style="2" bestFit="1" customWidth="1"/>
    <col min="15" max="15" width="8.42578125" style="2" customWidth="1"/>
    <col min="16" max="17" width="11.42578125" style="2"/>
    <col min="18" max="18" width="13.85546875" style="154" bestFit="1" customWidth="1"/>
    <col min="19" max="19" width="11.42578125" style="136"/>
    <col min="20" max="16384" width="11.42578125" style="2"/>
  </cols>
  <sheetData>
    <row r="1" spans="1:19" s="13" customFormat="1" ht="15.75" x14ac:dyDescent="0.25">
      <c r="A1" s="78" t="s">
        <v>123</v>
      </c>
      <c r="B1" s="14"/>
      <c r="H1" s="13" t="s">
        <v>83</v>
      </c>
      <c r="I1" s="13">
        <f>7081.5/100</f>
        <v>70.814999999999998</v>
      </c>
      <c r="R1" s="25"/>
      <c r="S1" s="135"/>
    </row>
    <row r="2" spans="1:19" s="13" customFormat="1" x14ac:dyDescent="0.2">
      <c r="A2" s="319" t="s">
        <v>161</v>
      </c>
      <c r="B2" s="14"/>
      <c r="R2" s="25"/>
      <c r="S2" s="135"/>
    </row>
    <row r="3" spans="1:19" s="13" customFormat="1" x14ac:dyDescent="0.2">
      <c r="A3" s="319"/>
      <c r="B3" s="14"/>
      <c r="R3" s="25"/>
      <c r="S3" s="135"/>
    </row>
    <row r="4" spans="1:19" ht="15.75" x14ac:dyDescent="0.2">
      <c r="A4" s="15" t="s">
        <v>162</v>
      </c>
      <c r="E4" s="296"/>
      <c r="J4" s="225"/>
      <c r="K4" s="225"/>
    </row>
    <row r="5" spans="1:19" ht="26.25" customHeight="1" x14ac:dyDescent="0.2">
      <c r="A5" s="374" t="s">
        <v>159</v>
      </c>
      <c r="B5" s="376" t="s">
        <v>165</v>
      </c>
      <c r="C5" s="377"/>
      <c r="D5" s="378"/>
      <c r="E5" s="374" t="s">
        <v>93</v>
      </c>
      <c r="F5" s="376" t="s">
        <v>167</v>
      </c>
      <c r="G5" s="377"/>
      <c r="H5" s="377"/>
      <c r="I5" s="378"/>
      <c r="J5" s="221"/>
      <c r="K5" s="221"/>
      <c r="L5" s="221"/>
      <c r="M5" s="221"/>
      <c r="N5" s="221"/>
      <c r="O5" s="221"/>
    </row>
    <row r="6" spans="1:19" s="11" customFormat="1" ht="54" customHeight="1" x14ac:dyDescent="0.2">
      <c r="A6" s="375"/>
      <c r="B6" s="212" t="s">
        <v>30</v>
      </c>
      <c r="C6" s="337" t="s">
        <v>163</v>
      </c>
      <c r="D6" s="337" t="s">
        <v>164</v>
      </c>
      <c r="E6" s="375"/>
      <c r="F6" s="211" t="s">
        <v>39</v>
      </c>
      <c r="G6" s="211" t="s">
        <v>40</v>
      </c>
      <c r="H6" s="211" t="s">
        <v>41</v>
      </c>
      <c r="I6" s="211" t="s">
        <v>42</v>
      </c>
      <c r="J6" s="221"/>
      <c r="K6" s="221"/>
      <c r="L6" s="209"/>
      <c r="N6" s="63" t="s">
        <v>124</v>
      </c>
      <c r="O6" s="137" t="s">
        <v>34</v>
      </c>
    </row>
    <row r="7" spans="1:19" x14ac:dyDescent="0.2">
      <c r="A7" s="13" t="s">
        <v>90</v>
      </c>
      <c r="B7" s="206">
        <f>+C7+D7</f>
        <v>49.22079788814613</v>
      </c>
      <c r="C7" s="138">
        <f>HLOOKUP(E7,$E$6:$I$18,2,FALSE)+VLOOKUP(N16,'Intereses corridos'!$A$4:$K$34,6,FALSE)*$O$14/100</f>
        <v>49.22079788814613</v>
      </c>
      <c r="D7" s="138">
        <f>+VLOOKUP(N16,'Intereses corridos'!$A:$G,7,FALSE)*'Valor de la propuesta'!$O$14/100</f>
        <v>0</v>
      </c>
      <c r="E7" s="138" t="str">
        <f t="shared" ref="E7:E12" si="0">F$6</f>
        <v>USD 2030 LA</v>
      </c>
      <c r="F7" s="139">
        <f t="shared" ref="F7:G12" si="1">+VLOOKUP(F$6,$N$7:$O$12,2,FALSE)*0.97</f>
        <v>49.22079788814613</v>
      </c>
      <c r="G7" s="139">
        <f t="shared" si="1"/>
        <v>46.627266633117351</v>
      </c>
      <c r="H7" s="139"/>
      <c r="I7" s="222">
        <f t="shared" ref="I7:I16" si="2">+VLOOKUP(I$6,$N$7:$O$12,2,FALSE)*0.97</f>
        <v>45.812766373567236</v>
      </c>
      <c r="J7" s="224"/>
      <c r="K7" s="221"/>
      <c r="L7" s="210"/>
      <c r="M7" s="140"/>
      <c r="N7" s="297" t="s">
        <v>39</v>
      </c>
      <c r="O7" s="153">
        <f>+HLOOKUP(N7,'Valuación Nuevos Bonos USD'!$B$6:$F$19,14,FALSE)</f>
        <v>50.743090606336217</v>
      </c>
      <c r="R7" s="2"/>
      <c r="S7" s="2"/>
    </row>
    <row r="8" spans="1:19" x14ac:dyDescent="0.2">
      <c r="A8" s="38" t="s">
        <v>61</v>
      </c>
      <c r="B8" s="207">
        <f t="shared" ref="B8:B18" si="3">+C8+D8</f>
        <v>52.691888576603773</v>
      </c>
      <c r="C8" s="142">
        <f>HLOOKUP(E8,$E$6:$I$18,3,FALSE)+VLOOKUP(A8,'Intereses corridos'!$A$4:$K$34,6,FALSE)*$O$14/100</f>
        <v>51.1160559941138</v>
      </c>
      <c r="D8" s="142">
        <f>+VLOOKUP(A8,'Intereses corridos'!$A:$G,7,FALSE)*'Valor de la propuesta'!$O$14/100</f>
        <v>1.5758325824899719</v>
      </c>
      <c r="E8" s="142" t="str">
        <f t="shared" si="0"/>
        <v>USD 2030 LA</v>
      </c>
      <c r="F8" s="143">
        <f t="shared" si="1"/>
        <v>49.22079788814613</v>
      </c>
      <c r="G8" s="143">
        <f t="shared" si="1"/>
        <v>46.627266633117351</v>
      </c>
      <c r="H8" s="143"/>
      <c r="I8" s="223">
        <f t="shared" si="2"/>
        <v>45.812766373567236</v>
      </c>
      <c r="J8" s="230"/>
      <c r="K8" s="221"/>
      <c r="L8" s="210"/>
      <c r="M8" s="140"/>
      <c r="N8" s="298" t="s">
        <v>40</v>
      </c>
      <c r="O8" s="141">
        <f>+HLOOKUP(N8,'Valuación Nuevos Bonos USD'!$B$6:$F$19,14,FALSE)</f>
        <v>48.069347044450879</v>
      </c>
      <c r="R8" s="2"/>
      <c r="S8" s="2"/>
    </row>
    <row r="9" spans="1:19" x14ac:dyDescent="0.2">
      <c r="A9" s="38" t="s">
        <v>60</v>
      </c>
      <c r="B9" s="207">
        <f t="shared" si="3"/>
        <v>52.148865186691687</v>
      </c>
      <c r="C9" s="142">
        <f>HLOOKUP(E9,$E$6:$I$18,4,FALSE)+VLOOKUP(A9,'Intereses corridos'!$A$4:$K$34,6,FALSE)*$O$14/100</f>
        <v>50.573032604201714</v>
      </c>
      <c r="D9" s="142">
        <f>+VLOOKUP(A9,'Intereses corridos'!$A:$G,7,FALSE)*'Valor de la propuesta'!$O$14/100</f>
        <v>1.5758325824899719</v>
      </c>
      <c r="E9" s="142" t="str">
        <f t="shared" si="0"/>
        <v>USD 2030 LA</v>
      </c>
      <c r="F9" s="143">
        <f t="shared" si="1"/>
        <v>49.22079788814613</v>
      </c>
      <c r="G9" s="143">
        <f t="shared" si="1"/>
        <v>46.627266633117351</v>
      </c>
      <c r="H9" s="143"/>
      <c r="I9" s="223">
        <f t="shared" si="2"/>
        <v>45.812766373567236</v>
      </c>
      <c r="J9" s="229"/>
      <c r="K9" s="221"/>
      <c r="L9" s="210"/>
      <c r="M9" s="140"/>
      <c r="N9" s="299" t="s">
        <v>41</v>
      </c>
      <c r="O9" s="141">
        <f>+HLOOKUP(N9,'Valuación Nuevos Bonos USD'!$B$6:$F$19,14,FALSE)</f>
        <v>53.188304493621956</v>
      </c>
      <c r="R9" s="2"/>
      <c r="S9" s="2"/>
    </row>
    <row r="10" spans="1:19" x14ac:dyDescent="0.2">
      <c r="A10" s="38" t="s">
        <v>63</v>
      </c>
      <c r="B10" s="207">
        <f t="shared" si="3"/>
        <v>51.737604825214149</v>
      </c>
      <c r="C10" s="142">
        <f>HLOOKUP(E10,$E$6:$I$18,5,FALSE)+VLOOKUP(A10,'Intereses corridos'!$A$4:$K$34,6,FALSE)*$O$14/100</f>
        <v>50.211017010926987</v>
      </c>
      <c r="D10" s="142">
        <f>+VLOOKUP(A10,'Intereses corridos'!$A:$G,7,FALSE)*'Valor de la propuesta'!$O$14/100</f>
        <v>1.5265878142871603</v>
      </c>
      <c r="E10" s="142" t="str">
        <f t="shared" si="0"/>
        <v>USD 2030 LA</v>
      </c>
      <c r="F10" s="143">
        <f t="shared" si="1"/>
        <v>49.22079788814613</v>
      </c>
      <c r="G10" s="143">
        <f t="shared" si="1"/>
        <v>46.627266633117351</v>
      </c>
      <c r="H10" s="143"/>
      <c r="I10" s="223">
        <f t="shared" si="2"/>
        <v>45.812766373567236</v>
      </c>
      <c r="J10" s="224"/>
      <c r="K10" s="221"/>
      <c r="L10" s="210"/>
      <c r="M10" s="140"/>
      <c r="N10" s="299" t="s">
        <v>42</v>
      </c>
      <c r="O10" s="141">
        <f>+HLOOKUP(N10,'Valuación Nuevos Bonos USD'!$B$6:$F$19,14,FALSE)</f>
        <v>47.229656055223955</v>
      </c>
      <c r="R10" s="2"/>
      <c r="S10" s="2"/>
    </row>
    <row r="11" spans="1:19" x14ac:dyDescent="0.2">
      <c r="A11" s="205" t="s">
        <v>64</v>
      </c>
      <c r="B11" s="207">
        <f t="shared" si="3"/>
        <v>49.498964281507959</v>
      </c>
      <c r="C11" s="142">
        <f>HLOOKUP(E11,$E$6:$I$18,6,FALSE)+VLOOKUP(A11,'Intereses corridos'!$A$4:$K$34,6,FALSE)*$O$14/100</f>
        <v>49.301985208696713</v>
      </c>
      <c r="D11" s="142">
        <f>+VLOOKUP(A11,'Intereses corridos'!$A:$G,7,FALSE)*'Valor de la propuesta'!$O$14/100</f>
        <v>0.19697907281124649</v>
      </c>
      <c r="E11" s="142" t="str">
        <f t="shared" si="0"/>
        <v>USD 2030 LA</v>
      </c>
      <c r="F11" s="143">
        <f t="shared" si="1"/>
        <v>49.22079788814613</v>
      </c>
      <c r="G11" s="143">
        <f t="shared" si="1"/>
        <v>46.627266633117351</v>
      </c>
      <c r="H11" s="143"/>
      <c r="I11" s="223">
        <f t="shared" si="2"/>
        <v>45.812766373567236</v>
      </c>
      <c r="J11" s="224"/>
      <c r="K11" s="221"/>
      <c r="L11" s="210"/>
      <c r="M11" s="140"/>
      <c r="N11" s="299" t="s">
        <v>43</v>
      </c>
      <c r="O11" s="141">
        <f>'Valuación Nuevos BONCER'!B18</f>
        <v>71.21909802686055</v>
      </c>
      <c r="R11" s="2"/>
      <c r="S11" s="2"/>
    </row>
    <row r="12" spans="1:19" x14ac:dyDescent="0.2">
      <c r="A12" s="38" t="s">
        <v>65</v>
      </c>
      <c r="B12" s="207">
        <f t="shared" si="3"/>
        <v>52.67957738455307</v>
      </c>
      <c r="C12" s="142">
        <f>HLOOKUP(E12,$E$6:$I$18,7,FALSE)+VLOOKUP(A12,'Intereses corridos'!$A$4:$K$34,6,FALSE)*$O$14/100</f>
        <v>50.956010497454663</v>
      </c>
      <c r="D12" s="142">
        <f>+VLOOKUP(A12,'Intereses corridos'!$A:$G,7,FALSE)*'Valor de la propuesta'!$O$14/100</f>
        <v>1.7235668870984064</v>
      </c>
      <c r="E12" s="142" t="str">
        <f t="shared" si="0"/>
        <v>USD 2030 LA</v>
      </c>
      <c r="F12" s="143">
        <f t="shared" si="1"/>
        <v>49.22079788814613</v>
      </c>
      <c r="G12" s="143">
        <f t="shared" si="1"/>
        <v>46.627266633117351</v>
      </c>
      <c r="H12" s="143"/>
      <c r="I12" s="223">
        <f t="shared" si="2"/>
        <v>45.812766373567236</v>
      </c>
      <c r="J12" s="224"/>
      <c r="K12" s="221"/>
      <c r="L12" s="210"/>
      <c r="M12" s="140"/>
      <c r="N12" s="300" t="s">
        <v>44</v>
      </c>
      <c r="O12" s="144">
        <f>'Valuación Nuevos BONCER'!C18</f>
        <v>68.575267875336607</v>
      </c>
      <c r="R12" s="2"/>
      <c r="S12" s="2"/>
    </row>
    <row r="13" spans="1:19" x14ac:dyDescent="0.2">
      <c r="A13" s="38" t="s">
        <v>66</v>
      </c>
      <c r="B13" s="207">
        <f t="shared" si="3"/>
        <v>49.184667230460661</v>
      </c>
      <c r="C13" s="142">
        <f>HLOOKUP(E13,$E$6:$I$18,8,FALSE)+VLOOKUP(A13,'Intereses corridos'!$A$4:$K$34,6,FALSE)*$O$14/100</f>
        <v>47.633457032072094</v>
      </c>
      <c r="D13" s="142">
        <f>+VLOOKUP(A13,'Intereses corridos'!$A:$G,7,FALSE)*'Valor de la propuesta'!$O$14/100</f>
        <v>1.5512101983885662</v>
      </c>
      <c r="E13" s="142" t="str">
        <f>G$6</f>
        <v>USD 2035 LA</v>
      </c>
      <c r="F13" s="143"/>
      <c r="G13" s="143">
        <f>+VLOOKUP(G$6,$N$7:$O$12,2,FALSE)*0.97</f>
        <v>46.627266633117351</v>
      </c>
      <c r="H13" s="143"/>
      <c r="I13" s="223">
        <f t="shared" si="2"/>
        <v>45.812766373567236</v>
      </c>
      <c r="J13" s="224"/>
      <c r="K13" s="221"/>
      <c r="L13" s="210"/>
      <c r="M13" s="140"/>
      <c r="N13" s="301"/>
      <c r="O13" s="136"/>
      <c r="R13" s="2"/>
      <c r="S13" s="2"/>
    </row>
    <row r="14" spans="1:19" x14ac:dyDescent="0.2">
      <c r="A14" s="38" t="s">
        <v>67</v>
      </c>
      <c r="B14" s="207">
        <f t="shared" si="3"/>
        <v>49.045584033779754</v>
      </c>
      <c r="C14" s="142">
        <f>HLOOKUP(E14,$E$6:$I$18,9,FALSE)+VLOOKUP(A14,'Intereses corridos'!$A$4:$K$34,6,FALSE)*$O$14/100</f>
        <v>47.912954365115084</v>
      </c>
      <c r="D14" s="142">
        <f>+VLOOKUP(A14,'Intereses corridos'!$A:$G,7,FALSE)*'Valor de la propuesta'!$O$14/100</f>
        <v>1.1326296686646673</v>
      </c>
      <c r="E14" s="142" t="str">
        <f t="shared" ref="E14:E16" si="4">G$6</f>
        <v>USD 2035 LA</v>
      </c>
      <c r="F14" s="143"/>
      <c r="G14" s="143">
        <f>+VLOOKUP(G$6,$N$7:$O$12,2,FALSE)*0.97</f>
        <v>46.627266633117351</v>
      </c>
      <c r="H14" s="143"/>
      <c r="I14" s="223">
        <f t="shared" si="2"/>
        <v>45.812766373567236</v>
      </c>
      <c r="J14" s="224"/>
      <c r="K14" s="221"/>
      <c r="L14" s="210"/>
      <c r="M14" s="140"/>
      <c r="N14" s="302" t="s">
        <v>45</v>
      </c>
      <c r="O14" s="145">
        <f>+HLOOKUP(N14,'Valuación Nuevos Bonos USD'!$B$6:$F$19,14,FALSE)</f>
        <v>47.913828521654551</v>
      </c>
      <c r="R14" s="2"/>
      <c r="S14" s="2"/>
    </row>
    <row r="15" spans="1:19" x14ac:dyDescent="0.2">
      <c r="A15" s="38" t="s">
        <v>68</v>
      </c>
      <c r="B15" s="207">
        <f t="shared" si="3"/>
        <v>49.184667230460661</v>
      </c>
      <c r="C15" s="142">
        <f>HLOOKUP(E15,$E$6:$I$18,10,FALSE)+VLOOKUP(A15,'Intereses corridos'!$A$4:$K$34,6,FALSE)*$O$14/100</f>
        <v>47.633457032072094</v>
      </c>
      <c r="D15" s="142">
        <f>+VLOOKUP(A15,'Intereses corridos'!$A:$G,7,FALSE)*'Valor de la propuesta'!$O$14/100</f>
        <v>1.5512101983885662</v>
      </c>
      <c r="E15" s="142" t="str">
        <f t="shared" si="4"/>
        <v>USD 2035 LA</v>
      </c>
      <c r="F15" s="143"/>
      <c r="G15" s="143">
        <f>+VLOOKUP(G$6,$N$7:$O$12,2,FALSE)*0.97</f>
        <v>46.627266633117351</v>
      </c>
      <c r="H15" s="143"/>
      <c r="I15" s="223">
        <f t="shared" si="2"/>
        <v>45.812766373567236</v>
      </c>
      <c r="J15" s="224"/>
      <c r="K15" s="221"/>
      <c r="L15" s="210"/>
      <c r="M15" s="140"/>
      <c r="N15" s="134"/>
      <c r="O15" s="150"/>
      <c r="R15" s="2"/>
      <c r="S15" s="2"/>
    </row>
    <row r="16" spans="1:19" x14ac:dyDescent="0.2">
      <c r="A16" s="38" t="s">
        <v>69</v>
      </c>
      <c r="B16" s="207">
        <f t="shared" si="3"/>
        <v>49.834165794865314</v>
      </c>
      <c r="C16" s="142">
        <f>HLOOKUP(E16,$E$6:$I$18,11,FALSE)+VLOOKUP(A16,'Intereses corridos'!$A$4:$K$34,6,FALSE)*$O$14/100</f>
        <v>48.332200364679558</v>
      </c>
      <c r="D16" s="142">
        <f>+VLOOKUP(A16,'Intereses corridos'!$A:$G,7,FALSE)*'Valor de la propuesta'!$O$14/100</f>
        <v>1.5019654301857543</v>
      </c>
      <c r="E16" s="142" t="str">
        <f t="shared" si="4"/>
        <v>USD 2035 LA</v>
      </c>
      <c r="F16" s="143"/>
      <c r="G16" s="143">
        <f>+VLOOKUP(G$6,$N$7:$O$12,2,FALSE)*0.97</f>
        <v>46.627266633117351</v>
      </c>
      <c r="H16" s="143"/>
      <c r="I16" s="223">
        <f t="shared" si="2"/>
        <v>45.812766373567236</v>
      </c>
      <c r="J16" s="224"/>
      <c r="K16" s="221"/>
      <c r="L16" s="210"/>
      <c r="M16" s="140"/>
      <c r="N16" s="306" t="s">
        <v>46</v>
      </c>
      <c r="O16" s="150"/>
      <c r="R16" s="2"/>
      <c r="S16" s="2"/>
    </row>
    <row r="17" spans="1:19" x14ac:dyDescent="0.2">
      <c r="A17" s="32" t="s">
        <v>94</v>
      </c>
      <c r="B17" s="206">
        <f t="shared" si="3"/>
        <v>55.877228550257207</v>
      </c>
      <c r="C17" s="138">
        <f>HLOOKUP(E17,$E$6:$I$18,12,FALSE)+VLOOKUP(N17,'Intereses corridos'!$A$4:$K$34,6,FALSE)*$O$14/100</f>
        <v>54.246241827380089</v>
      </c>
      <c r="D17" s="138">
        <f>+VLOOKUP(N17,'Intereses corridos'!$A:$G,7,FALSE)*'Valor de la propuesta'!$O$14/100</f>
        <v>1.6309867228771209</v>
      </c>
      <c r="E17" s="138" t="str">
        <f>H6</f>
        <v>USD 2038 LA</v>
      </c>
      <c r="F17" s="139"/>
      <c r="G17" s="139"/>
      <c r="H17" s="139">
        <f>+VLOOKUP(H$6,$N$7:$O$12,2,FALSE)</f>
        <v>53.188304493621956</v>
      </c>
      <c r="I17" s="139">
        <f>+VLOOKUP(I$6,$N$7:$O$12,2,FALSE)</f>
        <v>47.229656055223955</v>
      </c>
      <c r="J17" s="224"/>
      <c r="K17" s="221"/>
      <c r="L17" s="210"/>
      <c r="M17" s="140"/>
      <c r="N17" s="306" t="s">
        <v>70</v>
      </c>
      <c r="O17" s="150"/>
      <c r="R17" s="2"/>
      <c r="S17" s="2"/>
    </row>
    <row r="18" spans="1:19" x14ac:dyDescent="0.2">
      <c r="A18" s="43" t="s">
        <v>95</v>
      </c>
      <c r="B18" s="208">
        <f t="shared" si="3"/>
        <v>47.998273721092161</v>
      </c>
      <c r="C18" s="146">
        <f>HLOOKUP(E18,$E$6:$I$18,13,FALSE)+VLOOKUP(N18,'Intereses corridos'!$A$4:$K$34,6,FALSE)*$O$14/100</f>
        <v>47.25960219804999</v>
      </c>
      <c r="D18" s="146">
        <f>+VLOOKUP(N18,'Intereses corridos'!$A:$G,7,FALSE)*'Valor de la propuesta'!$O$14/100</f>
        <v>0.73867152304217432</v>
      </c>
      <c r="E18" s="146" t="str">
        <f>I6</f>
        <v>USD 2041 LA</v>
      </c>
      <c r="F18" s="147"/>
      <c r="G18" s="147"/>
      <c r="H18" s="147"/>
      <c r="I18" s="147">
        <f>+VLOOKUP(I$6,$N$7:$O$12,2,FALSE)</f>
        <v>47.229656055223955</v>
      </c>
      <c r="J18" s="224"/>
      <c r="K18" s="221"/>
      <c r="L18" s="210"/>
      <c r="M18" s="140"/>
      <c r="N18" s="306" t="s">
        <v>72</v>
      </c>
      <c r="O18" s="150"/>
      <c r="R18" s="2"/>
      <c r="S18" s="2"/>
    </row>
    <row r="19" spans="1:19" x14ac:dyDescent="0.2">
      <c r="A19" s="315" t="s">
        <v>169</v>
      </c>
      <c r="B19" s="149">
        <f>+AVERAGE(B7:B18)</f>
        <v>50.758523725302716</v>
      </c>
      <c r="C19" s="149">
        <f>+AVERAGE(C7:C18)</f>
        <v>49.53306766857574</v>
      </c>
      <c r="D19" s="149">
        <f>+AVERAGE(D7:D18)</f>
        <v>1.2254560567269672</v>
      </c>
      <c r="E19" s="12"/>
      <c r="F19" s="12"/>
      <c r="N19" s="219"/>
      <c r="P19" s="210"/>
      <c r="Q19" s="140"/>
      <c r="R19" s="134"/>
      <c r="S19" s="150"/>
    </row>
    <row r="20" spans="1:19" x14ac:dyDescent="0.2">
      <c r="A20" s="13"/>
      <c r="B20" s="148"/>
      <c r="C20" s="135"/>
      <c r="D20" s="135"/>
      <c r="E20" s="135"/>
      <c r="F20" s="12"/>
      <c r="H20" s="225"/>
      <c r="I20" s="225"/>
      <c r="J20" s="225"/>
      <c r="P20" s="210"/>
      <c r="Q20" s="140"/>
      <c r="R20" s="134"/>
      <c r="S20" s="150"/>
    </row>
    <row r="21" spans="1:19" ht="15.75" x14ac:dyDescent="0.2">
      <c r="A21" s="15" t="s">
        <v>152</v>
      </c>
      <c r="B21" s="148"/>
      <c r="C21" s="135"/>
      <c r="D21" s="135"/>
      <c r="E21" s="135"/>
      <c r="F21" s="12"/>
      <c r="H21" s="225"/>
      <c r="I21" s="225"/>
      <c r="J21" s="225"/>
      <c r="P21" s="210"/>
      <c r="Q21" s="140"/>
      <c r="R21" s="134"/>
      <c r="S21" s="150"/>
    </row>
    <row r="22" spans="1:19" ht="42" customHeight="1" x14ac:dyDescent="0.2">
      <c r="A22" s="374" t="s">
        <v>31</v>
      </c>
      <c r="B22" s="379" t="s">
        <v>166</v>
      </c>
      <c r="C22" s="379"/>
      <c r="D22" s="379"/>
      <c r="E22" s="374" t="s">
        <v>93</v>
      </c>
      <c r="F22" s="376" t="s">
        <v>168</v>
      </c>
      <c r="G22" s="378"/>
      <c r="H22" s="221"/>
      <c r="I22" s="221"/>
      <c r="J22" s="226"/>
      <c r="K22" s="150"/>
      <c r="R22" s="2"/>
      <c r="S22" s="2"/>
    </row>
    <row r="23" spans="1:19" ht="57" customHeight="1" x14ac:dyDescent="0.2">
      <c r="A23" s="375"/>
      <c r="B23" s="212" t="s">
        <v>30</v>
      </c>
      <c r="C23" s="337" t="s">
        <v>163</v>
      </c>
      <c r="D23" s="337" t="s">
        <v>164</v>
      </c>
      <c r="E23" s="375"/>
      <c r="F23" s="211" t="s">
        <v>43</v>
      </c>
      <c r="G23" s="211" t="s">
        <v>44</v>
      </c>
      <c r="H23" s="226"/>
      <c r="I23" s="150"/>
      <c r="J23" s="225"/>
      <c r="R23" s="2"/>
      <c r="S23" s="2"/>
    </row>
    <row r="24" spans="1:19" x14ac:dyDescent="0.2">
      <c r="A24" s="13" t="s">
        <v>61</v>
      </c>
      <c r="B24" s="227">
        <f>+C24+D24</f>
        <v>5408.7453199116217</v>
      </c>
      <c r="C24" s="143">
        <f>VLOOKUP($E24,$N:$O,2,FALSE)*(I$1+VLOOKUP($A24,'Intereses corridos'!$A:$K,10,FALSE)/100)</f>
        <v>5242.8741414311162</v>
      </c>
      <c r="D24" s="143">
        <f>+VLOOKUP($A24,'Intereses corridos'!$A:$K,11,FALSE)*VLOOKUP($E24,$N:$O,2,FALSE)/100</f>
        <v>165.87117848050562</v>
      </c>
      <c r="E24" s="138" t="str">
        <f>F$23</f>
        <v>BONCER 2026</v>
      </c>
      <c r="F24" s="143">
        <f t="shared" ref="F24:F32" si="5">+VLOOKUP(F$23,$N$7:$O$14,2,FALSE)*I$1</f>
        <v>5043.3804267721298</v>
      </c>
      <c r="G24" s="143">
        <f t="shared" ref="G24:G32" si="6">+VLOOKUP(G$23,$N$7:$O$14,2,FALSE)*I$1</f>
        <v>4856.1575945919612</v>
      </c>
      <c r="H24" s="210"/>
      <c r="I24" s="231"/>
      <c r="J24" s="10"/>
      <c r="R24" s="2"/>
      <c r="S24" s="2"/>
    </row>
    <row r="25" spans="1:19" x14ac:dyDescent="0.2">
      <c r="A25" s="13" t="s">
        <v>60</v>
      </c>
      <c r="B25" s="227">
        <f t="shared" ref="B25:B29" si="7">+C25+D25</f>
        <v>5351.5870084082044</v>
      </c>
      <c r="C25" s="143">
        <f>VLOOKUP($E25,$N:$O,2,FALSE)*(I$1+VLOOKUP($A25,'Intereses corridos'!$A:$K,10,FALSE)/100)</f>
        <v>5185.7158299276989</v>
      </c>
      <c r="D25" s="143">
        <f>+VLOOKUP($A25,'Intereses corridos'!$A:$K,11,FALSE)*VLOOKUP($E25,$N:$O,2,FALSE)/100</f>
        <v>165.87117848050562</v>
      </c>
      <c r="E25" s="142" t="str">
        <f t="shared" ref="E25:E32" si="8">F$23</f>
        <v>BONCER 2026</v>
      </c>
      <c r="F25" s="143">
        <f t="shared" si="5"/>
        <v>5043.3804267721298</v>
      </c>
      <c r="G25" s="143">
        <f t="shared" si="6"/>
        <v>4856.1575945919612</v>
      </c>
      <c r="H25" s="210"/>
      <c r="I25" s="150"/>
      <c r="R25" s="2"/>
      <c r="S25" s="2"/>
    </row>
    <row r="26" spans="1:19" x14ac:dyDescent="0.2">
      <c r="A26" s="13" t="s">
        <v>62</v>
      </c>
      <c r="B26" s="227">
        <f t="shared" si="7"/>
        <v>5160.4989277938375</v>
      </c>
      <c r="C26" s="143">
        <f>VLOOKUP($E26,$N:$O,2,FALSE)*(I$1+VLOOKUP($A26,'Intereses corridos'!$A:$K,10,FALSE)/100)</f>
        <v>5077.5633385535848</v>
      </c>
      <c r="D26" s="143">
        <f>+VLOOKUP($A26,'Intereses corridos'!$A:$K,11,FALSE)*VLOOKUP($E26,$N:$O,2,FALSE)/100</f>
        <v>82.93558924025281</v>
      </c>
      <c r="E26" s="142" t="str">
        <f t="shared" si="8"/>
        <v>BONCER 2026</v>
      </c>
      <c r="F26" s="143">
        <f t="shared" si="5"/>
        <v>5043.3804267721298</v>
      </c>
      <c r="G26" s="143">
        <f t="shared" si="6"/>
        <v>4856.1575945919612</v>
      </c>
      <c r="H26" s="210"/>
      <c r="I26" s="150"/>
      <c r="R26" s="2"/>
      <c r="S26" s="2"/>
    </row>
    <row r="27" spans="1:19" x14ac:dyDescent="0.2">
      <c r="A27" s="13" t="s">
        <v>63</v>
      </c>
      <c r="B27" s="227">
        <f t="shared" si="7"/>
        <v>5308.2979930784104</v>
      </c>
      <c r="C27" s="143">
        <f>VLOOKUP($E27,$N:$O,2,FALSE)*(I$1+VLOOKUP($A27,'Intereses corridos'!$A:$K,10,FALSE)/100)</f>
        <v>5147.6102889254207</v>
      </c>
      <c r="D27" s="143">
        <f>+VLOOKUP($A27,'Intereses corridos'!$A:$K,11,FALSE)*VLOOKUP($E27,$N:$O,2,FALSE)/100</f>
        <v>160.6877041529898</v>
      </c>
      <c r="E27" s="142" t="str">
        <f t="shared" si="8"/>
        <v>BONCER 2026</v>
      </c>
      <c r="F27" s="143">
        <f t="shared" si="5"/>
        <v>5043.3804267721298</v>
      </c>
      <c r="G27" s="143">
        <f t="shared" si="6"/>
        <v>4856.1575945919612</v>
      </c>
      <c r="H27" s="210"/>
      <c r="I27" s="150"/>
      <c r="R27" s="2"/>
      <c r="S27" s="2"/>
    </row>
    <row r="28" spans="1:19" x14ac:dyDescent="0.2">
      <c r="A28" s="13" t="s">
        <v>64</v>
      </c>
      <c r="B28" s="227">
        <f t="shared" si="7"/>
        <v>5072.660052027556</v>
      </c>
      <c r="C28" s="143">
        <f>VLOOKUP($E28,$N:$O,2,FALSE)*(I$1+VLOOKUP($A28,'Intereses corridos'!$A:$K,10,FALSE)/100)</f>
        <v>5051.9261547174929</v>
      </c>
      <c r="D28" s="143">
        <f>+VLOOKUP($A28,'Intereses corridos'!$A:$K,11,FALSE)*VLOOKUP($E28,$N:$O,2,FALSE)/100</f>
        <v>20.733897310063202</v>
      </c>
      <c r="E28" s="142" t="str">
        <f t="shared" si="8"/>
        <v>BONCER 2026</v>
      </c>
      <c r="F28" s="143">
        <f t="shared" si="5"/>
        <v>5043.3804267721298</v>
      </c>
      <c r="G28" s="143">
        <f t="shared" si="6"/>
        <v>4856.1575945919612</v>
      </c>
      <c r="H28" s="210"/>
      <c r="I28" s="150"/>
      <c r="R28" s="2"/>
      <c r="S28" s="2"/>
    </row>
    <row r="29" spans="1:19" x14ac:dyDescent="0.2">
      <c r="A29" s="13" t="s">
        <v>65</v>
      </c>
      <c r="B29" s="227">
        <f t="shared" si="7"/>
        <v>5407.4494513297432</v>
      </c>
      <c r="C29" s="143">
        <f>VLOOKUP($E29,$N:$O,2,FALSE)*(I$1+VLOOKUP($A29,'Intereses corridos'!$A:$K,10,FALSE)/100)</f>
        <v>5226.0278498666903</v>
      </c>
      <c r="D29" s="143">
        <f>+VLOOKUP($A29,'Intereses corridos'!$A:$K,11,FALSE)*VLOOKUP($E29,$N:$O,2,FALSE)/100</f>
        <v>181.42160146305298</v>
      </c>
      <c r="E29" s="142" t="str">
        <f t="shared" si="8"/>
        <v>BONCER 2026</v>
      </c>
      <c r="F29" s="143">
        <f t="shared" si="5"/>
        <v>5043.3804267721298</v>
      </c>
      <c r="G29" s="143">
        <f t="shared" si="6"/>
        <v>4856.1575945919612</v>
      </c>
      <c r="H29" s="210"/>
      <c r="I29" s="150"/>
      <c r="R29" s="2"/>
      <c r="S29" s="2"/>
    </row>
    <row r="30" spans="1:19" x14ac:dyDescent="0.2">
      <c r="A30" s="217" t="s">
        <v>59</v>
      </c>
      <c r="B30" s="227">
        <f>+VLOOKUP($E30,$N$7:$O$14,2,FALSE)*I$1</f>
        <v>5043.3804267721298</v>
      </c>
      <c r="C30" s="143"/>
      <c r="D30" s="143"/>
      <c r="E30" s="142" t="str">
        <f t="shared" si="8"/>
        <v>BONCER 2026</v>
      </c>
      <c r="F30" s="143">
        <f t="shared" si="5"/>
        <v>5043.3804267721298</v>
      </c>
      <c r="G30" s="143">
        <f t="shared" si="6"/>
        <v>4856.1575945919612</v>
      </c>
      <c r="H30" s="210"/>
      <c r="I30" s="150"/>
      <c r="R30" s="2"/>
      <c r="S30" s="2"/>
    </row>
    <row r="31" spans="1:19" x14ac:dyDescent="0.2">
      <c r="A31" s="13" t="s">
        <v>91</v>
      </c>
      <c r="B31" s="227">
        <f t="shared" ref="B31:B32" si="9">+VLOOKUP($E31,$N$7:$O$14,2,FALSE)*I$1</f>
        <v>5043.3804267721298</v>
      </c>
      <c r="C31" s="143"/>
      <c r="D31" s="143"/>
      <c r="E31" s="142" t="str">
        <f t="shared" si="8"/>
        <v>BONCER 2026</v>
      </c>
      <c r="F31" s="143">
        <f t="shared" si="5"/>
        <v>5043.3804267721298</v>
      </c>
      <c r="G31" s="143">
        <f t="shared" si="6"/>
        <v>4856.1575945919612</v>
      </c>
      <c r="H31" s="210"/>
      <c r="I31" s="150"/>
      <c r="R31" s="2"/>
      <c r="S31" s="2"/>
    </row>
    <row r="32" spans="1:19" x14ac:dyDescent="0.2">
      <c r="A32" s="217" t="s">
        <v>90</v>
      </c>
      <c r="B32" s="228">
        <f t="shared" si="9"/>
        <v>5043.3804267721298</v>
      </c>
      <c r="C32" s="147"/>
      <c r="D32" s="147"/>
      <c r="E32" s="146" t="str">
        <f t="shared" si="8"/>
        <v>BONCER 2026</v>
      </c>
      <c r="F32" s="147">
        <f t="shared" si="5"/>
        <v>5043.3804267721298</v>
      </c>
      <c r="G32" s="147">
        <f t="shared" si="6"/>
        <v>4856.1575945919612</v>
      </c>
      <c r="H32" s="210"/>
      <c r="I32" s="150"/>
      <c r="R32" s="2"/>
      <c r="S32" s="2"/>
    </row>
    <row r="33" spans="1:19" x14ac:dyDescent="0.2">
      <c r="A33" s="211" t="s">
        <v>169</v>
      </c>
      <c r="B33" s="318">
        <f>+AVERAGE(B29:B32)</f>
        <v>5134.3976829115327</v>
      </c>
      <c r="C33" s="318">
        <f>+AVERAGE(C29:C32)</f>
        <v>5226.0278498666903</v>
      </c>
      <c r="D33" s="318">
        <f>+AVERAGE(D24:D29)</f>
        <v>129.58685818789499</v>
      </c>
      <c r="E33" s="12"/>
      <c r="F33" s="12"/>
      <c r="P33" s="210"/>
      <c r="Q33" s="140"/>
      <c r="R33" s="134"/>
      <c r="S33" s="150"/>
    </row>
    <row r="34" spans="1:19" x14ac:dyDescent="0.2">
      <c r="A34" s="220"/>
      <c r="P34" s="210"/>
      <c r="Q34" s="140"/>
      <c r="R34" s="134"/>
      <c r="S34" s="150"/>
    </row>
    <row r="35" spans="1:19" x14ac:dyDescent="0.2">
      <c r="A35" s="217"/>
      <c r="P35" s="210"/>
      <c r="Q35" s="140"/>
      <c r="R35" s="134"/>
      <c r="S35" s="150"/>
    </row>
    <row r="36" spans="1:19" x14ac:dyDescent="0.2">
      <c r="A36" s="217"/>
      <c r="P36" s="210"/>
      <c r="Q36" s="140"/>
      <c r="R36" s="26"/>
      <c r="S36" s="151"/>
    </row>
    <row r="37" spans="1:19" x14ac:dyDescent="0.2">
      <c r="A37" s="217"/>
      <c r="P37" s="210"/>
      <c r="Q37" s="140"/>
      <c r="R37" s="25"/>
      <c r="S37" s="151"/>
    </row>
    <row r="38" spans="1:19" x14ac:dyDescent="0.2">
      <c r="A38" s="217"/>
      <c r="P38" s="210"/>
      <c r="Q38" s="140"/>
      <c r="R38" s="25"/>
      <c r="S38" s="151"/>
    </row>
    <row r="39" spans="1:19" x14ac:dyDescent="0.2">
      <c r="A39" s="220"/>
      <c r="R39" s="25"/>
      <c r="S39" s="151"/>
    </row>
    <row r="40" spans="1:19" x14ac:dyDescent="0.2">
      <c r="R40" s="25"/>
      <c r="S40" s="151"/>
    </row>
    <row r="41" spans="1:19" x14ac:dyDescent="0.2">
      <c r="R41" s="25"/>
      <c r="S41" s="151"/>
    </row>
    <row r="42" spans="1:19" x14ac:dyDescent="0.2">
      <c r="S42" s="152"/>
    </row>
  </sheetData>
  <mergeCells count="8">
    <mergeCell ref="A5:A6"/>
    <mergeCell ref="B5:D5"/>
    <mergeCell ref="A22:A23"/>
    <mergeCell ref="B22:D22"/>
    <mergeCell ref="F5:I5"/>
    <mergeCell ref="E5:E6"/>
    <mergeCell ref="E22:E23"/>
    <mergeCell ref="F22:G22"/>
  </mergeCells>
  <conditionalFormatting sqref="A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:A38 N16:N18 A8:A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6FD7-468C-48D2-BD18-AC88026D53A2}">
  <sheetPr>
    <tabColor theme="1"/>
  </sheetPr>
  <dimension ref="A1:Q25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40625" defaultRowHeight="12.75" x14ac:dyDescent="0.2"/>
  <cols>
    <col min="1" max="1" width="9.7109375" style="2" bestFit="1" customWidth="1"/>
    <col min="2" max="12" width="12.7109375" style="2" customWidth="1"/>
    <col min="13" max="13" width="9.140625" style="2"/>
    <col min="14" max="17" width="12.7109375" style="2" customWidth="1"/>
    <col min="18" max="16384" width="9.140625" style="2"/>
  </cols>
  <sheetData>
    <row r="1" spans="1:17" ht="15.75" x14ac:dyDescent="0.25">
      <c r="A1" s="368" t="s">
        <v>173</v>
      </c>
    </row>
    <row r="2" spans="1:17" x14ac:dyDescent="0.2">
      <c r="A2" s="2" t="s">
        <v>126</v>
      </c>
    </row>
    <row r="3" spans="1:17" ht="13.5" customHeight="1" x14ac:dyDescent="0.2">
      <c r="A3" s="380" t="s">
        <v>170</v>
      </c>
      <c r="B3" s="382" t="s">
        <v>171</v>
      </c>
      <c r="C3" s="383"/>
      <c r="D3" s="383"/>
      <c r="E3" s="383"/>
      <c r="F3" s="383"/>
      <c r="G3" s="383"/>
      <c r="H3" s="383"/>
      <c r="I3" s="383"/>
      <c r="J3" s="383"/>
      <c r="K3" s="383"/>
      <c r="L3" s="384"/>
      <c r="N3" s="382" t="s">
        <v>172</v>
      </c>
      <c r="O3" s="383"/>
      <c r="P3" s="383"/>
      <c r="Q3" s="384"/>
    </row>
    <row r="4" spans="1:17" ht="25.5" x14ac:dyDescent="0.2">
      <c r="A4" s="381"/>
      <c r="B4" s="307" t="s">
        <v>60</v>
      </c>
      <c r="C4" s="308" t="s">
        <v>61</v>
      </c>
      <c r="D4" s="308" t="s">
        <v>63</v>
      </c>
      <c r="E4" s="308" t="s">
        <v>64</v>
      </c>
      <c r="F4" s="308" t="s">
        <v>65</v>
      </c>
      <c r="G4" s="308" t="s">
        <v>66</v>
      </c>
      <c r="H4" s="308" t="s">
        <v>67</v>
      </c>
      <c r="I4" s="308" t="s">
        <v>68</v>
      </c>
      <c r="J4" s="308" t="s">
        <v>69</v>
      </c>
      <c r="K4" s="308" t="s">
        <v>70</v>
      </c>
      <c r="L4" s="308" t="s">
        <v>72</v>
      </c>
      <c r="N4" s="341" t="s">
        <v>127</v>
      </c>
      <c r="O4" s="342" t="s">
        <v>128</v>
      </c>
      <c r="P4" s="342" t="s">
        <v>129</v>
      </c>
      <c r="Q4" s="343" t="s">
        <v>130</v>
      </c>
    </row>
    <row r="5" spans="1:17" x14ac:dyDescent="0.2">
      <c r="A5" s="344">
        <v>44197</v>
      </c>
      <c r="B5" s="345"/>
      <c r="C5" s="346"/>
      <c r="D5" s="347"/>
      <c r="E5" s="347"/>
      <c r="F5" s="347"/>
      <c r="G5" s="347"/>
      <c r="H5" s="347"/>
      <c r="I5" s="347"/>
      <c r="J5" s="347"/>
      <c r="K5" s="347"/>
      <c r="L5" s="348"/>
      <c r="N5" s="349"/>
      <c r="O5" s="347"/>
      <c r="P5" s="347"/>
      <c r="Q5" s="348"/>
    </row>
    <row r="6" spans="1:17" x14ac:dyDescent="0.2">
      <c r="A6" s="350">
        <v>44228</v>
      </c>
      <c r="B6" s="351"/>
      <c r="C6" s="352"/>
      <c r="D6" s="353"/>
      <c r="E6" s="353">
        <v>0.01</v>
      </c>
      <c r="F6" s="353"/>
      <c r="G6" s="353"/>
      <c r="H6" s="353"/>
      <c r="I6" s="353"/>
      <c r="J6" s="353"/>
      <c r="K6" s="353"/>
      <c r="L6" s="354"/>
      <c r="N6" s="355"/>
      <c r="O6" s="353"/>
      <c r="P6" s="353"/>
      <c r="Q6" s="354"/>
    </row>
    <row r="7" spans="1:17" x14ac:dyDescent="0.2">
      <c r="A7" s="350">
        <v>44256</v>
      </c>
      <c r="B7" s="351"/>
      <c r="C7" s="352"/>
      <c r="D7" s="353"/>
      <c r="E7" s="353"/>
      <c r="F7" s="353"/>
      <c r="G7" s="353"/>
      <c r="H7" s="353"/>
      <c r="I7" s="353"/>
      <c r="J7" s="353"/>
      <c r="K7" s="353"/>
      <c r="L7" s="354">
        <v>3.7499999999999999E-2</v>
      </c>
      <c r="N7" s="356">
        <v>0</v>
      </c>
      <c r="O7" s="357">
        <v>0</v>
      </c>
      <c r="P7" s="357">
        <v>0</v>
      </c>
      <c r="Q7" s="358">
        <v>0</v>
      </c>
    </row>
    <row r="8" spans="1:17" x14ac:dyDescent="0.2">
      <c r="A8" s="350">
        <v>44287</v>
      </c>
      <c r="B8" s="351"/>
      <c r="C8" s="352"/>
      <c r="D8" s="353"/>
      <c r="E8" s="353"/>
      <c r="F8" s="353"/>
      <c r="G8" s="353"/>
      <c r="H8" s="353">
        <v>5.7500000000000002E-2</v>
      </c>
      <c r="I8" s="353"/>
      <c r="J8" s="353">
        <v>7.6249999999999998E-2</v>
      </c>
      <c r="K8" s="353"/>
      <c r="L8" s="354"/>
      <c r="N8" s="355"/>
      <c r="O8" s="353"/>
      <c r="P8" s="353"/>
      <c r="Q8" s="354"/>
    </row>
    <row r="9" spans="1:17" x14ac:dyDescent="0.2">
      <c r="A9" s="350">
        <v>44317</v>
      </c>
      <c r="B9" s="351"/>
      <c r="C9" s="352"/>
      <c r="D9" s="353"/>
      <c r="E9" s="353"/>
      <c r="F9" s="353">
        <v>8.7499999999999994E-2</v>
      </c>
      <c r="G9" s="353"/>
      <c r="H9" s="353"/>
      <c r="I9" s="353"/>
      <c r="J9" s="353"/>
      <c r="K9" s="353"/>
      <c r="L9" s="354"/>
      <c r="N9" s="355"/>
      <c r="O9" s="353"/>
      <c r="P9" s="353"/>
      <c r="Q9" s="354"/>
    </row>
    <row r="10" spans="1:17" x14ac:dyDescent="0.2">
      <c r="A10" s="350">
        <v>44348</v>
      </c>
      <c r="B10" s="351"/>
      <c r="C10" s="352"/>
      <c r="D10" s="353">
        <v>7.7499999999999999E-2</v>
      </c>
      <c r="E10" s="353"/>
      <c r="F10" s="353"/>
      <c r="G10" s="353">
        <v>7.8750000000000001E-2</v>
      </c>
      <c r="H10" s="353"/>
      <c r="I10" s="353">
        <v>7.8750000000000001E-2</v>
      </c>
      <c r="J10" s="353"/>
      <c r="K10" s="353">
        <v>8.2799999999999999E-2</v>
      </c>
      <c r="L10" s="354"/>
      <c r="N10" s="355"/>
      <c r="O10" s="353"/>
      <c r="P10" s="353"/>
      <c r="Q10" s="354"/>
    </row>
    <row r="11" spans="1:17" x14ac:dyDescent="0.2">
      <c r="A11" s="350">
        <v>44378</v>
      </c>
      <c r="B11" s="351"/>
      <c r="C11" s="352"/>
      <c r="D11" s="353"/>
      <c r="E11" s="353"/>
      <c r="F11" s="353"/>
      <c r="G11" s="353"/>
      <c r="H11" s="353"/>
      <c r="I11" s="353"/>
      <c r="J11" s="353"/>
      <c r="K11" s="353"/>
      <c r="L11" s="354"/>
      <c r="N11" s="355"/>
      <c r="O11" s="353"/>
      <c r="P11" s="353"/>
      <c r="Q11" s="354"/>
    </row>
    <row r="12" spans="1:17" x14ac:dyDescent="0.2">
      <c r="A12" s="350">
        <v>44409</v>
      </c>
      <c r="B12" s="351"/>
      <c r="C12" s="352"/>
      <c r="D12" s="353"/>
      <c r="E12" s="353">
        <v>0.01</v>
      </c>
      <c r="F12" s="353"/>
      <c r="G12" s="353"/>
      <c r="H12" s="353"/>
      <c r="I12" s="353"/>
      <c r="J12" s="353"/>
      <c r="K12" s="353"/>
      <c r="L12" s="354"/>
      <c r="N12" s="355"/>
      <c r="O12" s="353"/>
      <c r="P12" s="353"/>
      <c r="Q12" s="354"/>
    </row>
    <row r="13" spans="1:17" x14ac:dyDescent="0.2">
      <c r="A13" s="350">
        <v>44440</v>
      </c>
      <c r="B13" s="351"/>
      <c r="C13" s="352"/>
      <c r="D13" s="353"/>
      <c r="E13" s="353"/>
      <c r="F13" s="353"/>
      <c r="G13" s="353"/>
      <c r="H13" s="353"/>
      <c r="I13" s="353"/>
      <c r="J13" s="353"/>
      <c r="K13" s="353"/>
      <c r="L13" s="354">
        <v>3.7499999999999999E-2</v>
      </c>
      <c r="N13" s="356">
        <f>0.125%*2</f>
        <v>2.5000000000000001E-3</v>
      </c>
      <c r="O13" s="357">
        <f t="shared" ref="O13:Q13" si="0">0.125%*2</f>
        <v>2.5000000000000001E-3</v>
      </c>
      <c r="P13" s="357">
        <f t="shared" si="0"/>
        <v>2.5000000000000001E-3</v>
      </c>
      <c r="Q13" s="358">
        <f t="shared" si="0"/>
        <v>2.5000000000000001E-3</v>
      </c>
    </row>
    <row r="14" spans="1:17" x14ac:dyDescent="0.2">
      <c r="A14" s="350">
        <v>44470</v>
      </c>
      <c r="B14" s="351"/>
      <c r="C14" s="352"/>
      <c r="D14" s="353"/>
      <c r="E14" s="353"/>
      <c r="F14" s="353"/>
      <c r="G14" s="353"/>
      <c r="H14" s="353">
        <v>5.7500000000000002E-2</v>
      </c>
      <c r="I14" s="353"/>
      <c r="J14" s="353">
        <v>7.6249999999999998E-2</v>
      </c>
      <c r="K14" s="353"/>
      <c r="L14" s="354"/>
      <c r="N14" s="355"/>
      <c r="O14" s="353"/>
      <c r="P14" s="353"/>
      <c r="Q14" s="354"/>
    </row>
    <row r="15" spans="1:17" x14ac:dyDescent="0.2">
      <c r="A15" s="350">
        <v>44501</v>
      </c>
      <c r="B15" s="351"/>
      <c r="C15" s="352"/>
      <c r="D15" s="353"/>
      <c r="E15" s="353"/>
      <c r="F15" s="353">
        <v>8.7499999999999994E-2</v>
      </c>
      <c r="G15" s="353"/>
      <c r="H15" s="353"/>
      <c r="I15" s="353"/>
      <c r="J15" s="353"/>
      <c r="K15" s="353"/>
      <c r="L15" s="354"/>
      <c r="N15" s="355"/>
      <c r="O15" s="353"/>
      <c r="P15" s="353"/>
      <c r="Q15" s="354"/>
    </row>
    <row r="16" spans="1:17" x14ac:dyDescent="0.2">
      <c r="A16" s="350">
        <v>44531</v>
      </c>
      <c r="B16" s="351"/>
      <c r="C16" s="352"/>
      <c r="D16" s="353">
        <v>7.7499999999999999E-2</v>
      </c>
      <c r="E16" s="353"/>
      <c r="F16" s="353"/>
      <c r="G16" s="353">
        <v>7.8750000000000001E-2</v>
      </c>
      <c r="H16" s="353"/>
      <c r="I16" s="353">
        <v>7.8750000000000001E-2</v>
      </c>
      <c r="J16" s="353"/>
      <c r="K16" s="353">
        <v>8.2799999999999999E-2</v>
      </c>
      <c r="L16" s="354"/>
      <c r="N16" s="355"/>
      <c r="O16" s="353"/>
      <c r="P16" s="353"/>
      <c r="Q16" s="354"/>
    </row>
    <row r="17" spans="1:17" x14ac:dyDescent="0.2">
      <c r="A17" s="350">
        <v>44562</v>
      </c>
      <c r="B17" s="351"/>
      <c r="C17" s="352"/>
      <c r="D17" s="353"/>
      <c r="E17" s="353"/>
      <c r="F17" s="353"/>
      <c r="G17" s="353"/>
      <c r="H17" s="353"/>
      <c r="I17" s="353"/>
      <c r="J17" s="353"/>
      <c r="K17" s="353"/>
      <c r="L17" s="354"/>
      <c r="N17" s="355"/>
      <c r="O17" s="353"/>
      <c r="P17" s="353"/>
      <c r="Q17" s="354"/>
    </row>
    <row r="18" spans="1:17" x14ac:dyDescent="0.2">
      <c r="A18" s="350">
        <v>44593</v>
      </c>
      <c r="B18" s="351"/>
      <c r="C18" s="352"/>
      <c r="D18" s="353"/>
      <c r="E18" s="353">
        <v>0.01</v>
      </c>
      <c r="F18" s="353"/>
      <c r="G18" s="353"/>
      <c r="H18" s="353"/>
      <c r="I18" s="353"/>
      <c r="J18" s="353"/>
      <c r="K18" s="353"/>
      <c r="L18" s="354"/>
      <c r="N18" s="355"/>
      <c r="O18" s="353"/>
      <c r="P18" s="353"/>
      <c r="Q18" s="354"/>
    </row>
    <row r="19" spans="1:17" x14ac:dyDescent="0.2">
      <c r="A19" s="350">
        <v>44621</v>
      </c>
      <c r="B19" s="351"/>
      <c r="C19" s="352"/>
      <c r="D19" s="353"/>
      <c r="E19" s="353"/>
      <c r="F19" s="353"/>
      <c r="G19" s="353"/>
      <c r="H19" s="353"/>
      <c r="I19" s="353"/>
      <c r="J19" s="353"/>
      <c r="K19" s="353"/>
      <c r="L19" s="354">
        <v>3.7499999999999999E-2</v>
      </c>
      <c r="N19" s="355">
        <v>5.0000000000000001E-3</v>
      </c>
      <c r="O19" s="353">
        <v>1.125E-2</v>
      </c>
      <c r="P19" s="353">
        <v>0.02</v>
      </c>
      <c r="Q19" s="354">
        <v>2.5000000000000001E-2</v>
      </c>
    </row>
    <row r="20" spans="1:17" x14ac:dyDescent="0.2">
      <c r="A20" s="350">
        <v>44652</v>
      </c>
      <c r="B20" s="351"/>
      <c r="C20" s="352"/>
      <c r="D20" s="353"/>
      <c r="E20" s="353"/>
      <c r="F20" s="353"/>
      <c r="G20" s="353"/>
      <c r="H20" s="353">
        <v>5.7500000000000002E-2</v>
      </c>
      <c r="I20" s="353"/>
      <c r="J20" s="353">
        <v>7.6249999999999998E-2</v>
      </c>
      <c r="K20" s="353"/>
      <c r="L20" s="354"/>
      <c r="N20" s="355"/>
      <c r="O20" s="353"/>
      <c r="P20" s="353"/>
      <c r="Q20" s="354"/>
    </row>
    <row r="21" spans="1:17" x14ac:dyDescent="0.2">
      <c r="A21" s="350">
        <v>44682</v>
      </c>
      <c r="B21" s="351"/>
      <c r="C21" s="352"/>
      <c r="D21" s="353"/>
      <c r="E21" s="353"/>
      <c r="F21" s="353">
        <v>8.7499999999999994E-2</v>
      </c>
      <c r="G21" s="353"/>
      <c r="H21" s="353"/>
      <c r="I21" s="353"/>
      <c r="J21" s="353"/>
      <c r="K21" s="353"/>
      <c r="L21" s="354"/>
      <c r="N21" s="355"/>
      <c r="O21" s="353"/>
      <c r="P21" s="353"/>
      <c r="Q21" s="354"/>
    </row>
    <row r="22" spans="1:17" x14ac:dyDescent="0.2">
      <c r="A22" s="350">
        <v>44713</v>
      </c>
      <c r="B22" s="351"/>
      <c r="C22" s="352"/>
      <c r="D22" s="353">
        <v>7.7499999999999999E-2</v>
      </c>
      <c r="E22" s="353"/>
      <c r="F22" s="353"/>
      <c r="G22" s="353">
        <v>7.8750000000000001E-2</v>
      </c>
      <c r="H22" s="353"/>
      <c r="I22" s="353">
        <v>7.8750000000000001E-2</v>
      </c>
      <c r="J22" s="353"/>
      <c r="K22" s="353">
        <v>8.2799999999999999E-2</v>
      </c>
      <c r="L22" s="354"/>
      <c r="N22" s="355"/>
      <c r="O22" s="353"/>
      <c r="P22" s="353"/>
      <c r="Q22" s="354"/>
    </row>
    <row r="23" spans="1:17" x14ac:dyDescent="0.2">
      <c r="A23" s="350">
        <v>44743</v>
      </c>
      <c r="B23" s="351"/>
      <c r="C23" s="352"/>
      <c r="D23" s="353"/>
      <c r="E23" s="353"/>
      <c r="F23" s="353"/>
      <c r="G23" s="353"/>
      <c r="H23" s="353"/>
      <c r="I23" s="353"/>
      <c r="J23" s="353"/>
      <c r="K23" s="353"/>
      <c r="L23" s="354"/>
      <c r="N23" s="355"/>
      <c r="O23" s="353"/>
      <c r="P23" s="353"/>
      <c r="Q23" s="354"/>
    </row>
    <row r="24" spans="1:17" x14ac:dyDescent="0.2">
      <c r="A24" s="350">
        <v>44774</v>
      </c>
      <c r="B24" s="351"/>
      <c r="C24" s="352"/>
      <c r="D24" s="353"/>
      <c r="E24" s="353">
        <v>0.01</v>
      </c>
      <c r="F24" s="353"/>
      <c r="G24" s="353"/>
      <c r="H24" s="353"/>
      <c r="I24" s="353"/>
      <c r="J24" s="353"/>
      <c r="K24" s="353"/>
      <c r="L24" s="354"/>
      <c r="N24" s="355"/>
      <c r="O24" s="353"/>
      <c r="P24" s="353"/>
      <c r="Q24" s="354"/>
    </row>
    <row r="25" spans="1:17" x14ac:dyDescent="0.2">
      <c r="A25" s="350">
        <v>44805</v>
      </c>
      <c r="B25" s="351"/>
      <c r="C25" s="352"/>
      <c r="D25" s="353"/>
      <c r="E25" s="353"/>
      <c r="F25" s="353"/>
      <c r="G25" s="353"/>
      <c r="H25" s="353"/>
      <c r="I25" s="353"/>
      <c r="J25" s="353"/>
      <c r="K25" s="353"/>
      <c r="L25" s="354">
        <v>3.7499999999999999E-2</v>
      </c>
      <c r="N25" s="355">
        <v>5.0000000000000001E-3</v>
      </c>
      <c r="O25" s="353">
        <v>1.125E-2</v>
      </c>
      <c r="P25" s="353">
        <v>0.02</v>
      </c>
      <c r="Q25" s="354">
        <v>2.5000000000000001E-2</v>
      </c>
    </row>
    <row r="26" spans="1:17" x14ac:dyDescent="0.2">
      <c r="A26" s="350">
        <v>44835</v>
      </c>
      <c r="B26" s="351"/>
      <c r="C26" s="352"/>
      <c r="D26" s="353"/>
      <c r="E26" s="353"/>
      <c r="F26" s="353"/>
      <c r="G26" s="353"/>
      <c r="H26" s="353">
        <v>5.7500000000000002E-2</v>
      </c>
      <c r="I26" s="353"/>
      <c r="J26" s="353">
        <v>7.6249999999999998E-2</v>
      </c>
      <c r="K26" s="353"/>
      <c r="L26" s="354"/>
      <c r="N26" s="355"/>
      <c r="O26" s="353"/>
      <c r="P26" s="353"/>
      <c r="Q26" s="354"/>
    </row>
    <row r="27" spans="1:17" x14ac:dyDescent="0.2">
      <c r="A27" s="350">
        <v>44866</v>
      </c>
      <c r="B27" s="351"/>
      <c r="C27" s="352"/>
      <c r="D27" s="353"/>
      <c r="E27" s="353"/>
      <c r="F27" s="353">
        <v>8.7499999999999994E-2</v>
      </c>
      <c r="G27" s="353"/>
      <c r="H27" s="353"/>
      <c r="I27" s="353"/>
      <c r="J27" s="353"/>
      <c r="K27" s="353"/>
      <c r="L27" s="354"/>
      <c r="N27" s="355"/>
      <c r="O27" s="353"/>
      <c r="P27" s="353"/>
      <c r="Q27" s="354"/>
    </row>
    <row r="28" spans="1:17" x14ac:dyDescent="0.2">
      <c r="A28" s="350">
        <v>44896</v>
      </c>
      <c r="B28" s="351"/>
      <c r="C28" s="352"/>
      <c r="D28" s="353">
        <v>7.7499999999999999E-2</v>
      </c>
      <c r="E28" s="353"/>
      <c r="F28" s="353"/>
      <c r="G28" s="353">
        <v>7.8750000000000001E-2</v>
      </c>
      <c r="H28" s="353"/>
      <c r="I28" s="353">
        <v>7.8750000000000001E-2</v>
      </c>
      <c r="J28" s="353"/>
      <c r="K28" s="353">
        <v>8.2799999999999999E-2</v>
      </c>
      <c r="L28" s="354"/>
      <c r="N28" s="355"/>
      <c r="O28" s="353"/>
      <c r="P28" s="353"/>
      <c r="Q28" s="354"/>
    </row>
    <row r="29" spans="1:17" x14ac:dyDescent="0.2">
      <c r="A29" s="350">
        <v>44927</v>
      </c>
      <c r="B29" s="351"/>
      <c r="C29" s="352"/>
      <c r="D29" s="359"/>
      <c r="E29" s="353"/>
      <c r="F29" s="353"/>
      <c r="G29" s="353"/>
      <c r="H29" s="353"/>
      <c r="I29" s="353"/>
      <c r="J29" s="353"/>
      <c r="K29" s="353"/>
      <c r="L29" s="354"/>
      <c r="N29" s="355"/>
      <c r="O29" s="353"/>
      <c r="P29" s="353"/>
      <c r="Q29" s="354"/>
    </row>
    <row r="30" spans="1:17" x14ac:dyDescent="0.2">
      <c r="A30" s="350">
        <v>44958</v>
      </c>
      <c r="B30" s="351"/>
      <c r="C30" s="352"/>
      <c r="D30" s="359"/>
      <c r="E30" s="353">
        <v>0.01</v>
      </c>
      <c r="F30" s="353"/>
      <c r="G30" s="353"/>
      <c r="H30" s="353"/>
      <c r="I30" s="353"/>
      <c r="J30" s="353"/>
      <c r="K30" s="353"/>
      <c r="L30" s="354"/>
      <c r="N30" s="355"/>
      <c r="O30" s="353"/>
      <c r="P30" s="353"/>
      <c r="Q30" s="354"/>
    </row>
    <row r="31" spans="1:17" x14ac:dyDescent="0.2">
      <c r="A31" s="350">
        <v>44986</v>
      </c>
      <c r="B31" s="351"/>
      <c r="C31" s="352"/>
      <c r="D31" s="359"/>
      <c r="E31" s="353"/>
      <c r="F31" s="353"/>
      <c r="G31" s="353"/>
      <c r="H31" s="353"/>
      <c r="I31" s="353"/>
      <c r="J31" s="353"/>
      <c r="K31" s="353"/>
      <c r="L31" s="354">
        <v>3.7499999999999999E-2</v>
      </c>
      <c r="N31" s="355">
        <v>5.0000000000000001E-3</v>
      </c>
      <c r="O31" s="353">
        <v>1.4999999999999999E-2</v>
      </c>
      <c r="P31" s="353">
        <v>3.875E-2</v>
      </c>
      <c r="Q31" s="354">
        <v>3.5000000000000003E-2</v>
      </c>
    </row>
    <row r="32" spans="1:17" x14ac:dyDescent="0.2">
      <c r="A32" s="350">
        <v>45017</v>
      </c>
      <c r="B32" s="351"/>
      <c r="C32" s="352"/>
      <c r="D32" s="359"/>
      <c r="E32" s="353"/>
      <c r="F32" s="353"/>
      <c r="G32" s="353"/>
      <c r="H32" s="353">
        <v>5.7500000000000002E-2</v>
      </c>
      <c r="I32" s="353"/>
      <c r="J32" s="353">
        <v>7.6249999999999998E-2</v>
      </c>
      <c r="K32" s="353"/>
      <c r="L32" s="354"/>
      <c r="N32" s="355"/>
      <c r="O32" s="353"/>
      <c r="P32" s="353"/>
      <c r="Q32" s="354"/>
    </row>
    <row r="33" spans="1:17" x14ac:dyDescent="0.2">
      <c r="A33" s="350">
        <v>45047</v>
      </c>
      <c r="B33" s="351"/>
      <c r="C33" s="352"/>
      <c r="D33" s="359"/>
      <c r="E33" s="353"/>
      <c r="F33" s="353">
        <v>8.7499999999999994E-2</v>
      </c>
      <c r="G33" s="353"/>
      <c r="H33" s="353"/>
      <c r="I33" s="353"/>
      <c r="J33" s="353"/>
      <c r="K33" s="353"/>
      <c r="L33" s="354"/>
      <c r="N33" s="355"/>
      <c r="O33" s="353"/>
      <c r="P33" s="353"/>
      <c r="Q33" s="354"/>
    </row>
    <row r="34" spans="1:17" x14ac:dyDescent="0.2">
      <c r="A34" s="350">
        <v>45078</v>
      </c>
      <c r="B34" s="351"/>
      <c r="C34" s="352"/>
      <c r="D34" s="359"/>
      <c r="E34" s="353"/>
      <c r="F34" s="353"/>
      <c r="G34" s="353">
        <v>7.8750000000000001E-2</v>
      </c>
      <c r="H34" s="353"/>
      <c r="I34" s="353">
        <v>7.8750000000000001E-2</v>
      </c>
      <c r="J34" s="353"/>
      <c r="K34" s="353">
        <v>8.2799999999999999E-2</v>
      </c>
      <c r="L34" s="354"/>
      <c r="N34" s="355"/>
      <c r="O34" s="353"/>
      <c r="P34" s="353"/>
      <c r="Q34" s="354"/>
    </row>
    <row r="35" spans="1:17" x14ac:dyDescent="0.2">
      <c r="A35" s="350">
        <v>45108</v>
      </c>
      <c r="B35" s="351"/>
      <c r="C35" s="352"/>
      <c r="D35" s="359"/>
      <c r="E35" s="353"/>
      <c r="F35" s="353"/>
      <c r="G35" s="353"/>
      <c r="H35" s="353"/>
      <c r="I35" s="353"/>
      <c r="J35" s="353"/>
      <c r="K35" s="353"/>
      <c r="L35" s="354"/>
      <c r="N35" s="355"/>
      <c r="O35" s="353"/>
      <c r="P35" s="353"/>
      <c r="Q35" s="354"/>
    </row>
    <row r="36" spans="1:17" x14ac:dyDescent="0.2">
      <c r="A36" s="350">
        <v>45139</v>
      </c>
      <c r="B36" s="351"/>
      <c r="C36" s="352"/>
      <c r="D36" s="359"/>
      <c r="E36" s="353">
        <v>0.01</v>
      </c>
      <c r="F36" s="353"/>
      <c r="G36" s="353"/>
      <c r="H36" s="353"/>
      <c r="I36" s="353"/>
      <c r="J36" s="353"/>
      <c r="K36" s="353"/>
      <c r="L36" s="354"/>
      <c r="N36" s="355"/>
      <c r="O36" s="353"/>
      <c r="P36" s="353"/>
      <c r="Q36" s="354"/>
    </row>
    <row r="37" spans="1:17" x14ac:dyDescent="0.2">
      <c r="A37" s="350">
        <v>45170</v>
      </c>
      <c r="B37" s="351"/>
      <c r="C37" s="352"/>
      <c r="D37" s="359"/>
      <c r="E37" s="359"/>
      <c r="F37" s="353"/>
      <c r="G37" s="353"/>
      <c r="H37" s="353"/>
      <c r="I37" s="353"/>
      <c r="J37" s="353"/>
      <c r="K37" s="353"/>
      <c r="L37" s="354">
        <v>3.7499999999999999E-2</v>
      </c>
      <c r="N37" s="355">
        <v>5.0000000000000001E-3</v>
      </c>
      <c r="O37" s="353">
        <v>1.4999999999999999E-2</v>
      </c>
      <c r="P37" s="353">
        <v>3.875E-2</v>
      </c>
      <c r="Q37" s="354">
        <v>3.5000000000000003E-2</v>
      </c>
    </row>
    <row r="38" spans="1:17" x14ac:dyDescent="0.2">
      <c r="A38" s="350">
        <v>45200</v>
      </c>
      <c r="B38" s="351"/>
      <c r="C38" s="352"/>
      <c r="D38" s="359"/>
      <c r="E38" s="359"/>
      <c r="F38" s="353"/>
      <c r="G38" s="353"/>
      <c r="H38" s="353">
        <v>5.7500000000000002E-2</v>
      </c>
      <c r="I38" s="353"/>
      <c r="J38" s="353">
        <v>7.6249999999999998E-2</v>
      </c>
      <c r="K38" s="353"/>
      <c r="L38" s="354"/>
      <c r="N38" s="355"/>
      <c r="O38" s="353"/>
      <c r="P38" s="353"/>
      <c r="Q38" s="354"/>
    </row>
    <row r="39" spans="1:17" x14ac:dyDescent="0.2">
      <c r="A39" s="350">
        <v>45231</v>
      </c>
      <c r="B39" s="351"/>
      <c r="C39" s="352"/>
      <c r="D39" s="359"/>
      <c r="E39" s="359"/>
      <c r="F39" s="353">
        <v>8.7499999999999994E-2</v>
      </c>
      <c r="G39" s="353"/>
      <c r="H39" s="353"/>
      <c r="I39" s="353"/>
      <c r="J39" s="353"/>
      <c r="K39" s="353"/>
      <c r="L39" s="354"/>
      <c r="N39" s="355"/>
      <c r="O39" s="353"/>
      <c r="P39" s="353"/>
      <c r="Q39" s="354"/>
    </row>
    <row r="40" spans="1:17" x14ac:dyDescent="0.2">
      <c r="A40" s="350">
        <v>45261</v>
      </c>
      <c r="B40" s="351"/>
      <c r="C40" s="352"/>
      <c r="D40" s="359"/>
      <c r="E40" s="359"/>
      <c r="F40" s="353"/>
      <c r="G40" s="353">
        <v>7.8750000000000001E-2</v>
      </c>
      <c r="H40" s="353"/>
      <c r="I40" s="353">
        <v>7.8750000000000001E-2</v>
      </c>
      <c r="J40" s="353"/>
      <c r="K40" s="353">
        <v>8.2799999999999999E-2</v>
      </c>
      <c r="L40" s="354"/>
      <c r="N40" s="355"/>
      <c r="O40" s="353"/>
      <c r="P40" s="353"/>
      <c r="Q40" s="354"/>
    </row>
    <row r="41" spans="1:17" x14ac:dyDescent="0.2">
      <c r="A41" s="350">
        <v>45292</v>
      </c>
      <c r="B41" s="351"/>
      <c r="C41" s="352"/>
      <c r="D41" s="359"/>
      <c r="E41" s="359"/>
      <c r="F41" s="353"/>
      <c r="G41" s="353"/>
      <c r="H41" s="353"/>
      <c r="I41" s="353"/>
      <c r="J41" s="353"/>
      <c r="K41" s="353"/>
      <c r="L41" s="354"/>
      <c r="N41" s="355"/>
      <c r="O41" s="353"/>
      <c r="P41" s="353"/>
      <c r="Q41" s="354"/>
    </row>
    <row r="42" spans="1:17" x14ac:dyDescent="0.2">
      <c r="A42" s="350">
        <v>45323</v>
      </c>
      <c r="B42" s="351"/>
      <c r="C42" s="352"/>
      <c r="D42" s="359"/>
      <c r="E42" s="359"/>
      <c r="F42" s="353"/>
      <c r="G42" s="353"/>
      <c r="H42" s="353"/>
      <c r="I42" s="353"/>
      <c r="J42" s="353"/>
      <c r="K42" s="353"/>
      <c r="L42" s="354"/>
      <c r="N42" s="355"/>
      <c r="O42" s="353"/>
      <c r="P42" s="353"/>
      <c r="Q42" s="354"/>
    </row>
    <row r="43" spans="1:17" x14ac:dyDescent="0.2">
      <c r="A43" s="350">
        <v>45352</v>
      </c>
      <c r="B43" s="351"/>
      <c r="C43" s="352"/>
      <c r="D43" s="359"/>
      <c r="E43" s="359"/>
      <c r="F43" s="353"/>
      <c r="G43" s="353"/>
      <c r="H43" s="353"/>
      <c r="I43" s="353"/>
      <c r="J43" s="353"/>
      <c r="K43" s="353"/>
      <c r="L43" s="354">
        <v>3.7499999999999999E-2</v>
      </c>
      <c r="N43" s="355">
        <v>7.4999999999999997E-3</v>
      </c>
      <c r="O43" s="353">
        <v>3.6249999999999998E-2</v>
      </c>
      <c r="P43" s="353">
        <v>4.2500000000000003E-2</v>
      </c>
      <c r="Q43" s="354">
        <v>3.5000000000000003E-2</v>
      </c>
    </row>
    <row r="44" spans="1:17" x14ac:dyDescent="0.2">
      <c r="A44" s="350">
        <v>45383</v>
      </c>
      <c r="B44" s="351"/>
      <c r="C44" s="352"/>
      <c r="D44" s="359"/>
      <c r="E44" s="359"/>
      <c r="F44" s="353"/>
      <c r="G44" s="353"/>
      <c r="H44" s="353">
        <v>5.7500000000000002E-2</v>
      </c>
      <c r="I44" s="353"/>
      <c r="J44" s="353">
        <v>7.6249999999999998E-2</v>
      </c>
      <c r="K44" s="353"/>
      <c r="L44" s="354"/>
      <c r="N44" s="355"/>
      <c r="O44" s="353"/>
      <c r="P44" s="353"/>
      <c r="Q44" s="354"/>
    </row>
    <row r="45" spans="1:17" x14ac:dyDescent="0.2">
      <c r="A45" s="350">
        <v>45413</v>
      </c>
      <c r="B45" s="351"/>
      <c r="C45" s="352"/>
      <c r="D45" s="359"/>
      <c r="E45" s="359"/>
      <c r="F45" s="353">
        <v>8.7499999999999994E-2</v>
      </c>
      <c r="G45" s="353"/>
      <c r="H45" s="353"/>
      <c r="I45" s="353"/>
      <c r="J45" s="353"/>
      <c r="K45" s="353"/>
      <c r="L45" s="354"/>
      <c r="N45" s="355"/>
      <c r="O45" s="353"/>
      <c r="P45" s="353"/>
      <c r="Q45" s="354"/>
    </row>
    <row r="46" spans="1:17" x14ac:dyDescent="0.2">
      <c r="A46" s="350">
        <v>45444</v>
      </c>
      <c r="B46" s="351"/>
      <c r="C46" s="352"/>
      <c r="D46" s="359"/>
      <c r="E46" s="359"/>
      <c r="F46" s="359"/>
      <c r="G46" s="353">
        <v>7.8750000000000001E-2</v>
      </c>
      <c r="H46" s="353"/>
      <c r="I46" s="353">
        <v>7.8750000000000001E-2</v>
      </c>
      <c r="J46" s="353"/>
      <c r="K46" s="353">
        <v>8.2799999999999999E-2</v>
      </c>
      <c r="L46" s="354"/>
      <c r="N46" s="355"/>
      <c r="O46" s="353"/>
      <c r="P46" s="353"/>
      <c r="Q46" s="354"/>
    </row>
    <row r="47" spans="1:17" x14ac:dyDescent="0.2">
      <c r="A47" s="350">
        <v>45474</v>
      </c>
      <c r="B47" s="351"/>
      <c r="C47" s="352"/>
      <c r="D47" s="359"/>
      <c r="E47" s="359"/>
      <c r="F47" s="359"/>
      <c r="G47" s="353"/>
      <c r="H47" s="353"/>
      <c r="I47" s="353"/>
      <c r="J47" s="353"/>
      <c r="K47" s="353"/>
      <c r="L47" s="354"/>
      <c r="N47" s="355"/>
      <c r="O47" s="353"/>
      <c r="P47" s="353"/>
      <c r="Q47" s="354"/>
    </row>
    <row r="48" spans="1:17" x14ac:dyDescent="0.2">
      <c r="A48" s="350">
        <v>45505</v>
      </c>
      <c r="B48" s="351"/>
      <c r="C48" s="352"/>
      <c r="D48" s="359"/>
      <c r="E48" s="359"/>
      <c r="F48" s="359"/>
      <c r="G48" s="353"/>
      <c r="H48" s="353"/>
      <c r="I48" s="353"/>
      <c r="J48" s="353"/>
      <c r="K48" s="353"/>
      <c r="L48" s="354"/>
      <c r="N48" s="355"/>
      <c r="O48" s="353"/>
      <c r="P48" s="353"/>
      <c r="Q48" s="354"/>
    </row>
    <row r="49" spans="1:17" x14ac:dyDescent="0.2">
      <c r="A49" s="350">
        <v>45536</v>
      </c>
      <c r="B49" s="351"/>
      <c r="C49" s="352"/>
      <c r="D49" s="359"/>
      <c r="E49" s="359"/>
      <c r="F49" s="359"/>
      <c r="G49" s="353"/>
      <c r="H49" s="353"/>
      <c r="I49" s="353"/>
      <c r="J49" s="353"/>
      <c r="K49" s="353"/>
      <c r="L49" s="354">
        <v>3.7499999999999999E-2</v>
      </c>
      <c r="N49" s="355">
        <v>7.4999999999999997E-3</v>
      </c>
      <c r="O49" s="353">
        <v>3.6249999999999998E-2</v>
      </c>
      <c r="P49" s="353">
        <v>4.2500000000000003E-2</v>
      </c>
      <c r="Q49" s="354">
        <v>3.5000000000000003E-2</v>
      </c>
    </row>
    <row r="50" spans="1:17" x14ac:dyDescent="0.2">
      <c r="A50" s="350">
        <v>45566</v>
      </c>
      <c r="B50" s="351"/>
      <c r="C50" s="352"/>
      <c r="D50" s="359"/>
      <c r="E50" s="359"/>
      <c r="F50" s="359"/>
      <c r="G50" s="353"/>
      <c r="H50" s="353">
        <v>5.7500000000000002E-2</v>
      </c>
      <c r="I50" s="353"/>
      <c r="J50" s="353">
        <v>7.6249999999999998E-2</v>
      </c>
      <c r="K50" s="353"/>
      <c r="L50" s="354"/>
      <c r="N50" s="355"/>
      <c r="O50" s="353"/>
      <c r="P50" s="353"/>
      <c r="Q50" s="354"/>
    </row>
    <row r="51" spans="1:17" x14ac:dyDescent="0.2">
      <c r="A51" s="350">
        <v>45597</v>
      </c>
      <c r="B51" s="351"/>
      <c r="C51" s="352"/>
      <c r="D51" s="359"/>
      <c r="E51" s="359"/>
      <c r="F51" s="359"/>
      <c r="G51" s="353"/>
      <c r="H51" s="353"/>
      <c r="I51" s="353"/>
      <c r="J51" s="353"/>
      <c r="K51" s="353"/>
      <c r="L51" s="354"/>
      <c r="N51" s="355"/>
      <c r="O51" s="353"/>
      <c r="P51" s="353"/>
      <c r="Q51" s="354"/>
    </row>
    <row r="52" spans="1:17" x14ac:dyDescent="0.2">
      <c r="A52" s="350">
        <v>45627</v>
      </c>
      <c r="B52" s="351"/>
      <c r="C52" s="352"/>
      <c r="D52" s="359"/>
      <c r="E52" s="359"/>
      <c r="F52" s="359"/>
      <c r="G52" s="353">
        <v>7.8750000000000001E-2</v>
      </c>
      <c r="H52" s="353"/>
      <c r="I52" s="353">
        <v>7.8750000000000001E-2</v>
      </c>
      <c r="J52" s="353"/>
      <c r="K52" s="353">
        <v>8.2799999999999999E-2</v>
      </c>
      <c r="L52" s="354"/>
      <c r="N52" s="355"/>
      <c r="O52" s="353"/>
      <c r="P52" s="353"/>
      <c r="Q52" s="354"/>
    </row>
    <row r="53" spans="1:17" x14ac:dyDescent="0.2">
      <c r="A53" s="350">
        <v>45658</v>
      </c>
      <c r="B53" s="351"/>
      <c r="C53" s="352"/>
      <c r="D53" s="359"/>
      <c r="E53" s="359"/>
      <c r="F53" s="359"/>
      <c r="G53" s="353"/>
      <c r="H53" s="353"/>
      <c r="I53" s="353"/>
      <c r="J53" s="353"/>
      <c r="K53" s="353"/>
      <c r="L53" s="354"/>
      <c r="N53" s="355"/>
      <c r="O53" s="353"/>
      <c r="P53" s="353"/>
      <c r="Q53" s="354"/>
    </row>
    <row r="54" spans="1:17" x14ac:dyDescent="0.2">
      <c r="A54" s="350">
        <v>45689</v>
      </c>
      <c r="B54" s="351"/>
      <c r="C54" s="352"/>
      <c r="D54" s="359"/>
      <c r="E54" s="359"/>
      <c r="F54" s="359"/>
      <c r="G54" s="353"/>
      <c r="H54" s="353"/>
      <c r="I54" s="353"/>
      <c r="J54" s="353"/>
      <c r="K54" s="353"/>
      <c r="L54" s="354"/>
      <c r="N54" s="355"/>
      <c r="O54" s="353"/>
      <c r="P54" s="353"/>
      <c r="Q54" s="354"/>
    </row>
    <row r="55" spans="1:17" x14ac:dyDescent="0.2">
      <c r="A55" s="350">
        <v>45717</v>
      </c>
      <c r="B55" s="351"/>
      <c r="C55" s="352"/>
      <c r="D55" s="359"/>
      <c r="E55" s="359"/>
      <c r="F55" s="359"/>
      <c r="G55" s="353"/>
      <c r="H55" s="353"/>
      <c r="I55" s="353"/>
      <c r="J55" s="353"/>
      <c r="K55" s="353"/>
      <c r="L55" s="354">
        <v>3.7499999999999999E-2</v>
      </c>
      <c r="N55" s="355">
        <v>7.4999999999999997E-3</v>
      </c>
      <c r="O55" s="353">
        <v>4.1250000000000002E-2</v>
      </c>
      <c r="P55" s="353">
        <v>0.05</v>
      </c>
      <c r="Q55" s="354">
        <v>3.5000000000000003E-2</v>
      </c>
    </row>
    <row r="56" spans="1:17" x14ac:dyDescent="0.2">
      <c r="A56" s="350">
        <v>45748</v>
      </c>
      <c r="B56" s="351"/>
      <c r="C56" s="352"/>
      <c r="D56" s="359"/>
      <c r="E56" s="359"/>
      <c r="F56" s="359"/>
      <c r="G56" s="353"/>
      <c r="H56" s="353">
        <v>5.7500000000000002E-2</v>
      </c>
      <c r="I56" s="353"/>
      <c r="J56" s="353">
        <v>7.6249999999999998E-2</v>
      </c>
      <c r="K56" s="353"/>
      <c r="L56" s="354"/>
      <c r="N56" s="355"/>
      <c r="O56" s="353"/>
      <c r="P56" s="353"/>
      <c r="Q56" s="354"/>
    </row>
    <row r="57" spans="1:17" x14ac:dyDescent="0.2">
      <c r="A57" s="350">
        <v>45778</v>
      </c>
      <c r="B57" s="351"/>
      <c r="C57" s="352"/>
      <c r="D57" s="359"/>
      <c r="E57" s="359"/>
      <c r="F57" s="359"/>
      <c r="G57" s="353"/>
      <c r="H57" s="359"/>
      <c r="I57" s="353"/>
      <c r="J57" s="353"/>
      <c r="K57" s="353"/>
      <c r="L57" s="354"/>
      <c r="N57" s="355"/>
      <c r="O57" s="353"/>
      <c r="P57" s="353"/>
      <c r="Q57" s="354"/>
    </row>
    <row r="58" spans="1:17" x14ac:dyDescent="0.2">
      <c r="A58" s="350">
        <v>45809</v>
      </c>
      <c r="B58" s="351"/>
      <c r="C58" s="352"/>
      <c r="D58" s="359"/>
      <c r="E58" s="359"/>
      <c r="F58" s="359"/>
      <c r="G58" s="353">
        <v>7.8750000000000001E-2</v>
      </c>
      <c r="H58" s="359"/>
      <c r="I58" s="353">
        <v>7.8750000000000001E-2</v>
      </c>
      <c r="J58" s="353"/>
      <c r="K58" s="353">
        <v>8.2799999999999999E-2</v>
      </c>
      <c r="L58" s="354"/>
      <c r="N58" s="355"/>
      <c r="O58" s="353"/>
      <c r="P58" s="353"/>
      <c r="Q58" s="354"/>
    </row>
    <row r="59" spans="1:17" x14ac:dyDescent="0.2">
      <c r="A59" s="350">
        <v>45839</v>
      </c>
      <c r="B59" s="351"/>
      <c r="C59" s="352"/>
      <c r="D59" s="359"/>
      <c r="E59" s="359"/>
      <c r="F59" s="359"/>
      <c r="G59" s="353"/>
      <c r="H59" s="359"/>
      <c r="I59" s="353"/>
      <c r="J59" s="353"/>
      <c r="K59" s="353"/>
      <c r="L59" s="354"/>
      <c r="N59" s="355"/>
      <c r="O59" s="353"/>
      <c r="P59" s="353"/>
      <c r="Q59" s="354"/>
    </row>
    <row r="60" spans="1:17" x14ac:dyDescent="0.2">
      <c r="A60" s="350">
        <v>45870</v>
      </c>
      <c r="B60" s="351"/>
      <c r="C60" s="352"/>
      <c r="D60" s="359"/>
      <c r="E60" s="359"/>
      <c r="F60" s="359"/>
      <c r="G60" s="353"/>
      <c r="H60" s="359"/>
      <c r="I60" s="353"/>
      <c r="J60" s="353"/>
      <c r="K60" s="353"/>
      <c r="L60" s="354"/>
      <c r="N60" s="355"/>
      <c r="O60" s="353"/>
      <c r="P60" s="353"/>
      <c r="Q60" s="354"/>
    </row>
    <row r="61" spans="1:17" x14ac:dyDescent="0.2">
      <c r="A61" s="350">
        <v>45901</v>
      </c>
      <c r="B61" s="351"/>
      <c r="C61" s="352"/>
      <c r="D61" s="359"/>
      <c r="E61" s="359"/>
      <c r="F61" s="359"/>
      <c r="G61" s="353"/>
      <c r="H61" s="359"/>
      <c r="I61" s="353"/>
      <c r="J61" s="353"/>
      <c r="K61" s="353"/>
      <c r="L61" s="354">
        <v>3.7499999999999999E-2</v>
      </c>
      <c r="N61" s="355">
        <v>7.4999999999999997E-3</v>
      </c>
      <c r="O61" s="353">
        <v>4.1250000000000002E-2</v>
      </c>
      <c r="P61" s="353">
        <v>0.05</v>
      </c>
      <c r="Q61" s="354">
        <v>3.5000000000000003E-2</v>
      </c>
    </row>
    <row r="62" spans="1:17" x14ac:dyDescent="0.2">
      <c r="A62" s="350">
        <v>45931</v>
      </c>
      <c r="B62" s="351"/>
      <c r="C62" s="352"/>
      <c r="D62" s="359"/>
      <c r="E62" s="359"/>
      <c r="F62" s="359"/>
      <c r="G62" s="353"/>
      <c r="H62" s="359"/>
      <c r="I62" s="353"/>
      <c r="J62" s="353">
        <v>7.6249999999999998E-2</v>
      </c>
      <c r="K62" s="353"/>
      <c r="L62" s="354"/>
      <c r="N62" s="355"/>
      <c r="O62" s="353"/>
      <c r="P62" s="353"/>
      <c r="Q62" s="354"/>
    </row>
    <row r="63" spans="1:17" x14ac:dyDescent="0.2">
      <c r="A63" s="350">
        <v>45962</v>
      </c>
      <c r="B63" s="351"/>
      <c r="C63" s="352"/>
      <c r="D63" s="359"/>
      <c r="E63" s="359"/>
      <c r="F63" s="359"/>
      <c r="G63" s="353"/>
      <c r="H63" s="359"/>
      <c r="I63" s="353"/>
      <c r="J63" s="353"/>
      <c r="K63" s="353"/>
      <c r="L63" s="354"/>
      <c r="N63" s="355"/>
      <c r="O63" s="353"/>
      <c r="P63" s="353"/>
      <c r="Q63" s="354"/>
    </row>
    <row r="64" spans="1:17" x14ac:dyDescent="0.2">
      <c r="A64" s="350">
        <v>45992</v>
      </c>
      <c r="B64" s="351"/>
      <c r="C64" s="352"/>
      <c r="D64" s="359"/>
      <c r="E64" s="359"/>
      <c r="F64" s="359"/>
      <c r="G64" s="353">
        <v>7.8750000000000001E-2</v>
      </c>
      <c r="H64" s="359"/>
      <c r="I64" s="353">
        <v>7.8750000000000001E-2</v>
      </c>
      <c r="J64" s="353"/>
      <c r="K64" s="353">
        <v>8.2799999999999999E-2</v>
      </c>
      <c r="L64" s="354"/>
      <c r="N64" s="355"/>
      <c r="O64" s="353"/>
      <c r="P64" s="353"/>
      <c r="Q64" s="354"/>
    </row>
    <row r="65" spans="1:17" x14ac:dyDescent="0.2">
      <c r="A65" s="350">
        <v>46023</v>
      </c>
      <c r="B65" s="351"/>
      <c r="C65" s="352"/>
      <c r="D65" s="359"/>
      <c r="E65" s="359"/>
      <c r="F65" s="359"/>
      <c r="G65" s="359"/>
      <c r="H65" s="359"/>
      <c r="I65" s="353"/>
      <c r="J65" s="353"/>
      <c r="K65" s="353"/>
      <c r="L65" s="354"/>
      <c r="N65" s="355"/>
      <c r="O65" s="353"/>
      <c r="P65" s="353"/>
      <c r="Q65" s="354"/>
    </row>
    <row r="66" spans="1:17" x14ac:dyDescent="0.2">
      <c r="A66" s="350">
        <v>46054</v>
      </c>
      <c r="B66" s="351"/>
      <c r="C66" s="352"/>
      <c r="D66" s="359"/>
      <c r="E66" s="359"/>
      <c r="F66" s="359"/>
      <c r="G66" s="359"/>
      <c r="H66" s="359"/>
      <c r="I66" s="353"/>
      <c r="J66" s="353"/>
      <c r="K66" s="353"/>
      <c r="L66" s="354"/>
      <c r="N66" s="355"/>
      <c r="O66" s="353"/>
      <c r="P66" s="353"/>
      <c r="Q66" s="354"/>
    </row>
    <row r="67" spans="1:17" x14ac:dyDescent="0.2">
      <c r="A67" s="350">
        <v>46082</v>
      </c>
      <c r="B67" s="351"/>
      <c r="C67" s="352"/>
      <c r="D67" s="359"/>
      <c r="E67" s="359"/>
      <c r="F67" s="359"/>
      <c r="G67" s="359"/>
      <c r="H67" s="359"/>
      <c r="I67" s="353"/>
      <c r="J67" s="353"/>
      <c r="K67" s="353"/>
      <c r="L67" s="354">
        <v>3.7499999999999999E-2</v>
      </c>
      <c r="N67" s="355">
        <v>7.4999999999999997E-3</v>
      </c>
      <c r="O67" s="353">
        <v>4.1250000000000002E-2</v>
      </c>
      <c r="P67" s="353">
        <v>0.05</v>
      </c>
      <c r="Q67" s="354">
        <v>3.5000000000000003E-2</v>
      </c>
    </row>
    <row r="68" spans="1:17" x14ac:dyDescent="0.2">
      <c r="A68" s="350">
        <v>46113</v>
      </c>
      <c r="B68" s="351"/>
      <c r="C68" s="352"/>
      <c r="D68" s="359"/>
      <c r="E68" s="359"/>
      <c r="F68" s="359"/>
      <c r="G68" s="359"/>
      <c r="H68" s="359"/>
      <c r="I68" s="353"/>
      <c r="J68" s="353">
        <v>7.6249999999999998E-2</v>
      </c>
      <c r="K68" s="353"/>
      <c r="L68" s="354"/>
      <c r="N68" s="355"/>
      <c r="O68" s="353"/>
      <c r="P68" s="353"/>
      <c r="Q68" s="354"/>
    </row>
    <row r="69" spans="1:17" x14ac:dyDescent="0.2">
      <c r="A69" s="350">
        <v>46143</v>
      </c>
      <c r="B69" s="351"/>
      <c r="C69" s="352"/>
      <c r="D69" s="359"/>
      <c r="E69" s="359"/>
      <c r="F69" s="359"/>
      <c r="G69" s="359"/>
      <c r="H69" s="359"/>
      <c r="I69" s="353"/>
      <c r="J69" s="353"/>
      <c r="K69" s="353"/>
      <c r="L69" s="354"/>
      <c r="N69" s="355"/>
      <c r="O69" s="353"/>
      <c r="P69" s="353"/>
      <c r="Q69" s="354"/>
    </row>
    <row r="70" spans="1:17" x14ac:dyDescent="0.2">
      <c r="A70" s="350">
        <v>46174</v>
      </c>
      <c r="B70" s="351"/>
      <c r="C70" s="352"/>
      <c r="D70" s="359"/>
      <c r="E70" s="359"/>
      <c r="F70" s="359"/>
      <c r="G70" s="359"/>
      <c r="H70" s="359"/>
      <c r="I70" s="353">
        <v>7.8750000000000001E-2</v>
      </c>
      <c r="J70" s="353"/>
      <c r="K70" s="353">
        <v>8.2799999999999999E-2</v>
      </c>
      <c r="L70" s="354"/>
      <c r="N70" s="355"/>
      <c r="O70" s="353"/>
      <c r="P70" s="353"/>
      <c r="Q70" s="354"/>
    </row>
    <row r="71" spans="1:17" x14ac:dyDescent="0.2">
      <c r="A71" s="350">
        <v>46204</v>
      </c>
      <c r="B71" s="351"/>
      <c r="C71" s="352"/>
      <c r="D71" s="359"/>
      <c r="E71" s="359"/>
      <c r="F71" s="359"/>
      <c r="G71" s="359"/>
      <c r="H71" s="359"/>
      <c r="I71" s="353"/>
      <c r="J71" s="353"/>
      <c r="K71" s="353"/>
      <c r="L71" s="354"/>
      <c r="N71" s="355"/>
      <c r="O71" s="353"/>
      <c r="P71" s="353"/>
      <c r="Q71" s="354"/>
    </row>
    <row r="72" spans="1:17" x14ac:dyDescent="0.2">
      <c r="A72" s="350">
        <v>46235</v>
      </c>
      <c r="B72" s="351"/>
      <c r="C72" s="352"/>
      <c r="D72" s="359"/>
      <c r="E72" s="359"/>
      <c r="F72" s="359"/>
      <c r="G72" s="359"/>
      <c r="H72" s="359"/>
      <c r="I72" s="353"/>
      <c r="J72" s="353"/>
      <c r="K72" s="353"/>
      <c r="L72" s="354"/>
      <c r="N72" s="355"/>
      <c r="O72" s="353"/>
      <c r="P72" s="353"/>
      <c r="Q72" s="354"/>
    </row>
    <row r="73" spans="1:17" x14ac:dyDescent="0.2">
      <c r="A73" s="350">
        <v>46266</v>
      </c>
      <c r="B73" s="351"/>
      <c r="C73" s="352"/>
      <c r="D73" s="359"/>
      <c r="E73" s="359"/>
      <c r="F73" s="359"/>
      <c r="G73" s="359"/>
      <c r="H73" s="359"/>
      <c r="I73" s="353"/>
      <c r="J73" s="353"/>
      <c r="K73" s="353"/>
      <c r="L73" s="354">
        <v>3.7499999999999999E-2</v>
      </c>
      <c r="N73" s="355">
        <v>7.4999999999999997E-3</v>
      </c>
      <c r="O73" s="353">
        <v>4.1250000000000002E-2</v>
      </c>
      <c r="P73" s="353">
        <v>0.05</v>
      </c>
      <c r="Q73" s="354">
        <v>3.5000000000000003E-2</v>
      </c>
    </row>
    <row r="74" spans="1:17" x14ac:dyDescent="0.2">
      <c r="A74" s="350">
        <v>46296</v>
      </c>
      <c r="B74" s="351"/>
      <c r="C74" s="352"/>
      <c r="D74" s="359"/>
      <c r="E74" s="359"/>
      <c r="F74" s="359"/>
      <c r="G74" s="359"/>
      <c r="H74" s="359"/>
      <c r="I74" s="353"/>
      <c r="J74" s="353">
        <v>7.6249999999999998E-2</v>
      </c>
      <c r="K74" s="353"/>
      <c r="L74" s="354"/>
      <c r="N74" s="355"/>
      <c r="O74" s="353"/>
      <c r="P74" s="353"/>
      <c r="Q74" s="354"/>
    </row>
    <row r="75" spans="1:17" x14ac:dyDescent="0.2">
      <c r="A75" s="350">
        <v>46327</v>
      </c>
      <c r="B75" s="351"/>
      <c r="C75" s="352"/>
      <c r="D75" s="359"/>
      <c r="E75" s="359"/>
      <c r="F75" s="359"/>
      <c r="G75" s="359"/>
      <c r="H75" s="359"/>
      <c r="I75" s="353"/>
      <c r="J75" s="353"/>
      <c r="K75" s="353"/>
      <c r="L75" s="354"/>
      <c r="N75" s="355"/>
      <c r="O75" s="353"/>
      <c r="P75" s="353"/>
      <c r="Q75" s="354"/>
    </row>
    <row r="76" spans="1:17" x14ac:dyDescent="0.2">
      <c r="A76" s="350">
        <v>46357</v>
      </c>
      <c r="B76" s="351"/>
      <c r="C76" s="352"/>
      <c r="D76" s="359"/>
      <c r="E76" s="359"/>
      <c r="F76" s="359"/>
      <c r="G76" s="359"/>
      <c r="H76" s="359"/>
      <c r="I76" s="353">
        <v>7.8750000000000001E-2</v>
      </c>
      <c r="J76" s="353"/>
      <c r="K76" s="353">
        <v>8.2799999999999999E-2</v>
      </c>
      <c r="L76" s="354"/>
      <c r="N76" s="355"/>
      <c r="O76" s="353"/>
      <c r="P76" s="353"/>
      <c r="Q76" s="354"/>
    </row>
    <row r="77" spans="1:17" x14ac:dyDescent="0.2">
      <c r="A77" s="350">
        <v>46388</v>
      </c>
      <c r="B77" s="351"/>
      <c r="C77" s="352"/>
      <c r="D77" s="359"/>
      <c r="E77" s="359"/>
      <c r="F77" s="359"/>
      <c r="G77" s="359"/>
      <c r="H77" s="359"/>
      <c r="I77" s="353"/>
      <c r="J77" s="353"/>
      <c r="K77" s="353"/>
      <c r="L77" s="354"/>
      <c r="N77" s="355"/>
      <c r="O77" s="353"/>
      <c r="P77" s="353"/>
      <c r="Q77" s="354"/>
    </row>
    <row r="78" spans="1:17" x14ac:dyDescent="0.2">
      <c r="A78" s="350">
        <v>46419</v>
      </c>
      <c r="B78" s="351"/>
      <c r="C78" s="352"/>
      <c r="D78" s="359"/>
      <c r="E78" s="359"/>
      <c r="F78" s="359"/>
      <c r="G78" s="359"/>
      <c r="H78" s="359"/>
      <c r="I78" s="353"/>
      <c r="J78" s="353"/>
      <c r="K78" s="353"/>
      <c r="L78" s="354"/>
      <c r="N78" s="355"/>
      <c r="O78" s="353"/>
      <c r="P78" s="353"/>
      <c r="Q78" s="354"/>
    </row>
    <row r="79" spans="1:17" x14ac:dyDescent="0.2">
      <c r="A79" s="350">
        <v>46447</v>
      </c>
      <c r="B79" s="351"/>
      <c r="C79" s="352"/>
      <c r="D79" s="359"/>
      <c r="E79" s="359"/>
      <c r="F79" s="359"/>
      <c r="G79" s="359"/>
      <c r="H79" s="359"/>
      <c r="I79" s="353"/>
      <c r="J79" s="353"/>
      <c r="K79" s="353"/>
      <c r="L79" s="354">
        <v>3.7499999999999999E-2</v>
      </c>
      <c r="N79" s="355">
        <v>7.4999999999999997E-3</v>
      </c>
      <c r="O79" s="353">
        <v>4.1250000000000002E-2</v>
      </c>
      <c r="P79" s="353">
        <v>0.05</v>
      </c>
      <c r="Q79" s="354">
        <v>3.5000000000000003E-2</v>
      </c>
    </row>
    <row r="80" spans="1:17" x14ac:dyDescent="0.2">
      <c r="A80" s="350">
        <v>46478</v>
      </c>
      <c r="B80" s="351"/>
      <c r="C80" s="352"/>
      <c r="D80" s="359"/>
      <c r="E80" s="359"/>
      <c r="F80" s="359"/>
      <c r="G80" s="359"/>
      <c r="H80" s="359"/>
      <c r="I80" s="353"/>
      <c r="J80" s="353">
        <v>7.6249999999999998E-2</v>
      </c>
      <c r="K80" s="353"/>
      <c r="L80" s="354"/>
      <c r="N80" s="355"/>
      <c r="O80" s="353"/>
      <c r="P80" s="353"/>
      <c r="Q80" s="354"/>
    </row>
    <row r="81" spans="1:17" x14ac:dyDescent="0.2">
      <c r="A81" s="350">
        <v>46508</v>
      </c>
      <c r="B81" s="351"/>
      <c r="C81" s="352"/>
      <c r="D81" s="359"/>
      <c r="E81" s="359"/>
      <c r="F81" s="359"/>
      <c r="G81" s="359"/>
      <c r="H81" s="359"/>
      <c r="I81" s="353"/>
      <c r="J81" s="353"/>
      <c r="K81" s="353"/>
      <c r="L81" s="354"/>
      <c r="N81" s="355"/>
      <c r="O81" s="353"/>
      <c r="P81" s="353"/>
      <c r="Q81" s="354"/>
    </row>
    <row r="82" spans="1:17" x14ac:dyDescent="0.2">
      <c r="A82" s="350">
        <v>46539</v>
      </c>
      <c r="B82" s="351"/>
      <c r="C82" s="352"/>
      <c r="D82" s="359"/>
      <c r="E82" s="359"/>
      <c r="F82" s="359"/>
      <c r="G82" s="359"/>
      <c r="H82" s="359"/>
      <c r="I82" s="353">
        <v>7.8750000000000001E-2</v>
      </c>
      <c r="J82" s="353"/>
      <c r="K82" s="353">
        <v>8.2799999999999999E-2</v>
      </c>
      <c r="L82" s="354"/>
      <c r="N82" s="355"/>
      <c r="O82" s="353"/>
      <c r="P82" s="353"/>
      <c r="Q82" s="354"/>
    </row>
    <row r="83" spans="1:17" x14ac:dyDescent="0.2">
      <c r="A83" s="350">
        <v>46569</v>
      </c>
      <c r="B83" s="351"/>
      <c r="C83" s="352"/>
      <c r="D83" s="359"/>
      <c r="E83" s="359"/>
      <c r="F83" s="359"/>
      <c r="G83" s="359"/>
      <c r="H83" s="359"/>
      <c r="I83" s="353"/>
      <c r="J83" s="353"/>
      <c r="K83" s="353"/>
      <c r="L83" s="354"/>
      <c r="N83" s="355"/>
      <c r="O83" s="353"/>
      <c r="P83" s="353"/>
      <c r="Q83" s="354"/>
    </row>
    <row r="84" spans="1:17" x14ac:dyDescent="0.2">
      <c r="A84" s="350">
        <v>46600</v>
      </c>
      <c r="B84" s="351"/>
      <c r="C84" s="352"/>
      <c r="D84" s="359"/>
      <c r="E84" s="359"/>
      <c r="F84" s="359"/>
      <c r="G84" s="359"/>
      <c r="H84" s="359"/>
      <c r="I84" s="353"/>
      <c r="J84" s="353"/>
      <c r="K84" s="353"/>
      <c r="L84" s="354"/>
      <c r="N84" s="355"/>
      <c r="O84" s="353"/>
      <c r="P84" s="353"/>
      <c r="Q84" s="354"/>
    </row>
    <row r="85" spans="1:17" x14ac:dyDescent="0.2">
      <c r="A85" s="350">
        <v>46631</v>
      </c>
      <c r="B85" s="351"/>
      <c r="C85" s="352"/>
      <c r="D85" s="359"/>
      <c r="E85" s="359"/>
      <c r="F85" s="359"/>
      <c r="G85" s="359"/>
      <c r="H85" s="359"/>
      <c r="I85" s="353"/>
      <c r="J85" s="353"/>
      <c r="K85" s="353"/>
      <c r="L85" s="354">
        <v>3.7499999999999999E-2</v>
      </c>
      <c r="N85" s="355">
        <v>7.4999999999999997E-3</v>
      </c>
      <c r="O85" s="353">
        <v>4.1250000000000002E-2</v>
      </c>
      <c r="P85" s="353">
        <v>0.05</v>
      </c>
      <c r="Q85" s="354">
        <v>3.5000000000000003E-2</v>
      </c>
    </row>
    <row r="86" spans="1:17" x14ac:dyDescent="0.2">
      <c r="A86" s="350">
        <v>46661</v>
      </c>
      <c r="B86" s="351"/>
      <c r="C86" s="352"/>
      <c r="D86" s="359"/>
      <c r="E86" s="359"/>
      <c r="F86" s="359"/>
      <c r="G86" s="359"/>
      <c r="H86" s="359"/>
      <c r="I86" s="353"/>
      <c r="J86" s="353">
        <v>7.6249999999999998E-2</v>
      </c>
      <c r="K86" s="353"/>
      <c r="L86" s="354"/>
      <c r="N86" s="355"/>
      <c r="O86" s="353"/>
      <c r="P86" s="353"/>
      <c r="Q86" s="354"/>
    </row>
    <row r="87" spans="1:17" x14ac:dyDescent="0.2">
      <c r="A87" s="350">
        <v>46692</v>
      </c>
      <c r="B87" s="351"/>
      <c r="C87" s="352"/>
      <c r="D87" s="359"/>
      <c r="E87" s="359"/>
      <c r="F87" s="359"/>
      <c r="G87" s="359"/>
      <c r="H87" s="359"/>
      <c r="I87" s="353"/>
      <c r="J87" s="353"/>
      <c r="K87" s="353"/>
      <c r="L87" s="354"/>
      <c r="N87" s="355"/>
      <c r="O87" s="353"/>
      <c r="P87" s="353"/>
      <c r="Q87" s="354"/>
    </row>
    <row r="88" spans="1:17" x14ac:dyDescent="0.2">
      <c r="A88" s="350">
        <v>46722</v>
      </c>
      <c r="B88" s="351"/>
      <c r="C88" s="352"/>
      <c r="D88" s="359"/>
      <c r="E88" s="359"/>
      <c r="F88" s="359"/>
      <c r="G88" s="359"/>
      <c r="H88" s="359"/>
      <c r="I88" s="353">
        <v>7.8750000000000001E-2</v>
      </c>
      <c r="J88" s="353"/>
      <c r="K88" s="353">
        <v>8.2799999999999999E-2</v>
      </c>
      <c r="L88" s="354"/>
      <c r="N88" s="355"/>
      <c r="O88" s="353"/>
      <c r="P88" s="353"/>
      <c r="Q88" s="354"/>
    </row>
    <row r="89" spans="1:17" x14ac:dyDescent="0.2">
      <c r="A89" s="350">
        <v>46753</v>
      </c>
      <c r="B89" s="351"/>
      <c r="C89" s="352"/>
      <c r="D89" s="359"/>
      <c r="E89" s="359"/>
      <c r="F89" s="359"/>
      <c r="G89" s="359"/>
      <c r="H89" s="359"/>
      <c r="I89" s="359"/>
      <c r="J89" s="353"/>
      <c r="K89" s="353"/>
      <c r="L89" s="354"/>
      <c r="N89" s="355"/>
      <c r="O89" s="353"/>
      <c r="P89" s="353"/>
      <c r="Q89" s="354"/>
    </row>
    <row r="90" spans="1:17" x14ac:dyDescent="0.2">
      <c r="A90" s="350">
        <v>46784</v>
      </c>
      <c r="B90" s="351"/>
      <c r="C90" s="352"/>
      <c r="D90" s="359"/>
      <c r="E90" s="359"/>
      <c r="F90" s="359"/>
      <c r="G90" s="359"/>
      <c r="H90" s="359"/>
      <c r="I90" s="359"/>
      <c r="J90" s="353"/>
      <c r="K90" s="353"/>
      <c r="L90" s="354"/>
      <c r="N90" s="355"/>
      <c r="O90" s="353"/>
      <c r="P90" s="353"/>
      <c r="Q90" s="354"/>
    </row>
    <row r="91" spans="1:17" x14ac:dyDescent="0.2">
      <c r="A91" s="350">
        <v>46813</v>
      </c>
      <c r="B91" s="351"/>
      <c r="C91" s="352"/>
      <c r="D91" s="359"/>
      <c r="E91" s="359"/>
      <c r="F91" s="359"/>
      <c r="G91" s="359"/>
      <c r="H91" s="359"/>
      <c r="I91" s="359"/>
      <c r="J91" s="353"/>
      <c r="K91" s="353"/>
      <c r="L91" s="354">
        <v>3.7499999999999999E-2</v>
      </c>
      <c r="N91" s="355">
        <v>1.7500000000000002E-2</v>
      </c>
      <c r="O91" s="353">
        <v>4.7500000000000001E-2</v>
      </c>
      <c r="P91" s="353">
        <v>0.05</v>
      </c>
      <c r="Q91" s="354">
        <v>3.5000000000000003E-2</v>
      </c>
    </row>
    <row r="92" spans="1:17" x14ac:dyDescent="0.2">
      <c r="A92" s="350">
        <v>46844</v>
      </c>
      <c r="B92" s="351"/>
      <c r="C92" s="352"/>
      <c r="D92" s="359"/>
      <c r="E92" s="359"/>
      <c r="F92" s="359"/>
      <c r="G92" s="359"/>
      <c r="H92" s="359"/>
      <c r="I92" s="359"/>
      <c r="J92" s="353">
        <v>7.6249999999999998E-2</v>
      </c>
      <c r="K92" s="353"/>
      <c r="L92" s="354"/>
      <c r="N92" s="355"/>
      <c r="O92" s="353"/>
      <c r="P92" s="353"/>
      <c r="Q92" s="354"/>
    </row>
    <row r="93" spans="1:17" x14ac:dyDescent="0.2">
      <c r="A93" s="350">
        <v>46874</v>
      </c>
      <c r="B93" s="351"/>
      <c r="C93" s="352"/>
      <c r="D93" s="359"/>
      <c r="E93" s="359"/>
      <c r="F93" s="359"/>
      <c r="G93" s="359"/>
      <c r="H93" s="359"/>
      <c r="I93" s="359"/>
      <c r="J93" s="353"/>
      <c r="K93" s="353"/>
      <c r="L93" s="354"/>
      <c r="N93" s="355"/>
      <c r="O93" s="353"/>
      <c r="P93" s="353"/>
      <c r="Q93" s="354"/>
    </row>
    <row r="94" spans="1:17" x14ac:dyDescent="0.2">
      <c r="A94" s="350">
        <v>46905</v>
      </c>
      <c r="B94" s="351"/>
      <c r="C94" s="352"/>
      <c r="D94" s="359"/>
      <c r="E94" s="359"/>
      <c r="F94" s="359"/>
      <c r="G94" s="359"/>
      <c r="H94" s="359"/>
      <c r="I94" s="359"/>
      <c r="J94" s="353"/>
      <c r="K94" s="353">
        <v>8.2799999999999999E-2</v>
      </c>
      <c r="L94" s="354"/>
      <c r="N94" s="355"/>
      <c r="O94" s="353"/>
      <c r="P94" s="353"/>
      <c r="Q94" s="354"/>
    </row>
    <row r="95" spans="1:17" x14ac:dyDescent="0.2">
      <c r="A95" s="350">
        <v>46935</v>
      </c>
      <c r="B95" s="351"/>
      <c r="C95" s="352"/>
      <c r="D95" s="359"/>
      <c r="E95" s="359"/>
      <c r="F95" s="359"/>
      <c r="G95" s="359"/>
      <c r="H95" s="359"/>
      <c r="I95" s="359"/>
      <c r="J95" s="353"/>
      <c r="K95" s="353"/>
      <c r="L95" s="354"/>
      <c r="N95" s="355"/>
      <c r="O95" s="353"/>
      <c r="P95" s="353"/>
      <c r="Q95" s="354"/>
    </row>
    <row r="96" spans="1:17" x14ac:dyDescent="0.2">
      <c r="A96" s="350">
        <v>46966</v>
      </c>
      <c r="B96" s="351"/>
      <c r="C96" s="352"/>
      <c r="D96" s="359"/>
      <c r="E96" s="359"/>
      <c r="F96" s="359"/>
      <c r="G96" s="359"/>
      <c r="H96" s="359"/>
      <c r="I96" s="359"/>
      <c r="J96" s="353"/>
      <c r="K96" s="353"/>
      <c r="L96" s="354"/>
      <c r="N96" s="355"/>
      <c r="O96" s="353"/>
      <c r="P96" s="353"/>
      <c r="Q96" s="354"/>
    </row>
    <row r="97" spans="1:17" x14ac:dyDescent="0.2">
      <c r="A97" s="350">
        <v>46997</v>
      </c>
      <c r="B97" s="351"/>
      <c r="C97" s="352"/>
      <c r="D97" s="359"/>
      <c r="E97" s="359"/>
      <c r="F97" s="359"/>
      <c r="G97" s="359"/>
      <c r="H97" s="359"/>
      <c r="I97" s="359"/>
      <c r="J97" s="353"/>
      <c r="K97" s="353"/>
      <c r="L97" s="354">
        <v>3.7499999999999999E-2</v>
      </c>
      <c r="N97" s="355">
        <v>1.7500000000000002E-2</v>
      </c>
      <c r="O97" s="353">
        <v>4.7500000000000001E-2</v>
      </c>
      <c r="P97" s="353">
        <v>0.05</v>
      </c>
      <c r="Q97" s="354">
        <v>3.5000000000000003E-2</v>
      </c>
    </row>
    <row r="98" spans="1:17" x14ac:dyDescent="0.2">
      <c r="A98" s="350">
        <v>47027</v>
      </c>
      <c r="B98" s="351"/>
      <c r="C98" s="352"/>
      <c r="D98" s="359"/>
      <c r="E98" s="359"/>
      <c r="F98" s="359"/>
      <c r="G98" s="359"/>
      <c r="H98" s="359"/>
      <c r="I98" s="359"/>
      <c r="J98" s="353">
        <v>7.6249999999999998E-2</v>
      </c>
      <c r="K98" s="353"/>
      <c r="L98" s="354"/>
      <c r="N98" s="355"/>
      <c r="O98" s="353"/>
      <c r="P98" s="353"/>
      <c r="Q98" s="354"/>
    </row>
    <row r="99" spans="1:17" x14ac:dyDescent="0.2">
      <c r="A99" s="350">
        <v>47058</v>
      </c>
      <c r="B99" s="351"/>
      <c r="C99" s="352"/>
      <c r="D99" s="359"/>
      <c r="E99" s="359"/>
      <c r="F99" s="359"/>
      <c r="G99" s="359"/>
      <c r="H99" s="359"/>
      <c r="I99" s="359"/>
      <c r="J99" s="353"/>
      <c r="K99" s="353"/>
      <c r="L99" s="354"/>
      <c r="N99" s="355"/>
      <c r="O99" s="353"/>
      <c r="P99" s="353"/>
      <c r="Q99" s="354"/>
    </row>
    <row r="100" spans="1:17" x14ac:dyDescent="0.2">
      <c r="A100" s="350">
        <v>47088</v>
      </c>
      <c r="B100" s="351"/>
      <c r="C100" s="352"/>
      <c r="D100" s="359"/>
      <c r="E100" s="359"/>
      <c r="F100" s="359"/>
      <c r="G100" s="359"/>
      <c r="H100" s="359"/>
      <c r="I100" s="359"/>
      <c r="J100" s="353"/>
      <c r="K100" s="353">
        <v>8.2799999999999999E-2</v>
      </c>
      <c r="L100" s="354"/>
      <c r="N100" s="355"/>
      <c r="O100" s="353"/>
      <c r="P100" s="353"/>
      <c r="Q100" s="354"/>
    </row>
    <row r="101" spans="1:17" x14ac:dyDescent="0.2">
      <c r="A101" s="350">
        <v>47119</v>
      </c>
      <c r="B101" s="351"/>
      <c r="C101" s="352"/>
      <c r="D101" s="359"/>
      <c r="E101" s="359"/>
      <c r="F101" s="359"/>
      <c r="G101" s="359"/>
      <c r="H101" s="359"/>
      <c r="I101" s="359"/>
      <c r="J101" s="353"/>
      <c r="K101" s="353"/>
      <c r="L101" s="354"/>
      <c r="N101" s="355"/>
      <c r="O101" s="353"/>
      <c r="P101" s="353"/>
      <c r="Q101" s="354"/>
    </row>
    <row r="102" spans="1:17" x14ac:dyDescent="0.2">
      <c r="A102" s="350">
        <v>47150</v>
      </c>
      <c r="B102" s="351"/>
      <c r="C102" s="352"/>
      <c r="D102" s="359"/>
      <c r="E102" s="359"/>
      <c r="F102" s="359"/>
      <c r="G102" s="359"/>
      <c r="H102" s="359"/>
      <c r="I102" s="359"/>
      <c r="J102" s="353"/>
      <c r="K102" s="353"/>
      <c r="L102" s="354"/>
      <c r="N102" s="355"/>
      <c r="O102" s="353"/>
      <c r="P102" s="353"/>
      <c r="Q102" s="354"/>
    </row>
    <row r="103" spans="1:17" x14ac:dyDescent="0.2">
      <c r="A103" s="350">
        <v>47178</v>
      </c>
      <c r="B103" s="351"/>
      <c r="C103" s="352"/>
      <c r="D103" s="359"/>
      <c r="E103" s="359"/>
      <c r="F103" s="359"/>
      <c r="G103" s="359"/>
      <c r="H103" s="359"/>
      <c r="I103" s="359"/>
      <c r="J103" s="353"/>
      <c r="K103" s="353"/>
      <c r="L103" s="354">
        <v>5.2499999999999998E-2</v>
      </c>
      <c r="N103" s="355">
        <v>1.7500000000000002E-2</v>
      </c>
      <c r="O103" s="353">
        <v>0.05</v>
      </c>
      <c r="P103" s="353">
        <v>0.05</v>
      </c>
      <c r="Q103" s="354">
        <v>3.5000000000000003E-2</v>
      </c>
    </row>
    <row r="104" spans="1:17" x14ac:dyDescent="0.2">
      <c r="A104" s="350">
        <v>47209</v>
      </c>
      <c r="B104" s="351"/>
      <c r="C104" s="352"/>
      <c r="D104" s="359"/>
      <c r="E104" s="359"/>
      <c r="F104" s="359"/>
      <c r="G104" s="359"/>
      <c r="H104" s="359"/>
      <c r="I104" s="359"/>
      <c r="J104" s="353">
        <v>7.6249999999999998E-2</v>
      </c>
      <c r="K104" s="353"/>
      <c r="L104" s="354"/>
      <c r="N104" s="355"/>
      <c r="O104" s="353"/>
      <c r="P104" s="353"/>
      <c r="Q104" s="354"/>
    </row>
    <row r="105" spans="1:17" x14ac:dyDescent="0.2">
      <c r="A105" s="350">
        <v>47239</v>
      </c>
      <c r="B105" s="351"/>
      <c r="C105" s="352"/>
      <c r="D105" s="359"/>
      <c r="E105" s="359"/>
      <c r="F105" s="359"/>
      <c r="G105" s="359"/>
      <c r="H105" s="359"/>
      <c r="I105" s="359"/>
      <c r="J105" s="353"/>
      <c r="K105" s="353"/>
      <c r="L105" s="354"/>
      <c r="N105" s="355"/>
      <c r="O105" s="353"/>
      <c r="P105" s="353"/>
      <c r="Q105" s="354"/>
    </row>
    <row r="106" spans="1:17" x14ac:dyDescent="0.2">
      <c r="A106" s="350">
        <v>47270</v>
      </c>
      <c r="B106" s="351"/>
      <c r="C106" s="352"/>
      <c r="D106" s="359"/>
      <c r="E106" s="359"/>
      <c r="F106" s="359"/>
      <c r="G106" s="359"/>
      <c r="H106" s="359"/>
      <c r="I106" s="359"/>
      <c r="J106" s="353"/>
      <c r="K106" s="353">
        <v>8.2799999999999999E-2</v>
      </c>
      <c r="L106" s="354"/>
      <c r="N106" s="355"/>
      <c r="O106" s="353"/>
      <c r="P106" s="353"/>
      <c r="Q106" s="354"/>
    </row>
    <row r="107" spans="1:17" x14ac:dyDescent="0.2">
      <c r="A107" s="350">
        <v>47300</v>
      </c>
      <c r="B107" s="351"/>
      <c r="C107" s="352"/>
      <c r="D107" s="359"/>
      <c r="E107" s="359"/>
      <c r="F107" s="359"/>
      <c r="G107" s="359"/>
      <c r="H107" s="359"/>
      <c r="I107" s="359"/>
      <c r="J107" s="353"/>
      <c r="K107" s="353"/>
      <c r="L107" s="354"/>
      <c r="N107" s="355"/>
      <c r="O107" s="353"/>
      <c r="P107" s="353"/>
      <c r="Q107" s="354"/>
    </row>
    <row r="108" spans="1:17" x14ac:dyDescent="0.2">
      <c r="A108" s="350">
        <v>47331</v>
      </c>
      <c r="B108" s="351"/>
      <c r="C108" s="352"/>
      <c r="D108" s="359"/>
      <c r="E108" s="359"/>
      <c r="F108" s="359"/>
      <c r="G108" s="359"/>
      <c r="H108" s="359"/>
      <c r="I108" s="359"/>
      <c r="J108" s="353"/>
      <c r="K108" s="353"/>
      <c r="L108" s="354"/>
      <c r="N108" s="355"/>
      <c r="O108" s="353"/>
      <c r="P108" s="353"/>
      <c r="Q108" s="354"/>
    </row>
    <row r="109" spans="1:17" x14ac:dyDescent="0.2">
      <c r="A109" s="350">
        <v>47362</v>
      </c>
      <c r="B109" s="351"/>
      <c r="C109" s="352"/>
      <c r="D109" s="359"/>
      <c r="E109" s="359"/>
      <c r="F109" s="359"/>
      <c r="G109" s="359"/>
      <c r="H109" s="359"/>
      <c r="I109" s="359"/>
      <c r="J109" s="353"/>
      <c r="K109" s="353"/>
      <c r="L109" s="354">
        <v>5.2499999999999998E-2</v>
      </c>
      <c r="N109" s="355">
        <v>1.7500000000000002E-2</v>
      </c>
      <c r="O109" s="353">
        <v>0.05</v>
      </c>
      <c r="P109" s="353">
        <v>0.05</v>
      </c>
      <c r="Q109" s="354">
        <v>3.5000000000000003E-2</v>
      </c>
    </row>
    <row r="110" spans="1:17" x14ac:dyDescent="0.2">
      <c r="A110" s="350">
        <v>47392</v>
      </c>
      <c r="B110" s="351"/>
      <c r="C110" s="352"/>
      <c r="D110" s="359"/>
      <c r="E110" s="359"/>
      <c r="F110" s="359"/>
      <c r="G110" s="359"/>
      <c r="H110" s="359"/>
      <c r="I110" s="359"/>
      <c r="J110" s="353">
        <v>7.6249999999999998E-2</v>
      </c>
      <c r="K110" s="353"/>
      <c r="L110" s="354"/>
      <c r="N110" s="355"/>
      <c r="O110" s="353"/>
      <c r="P110" s="353"/>
      <c r="Q110" s="354"/>
    </row>
    <row r="111" spans="1:17" x14ac:dyDescent="0.2">
      <c r="A111" s="350">
        <v>47423</v>
      </c>
      <c r="B111" s="351"/>
      <c r="C111" s="352"/>
      <c r="D111" s="359"/>
      <c r="E111" s="359"/>
      <c r="F111" s="359"/>
      <c r="G111" s="359"/>
      <c r="H111" s="359"/>
      <c r="I111" s="359"/>
      <c r="J111" s="353"/>
      <c r="K111" s="353"/>
      <c r="L111" s="354"/>
      <c r="N111" s="355"/>
      <c r="O111" s="353"/>
      <c r="P111" s="353"/>
      <c r="Q111" s="354"/>
    </row>
    <row r="112" spans="1:17" x14ac:dyDescent="0.2">
      <c r="A112" s="350">
        <v>47453</v>
      </c>
      <c r="B112" s="351"/>
      <c r="C112" s="352"/>
      <c r="D112" s="359"/>
      <c r="E112" s="359"/>
      <c r="F112" s="359"/>
      <c r="G112" s="359"/>
      <c r="H112" s="359"/>
      <c r="I112" s="359"/>
      <c r="J112" s="353"/>
      <c r="K112" s="353">
        <v>8.2799999999999999E-2</v>
      </c>
      <c r="L112" s="354"/>
      <c r="N112" s="355"/>
      <c r="O112" s="353"/>
      <c r="P112" s="353"/>
      <c r="Q112" s="354"/>
    </row>
    <row r="113" spans="1:17" x14ac:dyDescent="0.2">
      <c r="A113" s="350">
        <v>47484</v>
      </c>
      <c r="B113" s="351"/>
      <c r="C113" s="352"/>
      <c r="D113" s="359"/>
      <c r="E113" s="359"/>
      <c r="F113" s="359"/>
      <c r="G113" s="359"/>
      <c r="H113" s="359"/>
      <c r="I113" s="359"/>
      <c r="J113" s="353"/>
      <c r="K113" s="353"/>
      <c r="L113" s="354"/>
      <c r="N113" s="355"/>
      <c r="O113" s="353"/>
      <c r="P113" s="353"/>
      <c r="Q113" s="354"/>
    </row>
    <row r="114" spans="1:17" x14ac:dyDescent="0.2">
      <c r="A114" s="350">
        <v>47515</v>
      </c>
      <c r="B114" s="351"/>
      <c r="C114" s="352"/>
      <c r="D114" s="359"/>
      <c r="E114" s="359"/>
      <c r="F114" s="359"/>
      <c r="G114" s="359"/>
      <c r="H114" s="359"/>
      <c r="I114" s="359"/>
      <c r="J114" s="353"/>
      <c r="K114" s="353"/>
      <c r="L114" s="354"/>
      <c r="N114" s="355"/>
      <c r="O114" s="353"/>
      <c r="P114" s="353"/>
      <c r="Q114" s="354"/>
    </row>
    <row r="115" spans="1:17" x14ac:dyDescent="0.2">
      <c r="A115" s="350">
        <v>47543</v>
      </c>
      <c r="B115" s="351"/>
      <c r="C115" s="352"/>
      <c r="D115" s="359"/>
      <c r="E115" s="359"/>
      <c r="F115" s="359"/>
      <c r="G115" s="359"/>
      <c r="H115" s="359"/>
      <c r="I115" s="359"/>
      <c r="J115" s="353"/>
      <c r="K115" s="353"/>
      <c r="L115" s="354">
        <v>5.2499999999999998E-2</v>
      </c>
      <c r="N115" s="355">
        <v>1.7500000000000002E-2</v>
      </c>
      <c r="O115" s="353">
        <v>0.05</v>
      </c>
      <c r="P115" s="353">
        <v>0.05</v>
      </c>
      <c r="Q115" s="354">
        <v>4.8750000000000002E-2</v>
      </c>
    </row>
    <row r="116" spans="1:17" x14ac:dyDescent="0.2">
      <c r="A116" s="350">
        <v>47574</v>
      </c>
      <c r="B116" s="351"/>
      <c r="C116" s="352"/>
      <c r="D116" s="359"/>
      <c r="E116" s="359"/>
      <c r="F116" s="359"/>
      <c r="G116" s="359"/>
      <c r="H116" s="359"/>
      <c r="I116" s="359"/>
      <c r="J116" s="353">
        <v>7.6249999999999998E-2</v>
      </c>
      <c r="K116" s="353"/>
      <c r="L116" s="354"/>
      <c r="N116" s="355"/>
      <c r="O116" s="353"/>
      <c r="P116" s="353"/>
      <c r="Q116" s="354"/>
    </row>
    <row r="117" spans="1:17" x14ac:dyDescent="0.2">
      <c r="A117" s="350">
        <v>47604</v>
      </c>
      <c r="B117" s="351"/>
      <c r="C117" s="352"/>
      <c r="D117" s="359"/>
      <c r="E117" s="359"/>
      <c r="F117" s="359"/>
      <c r="G117" s="359"/>
      <c r="H117" s="359"/>
      <c r="I117" s="359"/>
      <c r="J117" s="353"/>
      <c r="K117" s="353"/>
      <c r="L117" s="354"/>
      <c r="N117" s="355"/>
      <c r="O117" s="353"/>
      <c r="P117" s="353"/>
      <c r="Q117" s="354"/>
    </row>
    <row r="118" spans="1:17" x14ac:dyDescent="0.2">
      <c r="A118" s="350">
        <v>47635</v>
      </c>
      <c r="B118" s="351"/>
      <c r="C118" s="352"/>
      <c r="D118" s="359"/>
      <c r="E118" s="359"/>
      <c r="F118" s="359"/>
      <c r="G118" s="359"/>
      <c r="H118" s="359"/>
      <c r="I118" s="359"/>
      <c r="J118" s="353"/>
      <c r="K118" s="353">
        <v>8.2799999999999999E-2</v>
      </c>
      <c r="L118" s="354"/>
      <c r="N118" s="355"/>
      <c r="O118" s="353"/>
      <c r="P118" s="353"/>
      <c r="Q118" s="354"/>
    </row>
    <row r="119" spans="1:17" x14ac:dyDescent="0.2">
      <c r="A119" s="350">
        <v>47665</v>
      </c>
      <c r="B119" s="351"/>
      <c r="C119" s="352"/>
      <c r="D119" s="359"/>
      <c r="E119" s="359"/>
      <c r="F119" s="359"/>
      <c r="G119" s="359"/>
      <c r="H119" s="359"/>
      <c r="I119" s="359"/>
      <c r="J119" s="353"/>
      <c r="K119" s="353"/>
      <c r="L119" s="354"/>
      <c r="N119" s="355"/>
      <c r="O119" s="353"/>
      <c r="P119" s="353"/>
      <c r="Q119" s="354"/>
    </row>
    <row r="120" spans="1:17" x14ac:dyDescent="0.2">
      <c r="A120" s="350">
        <v>47696</v>
      </c>
      <c r="B120" s="351"/>
      <c r="C120" s="352"/>
      <c r="D120" s="359"/>
      <c r="E120" s="359"/>
      <c r="F120" s="359"/>
      <c r="G120" s="359"/>
      <c r="H120" s="359"/>
      <c r="I120" s="359"/>
      <c r="J120" s="353"/>
      <c r="K120" s="353"/>
      <c r="L120" s="354"/>
      <c r="N120" s="355"/>
      <c r="O120" s="353"/>
      <c r="P120" s="353"/>
      <c r="Q120" s="354"/>
    </row>
    <row r="121" spans="1:17" x14ac:dyDescent="0.2">
      <c r="A121" s="350">
        <v>47727</v>
      </c>
      <c r="B121" s="351"/>
      <c r="C121" s="352"/>
      <c r="D121" s="359"/>
      <c r="E121" s="359"/>
      <c r="F121" s="359"/>
      <c r="G121" s="359"/>
      <c r="H121" s="359"/>
      <c r="I121" s="359"/>
      <c r="J121" s="353"/>
      <c r="K121" s="353"/>
      <c r="L121" s="354">
        <v>5.2499999999999998E-2</v>
      </c>
      <c r="N121" s="355">
        <v>1.7500000000000002E-2</v>
      </c>
      <c r="O121" s="353">
        <v>0.05</v>
      </c>
      <c r="P121" s="353">
        <v>0.05</v>
      </c>
      <c r="Q121" s="354">
        <v>4.8750000000000002E-2</v>
      </c>
    </row>
    <row r="122" spans="1:17" x14ac:dyDescent="0.2">
      <c r="A122" s="350">
        <v>47757</v>
      </c>
      <c r="B122" s="351"/>
      <c r="C122" s="352"/>
      <c r="D122" s="359"/>
      <c r="E122" s="359"/>
      <c r="F122" s="359"/>
      <c r="G122" s="359"/>
      <c r="H122" s="359"/>
      <c r="I122" s="359"/>
      <c r="J122" s="353">
        <v>7.6249999999999998E-2</v>
      </c>
      <c r="K122" s="353"/>
      <c r="L122" s="354"/>
      <c r="N122" s="360"/>
      <c r="O122" s="353"/>
      <c r="P122" s="353"/>
      <c r="Q122" s="354"/>
    </row>
    <row r="123" spans="1:17" x14ac:dyDescent="0.2">
      <c r="A123" s="350">
        <v>47788</v>
      </c>
      <c r="B123" s="351"/>
      <c r="C123" s="352"/>
      <c r="D123" s="359"/>
      <c r="E123" s="359"/>
      <c r="F123" s="359"/>
      <c r="G123" s="359"/>
      <c r="H123" s="359"/>
      <c r="I123" s="359"/>
      <c r="J123" s="353"/>
      <c r="K123" s="353"/>
      <c r="L123" s="354"/>
      <c r="N123" s="360"/>
      <c r="O123" s="353"/>
      <c r="P123" s="353"/>
      <c r="Q123" s="354"/>
    </row>
    <row r="124" spans="1:17" x14ac:dyDescent="0.2">
      <c r="A124" s="350">
        <v>47818</v>
      </c>
      <c r="B124" s="351"/>
      <c r="C124" s="352"/>
      <c r="D124" s="359"/>
      <c r="E124" s="359"/>
      <c r="F124" s="359"/>
      <c r="G124" s="359"/>
      <c r="H124" s="359"/>
      <c r="I124" s="359"/>
      <c r="J124" s="353"/>
      <c r="K124" s="353">
        <v>8.2799999999999999E-2</v>
      </c>
      <c r="L124" s="354"/>
      <c r="N124" s="360"/>
      <c r="O124" s="353"/>
      <c r="P124" s="353"/>
      <c r="Q124" s="354"/>
    </row>
    <row r="125" spans="1:17" x14ac:dyDescent="0.2">
      <c r="A125" s="350">
        <v>47849</v>
      </c>
      <c r="B125" s="351"/>
      <c r="C125" s="352"/>
      <c r="D125" s="359"/>
      <c r="E125" s="359"/>
      <c r="F125" s="359"/>
      <c r="G125" s="359"/>
      <c r="H125" s="359"/>
      <c r="I125" s="359"/>
      <c r="J125" s="353"/>
      <c r="K125" s="353"/>
      <c r="L125" s="354"/>
      <c r="N125" s="360"/>
      <c r="O125" s="353"/>
      <c r="P125" s="353"/>
      <c r="Q125" s="354"/>
    </row>
    <row r="126" spans="1:17" x14ac:dyDescent="0.2">
      <c r="A126" s="350">
        <v>47880</v>
      </c>
      <c r="B126" s="351"/>
      <c r="C126" s="352"/>
      <c r="D126" s="359"/>
      <c r="E126" s="359"/>
      <c r="F126" s="359"/>
      <c r="G126" s="359"/>
      <c r="H126" s="359"/>
      <c r="I126" s="359"/>
      <c r="J126" s="353"/>
      <c r="K126" s="353"/>
      <c r="L126" s="354"/>
      <c r="N126" s="360"/>
      <c r="O126" s="353"/>
      <c r="P126" s="353"/>
      <c r="Q126" s="354"/>
    </row>
    <row r="127" spans="1:17" x14ac:dyDescent="0.2">
      <c r="A127" s="350">
        <v>47908</v>
      </c>
      <c r="B127" s="351"/>
      <c r="C127" s="352"/>
      <c r="D127" s="359"/>
      <c r="E127" s="359"/>
      <c r="F127" s="359"/>
      <c r="G127" s="359"/>
      <c r="H127" s="359"/>
      <c r="I127" s="359"/>
      <c r="J127" s="353"/>
      <c r="K127" s="353"/>
      <c r="L127" s="354">
        <v>5.2499999999999998E-2</v>
      </c>
      <c r="N127" s="360"/>
      <c r="O127" s="353">
        <v>0.05</v>
      </c>
      <c r="P127" s="353">
        <v>0.05</v>
      </c>
      <c r="Q127" s="354">
        <v>4.8750000000000002E-2</v>
      </c>
    </row>
    <row r="128" spans="1:17" x14ac:dyDescent="0.2">
      <c r="A128" s="350">
        <v>47939</v>
      </c>
      <c r="B128" s="351"/>
      <c r="C128" s="352"/>
      <c r="D128" s="359"/>
      <c r="E128" s="359"/>
      <c r="F128" s="359"/>
      <c r="G128" s="359"/>
      <c r="H128" s="359"/>
      <c r="I128" s="359"/>
      <c r="J128" s="353">
        <v>7.6249999999999998E-2</v>
      </c>
      <c r="K128" s="353"/>
      <c r="L128" s="354"/>
      <c r="N128" s="360"/>
      <c r="O128" s="353"/>
      <c r="P128" s="353"/>
      <c r="Q128" s="354"/>
    </row>
    <row r="129" spans="1:17" x14ac:dyDescent="0.2">
      <c r="A129" s="350">
        <v>47969</v>
      </c>
      <c r="B129" s="351"/>
      <c r="C129" s="352"/>
      <c r="D129" s="359"/>
      <c r="E129" s="359"/>
      <c r="F129" s="359"/>
      <c r="G129" s="359"/>
      <c r="H129" s="359"/>
      <c r="I129" s="359"/>
      <c r="J129" s="353"/>
      <c r="K129" s="353"/>
      <c r="L129" s="354"/>
      <c r="N129" s="360"/>
      <c r="O129" s="353"/>
      <c r="P129" s="353"/>
      <c r="Q129" s="354"/>
    </row>
    <row r="130" spans="1:17" x14ac:dyDescent="0.2">
      <c r="A130" s="350">
        <v>48000</v>
      </c>
      <c r="B130" s="351"/>
      <c r="C130" s="352"/>
      <c r="D130" s="359"/>
      <c r="E130" s="359"/>
      <c r="F130" s="359"/>
      <c r="G130" s="359"/>
      <c r="H130" s="359"/>
      <c r="I130" s="359"/>
      <c r="J130" s="353"/>
      <c r="K130" s="353">
        <v>8.2799999999999999E-2</v>
      </c>
      <c r="L130" s="354"/>
      <c r="N130" s="360"/>
      <c r="O130" s="353"/>
      <c r="P130" s="353"/>
      <c r="Q130" s="354"/>
    </row>
    <row r="131" spans="1:17" x14ac:dyDescent="0.2">
      <c r="A131" s="350">
        <v>48030</v>
      </c>
      <c r="B131" s="351"/>
      <c r="C131" s="352"/>
      <c r="D131" s="359"/>
      <c r="E131" s="359"/>
      <c r="F131" s="359"/>
      <c r="G131" s="359"/>
      <c r="H131" s="359"/>
      <c r="I131" s="359"/>
      <c r="J131" s="353"/>
      <c r="K131" s="353"/>
      <c r="L131" s="354"/>
      <c r="N131" s="360"/>
      <c r="O131" s="353"/>
      <c r="P131" s="353"/>
      <c r="Q131" s="354"/>
    </row>
    <row r="132" spans="1:17" x14ac:dyDescent="0.2">
      <c r="A132" s="350">
        <v>48061</v>
      </c>
      <c r="B132" s="351"/>
      <c r="C132" s="352"/>
      <c r="D132" s="359"/>
      <c r="E132" s="359"/>
      <c r="F132" s="359"/>
      <c r="G132" s="359"/>
      <c r="H132" s="359"/>
      <c r="I132" s="359"/>
      <c r="J132" s="353"/>
      <c r="K132" s="353"/>
      <c r="L132" s="354"/>
      <c r="N132" s="360"/>
      <c r="O132" s="353"/>
      <c r="P132" s="353"/>
      <c r="Q132" s="354"/>
    </row>
    <row r="133" spans="1:17" x14ac:dyDescent="0.2">
      <c r="A133" s="350">
        <v>48092</v>
      </c>
      <c r="B133" s="351"/>
      <c r="C133" s="352"/>
      <c r="D133" s="359"/>
      <c r="E133" s="359"/>
      <c r="F133" s="359"/>
      <c r="G133" s="359"/>
      <c r="H133" s="359"/>
      <c r="I133" s="359"/>
      <c r="J133" s="353"/>
      <c r="K133" s="353"/>
      <c r="L133" s="354">
        <v>5.2499999999999998E-2</v>
      </c>
      <c r="N133" s="360"/>
      <c r="O133" s="353">
        <v>0.05</v>
      </c>
      <c r="P133" s="353">
        <v>0.05</v>
      </c>
      <c r="Q133" s="354">
        <v>4.8750000000000002E-2</v>
      </c>
    </row>
    <row r="134" spans="1:17" x14ac:dyDescent="0.2">
      <c r="A134" s="350">
        <v>48122</v>
      </c>
      <c r="B134" s="351"/>
      <c r="C134" s="352"/>
      <c r="D134" s="359"/>
      <c r="E134" s="359"/>
      <c r="F134" s="359"/>
      <c r="G134" s="359"/>
      <c r="H134" s="359"/>
      <c r="I134" s="359"/>
      <c r="J134" s="353">
        <v>7.6249999999999998E-2</v>
      </c>
      <c r="K134" s="353"/>
      <c r="L134" s="354"/>
      <c r="N134" s="360"/>
      <c r="O134" s="353"/>
      <c r="P134" s="353"/>
      <c r="Q134" s="354"/>
    </row>
    <row r="135" spans="1:17" x14ac:dyDescent="0.2">
      <c r="A135" s="350">
        <v>48153</v>
      </c>
      <c r="B135" s="351"/>
      <c r="C135" s="352"/>
      <c r="D135" s="359"/>
      <c r="E135" s="359"/>
      <c r="F135" s="359"/>
      <c r="G135" s="359"/>
      <c r="H135" s="359"/>
      <c r="I135" s="359"/>
      <c r="J135" s="353"/>
      <c r="K135" s="353"/>
      <c r="L135" s="354"/>
      <c r="N135" s="360"/>
      <c r="O135" s="353"/>
      <c r="P135" s="353"/>
      <c r="Q135" s="354"/>
    </row>
    <row r="136" spans="1:17" x14ac:dyDescent="0.2">
      <c r="A136" s="350">
        <v>48183</v>
      </c>
      <c r="B136" s="351"/>
      <c r="C136" s="352"/>
      <c r="D136" s="359"/>
      <c r="E136" s="359"/>
      <c r="F136" s="359"/>
      <c r="G136" s="359"/>
      <c r="H136" s="359"/>
      <c r="I136" s="359"/>
      <c r="J136" s="353"/>
      <c r="K136" s="353">
        <v>8.2799999999999999E-2</v>
      </c>
      <c r="L136" s="354"/>
      <c r="N136" s="360"/>
      <c r="O136" s="353"/>
      <c r="P136" s="353"/>
      <c r="Q136" s="354"/>
    </row>
    <row r="137" spans="1:17" x14ac:dyDescent="0.2">
      <c r="A137" s="350">
        <v>48214</v>
      </c>
      <c r="B137" s="351"/>
      <c r="C137" s="352"/>
      <c r="D137" s="359"/>
      <c r="E137" s="359"/>
      <c r="F137" s="359"/>
      <c r="G137" s="359"/>
      <c r="H137" s="359"/>
      <c r="I137" s="359"/>
      <c r="J137" s="353"/>
      <c r="K137" s="353"/>
      <c r="L137" s="354"/>
      <c r="N137" s="360"/>
      <c r="O137" s="353"/>
      <c r="P137" s="353"/>
      <c r="Q137" s="354"/>
    </row>
    <row r="138" spans="1:17" x14ac:dyDescent="0.2">
      <c r="A138" s="350">
        <v>48245</v>
      </c>
      <c r="B138" s="351"/>
      <c r="C138" s="352"/>
      <c r="D138" s="359"/>
      <c r="E138" s="359"/>
      <c r="F138" s="359"/>
      <c r="G138" s="359"/>
      <c r="H138" s="359"/>
      <c r="I138" s="359"/>
      <c r="J138" s="353"/>
      <c r="K138" s="353"/>
      <c r="L138" s="354"/>
      <c r="N138" s="360"/>
      <c r="O138" s="353"/>
      <c r="P138" s="353"/>
      <c r="Q138" s="354"/>
    </row>
    <row r="139" spans="1:17" x14ac:dyDescent="0.2">
      <c r="A139" s="350">
        <v>48274</v>
      </c>
      <c r="B139" s="351"/>
      <c r="C139" s="352"/>
      <c r="D139" s="359"/>
      <c r="E139" s="359"/>
      <c r="F139" s="359"/>
      <c r="G139" s="359"/>
      <c r="H139" s="359"/>
      <c r="I139" s="359"/>
      <c r="J139" s="353"/>
      <c r="K139" s="353"/>
      <c r="L139" s="354">
        <v>5.2499999999999998E-2</v>
      </c>
      <c r="N139" s="360"/>
      <c r="O139" s="353">
        <v>0.05</v>
      </c>
      <c r="P139" s="353">
        <v>0.05</v>
      </c>
      <c r="Q139" s="354">
        <v>4.8750000000000002E-2</v>
      </c>
    </row>
    <row r="140" spans="1:17" x14ac:dyDescent="0.2">
      <c r="A140" s="350">
        <v>48305</v>
      </c>
      <c r="B140" s="351"/>
      <c r="C140" s="352"/>
      <c r="D140" s="359"/>
      <c r="E140" s="359"/>
      <c r="F140" s="359"/>
      <c r="G140" s="359"/>
      <c r="H140" s="359"/>
      <c r="I140" s="359"/>
      <c r="J140" s="353">
        <v>7.6249999999999998E-2</v>
      </c>
      <c r="K140" s="353"/>
      <c r="L140" s="354"/>
      <c r="N140" s="360"/>
      <c r="O140" s="353"/>
      <c r="P140" s="353"/>
      <c r="Q140" s="354"/>
    </row>
    <row r="141" spans="1:17" x14ac:dyDescent="0.2">
      <c r="A141" s="350">
        <v>48335</v>
      </c>
      <c r="B141" s="351"/>
      <c r="C141" s="352"/>
      <c r="D141" s="359"/>
      <c r="E141" s="359"/>
      <c r="F141" s="359"/>
      <c r="G141" s="359"/>
      <c r="H141" s="359"/>
      <c r="I141" s="359"/>
      <c r="J141" s="353"/>
      <c r="K141" s="353"/>
      <c r="L141" s="354"/>
      <c r="N141" s="360"/>
      <c r="O141" s="353"/>
      <c r="P141" s="353"/>
      <c r="Q141" s="354"/>
    </row>
    <row r="142" spans="1:17" x14ac:dyDescent="0.2">
      <c r="A142" s="350">
        <v>48366</v>
      </c>
      <c r="B142" s="351"/>
      <c r="C142" s="352"/>
      <c r="D142" s="359"/>
      <c r="E142" s="359"/>
      <c r="F142" s="359"/>
      <c r="G142" s="359"/>
      <c r="H142" s="359"/>
      <c r="I142" s="359"/>
      <c r="J142" s="353"/>
      <c r="K142" s="353">
        <v>8.2799999999999999E-2</v>
      </c>
      <c r="L142" s="354"/>
      <c r="N142" s="360"/>
      <c r="O142" s="353"/>
      <c r="P142" s="353"/>
      <c r="Q142" s="354"/>
    </row>
    <row r="143" spans="1:17" x14ac:dyDescent="0.2">
      <c r="A143" s="350">
        <v>48396</v>
      </c>
      <c r="B143" s="351"/>
      <c r="C143" s="352"/>
      <c r="D143" s="359"/>
      <c r="E143" s="359"/>
      <c r="F143" s="359"/>
      <c r="G143" s="359"/>
      <c r="H143" s="359"/>
      <c r="I143" s="359"/>
      <c r="J143" s="353"/>
      <c r="K143" s="353"/>
      <c r="L143" s="354"/>
      <c r="N143" s="360"/>
      <c r="O143" s="353"/>
      <c r="P143" s="353"/>
      <c r="Q143" s="354"/>
    </row>
    <row r="144" spans="1:17" x14ac:dyDescent="0.2">
      <c r="A144" s="350">
        <v>48427</v>
      </c>
      <c r="B144" s="351"/>
      <c r="C144" s="352"/>
      <c r="D144" s="359"/>
      <c r="E144" s="359"/>
      <c r="F144" s="359"/>
      <c r="G144" s="359"/>
      <c r="H144" s="359"/>
      <c r="I144" s="359"/>
      <c r="J144" s="353"/>
      <c r="K144" s="353"/>
      <c r="L144" s="354"/>
      <c r="N144" s="360"/>
      <c r="O144" s="353"/>
      <c r="P144" s="353"/>
      <c r="Q144" s="354"/>
    </row>
    <row r="145" spans="1:17" x14ac:dyDescent="0.2">
      <c r="A145" s="350">
        <v>48458</v>
      </c>
      <c r="B145" s="351"/>
      <c r="C145" s="352"/>
      <c r="D145" s="359"/>
      <c r="E145" s="359"/>
      <c r="F145" s="359"/>
      <c r="G145" s="359"/>
      <c r="H145" s="359"/>
      <c r="I145" s="359"/>
      <c r="J145" s="353"/>
      <c r="K145" s="353"/>
      <c r="L145" s="354">
        <v>5.2499999999999998E-2</v>
      </c>
      <c r="N145" s="360"/>
      <c r="O145" s="353">
        <v>0.05</v>
      </c>
      <c r="P145" s="353">
        <v>0.05</v>
      </c>
      <c r="Q145" s="354">
        <v>4.8750000000000002E-2</v>
      </c>
    </row>
    <row r="146" spans="1:17" x14ac:dyDescent="0.2">
      <c r="A146" s="350">
        <v>48488</v>
      </c>
      <c r="B146" s="351"/>
      <c r="C146" s="352"/>
      <c r="D146" s="359"/>
      <c r="E146" s="359"/>
      <c r="F146" s="359"/>
      <c r="G146" s="359"/>
      <c r="H146" s="359"/>
      <c r="I146" s="359"/>
      <c r="J146" s="353">
        <v>7.6249999999999998E-2</v>
      </c>
      <c r="K146" s="353"/>
      <c r="L146" s="354"/>
      <c r="N146" s="360"/>
      <c r="O146" s="353"/>
      <c r="P146" s="353"/>
      <c r="Q146" s="354"/>
    </row>
    <row r="147" spans="1:17" x14ac:dyDescent="0.2">
      <c r="A147" s="350">
        <v>48519</v>
      </c>
      <c r="B147" s="351"/>
      <c r="C147" s="352"/>
      <c r="D147" s="359"/>
      <c r="E147" s="359"/>
      <c r="F147" s="359"/>
      <c r="G147" s="359"/>
      <c r="H147" s="359"/>
      <c r="I147" s="359"/>
      <c r="J147" s="353"/>
      <c r="K147" s="353"/>
      <c r="L147" s="354"/>
      <c r="N147" s="360"/>
      <c r="O147" s="353"/>
      <c r="P147" s="353"/>
      <c r="Q147" s="354"/>
    </row>
    <row r="148" spans="1:17" x14ac:dyDescent="0.2">
      <c r="A148" s="350">
        <v>48549</v>
      </c>
      <c r="B148" s="351"/>
      <c r="C148" s="352"/>
      <c r="D148" s="359"/>
      <c r="E148" s="359"/>
      <c r="F148" s="359"/>
      <c r="G148" s="359"/>
      <c r="H148" s="359"/>
      <c r="I148" s="359"/>
      <c r="J148" s="353"/>
      <c r="K148" s="353">
        <v>8.2799999999999999E-2</v>
      </c>
      <c r="L148" s="354"/>
      <c r="N148" s="360"/>
      <c r="O148" s="353"/>
      <c r="P148" s="353"/>
      <c r="Q148" s="354"/>
    </row>
    <row r="149" spans="1:17" x14ac:dyDescent="0.2">
      <c r="A149" s="350">
        <v>48580</v>
      </c>
      <c r="B149" s="351"/>
      <c r="C149" s="352"/>
      <c r="D149" s="359"/>
      <c r="E149" s="359"/>
      <c r="F149" s="359"/>
      <c r="G149" s="359"/>
      <c r="H149" s="359"/>
      <c r="I149" s="359"/>
      <c r="J149" s="353"/>
      <c r="K149" s="353"/>
      <c r="L149" s="354"/>
      <c r="N149" s="360"/>
      <c r="O149" s="353"/>
      <c r="P149" s="353"/>
      <c r="Q149" s="354"/>
    </row>
    <row r="150" spans="1:17" x14ac:dyDescent="0.2">
      <c r="A150" s="350">
        <v>48611</v>
      </c>
      <c r="B150" s="351"/>
      <c r="C150" s="352"/>
      <c r="D150" s="359"/>
      <c r="E150" s="359"/>
      <c r="F150" s="359"/>
      <c r="G150" s="359"/>
      <c r="H150" s="359"/>
      <c r="I150" s="359"/>
      <c r="J150" s="353"/>
      <c r="K150" s="353"/>
      <c r="L150" s="354"/>
      <c r="N150" s="360"/>
      <c r="O150" s="353"/>
      <c r="P150" s="353"/>
      <c r="Q150" s="354"/>
    </row>
    <row r="151" spans="1:17" x14ac:dyDescent="0.2">
      <c r="A151" s="350">
        <v>48639</v>
      </c>
      <c r="B151" s="351"/>
      <c r="C151" s="352"/>
      <c r="D151" s="359"/>
      <c r="E151" s="359"/>
      <c r="F151" s="359"/>
      <c r="G151" s="359"/>
      <c r="H151" s="359"/>
      <c r="I151" s="359"/>
      <c r="J151" s="353"/>
      <c r="K151" s="353"/>
      <c r="L151" s="354">
        <v>5.2499999999999998E-2</v>
      </c>
      <c r="N151" s="360"/>
      <c r="O151" s="353">
        <v>0.05</v>
      </c>
      <c r="P151" s="353">
        <v>0.05</v>
      </c>
      <c r="Q151" s="354">
        <v>4.8750000000000002E-2</v>
      </c>
    </row>
    <row r="152" spans="1:17" x14ac:dyDescent="0.2">
      <c r="A152" s="350">
        <v>48670</v>
      </c>
      <c r="B152" s="351"/>
      <c r="C152" s="352"/>
      <c r="D152" s="359"/>
      <c r="E152" s="359"/>
      <c r="F152" s="359"/>
      <c r="G152" s="359"/>
      <c r="H152" s="359"/>
      <c r="I152" s="359"/>
      <c r="J152" s="353">
        <v>7.6249999999999998E-2</v>
      </c>
      <c r="K152" s="353"/>
      <c r="L152" s="354"/>
      <c r="N152" s="360"/>
      <c r="O152" s="353"/>
      <c r="P152" s="353"/>
      <c r="Q152" s="354"/>
    </row>
    <row r="153" spans="1:17" x14ac:dyDescent="0.2">
      <c r="A153" s="350">
        <v>48700</v>
      </c>
      <c r="B153" s="351"/>
      <c r="C153" s="352"/>
      <c r="D153" s="359"/>
      <c r="E153" s="359"/>
      <c r="F153" s="359"/>
      <c r="G153" s="359"/>
      <c r="H153" s="359"/>
      <c r="I153" s="359"/>
      <c r="J153" s="353"/>
      <c r="K153" s="353"/>
      <c r="L153" s="354"/>
      <c r="N153" s="360"/>
      <c r="O153" s="353"/>
      <c r="P153" s="353"/>
      <c r="Q153" s="354"/>
    </row>
    <row r="154" spans="1:17" x14ac:dyDescent="0.2">
      <c r="A154" s="350">
        <v>48731</v>
      </c>
      <c r="B154" s="351"/>
      <c r="C154" s="352"/>
      <c r="D154" s="359"/>
      <c r="E154" s="359"/>
      <c r="F154" s="359"/>
      <c r="G154" s="359"/>
      <c r="H154" s="359"/>
      <c r="I154" s="359"/>
      <c r="J154" s="353"/>
      <c r="K154" s="353">
        <v>8.2799999999999999E-2</v>
      </c>
      <c r="L154" s="354"/>
      <c r="N154" s="360"/>
      <c r="O154" s="353"/>
      <c r="P154" s="353"/>
      <c r="Q154" s="354"/>
    </row>
    <row r="155" spans="1:17" x14ac:dyDescent="0.2">
      <c r="A155" s="350">
        <v>48761</v>
      </c>
      <c r="B155" s="351"/>
      <c r="C155" s="352"/>
      <c r="D155" s="359"/>
      <c r="E155" s="359"/>
      <c r="F155" s="359"/>
      <c r="G155" s="359"/>
      <c r="H155" s="359"/>
      <c r="I155" s="359"/>
      <c r="J155" s="353"/>
      <c r="K155" s="353"/>
      <c r="L155" s="354"/>
      <c r="N155" s="360"/>
      <c r="O155" s="353"/>
      <c r="P155" s="353"/>
      <c r="Q155" s="354"/>
    </row>
    <row r="156" spans="1:17" x14ac:dyDescent="0.2">
      <c r="A156" s="350">
        <v>48792</v>
      </c>
      <c r="B156" s="351"/>
      <c r="C156" s="352"/>
      <c r="D156" s="359"/>
      <c r="E156" s="359"/>
      <c r="F156" s="359"/>
      <c r="G156" s="359"/>
      <c r="H156" s="359"/>
      <c r="I156" s="359"/>
      <c r="J156" s="353"/>
      <c r="K156" s="353"/>
      <c r="L156" s="354"/>
      <c r="N156" s="360"/>
      <c r="O156" s="353"/>
      <c r="P156" s="353"/>
      <c r="Q156" s="354"/>
    </row>
    <row r="157" spans="1:17" x14ac:dyDescent="0.2">
      <c r="A157" s="350">
        <v>48823</v>
      </c>
      <c r="B157" s="351"/>
      <c r="C157" s="352"/>
      <c r="D157" s="359"/>
      <c r="E157" s="359"/>
      <c r="F157" s="359"/>
      <c r="G157" s="359"/>
      <c r="H157" s="359"/>
      <c r="I157" s="359"/>
      <c r="J157" s="353"/>
      <c r="K157" s="353"/>
      <c r="L157" s="354">
        <v>5.2499999999999998E-2</v>
      </c>
      <c r="N157" s="360"/>
      <c r="O157" s="353">
        <v>0.05</v>
      </c>
      <c r="P157" s="353">
        <v>0.05</v>
      </c>
      <c r="Q157" s="354">
        <v>4.8750000000000002E-2</v>
      </c>
    </row>
    <row r="158" spans="1:17" x14ac:dyDescent="0.2">
      <c r="A158" s="350">
        <v>48853</v>
      </c>
      <c r="B158" s="351"/>
      <c r="C158" s="352"/>
      <c r="D158" s="359"/>
      <c r="E158" s="359"/>
      <c r="F158" s="359"/>
      <c r="G158" s="359"/>
      <c r="H158" s="359"/>
      <c r="I158" s="359"/>
      <c r="J158" s="353">
        <v>7.6249999999999998E-2</v>
      </c>
      <c r="K158" s="353"/>
      <c r="L158" s="354"/>
      <c r="N158" s="360"/>
      <c r="O158" s="353"/>
      <c r="P158" s="353"/>
      <c r="Q158" s="354"/>
    </row>
    <row r="159" spans="1:17" x14ac:dyDescent="0.2">
      <c r="A159" s="350">
        <v>48884</v>
      </c>
      <c r="B159" s="351"/>
      <c r="C159" s="352"/>
      <c r="D159" s="359"/>
      <c r="E159" s="359"/>
      <c r="F159" s="359"/>
      <c r="G159" s="359"/>
      <c r="H159" s="359"/>
      <c r="I159" s="359"/>
      <c r="J159" s="353"/>
      <c r="K159" s="353"/>
      <c r="L159" s="354"/>
      <c r="N159" s="360"/>
      <c r="O159" s="353"/>
      <c r="P159" s="353"/>
      <c r="Q159" s="354"/>
    </row>
    <row r="160" spans="1:17" x14ac:dyDescent="0.2">
      <c r="A160" s="350">
        <v>48914</v>
      </c>
      <c r="B160" s="351"/>
      <c r="C160" s="352"/>
      <c r="D160" s="359"/>
      <c r="E160" s="359"/>
      <c r="F160" s="359"/>
      <c r="G160" s="359"/>
      <c r="H160" s="359"/>
      <c r="I160" s="359"/>
      <c r="J160" s="353"/>
      <c r="K160" s="353">
        <v>8.2799999999999999E-2</v>
      </c>
      <c r="L160" s="354"/>
      <c r="N160" s="360"/>
      <c r="O160" s="353"/>
      <c r="P160" s="353"/>
      <c r="Q160" s="354"/>
    </row>
    <row r="161" spans="1:17" x14ac:dyDescent="0.2">
      <c r="A161" s="350">
        <v>48945</v>
      </c>
      <c r="B161" s="351"/>
      <c r="C161" s="352"/>
      <c r="D161" s="359"/>
      <c r="E161" s="359"/>
      <c r="F161" s="359"/>
      <c r="G161" s="359"/>
      <c r="H161" s="359"/>
      <c r="I161" s="359"/>
      <c r="J161" s="353"/>
      <c r="K161" s="359"/>
      <c r="L161" s="354"/>
      <c r="N161" s="360"/>
      <c r="O161" s="353"/>
      <c r="P161" s="353"/>
      <c r="Q161" s="354"/>
    </row>
    <row r="162" spans="1:17" x14ac:dyDescent="0.2">
      <c r="A162" s="350">
        <v>48976</v>
      </c>
      <c r="B162" s="351"/>
      <c r="C162" s="352"/>
      <c r="D162" s="359"/>
      <c r="E162" s="359"/>
      <c r="F162" s="359"/>
      <c r="G162" s="359"/>
      <c r="H162" s="359"/>
      <c r="I162" s="359"/>
      <c r="J162" s="353"/>
      <c r="K162" s="359"/>
      <c r="L162" s="354"/>
      <c r="N162" s="360"/>
      <c r="O162" s="353"/>
      <c r="P162" s="353"/>
      <c r="Q162" s="354"/>
    </row>
    <row r="163" spans="1:17" x14ac:dyDescent="0.2">
      <c r="A163" s="350">
        <v>49004</v>
      </c>
      <c r="B163" s="351"/>
      <c r="C163" s="352"/>
      <c r="D163" s="359"/>
      <c r="E163" s="359"/>
      <c r="F163" s="359"/>
      <c r="G163" s="359"/>
      <c r="H163" s="359"/>
      <c r="I163" s="359"/>
      <c r="J163" s="353"/>
      <c r="K163" s="359"/>
      <c r="L163" s="354">
        <v>5.2499999999999998E-2</v>
      </c>
      <c r="N163" s="360"/>
      <c r="O163" s="353">
        <v>0.05</v>
      </c>
      <c r="P163" s="353">
        <v>0.05</v>
      </c>
      <c r="Q163" s="354">
        <v>4.8750000000000002E-2</v>
      </c>
    </row>
    <row r="164" spans="1:17" x14ac:dyDescent="0.2">
      <c r="A164" s="350">
        <v>49035</v>
      </c>
      <c r="B164" s="351"/>
      <c r="C164" s="352"/>
      <c r="D164" s="359"/>
      <c r="E164" s="359"/>
      <c r="F164" s="359"/>
      <c r="G164" s="359"/>
      <c r="H164" s="359"/>
      <c r="I164" s="359"/>
      <c r="J164" s="353">
        <v>7.6249999999999998E-2</v>
      </c>
      <c r="K164" s="359"/>
      <c r="L164" s="354"/>
      <c r="N164" s="360"/>
      <c r="O164" s="353"/>
      <c r="P164" s="353"/>
      <c r="Q164" s="354"/>
    </row>
    <row r="165" spans="1:17" x14ac:dyDescent="0.2">
      <c r="A165" s="350">
        <v>49065</v>
      </c>
      <c r="B165" s="351"/>
      <c r="C165" s="352"/>
      <c r="D165" s="359"/>
      <c r="E165" s="359"/>
      <c r="F165" s="359"/>
      <c r="G165" s="359"/>
      <c r="H165" s="359"/>
      <c r="I165" s="359"/>
      <c r="J165" s="353"/>
      <c r="K165" s="359"/>
      <c r="L165" s="354"/>
      <c r="N165" s="360"/>
      <c r="O165" s="353"/>
      <c r="P165" s="353"/>
      <c r="Q165" s="354"/>
    </row>
    <row r="166" spans="1:17" x14ac:dyDescent="0.2">
      <c r="A166" s="350">
        <v>49096</v>
      </c>
      <c r="B166" s="351"/>
      <c r="C166" s="352"/>
      <c r="D166" s="359"/>
      <c r="E166" s="359"/>
      <c r="F166" s="359"/>
      <c r="G166" s="359"/>
      <c r="H166" s="359"/>
      <c r="I166" s="359"/>
      <c r="J166" s="353"/>
      <c r="K166" s="359"/>
      <c r="L166" s="354"/>
      <c r="N166" s="360"/>
      <c r="O166" s="353"/>
      <c r="P166" s="353"/>
      <c r="Q166" s="354"/>
    </row>
    <row r="167" spans="1:17" x14ac:dyDescent="0.2">
      <c r="A167" s="350">
        <v>49126</v>
      </c>
      <c r="B167" s="351"/>
      <c r="C167" s="352"/>
      <c r="D167" s="359"/>
      <c r="E167" s="359"/>
      <c r="F167" s="359"/>
      <c r="G167" s="359"/>
      <c r="H167" s="359"/>
      <c r="I167" s="359"/>
      <c r="J167" s="353"/>
      <c r="K167" s="359"/>
      <c r="L167" s="354"/>
      <c r="N167" s="360"/>
      <c r="O167" s="353"/>
      <c r="P167" s="353"/>
      <c r="Q167" s="354"/>
    </row>
    <row r="168" spans="1:17" x14ac:dyDescent="0.2">
      <c r="A168" s="350">
        <v>49157</v>
      </c>
      <c r="B168" s="351"/>
      <c r="C168" s="352"/>
      <c r="D168" s="359"/>
      <c r="E168" s="359"/>
      <c r="F168" s="359"/>
      <c r="G168" s="359"/>
      <c r="H168" s="359"/>
      <c r="I168" s="359"/>
      <c r="J168" s="353"/>
      <c r="K168" s="359"/>
      <c r="L168" s="354"/>
      <c r="N168" s="360"/>
      <c r="O168" s="353"/>
      <c r="P168" s="353"/>
      <c r="Q168" s="354"/>
    </row>
    <row r="169" spans="1:17" x14ac:dyDescent="0.2">
      <c r="A169" s="350">
        <v>49188</v>
      </c>
      <c r="B169" s="351"/>
      <c r="C169" s="352"/>
      <c r="D169" s="359"/>
      <c r="E169" s="359"/>
      <c r="F169" s="359"/>
      <c r="G169" s="359"/>
      <c r="H169" s="359"/>
      <c r="I169" s="359"/>
      <c r="J169" s="353"/>
      <c r="K169" s="359"/>
      <c r="L169" s="354">
        <v>5.2499999999999998E-2</v>
      </c>
      <c r="N169" s="360"/>
      <c r="O169" s="353">
        <v>0.05</v>
      </c>
      <c r="P169" s="353">
        <v>0.05</v>
      </c>
      <c r="Q169" s="354">
        <v>4.8750000000000002E-2</v>
      </c>
    </row>
    <row r="170" spans="1:17" x14ac:dyDescent="0.2">
      <c r="A170" s="350">
        <v>49218</v>
      </c>
      <c r="B170" s="351"/>
      <c r="C170" s="352"/>
      <c r="D170" s="359"/>
      <c r="E170" s="359"/>
      <c r="F170" s="359"/>
      <c r="G170" s="359"/>
      <c r="H170" s="359"/>
      <c r="I170" s="359"/>
      <c r="J170" s="353">
        <v>7.6249999999999998E-2</v>
      </c>
      <c r="K170" s="359"/>
      <c r="L170" s="354"/>
      <c r="N170" s="360"/>
      <c r="O170" s="353"/>
      <c r="P170" s="353"/>
      <c r="Q170" s="354"/>
    </row>
    <row r="171" spans="1:17" x14ac:dyDescent="0.2">
      <c r="A171" s="350">
        <v>49249</v>
      </c>
      <c r="B171" s="351"/>
      <c r="C171" s="352"/>
      <c r="D171" s="359"/>
      <c r="E171" s="359"/>
      <c r="F171" s="359"/>
      <c r="G171" s="359"/>
      <c r="H171" s="359"/>
      <c r="I171" s="359"/>
      <c r="J171" s="353"/>
      <c r="K171" s="359"/>
      <c r="L171" s="354"/>
      <c r="N171" s="360"/>
      <c r="O171" s="353"/>
      <c r="P171" s="353"/>
      <c r="Q171" s="354"/>
    </row>
    <row r="172" spans="1:17" x14ac:dyDescent="0.2">
      <c r="A172" s="350">
        <v>49279</v>
      </c>
      <c r="B172" s="351"/>
      <c r="C172" s="352"/>
      <c r="D172" s="359"/>
      <c r="E172" s="359"/>
      <c r="F172" s="359"/>
      <c r="G172" s="359"/>
      <c r="H172" s="359"/>
      <c r="I172" s="359"/>
      <c r="J172" s="353"/>
      <c r="K172" s="359"/>
      <c r="L172" s="354"/>
      <c r="N172" s="360"/>
      <c r="O172" s="353"/>
      <c r="P172" s="353"/>
      <c r="Q172" s="354"/>
    </row>
    <row r="173" spans="1:17" x14ac:dyDescent="0.2">
      <c r="A173" s="350">
        <v>49310</v>
      </c>
      <c r="B173" s="351"/>
      <c r="C173" s="352"/>
      <c r="D173" s="359"/>
      <c r="E173" s="359"/>
      <c r="F173" s="359"/>
      <c r="G173" s="359"/>
      <c r="H173" s="359"/>
      <c r="I173" s="359"/>
      <c r="J173" s="353"/>
      <c r="K173" s="359"/>
      <c r="L173" s="354"/>
      <c r="N173" s="360"/>
      <c r="O173" s="353"/>
      <c r="P173" s="353"/>
      <c r="Q173" s="354"/>
    </row>
    <row r="174" spans="1:17" x14ac:dyDescent="0.2">
      <c r="A174" s="350">
        <v>49341</v>
      </c>
      <c r="B174" s="351"/>
      <c r="C174" s="352"/>
      <c r="D174" s="359"/>
      <c r="E174" s="359"/>
      <c r="F174" s="359"/>
      <c r="G174" s="359"/>
      <c r="H174" s="359"/>
      <c r="I174" s="359"/>
      <c r="J174" s="353"/>
      <c r="K174" s="359"/>
      <c r="L174" s="354"/>
      <c r="N174" s="360"/>
      <c r="O174" s="353"/>
      <c r="P174" s="353"/>
      <c r="Q174" s="354"/>
    </row>
    <row r="175" spans="1:17" x14ac:dyDescent="0.2">
      <c r="A175" s="350">
        <v>49369</v>
      </c>
      <c r="B175" s="351"/>
      <c r="C175" s="352"/>
      <c r="D175" s="359"/>
      <c r="E175" s="359"/>
      <c r="F175" s="359"/>
      <c r="G175" s="359"/>
      <c r="H175" s="359"/>
      <c r="I175" s="359"/>
      <c r="J175" s="353"/>
      <c r="K175" s="359"/>
      <c r="L175" s="354">
        <v>5.2499999999999998E-2</v>
      </c>
      <c r="N175" s="360"/>
      <c r="O175" s="353">
        <v>0.05</v>
      </c>
      <c r="P175" s="353">
        <v>0.05</v>
      </c>
      <c r="Q175" s="354">
        <v>4.8750000000000002E-2</v>
      </c>
    </row>
    <row r="176" spans="1:17" x14ac:dyDescent="0.2">
      <c r="A176" s="350">
        <v>49400</v>
      </c>
      <c r="B176" s="351"/>
      <c r="C176" s="352"/>
      <c r="D176" s="359"/>
      <c r="E176" s="359"/>
      <c r="F176" s="359"/>
      <c r="G176" s="359"/>
      <c r="H176" s="359"/>
      <c r="I176" s="359"/>
      <c r="J176" s="353">
        <v>7.6249999999999998E-2</v>
      </c>
      <c r="K176" s="359"/>
      <c r="L176" s="354"/>
      <c r="N176" s="360"/>
      <c r="O176" s="353"/>
      <c r="P176" s="353"/>
      <c r="Q176" s="354"/>
    </row>
    <row r="177" spans="1:17" x14ac:dyDescent="0.2">
      <c r="A177" s="350">
        <v>49430</v>
      </c>
      <c r="B177" s="351"/>
      <c r="C177" s="352"/>
      <c r="D177" s="359"/>
      <c r="E177" s="359"/>
      <c r="F177" s="359"/>
      <c r="G177" s="359"/>
      <c r="H177" s="359"/>
      <c r="I177" s="359"/>
      <c r="J177" s="353"/>
      <c r="K177" s="359"/>
      <c r="L177" s="354"/>
      <c r="N177" s="360"/>
      <c r="O177" s="353"/>
      <c r="P177" s="353"/>
      <c r="Q177" s="354"/>
    </row>
    <row r="178" spans="1:17" x14ac:dyDescent="0.2">
      <c r="A178" s="350">
        <v>49461</v>
      </c>
      <c r="B178" s="351"/>
      <c r="C178" s="352"/>
      <c r="D178" s="359"/>
      <c r="E178" s="359"/>
      <c r="F178" s="359"/>
      <c r="G178" s="359"/>
      <c r="H178" s="359"/>
      <c r="I178" s="359"/>
      <c r="J178" s="353"/>
      <c r="K178" s="359"/>
      <c r="L178" s="354"/>
      <c r="N178" s="360"/>
      <c r="O178" s="353"/>
      <c r="P178" s="353"/>
      <c r="Q178" s="354"/>
    </row>
    <row r="179" spans="1:17" x14ac:dyDescent="0.2">
      <c r="A179" s="350">
        <v>49491</v>
      </c>
      <c r="B179" s="351"/>
      <c r="C179" s="352"/>
      <c r="D179" s="359"/>
      <c r="E179" s="359"/>
      <c r="F179" s="359"/>
      <c r="G179" s="359"/>
      <c r="H179" s="359"/>
      <c r="I179" s="359"/>
      <c r="J179" s="353"/>
      <c r="K179" s="359"/>
      <c r="L179" s="354"/>
      <c r="N179" s="360"/>
      <c r="O179" s="353"/>
      <c r="P179" s="353"/>
      <c r="Q179" s="354"/>
    </row>
    <row r="180" spans="1:17" x14ac:dyDescent="0.2">
      <c r="A180" s="350">
        <v>49522</v>
      </c>
      <c r="B180" s="351"/>
      <c r="C180" s="352"/>
      <c r="D180" s="359"/>
      <c r="E180" s="359"/>
      <c r="F180" s="359"/>
      <c r="G180" s="359"/>
      <c r="H180" s="359"/>
      <c r="I180" s="359"/>
      <c r="J180" s="353"/>
      <c r="K180" s="359"/>
      <c r="L180" s="354"/>
      <c r="N180" s="360"/>
      <c r="O180" s="353"/>
      <c r="P180" s="353"/>
      <c r="Q180" s="354"/>
    </row>
    <row r="181" spans="1:17" x14ac:dyDescent="0.2">
      <c r="A181" s="350">
        <v>49553</v>
      </c>
      <c r="B181" s="351"/>
      <c r="C181" s="352"/>
      <c r="D181" s="359"/>
      <c r="E181" s="359"/>
      <c r="F181" s="359"/>
      <c r="G181" s="359"/>
      <c r="H181" s="359"/>
      <c r="I181" s="359"/>
      <c r="J181" s="353"/>
      <c r="K181" s="359"/>
      <c r="L181" s="354">
        <v>5.2499999999999998E-2</v>
      </c>
      <c r="N181" s="360"/>
      <c r="O181" s="353">
        <v>0.05</v>
      </c>
      <c r="P181" s="353">
        <v>0.05</v>
      </c>
      <c r="Q181" s="354">
        <v>4.8750000000000002E-2</v>
      </c>
    </row>
    <row r="182" spans="1:17" x14ac:dyDescent="0.2">
      <c r="A182" s="350">
        <v>49583</v>
      </c>
      <c r="B182" s="351"/>
      <c r="C182" s="352"/>
      <c r="D182" s="359"/>
      <c r="E182" s="359"/>
      <c r="F182" s="359"/>
      <c r="G182" s="359"/>
      <c r="H182" s="359"/>
      <c r="I182" s="359"/>
      <c r="J182" s="353">
        <v>7.6249999999999998E-2</v>
      </c>
      <c r="K182" s="359"/>
      <c r="L182" s="354"/>
      <c r="N182" s="360"/>
      <c r="O182" s="359"/>
      <c r="P182" s="353"/>
      <c r="Q182" s="354"/>
    </row>
    <row r="183" spans="1:17" x14ac:dyDescent="0.2">
      <c r="A183" s="350">
        <v>49614</v>
      </c>
      <c r="B183" s="351"/>
      <c r="C183" s="352"/>
      <c r="D183" s="359"/>
      <c r="E183" s="359"/>
      <c r="F183" s="359"/>
      <c r="G183" s="359"/>
      <c r="H183" s="359"/>
      <c r="I183" s="359"/>
      <c r="J183" s="353"/>
      <c r="K183" s="359"/>
      <c r="L183" s="354"/>
      <c r="N183" s="360"/>
      <c r="O183" s="359"/>
      <c r="P183" s="353"/>
      <c r="Q183" s="354"/>
    </row>
    <row r="184" spans="1:17" x14ac:dyDescent="0.2">
      <c r="A184" s="350">
        <v>49644</v>
      </c>
      <c r="B184" s="351"/>
      <c r="C184" s="352"/>
      <c r="D184" s="359"/>
      <c r="E184" s="359"/>
      <c r="F184" s="359"/>
      <c r="G184" s="359"/>
      <c r="H184" s="359"/>
      <c r="I184" s="359"/>
      <c r="J184" s="353"/>
      <c r="K184" s="359"/>
      <c r="L184" s="354"/>
      <c r="N184" s="360"/>
      <c r="O184" s="359"/>
      <c r="P184" s="353"/>
      <c r="Q184" s="354"/>
    </row>
    <row r="185" spans="1:17" x14ac:dyDescent="0.2">
      <c r="A185" s="350">
        <v>49675</v>
      </c>
      <c r="B185" s="351"/>
      <c r="C185" s="352"/>
      <c r="D185" s="359"/>
      <c r="E185" s="359"/>
      <c r="F185" s="359"/>
      <c r="G185" s="359"/>
      <c r="H185" s="359"/>
      <c r="I185" s="359"/>
      <c r="J185" s="353"/>
      <c r="K185" s="359"/>
      <c r="L185" s="354"/>
      <c r="N185" s="360"/>
      <c r="O185" s="359"/>
      <c r="P185" s="353"/>
      <c r="Q185" s="354"/>
    </row>
    <row r="186" spans="1:17" x14ac:dyDescent="0.2">
      <c r="A186" s="350">
        <v>49706</v>
      </c>
      <c r="B186" s="351"/>
      <c r="C186" s="352"/>
      <c r="D186" s="359"/>
      <c r="E186" s="359"/>
      <c r="F186" s="359"/>
      <c r="G186" s="359"/>
      <c r="H186" s="359"/>
      <c r="I186" s="359"/>
      <c r="J186" s="353"/>
      <c r="K186" s="359"/>
      <c r="L186" s="354"/>
      <c r="N186" s="360"/>
      <c r="O186" s="359"/>
      <c r="P186" s="353"/>
      <c r="Q186" s="354"/>
    </row>
    <row r="187" spans="1:17" x14ac:dyDescent="0.2">
      <c r="A187" s="350">
        <v>49735</v>
      </c>
      <c r="B187" s="351"/>
      <c r="C187" s="352"/>
      <c r="D187" s="359"/>
      <c r="E187" s="359"/>
      <c r="F187" s="359"/>
      <c r="G187" s="359"/>
      <c r="H187" s="359"/>
      <c r="I187" s="359"/>
      <c r="J187" s="353"/>
      <c r="K187" s="359"/>
      <c r="L187" s="354">
        <v>5.2499999999999998E-2</v>
      </c>
      <c r="N187" s="360"/>
      <c r="O187" s="359"/>
      <c r="P187" s="353">
        <v>0.05</v>
      </c>
      <c r="Q187" s="354">
        <v>4.8750000000000002E-2</v>
      </c>
    </row>
    <row r="188" spans="1:17" x14ac:dyDescent="0.2">
      <c r="A188" s="350">
        <v>49766</v>
      </c>
      <c r="B188" s="351"/>
      <c r="C188" s="352"/>
      <c r="D188" s="359"/>
      <c r="E188" s="359"/>
      <c r="F188" s="359"/>
      <c r="G188" s="359"/>
      <c r="H188" s="359"/>
      <c r="I188" s="359"/>
      <c r="J188" s="353">
        <v>7.6249999999999998E-2</v>
      </c>
      <c r="K188" s="359"/>
      <c r="L188" s="354"/>
      <c r="N188" s="360"/>
      <c r="O188" s="359"/>
      <c r="P188" s="353"/>
      <c r="Q188" s="354"/>
    </row>
    <row r="189" spans="1:17" x14ac:dyDescent="0.2">
      <c r="A189" s="350">
        <v>49796</v>
      </c>
      <c r="B189" s="351"/>
      <c r="C189" s="352"/>
      <c r="D189" s="359"/>
      <c r="E189" s="359"/>
      <c r="F189" s="359"/>
      <c r="G189" s="359"/>
      <c r="H189" s="359"/>
      <c r="I189" s="359"/>
      <c r="J189" s="353"/>
      <c r="K189" s="359"/>
      <c r="L189" s="354"/>
      <c r="N189" s="360"/>
      <c r="O189" s="359"/>
      <c r="P189" s="353"/>
      <c r="Q189" s="354"/>
    </row>
    <row r="190" spans="1:17" x14ac:dyDescent="0.2">
      <c r="A190" s="350">
        <v>49827</v>
      </c>
      <c r="B190" s="351"/>
      <c r="C190" s="352"/>
      <c r="D190" s="359"/>
      <c r="E190" s="359"/>
      <c r="F190" s="359"/>
      <c r="G190" s="359"/>
      <c r="H190" s="359"/>
      <c r="I190" s="359"/>
      <c r="J190" s="353"/>
      <c r="K190" s="359"/>
      <c r="L190" s="354"/>
      <c r="N190" s="360"/>
      <c r="O190" s="359"/>
      <c r="P190" s="353"/>
      <c r="Q190" s="354"/>
    </row>
    <row r="191" spans="1:17" x14ac:dyDescent="0.2">
      <c r="A191" s="350">
        <v>49857</v>
      </c>
      <c r="B191" s="351"/>
      <c r="C191" s="352"/>
      <c r="D191" s="359"/>
      <c r="E191" s="359"/>
      <c r="F191" s="359"/>
      <c r="G191" s="359"/>
      <c r="H191" s="359"/>
      <c r="I191" s="359"/>
      <c r="J191" s="353"/>
      <c r="K191" s="359"/>
      <c r="L191" s="354"/>
      <c r="N191" s="360"/>
      <c r="O191" s="359"/>
      <c r="P191" s="353"/>
      <c r="Q191" s="354"/>
    </row>
    <row r="192" spans="1:17" x14ac:dyDescent="0.2">
      <c r="A192" s="350">
        <v>49888</v>
      </c>
      <c r="B192" s="351"/>
      <c r="C192" s="352"/>
      <c r="D192" s="359"/>
      <c r="E192" s="359"/>
      <c r="F192" s="359"/>
      <c r="G192" s="359"/>
      <c r="H192" s="359"/>
      <c r="I192" s="359"/>
      <c r="J192" s="353"/>
      <c r="K192" s="359"/>
      <c r="L192" s="354"/>
      <c r="N192" s="360"/>
      <c r="O192" s="359"/>
      <c r="P192" s="353"/>
      <c r="Q192" s="354"/>
    </row>
    <row r="193" spans="1:17" x14ac:dyDescent="0.2">
      <c r="A193" s="350">
        <v>49919</v>
      </c>
      <c r="B193" s="351"/>
      <c r="C193" s="352"/>
      <c r="D193" s="359"/>
      <c r="E193" s="359"/>
      <c r="F193" s="359"/>
      <c r="G193" s="359"/>
      <c r="H193" s="359"/>
      <c r="I193" s="359"/>
      <c r="J193" s="353"/>
      <c r="K193" s="359"/>
      <c r="L193" s="354">
        <v>5.2499999999999998E-2</v>
      </c>
      <c r="N193" s="360"/>
      <c r="O193" s="359"/>
      <c r="P193" s="353">
        <v>0.05</v>
      </c>
      <c r="Q193" s="354">
        <v>4.8750000000000002E-2</v>
      </c>
    </row>
    <row r="194" spans="1:17" x14ac:dyDescent="0.2">
      <c r="A194" s="350">
        <v>49949</v>
      </c>
      <c r="B194" s="351"/>
      <c r="C194" s="352"/>
      <c r="D194" s="359"/>
      <c r="E194" s="359"/>
      <c r="F194" s="359"/>
      <c r="G194" s="359"/>
      <c r="H194" s="359"/>
      <c r="I194" s="359"/>
      <c r="J194" s="353">
        <v>7.6249999999999998E-2</v>
      </c>
      <c r="K194" s="359"/>
      <c r="L194" s="354"/>
      <c r="N194" s="360"/>
      <c r="O194" s="359"/>
      <c r="P194" s="353"/>
      <c r="Q194" s="354"/>
    </row>
    <row r="195" spans="1:17" x14ac:dyDescent="0.2">
      <c r="A195" s="350">
        <v>49980</v>
      </c>
      <c r="B195" s="351"/>
      <c r="C195" s="352"/>
      <c r="D195" s="359"/>
      <c r="E195" s="359"/>
      <c r="F195" s="359"/>
      <c r="G195" s="359"/>
      <c r="H195" s="359"/>
      <c r="I195" s="359"/>
      <c r="J195" s="353"/>
      <c r="K195" s="359"/>
      <c r="L195" s="354"/>
      <c r="N195" s="360"/>
      <c r="O195" s="359"/>
      <c r="P195" s="353"/>
      <c r="Q195" s="354"/>
    </row>
    <row r="196" spans="1:17" x14ac:dyDescent="0.2">
      <c r="A196" s="350">
        <v>50010</v>
      </c>
      <c r="B196" s="351"/>
      <c r="C196" s="352"/>
      <c r="D196" s="359"/>
      <c r="E196" s="359"/>
      <c r="F196" s="359"/>
      <c r="G196" s="359"/>
      <c r="H196" s="359"/>
      <c r="I196" s="359"/>
      <c r="J196" s="353"/>
      <c r="K196" s="359"/>
      <c r="L196" s="354"/>
      <c r="N196" s="360"/>
      <c r="O196" s="359"/>
      <c r="P196" s="353"/>
      <c r="Q196" s="354"/>
    </row>
    <row r="197" spans="1:17" x14ac:dyDescent="0.2">
      <c r="A197" s="350">
        <v>50041</v>
      </c>
      <c r="B197" s="351"/>
      <c r="C197" s="352"/>
      <c r="D197" s="359"/>
      <c r="E197" s="359"/>
      <c r="F197" s="359"/>
      <c r="G197" s="359"/>
      <c r="H197" s="359"/>
      <c r="I197" s="359"/>
      <c r="J197" s="353"/>
      <c r="K197" s="359"/>
      <c r="L197" s="354"/>
      <c r="N197" s="360"/>
      <c r="O197" s="359"/>
      <c r="P197" s="353"/>
      <c r="Q197" s="354"/>
    </row>
    <row r="198" spans="1:17" x14ac:dyDescent="0.2">
      <c r="A198" s="350">
        <v>50072</v>
      </c>
      <c r="B198" s="351"/>
      <c r="C198" s="352"/>
      <c r="D198" s="359"/>
      <c r="E198" s="359"/>
      <c r="F198" s="359"/>
      <c r="G198" s="359"/>
      <c r="H198" s="359"/>
      <c r="I198" s="359"/>
      <c r="J198" s="353"/>
      <c r="K198" s="359"/>
      <c r="L198" s="354"/>
      <c r="N198" s="360"/>
      <c r="O198" s="359"/>
      <c r="P198" s="353"/>
      <c r="Q198" s="354"/>
    </row>
    <row r="199" spans="1:17" x14ac:dyDescent="0.2">
      <c r="A199" s="350">
        <v>50100</v>
      </c>
      <c r="B199" s="351"/>
      <c r="C199" s="352"/>
      <c r="D199" s="359"/>
      <c r="E199" s="359"/>
      <c r="F199" s="359"/>
      <c r="G199" s="359"/>
      <c r="H199" s="359"/>
      <c r="I199" s="359"/>
      <c r="J199" s="353"/>
      <c r="K199" s="359"/>
      <c r="L199" s="354">
        <v>5.2499999999999998E-2</v>
      </c>
      <c r="N199" s="360"/>
      <c r="O199" s="359"/>
      <c r="P199" s="353">
        <v>0.05</v>
      </c>
      <c r="Q199" s="354">
        <v>4.8750000000000002E-2</v>
      </c>
    </row>
    <row r="200" spans="1:17" x14ac:dyDescent="0.2">
      <c r="A200" s="350">
        <v>50131</v>
      </c>
      <c r="B200" s="351"/>
      <c r="C200" s="352"/>
      <c r="D200" s="359"/>
      <c r="E200" s="359"/>
      <c r="F200" s="359"/>
      <c r="G200" s="359"/>
      <c r="H200" s="359"/>
      <c r="I200" s="359"/>
      <c r="J200" s="353">
        <v>7.6249999999999998E-2</v>
      </c>
      <c r="K200" s="359"/>
      <c r="L200" s="354"/>
      <c r="N200" s="360"/>
      <c r="O200" s="359"/>
      <c r="P200" s="353"/>
      <c r="Q200" s="354"/>
    </row>
    <row r="201" spans="1:17" x14ac:dyDescent="0.2">
      <c r="A201" s="350">
        <v>50161</v>
      </c>
      <c r="B201" s="351"/>
      <c r="C201" s="352"/>
      <c r="D201" s="359"/>
      <c r="E201" s="359"/>
      <c r="F201" s="359"/>
      <c r="G201" s="359"/>
      <c r="H201" s="359"/>
      <c r="I201" s="359"/>
      <c r="J201" s="359"/>
      <c r="K201" s="359"/>
      <c r="L201" s="354"/>
      <c r="N201" s="360"/>
      <c r="O201" s="359"/>
      <c r="P201" s="353"/>
      <c r="Q201" s="354"/>
    </row>
    <row r="202" spans="1:17" x14ac:dyDescent="0.2">
      <c r="A202" s="350">
        <v>50192</v>
      </c>
      <c r="B202" s="351"/>
      <c r="C202" s="352"/>
      <c r="D202" s="359"/>
      <c r="E202" s="359"/>
      <c r="F202" s="359"/>
      <c r="G202" s="359"/>
      <c r="H202" s="359"/>
      <c r="I202" s="359"/>
      <c r="J202" s="359"/>
      <c r="K202" s="359"/>
      <c r="L202" s="354"/>
      <c r="N202" s="360"/>
      <c r="O202" s="359"/>
      <c r="P202" s="353"/>
      <c r="Q202" s="354"/>
    </row>
    <row r="203" spans="1:17" x14ac:dyDescent="0.2">
      <c r="A203" s="350">
        <v>50222</v>
      </c>
      <c r="B203" s="351"/>
      <c r="C203" s="352"/>
      <c r="D203" s="359"/>
      <c r="E203" s="359"/>
      <c r="F203" s="359"/>
      <c r="G203" s="359"/>
      <c r="H203" s="359"/>
      <c r="I203" s="359"/>
      <c r="J203" s="359"/>
      <c r="K203" s="359"/>
      <c r="L203" s="354"/>
      <c r="N203" s="360"/>
      <c r="O203" s="359"/>
      <c r="P203" s="353"/>
      <c r="Q203" s="354"/>
    </row>
    <row r="204" spans="1:17" x14ac:dyDescent="0.2">
      <c r="A204" s="350">
        <v>50253</v>
      </c>
      <c r="B204" s="351"/>
      <c r="C204" s="352"/>
      <c r="D204" s="359"/>
      <c r="E204" s="359"/>
      <c r="F204" s="359"/>
      <c r="G204" s="359"/>
      <c r="H204" s="359"/>
      <c r="I204" s="359"/>
      <c r="J204" s="359"/>
      <c r="K204" s="359"/>
      <c r="L204" s="354"/>
      <c r="N204" s="360"/>
      <c r="O204" s="359"/>
      <c r="P204" s="353"/>
      <c r="Q204" s="354"/>
    </row>
    <row r="205" spans="1:17" x14ac:dyDescent="0.2">
      <c r="A205" s="350">
        <v>50284</v>
      </c>
      <c r="B205" s="351"/>
      <c r="C205" s="352"/>
      <c r="D205" s="359"/>
      <c r="E205" s="359"/>
      <c r="F205" s="359"/>
      <c r="G205" s="359"/>
      <c r="H205" s="359"/>
      <c r="I205" s="359"/>
      <c r="J205" s="359"/>
      <c r="K205" s="359"/>
      <c r="L205" s="354">
        <v>5.2499999999999998E-2</v>
      </c>
      <c r="N205" s="360"/>
      <c r="O205" s="359"/>
      <c r="P205" s="353">
        <v>0.05</v>
      </c>
      <c r="Q205" s="354">
        <v>4.8750000000000002E-2</v>
      </c>
    </row>
    <row r="206" spans="1:17" x14ac:dyDescent="0.2">
      <c r="A206" s="350">
        <v>50314</v>
      </c>
      <c r="B206" s="351"/>
      <c r="C206" s="352"/>
      <c r="D206" s="359"/>
      <c r="E206" s="359"/>
      <c r="F206" s="359"/>
      <c r="G206" s="359"/>
      <c r="H206" s="359"/>
      <c r="I206" s="359"/>
      <c r="J206" s="359"/>
      <c r="K206" s="359"/>
      <c r="L206" s="354"/>
      <c r="N206" s="360"/>
      <c r="O206" s="359"/>
      <c r="P206" s="353"/>
      <c r="Q206" s="354"/>
    </row>
    <row r="207" spans="1:17" x14ac:dyDescent="0.2">
      <c r="A207" s="350">
        <v>50345</v>
      </c>
      <c r="B207" s="351"/>
      <c r="C207" s="352"/>
      <c r="D207" s="359"/>
      <c r="E207" s="359"/>
      <c r="F207" s="359"/>
      <c r="G207" s="359"/>
      <c r="H207" s="359"/>
      <c r="I207" s="359"/>
      <c r="J207" s="359"/>
      <c r="K207" s="359"/>
      <c r="L207" s="354"/>
      <c r="N207" s="360"/>
      <c r="O207" s="359"/>
      <c r="P207" s="353"/>
      <c r="Q207" s="354"/>
    </row>
    <row r="208" spans="1:17" x14ac:dyDescent="0.2">
      <c r="A208" s="350">
        <v>50375</v>
      </c>
      <c r="B208" s="351"/>
      <c r="C208" s="352"/>
      <c r="D208" s="359"/>
      <c r="E208" s="359"/>
      <c r="F208" s="359"/>
      <c r="G208" s="359"/>
      <c r="H208" s="359"/>
      <c r="I208" s="359"/>
      <c r="J208" s="359"/>
      <c r="K208" s="359"/>
      <c r="L208" s="354"/>
      <c r="N208" s="360"/>
      <c r="O208" s="359"/>
      <c r="P208" s="353"/>
      <c r="Q208" s="354"/>
    </row>
    <row r="209" spans="1:17" x14ac:dyDescent="0.2">
      <c r="A209" s="350">
        <v>50406</v>
      </c>
      <c r="B209" s="351"/>
      <c r="C209" s="352"/>
      <c r="D209" s="359"/>
      <c r="E209" s="359"/>
      <c r="F209" s="359"/>
      <c r="G209" s="359"/>
      <c r="H209" s="359"/>
      <c r="I209" s="359"/>
      <c r="J209" s="359"/>
      <c r="K209" s="359"/>
      <c r="L209" s="354"/>
      <c r="N209" s="360"/>
      <c r="O209" s="359"/>
      <c r="P209" s="353"/>
      <c r="Q209" s="354"/>
    </row>
    <row r="210" spans="1:17" x14ac:dyDescent="0.2">
      <c r="A210" s="350">
        <v>50437</v>
      </c>
      <c r="B210" s="351"/>
      <c r="C210" s="352"/>
      <c r="D210" s="359"/>
      <c r="E210" s="359"/>
      <c r="F210" s="359"/>
      <c r="G210" s="359"/>
      <c r="H210" s="359"/>
      <c r="I210" s="359"/>
      <c r="J210" s="359"/>
      <c r="K210" s="359"/>
      <c r="L210" s="354"/>
      <c r="N210" s="360"/>
      <c r="O210" s="359"/>
      <c r="P210" s="353"/>
      <c r="Q210" s="354"/>
    </row>
    <row r="211" spans="1:17" x14ac:dyDescent="0.2">
      <c r="A211" s="350">
        <v>50465</v>
      </c>
      <c r="B211" s="351"/>
      <c r="C211" s="352"/>
      <c r="D211" s="359"/>
      <c r="E211" s="359"/>
      <c r="F211" s="359"/>
      <c r="G211" s="359"/>
      <c r="H211" s="359"/>
      <c r="I211" s="359"/>
      <c r="J211" s="359"/>
      <c r="K211" s="359"/>
      <c r="L211" s="354">
        <v>5.2499999999999998E-2</v>
      </c>
      <c r="N211" s="360"/>
      <c r="O211" s="359"/>
      <c r="P211" s="353">
        <v>0.05</v>
      </c>
      <c r="Q211" s="354">
        <v>4.8750000000000002E-2</v>
      </c>
    </row>
    <row r="212" spans="1:17" x14ac:dyDescent="0.2">
      <c r="A212" s="350">
        <v>50496</v>
      </c>
      <c r="B212" s="351"/>
      <c r="C212" s="352"/>
      <c r="D212" s="359"/>
      <c r="E212" s="359"/>
      <c r="F212" s="359"/>
      <c r="G212" s="359"/>
      <c r="H212" s="359"/>
      <c r="I212" s="359"/>
      <c r="J212" s="359"/>
      <c r="K212" s="359"/>
      <c r="L212" s="354"/>
      <c r="N212" s="360"/>
      <c r="O212" s="359"/>
      <c r="P212" s="353"/>
      <c r="Q212" s="354"/>
    </row>
    <row r="213" spans="1:17" x14ac:dyDescent="0.2">
      <c r="A213" s="350">
        <v>50526</v>
      </c>
      <c r="B213" s="351"/>
      <c r="C213" s="352"/>
      <c r="D213" s="359"/>
      <c r="E213" s="359"/>
      <c r="F213" s="359"/>
      <c r="G213" s="359"/>
      <c r="H213" s="359"/>
      <c r="I213" s="359"/>
      <c r="J213" s="359"/>
      <c r="K213" s="359"/>
      <c r="L213" s="354"/>
      <c r="N213" s="360"/>
      <c r="O213" s="359"/>
      <c r="P213" s="353"/>
      <c r="Q213" s="354"/>
    </row>
    <row r="214" spans="1:17" x14ac:dyDescent="0.2">
      <c r="A214" s="350">
        <v>50557</v>
      </c>
      <c r="B214" s="351"/>
      <c r="C214" s="352"/>
      <c r="D214" s="359"/>
      <c r="E214" s="359"/>
      <c r="F214" s="359"/>
      <c r="G214" s="359"/>
      <c r="H214" s="359"/>
      <c r="I214" s="359"/>
      <c r="J214" s="359"/>
      <c r="K214" s="359"/>
      <c r="L214" s="354"/>
      <c r="N214" s="360"/>
      <c r="O214" s="359"/>
      <c r="P214" s="353"/>
      <c r="Q214" s="354"/>
    </row>
    <row r="215" spans="1:17" x14ac:dyDescent="0.2">
      <c r="A215" s="350">
        <v>50587</v>
      </c>
      <c r="B215" s="351"/>
      <c r="C215" s="352"/>
      <c r="D215" s="359"/>
      <c r="E215" s="359"/>
      <c r="F215" s="359"/>
      <c r="G215" s="359"/>
      <c r="H215" s="359"/>
      <c r="I215" s="359"/>
      <c r="J215" s="359"/>
      <c r="K215" s="359"/>
      <c r="L215" s="354"/>
      <c r="N215" s="360"/>
      <c r="O215" s="359"/>
      <c r="P215" s="353"/>
      <c r="Q215" s="354"/>
    </row>
    <row r="216" spans="1:17" x14ac:dyDescent="0.2">
      <c r="A216" s="350">
        <v>50618</v>
      </c>
      <c r="B216" s="351"/>
      <c r="C216" s="352"/>
      <c r="D216" s="359"/>
      <c r="E216" s="359"/>
      <c r="F216" s="359"/>
      <c r="G216" s="359"/>
      <c r="H216" s="359"/>
      <c r="I216" s="359"/>
      <c r="J216" s="359"/>
      <c r="K216" s="359"/>
      <c r="L216" s="354"/>
      <c r="N216" s="360"/>
      <c r="O216" s="359"/>
      <c r="P216" s="353"/>
      <c r="Q216" s="354"/>
    </row>
    <row r="217" spans="1:17" x14ac:dyDescent="0.2">
      <c r="A217" s="350">
        <v>50649</v>
      </c>
      <c r="B217" s="351"/>
      <c r="C217" s="352"/>
      <c r="D217" s="359"/>
      <c r="E217" s="359"/>
      <c r="F217" s="359"/>
      <c r="G217" s="359"/>
      <c r="H217" s="359"/>
      <c r="I217" s="359"/>
      <c r="J217" s="359"/>
      <c r="K217" s="359"/>
      <c r="L217" s="354">
        <v>5.2499999999999998E-2</v>
      </c>
      <c r="N217" s="360"/>
      <c r="O217" s="359"/>
      <c r="P217" s="353">
        <v>0.05</v>
      </c>
      <c r="Q217" s="354">
        <v>4.8750000000000002E-2</v>
      </c>
    </row>
    <row r="218" spans="1:17" x14ac:dyDescent="0.2">
      <c r="A218" s="350">
        <v>50679</v>
      </c>
      <c r="B218" s="351"/>
      <c r="C218" s="352"/>
      <c r="D218" s="359"/>
      <c r="E218" s="359"/>
      <c r="F218" s="359"/>
      <c r="G218" s="359"/>
      <c r="H218" s="359"/>
      <c r="I218" s="359"/>
      <c r="J218" s="359"/>
      <c r="K218" s="359"/>
      <c r="L218" s="354"/>
      <c r="N218" s="360"/>
      <c r="O218" s="359"/>
      <c r="P218" s="359"/>
      <c r="Q218" s="354"/>
    </row>
    <row r="219" spans="1:17" x14ac:dyDescent="0.2">
      <c r="A219" s="350">
        <v>50710</v>
      </c>
      <c r="B219" s="351"/>
      <c r="C219" s="352"/>
      <c r="D219" s="359"/>
      <c r="E219" s="359"/>
      <c r="F219" s="359"/>
      <c r="G219" s="359"/>
      <c r="H219" s="359"/>
      <c r="I219" s="359"/>
      <c r="J219" s="359"/>
      <c r="K219" s="359"/>
      <c r="L219" s="354"/>
      <c r="N219" s="360"/>
      <c r="O219" s="359"/>
      <c r="P219" s="359"/>
      <c r="Q219" s="354"/>
    </row>
    <row r="220" spans="1:17" x14ac:dyDescent="0.2">
      <c r="A220" s="350">
        <v>50740</v>
      </c>
      <c r="B220" s="351"/>
      <c r="C220" s="352"/>
      <c r="D220" s="359"/>
      <c r="E220" s="359"/>
      <c r="F220" s="359"/>
      <c r="G220" s="359"/>
      <c r="H220" s="359"/>
      <c r="I220" s="359"/>
      <c r="J220" s="359"/>
      <c r="K220" s="359"/>
      <c r="L220" s="354">
        <v>5.2499999999999998E-2</v>
      </c>
      <c r="N220" s="360"/>
      <c r="O220" s="359"/>
      <c r="P220" s="359"/>
      <c r="Q220" s="354"/>
    </row>
    <row r="221" spans="1:17" x14ac:dyDescent="0.2">
      <c r="A221" s="350">
        <v>50771</v>
      </c>
      <c r="B221" s="351"/>
      <c r="C221" s="352"/>
      <c r="D221" s="359"/>
      <c r="E221" s="359"/>
      <c r="F221" s="359"/>
      <c r="G221" s="359"/>
      <c r="H221" s="359"/>
      <c r="I221" s="359"/>
      <c r="J221" s="359"/>
      <c r="K221" s="359"/>
      <c r="L221" s="361"/>
      <c r="N221" s="360"/>
      <c r="O221" s="359"/>
      <c r="P221" s="359"/>
      <c r="Q221" s="354"/>
    </row>
    <row r="222" spans="1:17" x14ac:dyDescent="0.2">
      <c r="A222" s="350">
        <v>50802</v>
      </c>
      <c r="B222" s="351"/>
      <c r="C222" s="352"/>
      <c r="D222" s="359"/>
      <c r="E222" s="359"/>
      <c r="F222" s="359"/>
      <c r="G222" s="359"/>
      <c r="H222" s="359"/>
      <c r="I222" s="359"/>
      <c r="J222" s="359"/>
      <c r="K222" s="359"/>
      <c r="L222" s="361"/>
      <c r="N222" s="360"/>
      <c r="O222" s="359"/>
      <c r="P222" s="359"/>
      <c r="Q222" s="354"/>
    </row>
    <row r="223" spans="1:17" x14ac:dyDescent="0.2">
      <c r="A223" s="350">
        <v>50830</v>
      </c>
      <c r="B223" s="351"/>
      <c r="C223" s="352"/>
      <c r="D223" s="359"/>
      <c r="E223" s="359"/>
      <c r="F223" s="359"/>
      <c r="G223" s="359"/>
      <c r="H223" s="359"/>
      <c r="I223" s="359"/>
      <c r="J223" s="359"/>
      <c r="K223" s="359"/>
      <c r="L223" s="361"/>
      <c r="N223" s="360"/>
      <c r="O223" s="359"/>
      <c r="P223" s="359"/>
      <c r="Q223" s="354">
        <v>4.8750000000000002E-2</v>
      </c>
    </row>
    <row r="224" spans="1:17" x14ac:dyDescent="0.2">
      <c r="A224" s="350">
        <v>50861</v>
      </c>
      <c r="B224" s="351"/>
      <c r="C224" s="352"/>
      <c r="D224" s="359"/>
      <c r="E224" s="359"/>
      <c r="F224" s="359"/>
      <c r="G224" s="359"/>
      <c r="H224" s="359"/>
      <c r="I224" s="359"/>
      <c r="J224" s="359"/>
      <c r="K224" s="359"/>
      <c r="L224" s="361"/>
      <c r="N224" s="360"/>
      <c r="O224" s="359"/>
      <c r="P224" s="359"/>
      <c r="Q224" s="354"/>
    </row>
    <row r="225" spans="1:17" x14ac:dyDescent="0.2">
      <c r="A225" s="350">
        <v>50891</v>
      </c>
      <c r="B225" s="351"/>
      <c r="C225" s="352"/>
      <c r="D225" s="359"/>
      <c r="E225" s="359"/>
      <c r="F225" s="359"/>
      <c r="G225" s="359"/>
      <c r="H225" s="359"/>
      <c r="I225" s="359"/>
      <c r="J225" s="359"/>
      <c r="K225" s="359"/>
      <c r="L225" s="361"/>
      <c r="N225" s="360"/>
      <c r="O225" s="359"/>
      <c r="P225" s="359"/>
      <c r="Q225" s="354"/>
    </row>
    <row r="226" spans="1:17" x14ac:dyDescent="0.2">
      <c r="A226" s="350">
        <v>50922</v>
      </c>
      <c r="B226" s="351"/>
      <c r="C226" s="352"/>
      <c r="D226" s="359"/>
      <c r="E226" s="359"/>
      <c r="F226" s="359"/>
      <c r="G226" s="359"/>
      <c r="H226" s="359"/>
      <c r="I226" s="359"/>
      <c r="J226" s="359"/>
      <c r="K226" s="359"/>
      <c r="L226" s="361"/>
      <c r="N226" s="360"/>
      <c r="O226" s="359"/>
      <c r="P226" s="359"/>
      <c r="Q226" s="354"/>
    </row>
    <row r="227" spans="1:17" x14ac:dyDescent="0.2">
      <c r="A227" s="350">
        <v>50952</v>
      </c>
      <c r="B227" s="351"/>
      <c r="C227" s="352"/>
      <c r="D227" s="359"/>
      <c r="E227" s="359"/>
      <c r="F227" s="359"/>
      <c r="G227" s="359"/>
      <c r="H227" s="359"/>
      <c r="I227" s="359"/>
      <c r="J227" s="359"/>
      <c r="K227" s="359"/>
      <c r="L227" s="361"/>
      <c r="N227" s="360"/>
      <c r="O227" s="359"/>
      <c r="P227" s="359"/>
      <c r="Q227" s="354"/>
    </row>
    <row r="228" spans="1:17" x14ac:dyDescent="0.2">
      <c r="A228" s="350">
        <v>50983</v>
      </c>
      <c r="B228" s="351"/>
      <c r="C228" s="352"/>
      <c r="D228" s="359"/>
      <c r="E228" s="359"/>
      <c r="F228" s="359"/>
      <c r="G228" s="359"/>
      <c r="H228" s="359"/>
      <c r="I228" s="359"/>
      <c r="J228" s="359"/>
      <c r="K228" s="359"/>
      <c r="L228" s="361"/>
      <c r="N228" s="360"/>
      <c r="O228" s="359"/>
      <c r="P228" s="359"/>
      <c r="Q228" s="354"/>
    </row>
    <row r="229" spans="1:17" x14ac:dyDescent="0.2">
      <c r="A229" s="350">
        <v>51014</v>
      </c>
      <c r="B229" s="351"/>
      <c r="C229" s="352"/>
      <c r="D229" s="359"/>
      <c r="E229" s="359"/>
      <c r="F229" s="359"/>
      <c r="G229" s="359"/>
      <c r="H229" s="359"/>
      <c r="I229" s="359"/>
      <c r="J229" s="359"/>
      <c r="K229" s="359"/>
      <c r="L229" s="361"/>
      <c r="N229" s="360"/>
      <c r="O229" s="359"/>
      <c r="P229" s="359"/>
      <c r="Q229" s="354">
        <v>4.8750000000000002E-2</v>
      </c>
    </row>
    <row r="230" spans="1:17" x14ac:dyDescent="0.2">
      <c r="A230" s="350">
        <v>51044</v>
      </c>
      <c r="B230" s="351"/>
      <c r="C230" s="352"/>
      <c r="D230" s="359"/>
      <c r="E230" s="359"/>
      <c r="F230" s="359"/>
      <c r="G230" s="359"/>
      <c r="H230" s="359"/>
      <c r="I230" s="359"/>
      <c r="J230" s="359"/>
      <c r="K230" s="359"/>
      <c r="L230" s="361"/>
      <c r="N230" s="360"/>
      <c r="O230" s="359"/>
      <c r="P230" s="359"/>
      <c r="Q230" s="354"/>
    </row>
    <row r="231" spans="1:17" x14ac:dyDescent="0.2">
      <c r="A231" s="350">
        <v>51075</v>
      </c>
      <c r="B231" s="351"/>
      <c r="C231" s="352"/>
      <c r="D231" s="359"/>
      <c r="E231" s="359"/>
      <c r="F231" s="359"/>
      <c r="G231" s="359"/>
      <c r="H231" s="359"/>
      <c r="I231" s="359"/>
      <c r="J231" s="359"/>
      <c r="K231" s="359"/>
      <c r="L231" s="361"/>
      <c r="N231" s="360"/>
      <c r="O231" s="359"/>
      <c r="P231" s="359"/>
      <c r="Q231" s="354"/>
    </row>
    <row r="232" spans="1:17" x14ac:dyDescent="0.2">
      <c r="A232" s="350">
        <v>51105</v>
      </c>
      <c r="B232" s="351"/>
      <c r="C232" s="352"/>
      <c r="D232" s="359"/>
      <c r="E232" s="359"/>
      <c r="F232" s="359"/>
      <c r="G232" s="359"/>
      <c r="H232" s="359"/>
      <c r="I232" s="359"/>
      <c r="J232" s="359"/>
      <c r="K232" s="359"/>
      <c r="L232" s="361"/>
      <c r="N232" s="360"/>
      <c r="O232" s="359"/>
      <c r="P232" s="359"/>
      <c r="Q232" s="354"/>
    </row>
    <row r="233" spans="1:17" x14ac:dyDescent="0.2">
      <c r="A233" s="350">
        <v>51136</v>
      </c>
      <c r="B233" s="351"/>
      <c r="C233" s="352"/>
      <c r="D233" s="359"/>
      <c r="E233" s="359"/>
      <c r="F233" s="359"/>
      <c r="G233" s="359"/>
      <c r="H233" s="359"/>
      <c r="I233" s="359"/>
      <c r="J233" s="359"/>
      <c r="K233" s="359"/>
      <c r="L233" s="361"/>
      <c r="N233" s="360"/>
      <c r="O233" s="359"/>
      <c r="P233" s="359"/>
      <c r="Q233" s="354"/>
    </row>
    <row r="234" spans="1:17" x14ac:dyDescent="0.2">
      <c r="A234" s="350">
        <v>51167</v>
      </c>
      <c r="B234" s="351"/>
      <c r="C234" s="352"/>
      <c r="D234" s="359"/>
      <c r="E234" s="359"/>
      <c r="F234" s="359"/>
      <c r="G234" s="359"/>
      <c r="H234" s="359"/>
      <c r="I234" s="359"/>
      <c r="J234" s="359"/>
      <c r="K234" s="359"/>
      <c r="L234" s="361"/>
      <c r="N234" s="360"/>
      <c r="O234" s="359"/>
      <c r="P234" s="359"/>
      <c r="Q234" s="354"/>
    </row>
    <row r="235" spans="1:17" x14ac:dyDescent="0.2">
      <c r="A235" s="350">
        <v>51196</v>
      </c>
      <c r="B235" s="351"/>
      <c r="C235" s="352"/>
      <c r="D235" s="359"/>
      <c r="E235" s="359"/>
      <c r="F235" s="359"/>
      <c r="G235" s="359"/>
      <c r="H235" s="359"/>
      <c r="I235" s="359"/>
      <c r="J235" s="359"/>
      <c r="K235" s="359"/>
      <c r="L235" s="361"/>
      <c r="N235" s="360"/>
      <c r="O235" s="359"/>
      <c r="P235" s="359"/>
      <c r="Q235" s="354">
        <v>4.8750000000000002E-2</v>
      </c>
    </row>
    <row r="236" spans="1:17" x14ac:dyDescent="0.2">
      <c r="A236" s="350">
        <v>51227</v>
      </c>
      <c r="B236" s="351"/>
      <c r="C236" s="352"/>
      <c r="D236" s="359"/>
      <c r="E236" s="359"/>
      <c r="F236" s="359"/>
      <c r="G236" s="359"/>
      <c r="H236" s="359"/>
      <c r="I236" s="359"/>
      <c r="J236" s="359"/>
      <c r="K236" s="359"/>
      <c r="L236" s="361"/>
      <c r="N236" s="360"/>
      <c r="O236" s="359"/>
      <c r="P236" s="359"/>
      <c r="Q236" s="354"/>
    </row>
    <row r="237" spans="1:17" x14ac:dyDescent="0.2">
      <c r="A237" s="350">
        <v>51257</v>
      </c>
      <c r="B237" s="351"/>
      <c r="C237" s="352"/>
      <c r="D237" s="359"/>
      <c r="E237" s="359"/>
      <c r="F237" s="359"/>
      <c r="G237" s="359"/>
      <c r="H237" s="359"/>
      <c r="I237" s="359"/>
      <c r="J237" s="359"/>
      <c r="K237" s="359"/>
      <c r="L237" s="361"/>
      <c r="N237" s="360"/>
      <c r="O237" s="359"/>
      <c r="P237" s="359"/>
      <c r="Q237" s="354"/>
    </row>
    <row r="238" spans="1:17" x14ac:dyDescent="0.2">
      <c r="A238" s="350">
        <v>51288</v>
      </c>
      <c r="B238" s="351"/>
      <c r="C238" s="352"/>
      <c r="D238" s="359"/>
      <c r="E238" s="359"/>
      <c r="F238" s="359"/>
      <c r="G238" s="359"/>
      <c r="H238" s="359"/>
      <c r="I238" s="359"/>
      <c r="J238" s="359"/>
      <c r="K238" s="359"/>
      <c r="L238" s="361"/>
      <c r="N238" s="360"/>
      <c r="O238" s="359"/>
      <c r="P238" s="359"/>
      <c r="Q238" s="354"/>
    </row>
    <row r="239" spans="1:17" x14ac:dyDescent="0.2">
      <c r="A239" s="350">
        <v>51318</v>
      </c>
      <c r="B239" s="351"/>
      <c r="C239" s="352"/>
      <c r="D239" s="359"/>
      <c r="E239" s="359"/>
      <c r="F239" s="359"/>
      <c r="G239" s="359"/>
      <c r="H239" s="359"/>
      <c r="I239" s="359"/>
      <c r="J239" s="359"/>
      <c r="K239" s="359"/>
      <c r="L239" s="361"/>
      <c r="N239" s="360"/>
      <c r="O239" s="359"/>
      <c r="P239" s="359"/>
      <c r="Q239" s="354"/>
    </row>
    <row r="240" spans="1:17" x14ac:dyDescent="0.2">
      <c r="A240" s="350">
        <v>51349</v>
      </c>
      <c r="B240" s="351"/>
      <c r="C240" s="352"/>
      <c r="D240" s="359"/>
      <c r="E240" s="359"/>
      <c r="F240" s="359"/>
      <c r="G240" s="359"/>
      <c r="H240" s="359"/>
      <c r="I240" s="359"/>
      <c r="J240" s="359"/>
      <c r="K240" s="359"/>
      <c r="L240" s="361"/>
      <c r="N240" s="360"/>
      <c r="O240" s="359"/>
      <c r="P240" s="359"/>
      <c r="Q240" s="354"/>
    </row>
    <row r="241" spans="1:17" x14ac:dyDescent="0.2">
      <c r="A241" s="350">
        <v>51380</v>
      </c>
      <c r="B241" s="351"/>
      <c r="C241" s="352"/>
      <c r="D241" s="359"/>
      <c r="E241" s="359"/>
      <c r="F241" s="359"/>
      <c r="G241" s="359"/>
      <c r="H241" s="359"/>
      <c r="I241" s="359"/>
      <c r="J241" s="359"/>
      <c r="K241" s="359"/>
      <c r="L241" s="361"/>
      <c r="N241" s="360"/>
      <c r="O241" s="359"/>
      <c r="P241" s="359"/>
      <c r="Q241" s="354">
        <v>4.8750000000000002E-2</v>
      </c>
    </row>
    <row r="242" spans="1:17" x14ac:dyDescent="0.2">
      <c r="A242" s="350">
        <v>51410</v>
      </c>
      <c r="B242" s="351"/>
      <c r="C242" s="352"/>
      <c r="D242" s="359"/>
      <c r="E242" s="359"/>
      <c r="F242" s="359"/>
      <c r="G242" s="359"/>
      <c r="H242" s="359"/>
      <c r="I242" s="359"/>
      <c r="J242" s="359"/>
      <c r="K242" s="359"/>
      <c r="L242" s="361"/>
      <c r="N242" s="360"/>
      <c r="O242" s="359"/>
      <c r="P242" s="359"/>
      <c r="Q242" s="354"/>
    </row>
    <row r="243" spans="1:17" x14ac:dyDescent="0.2">
      <c r="A243" s="350">
        <v>51441</v>
      </c>
      <c r="B243" s="351"/>
      <c r="C243" s="352"/>
      <c r="D243" s="359"/>
      <c r="E243" s="359"/>
      <c r="F243" s="359"/>
      <c r="G243" s="359"/>
      <c r="H243" s="359"/>
      <c r="I243" s="359"/>
      <c r="J243" s="359"/>
      <c r="K243" s="359"/>
      <c r="L243" s="361"/>
      <c r="N243" s="360"/>
      <c r="O243" s="359"/>
      <c r="P243" s="359"/>
      <c r="Q243" s="354"/>
    </row>
    <row r="244" spans="1:17" x14ac:dyDescent="0.2">
      <c r="A244" s="350">
        <v>51471</v>
      </c>
      <c r="B244" s="351"/>
      <c r="C244" s="352"/>
      <c r="D244" s="359"/>
      <c r="E244" s="359"/>
      <c r="F244" s="359"/>
      <c r="G244" s="359"/>
      <c r="H244" s="359"/>
      <c r="I244" s="359"/>
      <c r="J244" s="359"/>
      <c r="K244" s="359"/>
      <c r="L244" s="361"/>
      <c r="N244" s="360"/>
      <c r="O244" s="359"/>
      <c r="P244" s="359"/>
      <c r="Q244" s="354"/>
    </row>
    <row r="245" spans="1:17" x14ac:dyDescent="0.2">
      <c r="A245" s="350">
        <v>51502</v>
      </c>
      <c r="B245" s="351"/>
      <c r="C245" s="352"/>
      <c r="D245" s="359"/>
      <c r="E245" s="359"/>
      <c r="F245" s="359"/>
      <c r="G245" s="359"/>
      <c r="H245" s="359"/>
      <c r="I245" s="359"/>
      <c r="J245" s="359"/>
      <c r="K245" s="359"/>
      <c r="L245" s="361"/>
      <c r="N245" s="360"/>
      <c r="O245" s="359"/>
      <c r="P245" s="359"/>
      <c r="Q245" s="354"/>
    </row>
    <row r="246" spans="1:17" x14ac:dyDescent="0.2">
      <c r="A246" s="350">
        <v>51533</v>
      </c>
      <c r="B246" s="351"/>
      <c r="C246" s="352"/>
      <c r="D246" s="359"/>
      <c r="E246" s="359"/>
      <c r="F246" s="359"/>
      <c r="G246" s="359"/>
      <c r="H246" s="359"/>
      <c r="I246" s="359"/>
      <c r="J246" s="359"/>
      <c r="K246" s="359"/>
      <c r="L246" s="361"/>
      <c r="N246" s="360"/>
      <c r="O246" s="359"/>
      <c r="P246" s="359"/>
      <c r="Q246" s="354"/>
    </row>
    <row r="247" spans="1:17" x14ac:dyDescent="0.2">
      <c r="A247" s="350">
        <v>51561</v>
      </c>
      <c r="B247" s="351"/>
      <c r="C247" s="352"/>
      <c r="D247" s="359"/>
      <c r="E247" s="359"/>
      <c r="F247" s="359"/>
      <c r="G247" s="359"/>
      <c r="H247" s="359"/>
      <c r="I247" s="359"/>
      <c r="J247" s="359"/>
      <c r="K247" s="359"/>
      <c r="L247" s="361"/>
      <c r="N247" s="360"/>
      <c r="O247" s="359"/>
      <c r="P247" s="359"/>
      <c r="Q247" s="354">
        <v>4.8750000000000002E-2</v>
      </c>
    </row>
    <row r="248" spans="1:17" x14ac:dyDescent="0.2">
      <c r="A248" s="350">
        <v>51592</v>
      </c>
      <c r="B248" s="351"/>
      <c r="C248" s="352"/>
      <c r="D248" s="359"/>
      <c r="E248" s="359"/>
      <c r="F248" s="359"/>
      <c r="G248" s="359"/>
      <c r="H248" s="359"/>
      <c r="I248" s="359"/>
      <c r="J248" s="359"/>
      <c r="K248" s="359"/>
      <c r="L248" s="361"/>
      <c r="N248" s="360"/>
      <c r="O248" s="359"/>
      <c r="P248" s="359"/>
      <c r="Q248" s="354"/>
    </row>
    <row r="249" spans="1:17" x14ac:dyDescent="0.2">
      <c r="A249" s="350">
        <v>51622</v>
      </c>
      <c r="B249" s="351"/>
      <c r="C249" s="352"/>
      <c r="D249" s="359"/>
      <c r="E249" s="359"/>
      <c r="F249" s="359"/>
      <c r="G249" s="359"/>
      <c r="H249" s="359"/>
      <c r="I249" s="359"/>
      <c r="J249" s="359"/>
      <c r="K249" s="359"/>
      <c r="L249" s="361"/>
      <c r="N249" s="360"/>
      <c r="O249" s="359"/>
      <c r="P249" s="359"/>
      <c r="Q249" s="354"/>
    </row>
    <row r="250" spans="1:17" x14ac:dyDescent="0.2">
      <c r="A250" s="350">
        <v>51653</v>
      </c>
      <c r="B250" s="351"/>
      <c r="C250" s="352"/>
      <c r="D250" s="359"/>
      <c r="E250" s="359"/>
      <c r="F250" s="359"/>
      <c r="G250" s="359"/>
      <c r="H250" s="359"/>
      <c r="I250" s="359"/>
      <c r="J250" s="359"/>
      <c r="K250" s="359"/>
      <c r="L250" s="361"/>
      <c r="N250" s="360"/>
      <c r="O250" s="359"/>
      <c r="P250" s="359"/>
      <c r="Q250" s="354"/>
    </row>
    <row r="251" spans="1:17" x14ac:dyDescent="0.2">
      <c r="A251" s="350">
        <v>51683</v>
      </c>
      <c r="B251" s="351"/>
      <c r="C251" s="352"/>
      <c r="D251" s="359"/>
      <c r="E251" s="359"/>
      <c r="F251" s="359"/>
      <c r="G251" s="359"/>
      <c r="H251" s="359"/>
      <c r="I251" s="359"/>
      <c r="J251" s="359"/>
      <c r="K251" s="359"/>
      <c r="L251" s="361"/>
      <c r="N251" s="360"/>
      <c r="O251" s="359"/>
      <c r="P251" s="359"/>
      <c r="Q251" s="354"/>
    </row>
    <row r="252" spans="1:17" x14ac:dyDescent="0.2">
      <c r="A252" s="350">
        <v>51714</v>
      </c>
      <c r="B252" s="351"/>
      <c r="C252" s="352"/>
      <c r="D252" s="359"/>
      <c r="E252" s="359"/>
      <c r="F252" s="359"/>
      <c r="G252" s="359"/>
      <c r="H252" s="359"/>
      <c r="I252" s="359"/>
      <c r="J252" s="359"/>
      <c r="K252" s="359"/>
      <c r="L252" s="361"/>
      <c r="N252" s="360"/>
      <c r="O252" s="359"/>
      <c r="P252" s="359"/>
      <c r="Q252" s="354"/>
    </row>
    <row r="253" spans="1:17" x14ac:dyDescent="0.2">
      <c r="A253" s="350">
        <v>51745</v>
      </c>
      <c r="B253" s="351"/>
      <c r="C253" s="352"/>
      <c r="D253" s="359"/>
      <c r="E253" s="359"/>
      <c r="F253" s="359"/>
      <c r="G253" s="359"/>
      <c r="H253" s="359"/>
      <c r="I253" s="359"/>
      <c r="J253" s="359"/>
      <c r="K253" s="359"/>
      <c r="L253" s="361"/>
      <c r="N253" s="360"/>
      <c r="O253" s="359"/>
      <c r="P253" s="359"/>
      <c r="Q253" s="354">
        <v>4.8750000000000002E-2</v>
      </c>
    </row>
    <row r="254" spans="1:17" x14ac:dyDescent="0.2">
      <c r="A254" s="350">
        <v>51775</v>
      </c>
      <c r="B254" s="351"/>
      <c r="C254" s="352"/>
      <c r="D254" s="359"/>
      <c r="E254" s="359"/>
      <c r="F254" s="359"/>
      <c r="G254" s="359"/>
      <c r="H254" s="359"/>
      <c r="I254" s="359"/>
      <c r="J254" s="359"/>
      <c r="K254" s="359"/>
      <c r="L254" s="361"/>
      <c r="N254" s="360"/>
      <c r="O254" s="359"/>
      <c r="P254" s="359"/>
      <c r="Q254" s="361"/>
    </row>
    <row r="255" spans="1:17" x14ac:dyDescent="0.2">
      <c r="A255" s="350">
        <v>51806</v>
      </c>
      <c r="B255" s="351"/>
      <c r="C255" s="352"/>
      <c r="D255" s="359"/>
      <c r="E255" s="359"/>
      <c r="F255" s="359"/>
      <c r="G255" s="359"/>
      <c r="H255" s="359"/>
      <c r="I255" s="359"/>
      <c r="J255" s="359"/>
      <c r="K255" s="359"/>
      <c r="L255" s="361"/>
      <c r="N255" s="360"/>
      <c r="O255" s="359"/>
      <c r="P255" s="359"/>
      <c r="Q255" s="361"/>
    </row>
    <row r="256" spans="1:17" x14ac:dyDescent="0.2">
      <c r="A256" s="350">
        <v>51836</v>
      </c>
      <c r="B256" s="351"/>
      <c r="C256" s="352"/>
      <c r="D256" s="359"/>
      <c r="E256" s="359"/>
      <c r="F256" s="359"/>
      <c r="G256" s="359"/>
      <c r="H256" s="359"/>
      <c r="I256" s="359"/>
      <c r="J256" s="359"/>
      <c r="K256" s="359"/>
      <c r="L256" s="361"/>
      <c r="N256" s="360"/>
      <c r="O256" s="359"/>
      <c r="P256" s="359"/>
      <c r="Q256" s="361"/>
    </row>
    <row r="257" spans="1:17" x14ac:dyDescent="0.2">
      <c r="A257" s="362" t="s">
        <v>169</v>
      </c>
      <c r="B257" s="363"/>
      <c r="C257" s="363"/>
      <c r="D257" s="363"/>
      <c r="E257" s="363"/>
      <c r="F257" s="363"/>
      <c r="G257" s="363"/>
      <c r="H257" s="363"/>
      <c r="I257" s="363"/>
      <c r="J257" s="363"/>
      <c r="K257" s="363"/>
      <c r="L257" s="364">
        <f>+AVERAGE(B5:L256)</f>
        <v>6.6859931506849324E-2</v>
      </c>
      <c r="M257" s="365"/>
      <c r="N257" s="362" t="s">
        <v>169</v>
      </c>
      <c r="O257" s="366"/>
      <c r="P257" s="366"/>
      <c r="Q257" s="367">
        <f>+AVERAGE(N5:Q256)</f>
        <v>3.6523437499999978E-2</v>
      </c>
    </row>
  </sheetData>
  <mergeCells count="3">
    <mergeCell ref="A3:A4"/>
    <mergeCell ref="B3:L3"/>
    <mergeCell ref="N3:Q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E010-9609-403A-9672-EACC769780A5}">
  <sheetPr codeName="Hoja2"/>
  <dimension ref="A1:Y41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2578125" defaultRowHeight="12" x14ac:dyDescent="0.2"/>
  <cols>
    <col min="1" max="1" width="11.42578125" style="238"/>
    <col min="2" max="14" width="11.85546875" style="238" customWidth="1"/>
    <col min="15" max="15" width="3.7109375" style="277" customWidth="1"/>
    <col min="16" max="24" width="11.85546875" style="238" customWidth="1"/>
    <col min="25" max="25" width="13.85546875" style="238" customWidth="1"/>
    <col min="26" max="16384" width="11.42578125" style="238"/>
  </cols>
  <sheetData>
    <row r="1" spans="1:25" ht="15.75" x14ac:dyDescent="0.25">
      <c r="A1" s="78" t="s">
        <v>99</v>
      </c>
      <c r="B1" s="237"/>
      <c r="C1" s="237"/>
      <c r="D1" s="237"/>
    </row>
    <row r="2" spans="1:25" x14ac:dyDescent="0.2">
      <c r="A2" s="239" t="s">
        <v>35</v>
      </c>
      <c r="B2" s="239"/>
      <c r="C2" s="239"/>
      <c r="D2" s="239"/>
    </row>
    <row r="3" spans="1:25" x14ac:dyDescent="0.2">
      <c r="A3" s="239"/>
      <c r="B3" s="239"/>
      <c r="C3" s="239"/>
      <c r="D3" s="239"/>
    </row>
    <row r="4" spans="1:25" s="277" customFormat="1" ht="15" customHeight="1" x14ac:dyDescent="0.2">
      <c r="B4" s="284" t="s">
        <v>120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84" t="s">
        <v>121</v>
      </c>
      <c r="Q4" s="278"/>
      <c r="R4" s="278"/>
      <c r="S4" s="278"/>
      <c r="T4" s="278"/>
      <c r="U4" s="278"/>
      <c r="V4" s="278"/>
      <c r="W4" s="278"/>
      <c r="X4" s="278"/>
    </row>
    <row r="5" spans="1:25" s="277" customFormat="1" ht="6" customHeight="1" x14ac:dyDescent="0.2">
      <c r="B5" s="283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</row>
    <row r="6" spans="1:25" ht="31.5" customHeight="1" x14ac:dyDescent="0.2">
      <c r="B6" s="388" t="s">
        <v>97</v>
      </c>
      <c r="C6" s="389"/>
      <c r="D6" s="390"/>
      <c r="E6" s="388" t="s">
        <v>98</v>
      </c>
      <c r="F6" s="389"/>
      <c r="G6" s="389"/>
      <c r="H6" s="389"/>
      <c r="I6" s="389"/>
      <c r="J6" s="389"/>
      <c r="K6" s="390"/>
      <c r="L6" s="385" t="s">
        <v>102</v>
      </c>
      <c r="M6" s="386"/>
      <c r="N6" s="387"/>
      <c r="O6" s="280"/>
      <c r="P6" s="388" t="s">
        <v>132</v>
      </c>
      <c r="Q6" s="389"/>
      <c r="R6" s="390"/>
      <c r="S6" s="388" t="s">
        <v>133</v>
      </c>
      <c r="T6" s="389"/>
      <c r="U6" s="390"/>
      <c r="V6" s="385" t="s">
        <v>101</v>
      </c>
      <c r="W6" s="386"/>
      <c r="X6" s="387"/>
    </row>
    <row r="7" spans="1:25" s="241" customFormat="1" ht="31.5" customHeight="1" x14ac:dyDescent="0.2">
      <c r="A7" s="240" t="s">
        <v>36</v>
      </c>
      <c r="B7" s="233" t="s">
        <v>28</v>
      </c>
      <c r="C7" s="234" t="s">
        <v>38</v>
      </c>
      <c r="D7" s="235" t="s">
        <v>131</v>
      </c>
      <c r="E7" s="233" t="s">
        <v>28</v>
      </c>
      <c r="F7" s="234" t="s">
        <v>38</v>
      </c>
      <c r="G7" s="233" t="s">
        <v>115</v>
      </c>
      <c r="H7" s="234" t="s">
        <v>116</v>
      </c>
      <c r="I7" s="234" t="s">
        <v>117</v>
      </c>
      <c r="J7" s="235" t="s">
        <v>119</v>
      </c>
      <c r="K7" s="236" t="s">
        <v>131</v>
      </c>
      <c r="L7" s="233" t="s">
        <v>28</v>
      </c>
      <c r="M7" s="234" t="s">
        <v>38</v>
      </c>
      <c r="N7" s="235" t="s">
        <v>131</v>
      </c>
      <c r="O7" s="281"/>
      <c r="P7" s="233" t="s">
        <v>28</v>
      </c>
      <c r="Q7" s="234" t="s">
        <v>38</v>
      </c>
      <c r="R7" s="235" t="s">
        <v>131</v>
      </c>
      <c r="S7" s="233" t="s">
        <v>28</v>
      </c>
      <c r="T7" s="234" t="s">
        <v>38</v>
      </c>
      <c r="U7" s="235" t="s">
        <v>131</v>
      </c>
      <c r="V7" s="233" t="s">
        <v>28</v>
      </c>
      <c r="W7" s="234" t="s">
        <v>38</v>
      </c>
      <c r="X7" s="235" t="s">
        <v>131</v>
      </c>
      <c r="Y7" s="238"/>
    </row>
    <row r="8" spans="1:25" x14ac:dyDescent="0.2">
      <c r="A8" s="242">
        <v>2020</v>
      </c>
      <c r="B8" s="243">
        <v>3046.9646670772686</v>
      </c>
      <c r="C8" s="244">
        <v>422.96711430686264</v>
      </c>
      <c r="D8" s="245">
        <f>+SUM(B8:C8)</f>
        <v>3469.9317813841312</v>
      </c>
      <c r="E8" s="246">
        <v>2840.8348514548325</v>
      </c>
      <c r="F8" s="244">
        <v>9195.9785973819999</v>
      </c>
      <c r="G8" s="243">
        <v>8609.5335938586231</v>
      </c>
      <c r="H8" s="244">
        <v>2726.3141165499997</v>
      </c>
      <c r="I8" s="244">
        <v>75.961836947835295</v>
      </c>
      <c r="J8" s="245">
        <v>625.00390148037297</v>
      </c>
      <c r="K8" s="245">
        <f>+SUM(G8:J8)</f>
        <v>12036.813448836832</v>
      </c>
      <c r="L8" s="243">
        <f>+B8+E8</f>
        <v>5887.7995185321015</v>
      </c>
      <c r="M8" s="244">
        <f>+C8+F8</f>
        <v>9618.9457116888625</v>
      </c>
      <c r="N8" s="245">
        <f>+SUM(L8:M8)</f>
        <v>15506.745230220964</v>
      </c>
      <c r="O8" s="279"/>
      <c r="P8" s="243">
        <v>0</v>
      </c>
      <c r="Q8" s="244">
        <v>0</v>
      </c>
      <c r="R8" s="245">
        <f>+SUM(P8:Q8)</f>
        <v>0</v>
      </c>
      <c r="S8" s="243">
        <f>+SUMIF('Nuevos Bonos USD'!$G:$G,'Perfil de vencimientos'!$A8,'Nuevos Bonos USD'!$AD:$AD)+SUMIF('Nuevos BONCER'!$E:$E,$A8,'Nuevos BONCER'!$V:$V)</f>
        <v>0</v>
      </c>
      <c r="T8" s="244">
        <f>+SUMIF('Nuevos Bonos USD'!$G:$G,'Perfil de vencimientos'!$A8,'Nuevos Bonos USD'!$AE:$AE)+SUMIF('Nuevos BONCER'!$E:$E,$A8,'Nuevos BONCER'!$W:$W)</f>
        <v>0</v>
      </c>
      <c r="U8" s="245">
        <f>+SUM(S8:T8)</f>
        <v>0</v>
      </c>
      <c r="V8" s="244">
        <f>+P8+S8</f>
        <v>0</v>
      </c>
      <c r="W8" s="244">
        <f>+Q8+T8</f>
        <v>0</v>
      </c>
      <c r="X8" s="252">
        <f>+SUM(V8:W8)</f>
        <v>0</v>
      </c>
    </row>
    <row r="9" spans="1:25" x14ac:dyDescent="0.2">
      <c r="A9" s="242">
        <v>2021</v>
      </c>
      <c r="B9" s="243">
        <v>3908.6795265634637</v>
      </c>
      <c r="C9" s="244">
        <v>4500</v>
      </c>
      <c r="D9" s="245">
        <f t="shared" ref="D9:D37" si="0">+SUM(B9:C9)</f>
        <v>8408.6795265634646</v>
      </c>
      <c r="E9" s="243">
        <v>2431.9476511274434</v>
      </c>
      <c r="F9" s="244">
        <v>1334.6527124319989</v>
      </c>
      <c r="G9" s="243">
        <v>3108.502265707612</v>
      </c>
      <c r="H9" s="244">
        <v>0</v>
      </c>
      <c r="I9" s="244">
        <v>8.7003986700000002</v>
      </c>
      <c r="J9" s="245">
        <v>649.39769918183049</v>
      </c>
      <c r="K9" s="245">
        <f t="shared" ref="K9:K37" si="1">+SUM(G9:J9)</f>
        <v>3766.6003635594425</v>
      </c>
      <c r="L9" s="243">
        <f t="shared" ref="L9:L37" si="2">+B9+E9</f>
        <v>6340.627177690907</v>
      </c>
      <c r="M9" s="244">
        <f t="shared" ref="M9:M37" si="3">+C9+F9</f>
        <v>5834.6527124319991</v>
      </c>
      <c r="N9" s="245">
        <f t="shared" ref="N9:N37" si="4">+SUM(L9:M9)</f>
        <v>12175.279890122907</v>
      </c>
      <c r="O9" s="279"/>
      <c r="P9" s="243">
        <v>106.0327440609218</v>
      </c>
      <c r="Q9" s="244">
        <v>0</v>
      </c>
      <c r="R9" s="245">
        <f t="shared" ref="R9:R37" si="5">+SUM(P9:Q9)</f>
        <v>106.0327440609218</v>
      </c>
      <c r="S9" s="243">
        <f>+SUMIF('Nuevos Bonos USD'!$G:$G,'Perfil de vencimientos'!$A9,'Nuevos Bonos USD'!$AD:$AD)+SUMIF('Nuevos BONCER'!$E:$E,$A9,'Nuevos BONCER'!$V:$V)</f>
        <v>74.572045758834165</v>
      </c>
      <c r="T9" s="244">
        <f>+SUMIF('Nuevos Bonos USD'!$G:$G,'Perfil de vencimientos'!$A9,'Nuevos Bonos USD'!$AE:$AE)+SUMIF('Nuevos BONCER'!$E:$E,$A9,'Nuevos BONCER'!$W:$W)</f>
        <v>1.3613288400366832</v>
      </c>
      <c r="U9" s="245">
        <f t="shared" ref="U9:U30" si="6">+SUM(S9:T9)</f>
        <v>75.933374598870842</v>
      </c>
      <c r="V9" s="244">
        <f t="shared" ref="V9:V37" si="7">+P9+S9</f>
        <v>180.60478981975598</v>
      </c>
      <c r="W9" s="244">
        <f t="shared" ref="W9:W37" si="8">+Q9+T9</f>
        <v>1.3613288400366832</v>
      </c>
      <c r="X9" s="252">
        <f t="shared" ref="X9:X37" si="9">+SUM(V9:W9)</f>
        <v>181.96611865979267</v>
      </c>
    </row>
    <row r="10" spans="1:25" x14ac:dyDescent="0.2">
      <c r="A10" s="242">
        <v>2022</v>
      </c>
      <c r="B10" s="243">
        <v>3661.9780828289304</v>
      </c>
      <c r="C10" s="244">
        <v>4656.0742407199104</v>
      </c>
      <c r="D10" s="245">
        <f t="shared" si="0"/>
        <v>8318.0523235488399</v>
      </c>
      <c r="E10" s="243">
        <v>2315.6512406572679</v>
      </c>
      <c r="F10" s="244">
        <v>5823.9591344319988</v>
      </c>
      <c r="G10" s="243">
        <v>7490.2126759074372</v>
      </c>
      <c r="H10" s="244">
        <v>0</v>
      </c>
      <c r="I10" s="244">
        <v>0</v>
      </c>
      <c r="J10" s="245">
        <v>649.39769918183049</v>
      </c>
      <c r="K10" s="245">
        <f t="shared" si="1"/>
        <v>8139.610375089268</v>
      </c>
      <c r="L10" s="243">
        <f t="shared" si="2"/>
        <v>5977.6293234861987</v>
      </c>
      <c r="M10" s="244">
        <f t="shared" si="3"/>
        <v>10480.03337515191</v>
      </c>
      <c r="N10" s="245">
        <f t="shared" si="4"/>
        <v>16457.662698638109</v>
      </c>
      <c r="O10" s="279"/>
      <c r="P10" s="243">
        <v>800.21797689172149</v>
      </c>
      <c r="Q10" s="244">
        <v>0</v>
      </c>
      <c r="R10" s="245">
        <f t="shared" si="5"/>
        <v>800.21797689172149</v>
      </c>
      <c r="S10" s="243">
        <f>+SUMIF('Nuevos Bonos USD'!$G:$G,'Perfil de vencimientos'!$A10,'Nuevos Bonos USD'!$AD:$AD)+SUMIF('Nuevos BONCER'!$E:$E,$A10,'Nuevos BONCER'!$V:$V)</f>
        <v>443.25224133162845</v>
      </c>
      <c r="T10" s="244">
        <f>+SUMIF('Nuevos Bonos USD'!$G:$G,'Perfil de vencimientos'!$A10,'Nuevos Bonos USD'!$AE:$AE)+SUMIF('Nuevos BONCER'!$E:$E,$A10,'Nuevos BONCER'!$W:$W)</f>
        <v>1.225974670906907</v>
      </c>
      <c r="U10" s="245">
        <f t="shared" si="6"/>
        <v>444.47821600253536</v>
      </c>
      <c r="V10" s="244">
        <f t="shared" si="7"/>
        <v>1243.47021822335</v>
      </c>
      <c r="W10" s="244">
        <f t="shared" si="8"/>
        <v>1.225974670906907</v>
      </c>
      <c r="X10" s="252">
        <f t="shared" si="9"/>
        <v>1244.6961928942569</v>
      </c>
    </row>
    <row r="11" spans="1:25" x14ac:dyDescent="0.2">
      <c r="A11" s="242">
        <v>2023</v>
      </c>
      <c r="B11" s="243">
        <v>3475.6177060010341</v>
      </c>
      <c r="C11" s="244">
        <v>2874.8593925759278</v>
      </c>
      <c r="D11" s="245">
        <f t="shared" si="0"/>
        <v>6350.4770985769619</v>
      </c>
      <c r="E11" s="243">
        <v>1836.4613152290183</v>
      </c>
      <c r="F11" s="244">
        <v>2527.7115354519988</v>
      </c>
      <c r="G11" s="243">
        <v>3714.7751514991864</v>
      </c>
      <c r="H11" s="244">
        <v>0</v>
      </c>
      <c r="I11" s="244">
        <v>0</v>
      </c>
      <c r="J11" s="245">
        <v>649.39769918183049</v>
      </c>
      <c r="K11" s="245">
        <f t="shared" si="1"/>
        <v>4364.1728506810168</v>
      </c>
      <c r="L11" s="243">
        <f t="shared" si="2"/>
        <v>5312.0790212300526</v>
      </c>
      <c r="M11" s="244">
        <f t="shared" si="3"/>
        <v>5402.5709280279261</v>
      </c>
      <c r="N11" s="245">
        <f t="shared" si="4"/>
        <v>10714.649949257979</v>
      </c>
      <c r="O11" s="279"/>
      <c r="P11" s="243">
        <v>1226.7765798634434</v>
      </c>
      <c r="Q11" s="244">
        <v>0</v>
      </c>
      <c r="R11" s="245">
        <f t="shared" si="5"/>
        <v>1226.7765798634434</v>
      </c>
      <c r="S11" s="243">
        <f>+SUMIF('Nuevos Bonos USD'!$G:$G,'Perfil de vencimientos'!$A11,'Nuevos Bonos USD'!$AD:$AD)+SUMIF('Nuevos BONCER'!$E:$E,$A11,'Nuevos BONCER'!$V:$V)</f>
        <v>641.26200936445218</v>
      </c>
      <c r="T11" s="244">
        <f>+SUMIF('Nuevos Bonos USD'!$G:$G,'Perfil de vencimientos'!$A11,'Nuevos Bonos USD'!$AE:$AE)+SUMIF('Nuevos BONCER'!$E:$E,$A11,'Nuevos BONCER'!$W:$W)</f>
        <v>1.2661285447057642</v>
      </c>
      <c r="U11" s="245">
        <f t="shared" si="6"/>
        <v>642.52813790915798</v>
      </c>
      <c r="V11" s="244">
        <f t="shared" si="7"/>
        <v>1868.0385892278955</v>
      </c>
      <c r="W11" s="244">
        <f t="shared" si="8"/>
        <v>1.2661285447057642</v>
      </c>
      <c r="X11" s="252">
        <f t="shared" si="9"/>
        <v>1869.3047177726012</v>
      </c>
    </row>
    <row r="12" spans="1:25" x14ac:dyDescent="0.2">
      <c r="A12" s="242">
        <v>2024</v>
      </c>
      <c r="B12" s="243">
        <v>3373.1066304642882</v>
      </c>
      <c r="C12" s="244">
        <v>1206.2799068958439</v>
      </c>
      <c r="D12" s="245">
        <f t="shared" si="0"/>
        <v>4579.386537360132</v>
      </c>
      <c r="E12" s="243">
        <v>1669.1748120433131</v>
      </c>
      <c r="F12" s="244">
        <v>2561.5830303450034</v>
      </c>
      <c r="G12" s="243">
        <v>2871.000874312866</v>
      </c>
      <c r="H12" s="244">
        <v>0</v>
      </c>
      <c r="I12" s="244">
        <v>0</v>
      </c>
      <c r="J12" s="245">
        <v>1359.7569680754505</v>
      </c>
      <c r="K12" s="245">
        <f t="shared" si="1"/>
        <v>4230.7578423883169</v>
      </c>
      <c r="L12" s="243">
        <f t="shared" si="2"/>
        <v>5042.2814425076012</v>
      </c>
      <c r="M12" s="244">
        <f t="shared" si="3"/>
        <v>3767.8629372408473</v>
      </c>
      <c r="N12" s="245">
        <f t="shared" si="4"/>
        <v>8810.144379748448</v>
      </c>
      <c r="O12" s="279"/>
      <c r="P12" s="243">
        <v>1825.5858099226843</v>
      </c>
      <c r="Q12" s="244">
        <v>0</v>
      </c>
      <c r="R12" s="245">
        <f t="shared" si="5"/>
        <v>1825.5858099226843</v>
      </c>
      <c r="S12" s="243">
        <f>+SUMIF('Nuevos Bonos USD'!$G:$G,'Perfil de vencimientos'!$A12,'Nuevos Bonos USD'!$AD:$AD)+SUMIF('Nuevos BONCER'!$E:$E,$A12,'Nuevos BONCER'!$V:$V)</f>
        <v>993.46391511077161</v>
      </c>
      <c r="T12" s="244">
        <f>+SUMIF('Nuevos Bonos USD'!$G:$G,'Perfil de vencimientos'!$A12,'Nuevos Bonos USD'!$AE:$AE)+SUMIF('Nuevos BONCER'!$E:$E,$A12,'Nuevos BONCER'!$W:$W)</f>
        <v>1.2921111579840976</v>
      </c>
      <c r="U12" s="245">
        <f t="shared" si="6"/>
        <v>994.7560262687557</v>
      </c>
      <c r="V12" s="244">
        <f t="shared" si="7"/>
        <v>2819.0497250334561</v>
      </c>
      <c r="W12" s="244">
        <f t="shared" si="8"/>
        <v>1.2921111579840976</v>
      </c>
      <c r="X12" s="252">
        <f t="shared" si="9"/>
        <v>2820.3418361914401</v>
      </c>
    </row>
    <row r="13" spans="1:25" x14ac:dyDescent="0.2">
      <c r="A13" s="242">
        <v>2025</v>
      </c>
      <c r="B13" s="243">
        <v>3276.4254556288893</v>
      </c>
      <c r="C13" s="244">
        <v>1206.2799068958439</v>
      </c>
      <c r="D13" s="245">
        <f t="shared" si="0"/>
        <v>4482.7053625247336</v>
      </c>
      <c r="E13" s="243">
        <v>1521.369376877987</v>
      </c>
      <c r="F13" s="244">
        <v>5758.0138544430001</v>
      </c>
      <c r="G13" s="243">
        <v>5979.6872736313508</v>
      </c>
      <c r="H13" s="244">
        <v>0</v>
      </c>
      <c r="I13" s="244">
        <v>0</v>
      </c>
      <c r="J13" s="245">
        <v>1299.695957689637</v>
      </c>
      <c r="K13" s="245">
        <f t="shared" si="1"/>
        <v>7279.3832313209878</v>
      </c>
      <c r="L13" s="243">
        <f t="shared" si="2"/>
        <v>4797.7948325068764</v>
      </c>
      <c r="M13" s="244">
        <f t="shared" si="3"/>
        <v>6964.293761338844</v>
      </c>
      <c r="N13" s="245">
        <f t="shared" si="4"/>
        <v>11762.088593845721</v>
      </c>
      <c r="O13" s="279"/>
      <c r="P13" s="243">
        <v>2033.8046249190818</v>
      </c>
      <c r="Q13" s="244">
        <v>2881.1773528308959</v>
      </c>
      <c r="R13" s="245">
        <f t="shared" si="5"/>
        <v>4914.9819777499779</v>
      </c>
      <c r="S13" s="243">
        <f>+SUMIF('Nuevos Bonos USD'!$G:$G,'Perfil de vencimientos'!$A13,'Nuevos Bonos USD'!$AD:$AD)+SUMIF('Nuevos BONCER'!$E:$E,$A13,'Nuevos BONCER'!$V:$V)</f>
        <v>1139.5248374526589</v>
      </c>
      <c r="T13" s="244">
        <f>+SUMIF('Nuevos Bonos USD'!$G:$G,'Perfil de vencimientos'!$A13,'Nuevos Bonos USD'!$AE:$AE)+SUMIF('Nuevos BONCER'!$E:$E,$A13,'Nuevos BONCER'!$W:$W)</f>
        <v>3238.1509455413093</v>
      </c>
      <c r="U13" s="245">
        <f t="shared" si="6"/>
        <v>4377.6757829939679</v>
      </c>
      <c r="V13" s="244">
        <f t="shared" si="7"/>
        <v>3173.3294623717406</v>
      </c>
      <c r="W13" s="244">
        <f t="shared" si="8"/>
        <v>6119.3282983722056</v>
      </c>
      <c r="X13" s="252">
        <f t="shared" si="9"/>
        <v>9292.6577607439467</v>
      </c>
    </row>
    <row r="14" spans="1:25" x14ac:dyDescent="0.2">
      <c r="A14" s="242">
        <v>2026</v>
      </c>
      <c r="B14" s="243">
        <v>2935.4299249442224</v>
      </c>
      <c r="C14" s="244">
        <v>7706.2799068958439</v>
      </c>
      <c r="D14" s="245">
        <f t="shared" si="0"/>
        <v>10641.709831840066</v>
      </c>
      <c r="E14" s="243">
        <v>1091.0968569264817</v>
      </c>
      <c r="F14" s="244">
        <v>725.37452148300008</v>
      </c>
      <c r="G14" s="243">
        <v>576.83643110000003</v>
      </c>
      <c r="H14" s="244">
        <v>0</v>
      </c>
      <c r="I14" s="244">
        <v>0</v>
      </c>
      <c r="J14" s="245">
        <v>1239.634947309482</v>
      </c>
      <c r="K14" s="245">
        <f t="shared" si="1"/>
        <v>1816.471378409482</v>
      </c>
      <c r="L14" s="243">
        <f t="shared" si="2"/>
        <v>4026.5267818707043</v>
      </c>
      <c r="M14" s="244">
        <f t="shared" si="3"/>
        <v>8431.6544283788444</v>
      </c>
      <c r="N14" s="245">
        <f t="shared" si="4"/>
        <v>12458.18121024955</v>
      </c>
      <c r="O14" s="279"/>
      <c r="P14" s="243">
        <v>2015.828153228043</v>
      </c>
      <c r="Q14" s="244">
        <v>2881.1773528308959</v>
      </c>
      <c r="R14" s="245">
        <f t="shared" si="5"/>
        <v>4897.0055060589384</v>
      </c>
      <c r="S14" s="243">
        <f>+SUMIF('Nuevos Bonos USD'!$G:$G,'Perfil de vencimientos'!$A14,'Nuevos Bonos USD'!$AD:$AD)+SUMIF('Nuevos BONCER'!$E:$E,$A14,'Nuevos BONCER'!$V:$V)</f>
        <v>1115.0847663094091</v>
      </c>
      <c r="T14" s="244">
        <f>+SUMIF('Nuevos Bonos USD'!$G:$G,'Perfil de vencimientos'!$A14,'Nuevos Bonos USD'!$AE:$AE)+SUMIF('Nuevos BONCER'!$E:$E,$A14,'Nuevos BONCER'!$W:$W)</f>
        <v>3237.5010981928813</v>
      </c>
      <c r="U14" s="245">
        <f t="shared" si="6"/>
        <v>4352.5858645022909</v>
      </c>
      <c r="V14" s="244">
        <f t="shared" si="7"/>
        <v>3130.9129195374521</v>
      </c>
      <c r="W14" s="244">
        <f t="shared" si="8"/>
        <v>6118.6784510237776</v>
      </c>
      <c r="X14" s="252">
        <f t="shared" si="9"/>
        <v>9249.5913705612293</v>
      </c>
    </row>
    <row r="15" spans="1:25" x14ac:dyDescent="0.2">
      <c r="A15" s="242">
        <v>2027</v>
      </c>
      <c r="B15" s="243">
        <v>2465.8825520323326</v>
      </c>
      <c r="C15" s="244">
        <v>6362.3541476157534</v>
      </c>
      <c r="D15" s="245">
        <f t="shared" si="0"/>
        <v>8828.2366996480851</v>
      </c>
      <c r="E15" s="243">
        <v>1031.0358465633026</v>
      </c>
      <c r="F15" s="244">
        <v>5415.8740844829999</v>
      </c>
      <c r="G15" s="243">
        <v>5267.3359941000008</v>
      </c>
      <c r="H15" s="244">
        <v>0</v>
      </c>
      <c r="I15" s="244">
        <v>0</v>
      </c>
      <c r="J15" s="245">
        <v>1179.5739369463026</v>
      </c>
      <c r="K15" s="245">
        <f t="shared" si="1"/>
        <v>6446.9099310463034</v>
      </c>
      <c r="L15" s="243">
        <f t="shared" si="2"/>
        <v>3496.9183985956352</v>
      </c>
      <c r="M15" s="244">
        <f t="shared" si="3"/>
        <v>11778.228232098754</v>
      </c>
      <c r="N15" s="245">
        <f t="shared" si="4"/>
        <v>15275.146630694389</v>
      </c>
      <c r="O15" s="279"/>
      <c r="P15" s="243">
        <v>1996.3085171182079</v>
      </c>
      <c r="Q15" s="244">
        <v>3579.3031372640271</v>
      </c>
      <c r="R15" s="245">
        <f t="shared" si="5"/>
        <v>5575.6116543822354</v>
      </c>
      <c r="S15" s="243">
        <f>+SUMIF('Nuevos Bonos USD'!$G:$G,'Perfil de vencimientos'!$A15,'Nuevos Bonos USD'!$AD:$AD)+SUMIF('Nuevos BONCER'!$E:$E,$A15,'Nuevos BONCER'!$V:$V)</f>
        <v>1056.9154072644944</v>
      </c>
      <c r="T15" s="244">
        <f>+SUMIF('Nuevos Bonos USD'!$G:$G,'Perfil de vencimientos'!$A15,'Nuevos Bonos USD'!$AE:$AE)+SUMIF('Nuevos BONCER'!$E:$E,$A15,'Nuevos BONCER'!$W:$W)</f>
        <v>3732.275383174866</v>
      </c>
      <c r="U15" s="245">
        <f t="shared" si="6"/>
        <v>4789.1907904393602</v>
      </c>
      <c r="V15" s="244">
        <f t="shared" si="7"/>
        <v>3053.2239243827025</v>
      </c>
      <c r="W15" s="244">
        <f t="shared" si="8"/>
        <v>7311.5785204388931</v>
      </c>
      <c r="X15" s="252">
        <f t="shared" si="9"/>
        <v>10364.802444821595</v>
      </c>
    </row>
    <row r="16" spans="1:25" x14ac:dyDescent="0.2">
      <c r="A16" s="242">
        <v>2028</v>
      </c>
      <c r="B16" s="243">
        <v>2045.0821767694881</v>
      </c>
      <c r="C16" s="244">
        <v>7581.1392994717717</v>
      </c>
      <c r="D16" s="245">
        <f t="shared" si="0"/>
        <v>9626.2214762412605</v>
      </c>
      <c r="E16" s="243">
        <v>601.59799560314752</v>
      </c>
      <c r="F16" s="244">
        <v>725.37452148300008</v>
      </c>
      <c r="G16" s="243">
        <v>207.45959052000003</v>
      </c>
      <c r="H16" s="244">
        <v>0</v>
      </c>
      <c r="I16" s="244">
        <v>0</v>
      </c>
      <c r="J16" s="245">
        <v>1119.5129265661476</v>
      </c>
      <c r="K16" s="245">
        <f t="shared" si="1"/>
        <v>1326.9725170861477</v>
      </c>
      <c r="L16" s="243">
        <f t="shared" si="2"/>
        <v>2646.6801723726358</v>
      </c>
      <c r="M16" s="244">
        <f t="shared" si="3"/>
        <v>8306.5138209547713</v>
      </c>
      <c r="N16" s="245">
        <f t="shared" si="4"/>
        <v>10953.193993327408</v>
      </c>
      <c r="O16" s="279"/>
      <c r="P16" s="243">
        <v>2146.3108048686699</v>
      </c>
      <c r="Q16" s="244">
        <v>5581.2851041755039</v>
      </c>
      <c r="R16" s="245">
        <f t="shared" si="5"/>
        <v>7727.5959090441738</v>
      </c>
      <c r="S16" s="243">
        <f>+SUMIF('Nuevos Bonos USD'!$G:$G,'Perfil de vencimientos'!$A16,'Nuevos Bonos USD'!$AD:$AD)+SUMIF('Nuevos BONCER'!$E:$E,$A16,'Nuevos BONCER'!$V:$V)</f>
        <v>1187.2840209453857</v>
      </c>
      <c r="T16" s="244">
        <f>+SUMIF('Nuevos Bonos USD'!$G:$G,'Perfil de vencimientos'!$A16,'Nuevos Bonos USD'!$AE:$AE)+SUMIF('Nuevos BONCER'!$E:$E,$A16,'Nuevos BONCER'!$W:$W)</f>
        <v>4484.6355194840871</v>
      </c>
      <c r="U16" s="245">
        <f t="shared" si="6"/>
        <v>5671.9195404294733</v>
      </c>
      <c r="V16" s="244">
        <f t="shared" si="7"/>
        <v>3333.5948258140556</v>
      </c>
      <c r="W16" s="244">
        <f t="shared" si="8"/>
        <v>10065.920623659591</v>
      </c>
      <c r="X16" s="252">
        <f t="shared" si="9"/>
        <v>13399.515449473647</v>
      </c>
    </row>
    <row r="17" spans="1:24" x14ac:dyDescent="0.2">
      <c r="A17" s="242">
        <v>2029</v>
      </c>
      <c r="B17" s="243">
        <v>1787.863906302643</v>
      </c>
      <c r="C17" s="244">
        <v>1840.0346156970813</v>
      </c>
      <c r="D17" s="245">
        <f t="shared" si="0"/>
        <v>3627.8985219997244</v>
      </c>
      <c r="E17" s="243">
        <v>551.29450429587666</v>
      </c>
      <c r="F17" s="244">
        <v>790.42464868299999</v>
      </c>
      <c r="G17" s="243">
        <v>207.45959052000003</v>
      </c>
      <c r="H17" s="244">
        <v>0</v>
      </c>
      <c r="I17" s="244">
        <v>0</v>
      </c>
      <c r="J17" s="245">
        <v>1134.2595624588766</v>
      </c>
      <c r="K17" s="245">
        <f t="shared" si="1"/>
        <v>1341.7191529788768</v>
      </c>
      <c r="L17" s="243">
        <f t="shared" si="2"/>
        <v>2339.1584105985198</v>
      </c>
      <c r="M17" s="244">
        <f t="shared" si="3"/>
        <v>2630.4592643800815</v>
      </c>
      <c r="N17" s="245">
        <f t="shared" si="4"/>
        <v>4969.6176749786009</v>
      </c>
      <c r="O17" s="279"/>
      <c r="P17" s="243">
        <v>2070.6549273392675</v>
      </c>
      <c r="Q17" s="244">
        <v>5581.2851041755039</v>
      </c>
      <c r="R17" s="245">
        <f t="shared" si="5"/>
        <v>7651.9400315147714</v>
      </c>
      <c r="S17" s="243">
        <f>+SUMIF('Nuevos Bonos USD'!$G:$G,'Perfil de vencimientos'!$A17,'Nuevos Bonos USD'!$AD:$AD)+SUMIF('Nuevos BONCER'!$E:$E,$A17,'Nuevos BONCER'!$V:$V)</f>
        <v>1122.5815330999735</v>
      </c>
      <c r="T17" s="244">
        <f>+SUMIF('Nuevos Bonos USD'!$G:$G,'Perfil de vencimientos'!$A17,'Nuevos Bonos USD'!$AE:$AE)+SUMIF('Nuevos BONCER'!$E:$E,$A17,'Nuevos BONCER'!$W:$W)</f>
        <v>4484.6355194840871</v>
      </c>
      <c r="U17" s="245">
        <f t="shared" si="6"/>
        <v>5607.2170525840611</v>
      </c>
      <c r="V17" s="244">
        <f t="shared" si="7"/>
        <v>3193.236460439241</v>
      </c>
      <c r="W17" s="244">
        <f t="shared" si="8"/>
        <v>10065.920623659591</v>
      </c>
      <c r="X17" s="252">
        <f t="shared" si="9"/>
        <v>13259.157084098832</v>
      </c>
    </row>
    <row r="18" spans="1:24" x14ac:dyDescent="0.2">
      <c r="A18" s="242">
        <v>2030</v>
      </c>
      <c r="B18" s="243">
        <v>1733.8159409860657</v>
      </c>
      <c r="C18" s="244">
        <v>2473.7893244983188</v>
      </c>
      <c r="D18" s="245">
        <f t="shared" si="0"/>
        <v>4207.6052654843843</v>
      </c>
      <c r="E18" s="243">
        <v>495.86831547726405</v>
      </c>
      <c r="F18" s="244">
        <v>855.47477588299989</v>
      </c>
      <c r="G18" s="243">
        <v>207.45959052000003</v>
      </c>
      <c r="H18" s="244">
        <v>0</v>
      </c>
      <c r="I18" s="244">
        <v>0</v>
      </c>
      <c r="J18" s="245">
        <v>1143.8835008402639</v>
      </c>
      <c r="K18" s="245">
        <f t="shared" si="1"/>
        <v>1351.343091360264</v>
      </c>
      <c r="L18" s="243">
        <f t="shared" si="2"/>
        <v>2229.6842564633298</v>
      </c>
      <c r="M18" s="244">
        <f t="shared" si="3"/>
        <v>3329.2641003813187</v>
      </c>
      <c r="N18" s="245">
        <f t="shared" si="4"/>
        <v>5558.9483568446485</v>
      </c>
      <c r="O18" s="279"/>
      <c r="P18" s="243">
        <v>2097.9296877942388</v>
      </c>
      <c r="Q18" s="244">
        <v>5581.2851041755039</v>
      </c>
      <c r="R18" s="245">
        <f t="shared" si="5"/>
        <v>7679.2147919697427</v>
      </c>
      <c r="S18" s="243">
        <f>+SUMIF('Nuevos Bonos USD'!$G:$G,'Perfil de vencimientos'!$A18,'Nuevos Bonos USD'!$AD:$AD)+SUMIF('Nuevos BONCER'!$E:$E,$A18,'Nuevos BONCER'!$V:$V)</f>
        <v>1040.2582696402289</v>
      </c>
      <c r="T18" s="244">
        <f>+SUMIF('Nuevos Bonos USD'!$G:$G,'Perfil de vencimientos'!$A18,'Nuevos Bonos USD'!$AE:$AE)+SUMIF('Nuevos BONCER'!$E:$E,$A18,'Nuevos BONCER'!$W:$W)</f>
        <v>4484.6355194840871</v>
      </c>
      <c r="U18" s="245">
        <f t="shared" si="6"/>
        <v>5524.8937891243158</v>
      </c>
      <c r="V18" s="244">
        <f t="shared" si="7"/>
        <v>3138.1879574344675</v>
      </c>
      <c r="W18" s="244">
        <f t="shared" si="8"/>
        <v>10065.920623659591</v>
      </c>
      <c r="X18" s="252">
        <f t="shared" si="9"/>
        <v>13204.108581094059</v>
      </c>
    </row>
    <row r="19" spans="1:24" x14ac:dyDescent="0.2">
      <c r="A19" s="242">
        <v>2031</v>
      </c>
      <c r="B19" s="243">
        <v>1574.0941211916663</v>
      </c>
      <c r="C19" s="244">
        <v>2473.7893244983188</v>
      </c>
      <c r="D19" s="245">
        <f t="shared" si="0"/>
        <v>4047.8834456899849</v>
      </c>
      <c r="E19" s="243">
        <v>428.97704174676755</v>
      </c>
      <c r="F19" s="244">
        <v>855.47477588299989</v>
      </c>
      <c r="G19" s="243">
        <v>207.45959052000003</v>
      </c>
      <c r="H19" s="244">
        <v>0</v>
      </c>
      <c r="I19" s="244">
        <v>0</v>
      </c>
      <c r="J19" s="245">
        <v>1076.9922271097673</v>
      </c>
      <c r="K19" s="245">
        <f t="shared" si="1"/>
        <v>1284.4518176297674</v>
      </c>
      <c r="L19" s="243">
        <f t="shared" si="2"/>
        <v>2003.0711629384339</v>
      </c>
      <c r="M19" s="244">
        <f t="shared" si="3"/>
        <v>3329.2641003813187</v>
      </c>
      <c r="N19" s="245">
        <f t="shared" si="4"/>
        <v>5332.3352633197528</v>
      </c>
      <c r="O19" s="279"/>
      <c r="P19" s="243">
        <v>1913.6872418706475</v>
      </c>
      <c r="Q19" s="244">
        <v>6611.7286321083266</v>
      </c>
      <c r="R19" s="245">
        <f t="shared" si="5"/>
        <v>8525.4158739789746</v>
      </c>
      <c r="S19" s="243">
        <f>+SUMIF('Nuevos Bonos USD'!$G:$G,'Perfil de vencimientos'!$A19,'Nuevos Bonos USD'!$AD:$AD)+SUMIF('Nuevos BONCER'!$E:$E,$A19,'Nuevos BONCER'!$V:$V)</f>
        <v>924.28710425641952</v>
      </c>
      <c r="T19" s="244">
        <f>+SUMIF('Nuevos Bonos USD'!$G:$G,'Perfil de vencimientos'!$A19,'Nuevos Bonos USD'!$AE:$AE)+SUMIF('Nuevos BONCER'!$E:$E,$A19,'Nuevos BONCER'!$W:$W)</f>
        <v>3363.1263198272204</v>
      </c>
      <c r="U19" s="245">
        <f t="shared" si="6"/>
        <v>4287.4134240836402</v>
      </c>
      <c r="V19" s="244">
        <f t="shared" si="7"/>
        <v>2837.9743461270673</v>
      </c>
      <c r="W19" s="244">
        <f t="shared" si="8"/>
        <v>9974.8549519355474</v>
      </c>
      <c r="X19" s="252">
        <f t="shared" si="9"/>
        <v>12812.829298062614</v>
      </c>
    </row>
    <row r="20" spans="1:24" x14ac:dyDescent="0.2">
      <c r="A20" s="242">
        <v>2032</v>
      </c>
      <c r="B20" s="243">
        <v>1414.5167611048032</v>
      </c>
      <c r="C20" s="244">
        <v>2473.7893244983188</v>
      </c>
      <c r="D20" s="245">
        <f t="shared" si="0"/>
        <v>3888.306085603122</v>
      </c>
      <c r="E20" s="243">
        <v>362.08576799929551</v>
      </c>
      <c r="F20" s="244">
        <v>855.47477588299989</v>
      </c>
      <c r="G20" s="243">
        <v>207.45959052000003</v>
      </c>
      <c r="H20" s="244">
        <v>0</v>
      </c>
      <c r="I20" s="244">
        <v>0</v>
      </c>
      <c r="J20" s="245">
        <v>1010.1009533622955</v>
      </c>
      <c r="K20" s="245">
        <f t="shared" si="1"/>
        <v>1217.5605438822956</v>
      </c>
      <c r="L20" s="243">
        <f t="shared" si="2"/>
        <v>1776.6025291040987</v>
      </c>
      <c r="M20" s="244">
        <f t="shared" si="3"/>
        <v>3329.2641003813187</v>
      </c>
      <c r="N20" s="245">
        <f t="shared" si="4"/>
        <v>5105.8666294854174</v>
      </c>
      <c r="O20" s="279"/>
      <c r="P20" s="243">
        <v>1595.9254930158186</v>
      </c>
      <c r="Q20" s="244">
        <v>6611.7286321083266</v>
      </c>
      <c r="R20" s="245">
        <f t="shared" si="5"/>
        <v>8207.6541251241451</v>
      </c>
      <c r="S20" s="243">
        <f>+SUMIF('Nuevos Bonos USD'!$G:$G,'Perfil de vencimientos'!$A20,'Nuevos Bonos USD'!$AD:$AD)+SUMIF('Nuevos BONCER'!$E:$E,$A20,'Nuevos BONCER'!$V:$V)</f>
        <v>756.24694920648699</v>
      </c>
      <c r="T20" s="244">
        <f>+SUMIF('Nuevos Bonos USD'!$G:$G,'Perfil de vencimientos'!$A20,'Nuevos Bonos USD'!$AE:$AE)+SUMIF('Nuevos BONCER'!$E:$E,$A20,'Nuevos BONCER'!$W:$W)</f>
        <v>3363.1263198272204</v>
      </c>
      <c r="U20" s="245">
        <f t="shared" si="6"/>
        <v>4119.3732690337074</v>
      </c>
      <c r="V20" s="244">
        <f t="shared" si="7"/>
        <v>2352.1724422223056</v>
      </c>
      <c r="W20" s="244">
        <f t="shared" si="8"/>
        <v>9974.8549519355474</v>
      </c>
      <c r="X20" s="252">
        <f t="shared" si="9"/>
        <v>12327.027394157853</v>
      </c>
    </row>
    <row r="21" spans="1:24" x14ac:dyDescent="0.2">
      <c r="A21" s="242">
        <v>2033</v>
      </c>
      <c r="B21" s="243">
        <v>1254.6504816366132</v>
      </c>
      <c r="C21" s="244">
        <v>2473.7893244983188</v>
      </c>
      <c r="D21" s="245">
        <f t="shared" si="0"/>
        <v>3728.439806134932</v>
      </c>
      <c r="E21" s="243">
        <v>295.19449426879908</v>
      </c>
      <c r="F21" s="244">
        <v>855.47477588299989</v>
      </c>
      <c r="G21" s="243">
        <v>207.45959052000003</v>
      </c>
      <c r="H21" s="244">
        <v>0</v>
      </c>
      <c r="I21" s="244">
        <v>0</v>
      </c>
      <c r="J21" s="245">
        <v>943.20967963179896</v>
      </c>
      <c r="K21" s="245">
        <f t="shared" si="1"/>
        <v>1150.6692701517991</v>
      </c>
      <c r="L21" s="243">
        <f t="shared" si="2"/>
        <v>1549.8449759054124</v>
      </c>
      <c r="M21" s="244">
        <f t="shared" si="3"/>
        <v>3329.2641003813187</v>
      </c>
      <c r="N21" s="245">
        <f t="shared" si="4"/>
        <v>4879.1090762867316</v>
      </c>
      <c r="O21" s="279"/>
      <c r="P21" s="243">
        <v>1278.1637441609896</v>
      </c>
      <c r="Q21" s="244">
        <v>6611.7286321083266</v>
      </c>
      <c r="R21" s="245">
        <f t="shared" si="5"/>
        <v>7889.8923762693157</v>
      </c>
      <c r="S21" s="243">
        <f>+SUMIF('Nuevos Bonos USD'!$G:$G,'Perfil de vencimientos'!$A21,'Nuevos Bonos USD'!$AD:$AD)+SUMIF('Nuevos BONCER'!$E:$E,$A21,'Nuevos BONCER'!$V:$V)</f>
        <v>588.20679415655445</v>
      </c>
      <c r="T21" s="244">
        <f>+SUMIF('Nuevos Bonos USD'!$G:$G,'Perfil de vencimientos'!$A21,'Nuevos Bonos USD'!$AE:$AE)+SUMIF('Nuevos BONCER'!$E:$E,$A21,'Nuevos BONCER'!$W:$W)</f>
        <v>3363.1263198272204</v>
      </c>
      <c r="U21" s="245">
        <f t="shared" si="6"/>
        <v>3951.3331139837746</v>
      </c>
      <c r="V21" s="244">
        <f t="shared" si="7"/>
        <v>1866.3705383175441</v>
      </c>
      <c r="W21" s="244">
        <f t="shared" si="8"/>
        <v>9974.8549519355474</v>
      </c>
      <c r="X21" s="252">
        <f t="shared" si="9"/>
        <v>11841.225490253091</v>
      </c>
    </row>
    <row r="22" spans="1:24" x14ac:dyDescent="0.2">
      <c r="A22" s="242">
        <v>2034</v>
      </c>
      <c r="B22" s="243">
        <v>1119.1514425645616</v>
      </c>
      <c r="C22" s="244">
        <v>1267.5094176024747</v>
      </c>
      <c r="D22" s="245">
        <f t="shared" si="0"/>
        <v>2386.6608601670364</v>
      </c>
      <c r="E22" s="243">
        <v>243.31847313899999</v>
      </c>
      <c r="F22" s="244">
        <v>130.10025439999993</v>
      </c>
      <c r="G22" s="243">
        <v>207.45959052000003</v>
      </c>
      <c r="H22" s="244">
        <v>0</v>
      </c>
      <c r="I22" s="244">
        <v>0</v>
      </c>
      <c r="J22" s="245">
        <v>165.95913701899994</v>
      </c>
      <c r="K22" s="245">
        <f t="shared" si="1"/>
        <v>373.41872753899997</v>
      </c>
      <c r="L22" s="243">
        <f t="shared" si="2"/>
        <v>1362.4699157035616</v>
      </c>
      <c r="M22" s="244">
        <f t="shared" si="3"/>
        <v>1397.6096720024748</v>
      </c>
      <c r="N22" s="245">
        <f t="shared" si="4"/>
        <v>2760.0795877060364</v>
      </c>
      <c r="O22" s="279"/>
      <c r="P22" s="243">
        <v>960.40199530616098</v>
      </c>
      <c r="Q22" s="244">
        <v>6611.7286321083266</v>
      </c>
      <c r="R22" s="245">
        <f t="shared" si="5"/>
        <v>7572.1306274144872</v>
      </c>
      <c r="S22" s="243">
        <f>+SUMIF('Nuevos Bonos USD'!$G:$G,'Perfil de vencimientos'!$A22,'Nuevos Bonos USD'!$AD:$AD)+SUMIF('Nuevos BONCER'!$E:$E,$A22,'Nuevos BONCER'!$V:$V)</f>
        <v>420.16663910662203</v>
      </c>
      <c r="T22" s="244">
        <f>+SUMIF('Nuevos Bonos USD'!$G:$G,'Perfil de vencimientos'!$A22,'Nuevos Bonos USD'!$AE:$AE)+SUMIF('Nuevos BONCER'!$E:$E,$A22,'Nuevos BONCER'!$W:$W)</f>
        <v>3363.1263198272204</v>
      </c>
      <c r="U22" s="245">
        <f t="shared" si="6"/>
        <v>3783.2929589338423</v>
      </c>
      <c r="V22" s="244">
        <f t="shared" si="7"/>
        <v>1380.568634412783</v>
      </c>
      <c r="W22" s="244">
        <f t="shared" si="8"/>
        <v>9974.8549519355474</v>
      </c>
      <c r="X22" s="252">
        <f t="shared" si="9"/>
        <v>11355.42358634833</v>
      </c>
    </row>
    <row r="23" spans="1:24" x14ac:dyDescent="0.2">
      <c r="A23" s="242">
        <v>2035</v>
      </c>
      <c r="B23" s="243">
        <v>1056.3207457045489</v>
      </c>
      <c r="C23" s="244">
        <v>1267.5094176024747</v>
      </c>
      <c r="D23" s="245">
        <f t="shared" si="0"/>
        <v>2323.8301633070237</v>
      </c>
      <c r="E23" s="243">
        <v>202.257377343</v>
      </c>
      <c r="F23" s="244">
        <v>1027.9581543499999</v>
      </c>
      <c r="G23" s="243">
        <v>1071.0866580300001</v>
      </c>
      <c r="H23" s="244">
        <v>0</v>
      </c>
      <c r="I23" s="244">
        <v>0</v>
      </c>
      <c r="J23" s="245">
        <v>159.12887366299992</v>
      </c>
      <c r="K23" s="245">
        <f t="shared" si="1"/>
        <v>1230.215531693</v>
      </c>
      <c r="L23" s="243">
        <f t="shared" si="2"/>
        <v>1258.5781230475488</v>
      </c>
      <c r="M23" s="244">
        <f t="shared" si="3"/>
        <v>2295.4675719524748</v>
      </c>
      <c r="N23" s="245">
        <f t="shared" si="4"/>
        <v>3554.0456950000234</v>
      </c>
      <c r="O23" s="279"/>
      <c r="P23" s="243">
        <v>642.64024645133202</v>
      </c>
      <c r="Q23" s="244">
        <v>6611.7286321083266</v>
      </c>
      <c r="R23" s="245">
        <f t="shared" si="5"/>
        <v>7254.3688785596587</v>
      </c>
      <c r="S23" s="243">
        <f>+SUMIF('Nuevos Bonos USD'!$G:$G,'Perfil de vencimientos'!$A23,'Nuevos Bonos USD'!$AD:$AD)+SUMIF('Nuevos BONCER'!$E:$E,$A23,'Nuevos BONCER'!$V:$V)</f>
        <v>252.12648405668949</v>
      </c>
      <c r="T23" s="244">
        <f>+SUMIF('Nuevos Bonos USD'!$G:$G,'Perfil de vencimientos'!$A23,'Nuevos Bonos USD'!$AE:$AE)+SUMIF('Nuevos BONCER'!$E:$E,$A23,'Nuevos BONCER'!$W:$W)</f>
        <v>3363.1263198272204</v>
      </c>
      <c r="U23" s="245">
        <f t="shared" si="6"/>
        <v>3615.25280388391</v>
      </c>
      <c r="V23" s="244">
        <f t="shared" si="7"/>
        <v>894.76673050802151</v>
      </c>
      <c r="W23" s="244">
        <f t="shared" si="8"/>
        <v>9974.8549519355474</v>
      </c>
      <c r="X23" s="252">
        <f t="shared" si="9"/>
        <v>10869.621682443569</v>
      </c>
    </row>
    <row r="24" spans="1:24" x14ac:dyDescent="0.2">
      <c r="A24" s="242">
        <v>2036</v>
      </c>
      <c r="B24" s="243">
        <v>993.63450850707807</v>
      </c>
      <c r="C24" s="244">
        <v>3017.5094176024745</v>
      </c>
      <c r="D24" s="245">
        <f t="shared" si="0"/>
        <v>4011.1439261095525</v>
      </c>
      <c r="E24" s="243">
        <v>126.96544911700001</v>
      </c>
      <c r="F24" s="244">
        <v>1027.9581543499999</v>
      </c>
      <c r="G24" s="243">
        <v>1002.6249931599999</v>
      </c>
      <c r="H24" s="244">
        <v>0</v>
      </c>
      <c r="I24" s="244">
        <v>0</v>
      </c>
      <c r="J24" s="245">
        <v>152.29861030699993</v>
      </c>
      <c r="K24" s="245">
        <f t="shared" si="1"/>
        <v>1154.9236034669998</v>
      </c>
      <c r="L24" s="243">
        <f t="shared" si="2"/>
        <v>1120.5999576240781</v>
      </c>
      <c r="M24" s="244">
        <f t="shared" si="3"/>
        <v>4045.4675719524744</v>
      </c>
      <c r="N24" s="245">
        <f t="shared" si="4"/>
        <v>5166.0675295765523</v>
      </c>
      <c r="O24" s="279"/>
      <c r="P24" s="243">
        <v>381.17221424847162</v>
      </c>
      <c r="Q24" s="244">
        <v>2001.9819669114772</v>
      </c>
      <c r="R24" s="245">
        <f t="shared" si="5"/>
        <v>2383.1541811599491</v>
      </c>
      <c r="S24" s="243">
        <f>+SUMIF('Nuevos Bonos USD'!$G:$G,'Perfil de vencimientos'!$A24,'Nuevos Bonos USD'!$AD:$AD)+SUMIF('Nuevos BONCER'!$E:$E,$A24,'Nuevos BONCER'!$V:$V)</f>
        <v>116.72090630073211</v>
      </c>
      <c r="T24" s="244">
        <f>+SUMIF('Nuevos Bonos USD'!$G:$G,'Perfil de vencimientos'!$A24,'Nuevos Bonos USD'!$AE:$AE)+SUMIF('Nuevos BONCER'!$E:$E,$A24,'Nuevos BONCER'!$W:$W)</f>
        <v>752.36013630922071</v>
      </c>
      <c r="U24" s="245">
        <f t="shared" si="6"/>
        <v>869.08104260995287</v>
      </c>
      <c r="V24" s="244">
        <f t="shared" si="7"/>
        <v>497.89312054920373</v>
      </c>
      <c r="W24" s="244">
        <f t="shared" si="8"/>
        <v>2754.3421032206979</v>
      </c>
      <c r="X24" s="252">
        <f t="shared" si="9"/>
        <v>3252.2352237699015</v>
      </c>
    </row>
    <row r="25" spans="1:24" x14ac:dyDescent="0.2">
      <c r="A25" s="242">
        <v>2037</v>
      </c>
      <c r="B25" s="243">
        <v>805.9718519845228</v>
      </c>
      <c r="C25" s="244">
        <v>1267.5094176024747</v>
      </c>
      <c r="D25" s="245">
        <f t="shared" si="0"/>
        <v>2073.4812695869978</v>
      </c>
      <c r="E25" s="243">
        <v>50.636222941</v>
      </c>
      <c r="F25" s="244">
        <v>1055.1659695000001</v>
      </c>
      <c r="G25" s="243">
        <v>960.33384549000016</v>
      </c>
      <c r="H25" s="244">
        <v>0</v>
      </c>
      <c r="I25" s="244">
        <v>0</v>
      </c>
      <c r="J25" s="245">
        <v>145.46834695099992</v>
      </c>
      <c r="K25" s="245">
        <f t="shared" si="1"/>
        <v>1105.802192441</v>
      </c>
      <c r="L25" s="243">
        <f t="shared" si="2"/>
        <v>856.60807492552283</v>
      </c>
      <c r="M25" s="244">
        <f t="shared" si="3"/>
        <v>2322.6753871024748</v>
      </c>
      <c r="N25" s="245">
        <f t="shared" si="4"/>
        <v>3179.2834620279978</v>
      </c>
      <c r="O25" s="279"/>
      <c r="P25" s="243">
        <v>288.5853320015168</v>
      </c>
      <c r="Q25" s="244">
        <v>2001.9819669114772</v>
      </c>
      <c r="R25" s="245">
        <f t="shared" si="5"/>
        <v>2290.5672989129939</v>
      </c>
      <c r="S25" s="243">
        <f>+SUMIF('Nuevos Bonos USD'!$G:$G,'Perfil de vencimientos'!$A25,'Nuevos Bonos USD'!$AD:$AD)+SUMIF('Nuevos BONCER'!$E:$E,$A25,'Nuevos BONCER'!$V:$V)</f>
        <v>79.219060426699613</v>
      </c>
      <c r="T25" s="244">
        <f>+SUMIF('Nuevos Bonos USD'!$G:$G,'Perfil de vencimientos'!$A25,'Nuevos Bonos USD'!$AE:$AE)+SUMIF('Nuevos BONCER'!$E:$E,$A25,'Nuevos BONCER'!$W:$W)</f>
        <v>752.36013630922071</v>
      </c>
      <c r="U25" s="245">
        <f t="shared" si="6"/>
        <v>831.57919673592028</v>
      </c>
      <c r="V25" s="244">
        <f t="shared" si="7"/>
        <v>367.80439242821643</v>
      </c>
      <c r="W25" s="244">
        <f t="shared" si="8"/>
        <v>2754.3421032206979</v>
      </c>
      <c r="X25" s="252">
        <f t="shared" si="9"/>
        <v>3122.1464956489144</v>
      </c>
    </row>
    <row r="26" spans="1:24" x14ac:dyDescent="0.2">
      <c r="A26" s="242">
        <v>2038</v>
      </c>
      <c r="B26" s="243">
        <v>750.99499222638747</v>
      </c>
      <c r="C26" s="244">
        <v>1901.264126403712</v>
      </c>
      <c r="D26" s="245">
        <f t="shared" si="0"/>
        <v>2652.2591186300997</v>
      </c>
      <c r="E26" s="243">
        <v>9.3916001667830731</v>
      </c>
      <c r="F26" s="244">
        <v>195.15038159999992</v>
      </c>
      <c r="G26" s="243">
        <v>0</v>
      </c>
      <c r="H26" s="244">
        <v>0</v>
      </c>
      <c r="I26" s="244">
        <v>0</v>
      </c>
      <c r="J26" s="245">
        <v>204.54198176678295</v>
      </c>
      <c r="K26" s="245">
        <f t="shared" si="1"/>
        <v>204.54198176678295</v>
      </c>
      <c r="L26" s="243">
        <f t="shared" si="2"/>
        <v>760.38659239317053</v>
      </c>
      <c r="M26" s="244">
        <f t="shared" si="3"/>
        <v>2096.4145080037119</v>
      </c>
      <c r="N26" s="245">
        <f t="shared" si="4"/>
        <v>2856.8011003968822</v>
      </c>
      <c r="O26" s="279"/>
      <c r="P26" s="243">
        <v>195.99844975456202</v>
      </c>
      <c r="Q26" s="244">
        <v>2001.9819669114772</v>
      </c>
      <c r="R26" s="245">
        <f t="shared" si="5"/>
        <v>2197.9804166660392</v>
      </c>
      <c r="S26" s="243">
        <f>+SUMIF('Nuevos Bonos USD'!$G:$G,'Perfil de vencimientos'!$A26,'Nuevos Bonos USD'!$AD:$AD)+SUMIF('Nuevos BONCER'!$E:$E,$A26,'Nuevos BONCER'!$V:$V)</f>
        <v>41.71721455266713</v>
      </c>
      <c r="T26" s="244">
        <f>+SUMIF('Nuevos Bonos USD'!$G:$G,'Perfil de vencimientos'!$A26,'Nuevos Bonos USD'!$AE:$AE)+SUMIF('Nuevos BONCER'!$E:$E,$A26,'Nuevos BONCER'!$W:$W)</f>
        <v>752.36013630922071</v>
      </c>
      <c r="U26" s="245">
        <f t="shared" si="6"/>
        <v>794.07735086188779</v>
      </c>
      <c r="V26" s="244">
        <f t="shared" si="7"/>
        <v>237.71566430722913</v>
      </c>
      <c r="W26" s="244">
        <f t="shared" si="8"/>
        <v>2754.3421032206979</v>
      </c>
      <c r="X26" s="252">
        <f t="shared" si="9"/>
        <v>2992.0577675279269</v>
      </c>
    </row>
    <row r="27" spans="1:24" x14ac:dyDescent="0.2">
      <c r="A27" s="242">
        <v>2039</v>
      </c>
      <c r="B27" s="243">
        <v>664.60278402699669</v>
      </c>
      <c r="C27" s="244">
        <v>0</v>
      </c>
      <c r="D27" s="245">
        <f t="shared" si="0"/>
        <v>664.60278402699669</v>
      </c>
      <c r="E27" s="243">
        <v>0</v>
      </c>
      <c r="F27" s="244">
        <v>0</v>
      </c>
      <c r="G27" s="243">
        <v>0</v>
      </c>
      <c r="H27" s="244">
        <v>0</v>
      </c>
      <c r="I27" s="244">
        <v>0</v>
      </c>
      <c r="J27" s="245">
        <v>0</v>
      </c>
      <c r="K27" s="245">
        <f t="shared" si="1"/>
        <v>0</v>
      </c>
      <c r="L27" s="243">
        <f t="shared" si="2"/>
        <v>664.60278402699669</v>
      </c>
      <c r="M27" s="244">
        <f t="shared" si="3"/>
        <v>0</v>
      </c>
      <c r="N27" s="245">
        <f t="shared" si="4"/>
        <v>664.60278402699669</v>
      </c>
      <c r="O27" s="279"/>
      <c r="P27" s="243">
        <v>116.01176406356703</v>
      </c>
      <c r="Q27" s="244">
        <v>905.36386971605339</v>
      </c>
      <c r="R27" s="245">
        <f t="shared" si="5"/>
        <v>1021.3756337796204</v>
      </c>
      <c r="S27" s="243">
        <f>+SUMIF('Nuevos Bonos USD'!$G:$G,'Perfil de vencimientos'!$A27,'Nuevos Bonos USD'!$AD:$AD)+SUMIF('Nuevos BONCER'!$E:$E,$A27,'Nuevos BONCER'!$V:$V)</f>
        <v>12.45826096821428</v>
      </c>
      <c r="T27" s="244">
        <f>+SUMIF('Nuevos Bonos USD'!$G:$G,'Perfil de vencimientos'!$A27,'Nuevos Bonos USD'!$AE:$AE)+SUMIF('Nuevos BONCER'!$E:$E,$A27,'Nuevos BONCER'!$W:$W)</f>
        <v>92.928753142857133</v>
      </c>
      <c r="U27" s="245">
        <f t="shared" si="6"/>
        <v>105.38701411107141</v>
      </c>
      <c r="V27" s="244">
        <f t="shared" si="7"/>
        <v>128.47002503178132</v>
      </c>
      <c r="W27" s="244">
        <f t="shared" si="8"/>
        <v>998.29262285891048</v>
      </c>
      <c r="X27" s="252">
        <f t="shared" si="9"/>
        <v>1126.7626478906918</v>
      </c>
    </row>
    <row r="28" spans="1:24" x14ac:dyDescent="0.2">
      <c r="A28" s="242">
        <v>2040</v>
      </c>
      <c r="B28" s="243">
        <v>664.74724371203592</v>
      </c>
      <c r="C28" s="244">
        <v>0</v>
      </c>
      <c r="D28" s="245">
        <f t="shared" si="0"/>
        <v>664.74724371203592</v>
      </c>
      <c r="E28" s="243">
        <v>0</v>
      </c>
      <c r="F28" s="244">
        <v>0</v>
      </c>
      <c r="G28" s="243">
        <v>0</v>
      </c>
      <c r="H28" s="244">
        <v>0</v>
      </c>
      <c r="I28" s="244">
        <v>0</v>
      </c>
      <c r="J28" s="245">
        <v>0</v>
      </c>
      <c r="K28" s="245">
        <f t="shared" si="1"/>
        <v>0</v>
      </c>
      <c r="L28" s="243">
        <f t="shared" si="2"/>
        <v>664.74724371203592</v>
      </c>
      <c r="M28" s="244">
        <f t="shared" si="3"/>
        <v>0</v>
      </c>
      <c r="N28" s="245">
        <f t="shared" si="4"/>
        <v>664.74724371203592</v>
      </c>
      <c r="O28" s="279"/>
      <c r="P28" s="243">
        <v>73.825668040451774</v>
      </c>
      <c r="Q28" s="244">
        <v>905.36386971605339</v>
      </c>
      <c r="R28" s="245">
        <f t="shared" si="5"/>
        <v>979.18953775650516</v>
      </c>
      <c r="S28" s="243">
        <f>+SUMIF('Nuevos Bonos USD'!$G:$G,'Perfil de vencimientos'!$A28,'Nuevos Bonos USD'!$AD:$AD)+SUMIF('Nuevos BONCER'!$E:$E,$A28,'Nuevos BONCER'!$V:$V)</f>
        <v>7.9279842524999946</v>
      </c>
      <c r="T28" s="244">
        <f>+SUMIF('Nuevos Bonos USD'!$G:$G,'Perfil de vencimientos'!$A28,'Nuevos Bonos USD'!$AE:$AE)+SUMIF('Nuevos BONCER'!$E:$E,$A28,'Nuevos BONCER'!$W:$W)</f>
        <v>92.928753142857133</v>
      </c>
      <c r="U28" s="245">
        <f t="shared" si="6"/>
        <v>100.85673739535713</v>
      </c>
      <c r="V28" s="244">
        <f t="shared" si="7"/>
        <v>81.75365229295177</v>
      </c>
      <c r="W28" s="244">
        <f t="shared" si="8"/>
        <v>998.29262285891048</v>
      </c>
      <c r="X28" s="252">
        <f t="shared" si="9"/>
        <v>1080.0462751518623</v>
      </c>
    </row>
    <row r="29" spans="1:24" x14ac:dyDescent="0.2">
      <c r="A29" s="242">
        <v>2041</v>
      </c>
      <c r="B29" s="243">
        <v>664.60278402699669</v>
      </c>
      <c r="C29" s="244">
        <v>0</v>
      </c>
      <c r="D29" s="245">
        <f t="shared" si="0"/>
        <v>664.60278402699669</v>
      </c>
      <c r="E29" s="243">
        <v>0</v>
      </c>
      <c r="F29" s="244">
        <v>0</v>
      </c>
      <c r="G29" s="243">
        <v>0</v>
      </c>
      <c r="H29" s="244">
        <v>0</v>
      </c>
      <c r="I29" s="244">
        <v>0</v>
      </c>
      <c r="J29" s="245">
        <v>0</v>
      </c>
      <c r="K29" s="245">
        <f t="shared" si="1"/>
        <v>0</v>
      </c>
      <c r="L29" s="243">
        <f t="shared" si="2"/>
        <v>664.60278402699669</v>
      </c>
      <c r="M29" s="244">
        <f t="shared" si="3"/>
        <v>0</v>
      </c>
      <c r="N29" s="245">
        <f t="shared" si="4"/>
        <v>664.60278402699669</v>
      </c>
      <c r="O29" s="279"/>
      <c r="P29" s="243">
        <v>31.63957201733653</v>
      </c>
      <c r="Q29" s="244">
        <v>905.36386971605339</v>
      </c>
      <c r="R29" s="245">
        <f t="shared" si="5"/>
        <v>937.00344173338988</v>
      </c>
      <c r="S29" s="243">
        <f>+SUMIF('Nuevos Bonos USD'!$G:$G,'Perfil de vencimientos'!$A29,'Nuevos Bonos USD'!$AD:$AD)+SUMIF('Nuevos BONCER'!$E:$E,$A29,'Nuevos BONCER'!$V:$V)</f>
        <v>3.3977075367857053</v>
      </c>
      <c r="T29" s="244">
        <f>+SUMIF('Nuevos Bonos USD'!$G:$G,'Perfil de vencimientos'!$A29,'Nuevos Bonos USD'!$AE:$AE)+SUMIF('Nuevos BONCER'!$E:$E,$A29,'Nuevos BONCER'!$W:$W)</f>
        <v>92.928753142857133</v>
      </c>
      <c r="U29" s="245">
        <f t="shared" si="6"/>
        <v>96.326460679642835</v>
      </c>
      <c r="V29" s="244">
        <f t="shared" si="7"/>
        <v>35.037279554122236</v>
      </c>
      <c r="W29" s="244">
        <f t="shared" si="8"/>
        <v>998.29262285891048</v>
      </c>
      <c r="X29" s="252">
        <f t="shared" si="9"/>
        <v>1033.3299024130326</v>
      </c>
    </row>
    <row r="30" spans="1:24" x14ac:dyDescent="0.2">
      <c r="A30" s="242">
        <v>2042</v>
      </c>
      <c r="B30" s="243">
        <v>664.60278402699669</v>
      </c>
      <c r="C30" s="244">
        <v>0</v>
      </c>
      <c r="D30" s="245">
        <f t="shared" si="0"/>
        <v>664.60278402699669</v>
      </c>
      <c r="E30" s="243">
        <v>0</v>
      </c>
      <c r="F30" s="244">
        <v>0</v>
      </c>
      <c r="G30" s="243">
        <v>0</v>
      </c>
      <c r="H30" s="244">
        <v>0</v>
      </c>
      <c r="I30" s="244">
        <v>0</v>
      </c>
      <c r="J30" s="245">
        <v>0</v>
      </c>
      <c r="K30" s="245">
        <f t="shared" si="1"/>
        <v>0</v>
      </c>
      <c r="L30" s="243">
        <f t="shared" si="2"/>
        <v>664.60278402699669</v>
      </c>
      <c r="M30" s="244">
        <f t="shared" si="3"/>
        <v>0</v>
      </c>
      <c r="N30" s="245">
        <f t="shared" si="4"/>
        <v>664.60278402699669</v>
      </c>
      <c r="O30" s="279"/>
      <c r="P30" s="243">
        <v>0</v>
      </c>
      <c r="Q30" s="244">
        <v>0</v>
      </c>
      <c r="R30" s="245">
        <f t="shared" si="5"/>
        <v>0</v>
      </c>
      <c r="S30" s="243">
        <v>0</v>
      </c>
      <c r="T30" s="244">
        <v>0</v>
      </c>
      <c r="U30" s="245">
        <f t="shared" si="6"/>
        <v>0</v>
      </c>
      <c r="V30" s="244">
        <f t="shared" si="7"/>
        <v>0</v>
      </c>
      <c r="W30" s="244">
        <f t="shared" si="8"/>
        <v>0</v>
      </c>
      <c r="X30" s="252">
        <f t="shared" si="9"/>
        <v>0</v>
      </c>
    </row>
    <row r="31" spans="1:24" x14ac:dyDescent="0.2">
      <c r="A31" s="242">
        <v>2043</v>
      </c>
      <c r="B31" s="243">
        <v>664.60278402699669</v>
      </c>
      <c r="C31" s="244">
        <v>0</v>
      </c>
      <c r="D31" s="245">
        <f t="shared" si="0"/>
        <v>664.60278402699669</v>
      </c>
      <c r="E31" s="243">
        <v>0</v>
      </c>
      <c r="F31" s="244">
        <v>0</v>
      </c>
      <c r="G31" s="243">
        <v>0</v>
      </c>
      <c r="H31" s="244">
        <v>0</v>
      </c>
      <c r="I31" s="244">
        <v>0</v>
      </c>
      <c r="J31" s="245">
        <v>0</v>
      </c>
      <c r="K31" s="245">
        <f t="shared" si="1"/>
        <v>0</v>
      </c>
      <c r="L31" s="243">
        <f t="shared" si="2"/>
        <v>664.60278402699669</v>
      </c>
      <c r="M31" s="244">
        <f t="shared" si="3"/>
        <v>0</v>
      </c>
      <c r="N31" s="245">
        <f t="shared" si="4"/>
        <v>664.60278402699669</v>
      </c>
      <c r="O31" s="279"/>
      <c r="P31" s="243">
        <v>0</v>
      </c>
      <c r="Q31" s="244">
        <v>0</v>
      </c>
      <c r="R31" s="245">
        <f t="shared" si="5"/>
        <v>0</v>
      </c>
      <c r="S31" s="243">
        <v>0</v>
      </c>
      <c r="T31" s="244">
        <v>0</v>
      </c>
      <c r="U31" s="245">
        <f t="shared" ref="U31:U37" si="10">+SUM(S31:T31)</f>
        <v>0</v>
      </c>
      <c r="V31" s="244">
        <f t="shared" si="7"/>
        <v>0</v>
      </c>
      <c r="W31" s="244">
        <f t="shared" si="8"/>
        <v>0</v>
      </c>
      <c r="X31" s="252">
        <f t="shared" si="9"/>
        <v>0</v>
      </c>
    </row>
    <row r="32" spans="1:24" x14ac:dyDescent="0.2">
      <c r="A32" s="242">
        <v>2044</v>
      </c>
      <c r="B32" s="243">
        <v>664.74724371203592</v>
      </c>
      <c r="C32" s="244">
        <v>0</v>
      </c>
      <c r="D32" s="245">
        <f t="shared" si="0"/>
        <v>664.74724371203592</v>
      </c>
      <c r="E32" s="243">
        <v>0</v>
      </c>
      <c r="F32" s="244">
        <v>0</v>
      </c>
      <c r="G32" s="243">
        <v>0</v>
      </c>
      <c r="H32" s="244">
        <v>0</v>
      </c>
      <c r="I32" s="244">
        <v>0</v>
      </c>
      <c r="J32" s="245">
        <v>0</v>
      </c>
      <c r="K32" s="245">
        <f t="shared" si="1"/>
        <v>0</v>
      </c>
      <c r="L32" s="243">
        <f t="shared" si="2"/>
        <v>664.74724371203592</v>
      </c>
      <c r="M32" s="244">
        <f t="shared" si="3"/>
        <v>0</v>
      </c>
      <c r="N32" s="245">
        <f t="shared" si="4"/>
        <v>664.74724371203592</v>
      </c>
      <c r="O32" s="279"/>
      <c r="P32" s="243">
        <v>0</v>
      </c>
      <c r="Q32" s="244">
        <v>0</v>
      </c>
      <c r="R32" s="245">
        <f t="shared" si="5"/>
        <v>0</v>
      </c>
      <c r="S32" s="243">
        <v>0</v>
      </c>
      <c r="T32" s="244">
        <v>0</v>
      </c>
      <c r="U32" s="245">
        <f t="shared" si="10"/>
        <v>0</v>
      </c>
      <c r="V32" s="244">
        <f t="shared" si="7"/>
        <v>0</v>
      </c>
      <c r="W32" s="244">
        <f t="shared" si="8"/>
        <v>0</v>
      </c>
      <c r="X32" s="252">
        <f t="shared" si="9"/>
        <v>0</v>
      </c>
    </row>
    <row r="33" spans="1:24" x14ac:dyDescent="0.2">
      <c r="A33" s="242">
        <v>2045</v>
      </c>
      <c r="B33" s="243">
        <v>664.60278402699669</v>
      </c>
      <c r="C33" s="244">
        <v>0</v>
      </c>
      <c r="D33" s="245">
        <f t="shared" si="0"/>
        <v>664.60278402699669</v>
      </c>
      <c r="E33" s="243">
        <v>0</v>
      </c>
      <c r="F33" s="244">
        <v>0</v>
      </c>
      <c r="G33" s="243">
        <v>0</v>
      </c>
      <c r="H33" s="244">
        <v>0</v>
      </c>
      <c r="I33" s="244">
        <v>0</v>
      </c>
      <c r="J33" s="245">
        <v>0</v>
      </c>
      <c r="K33" s="245">
        <f t="shared" si="1"/>
        <v>0</v>
      </c>
      <c r="L33" s="243">
        <f t="shared" si="2"/>
        <v>664.60278402699669</v>
      </c>
      <c r="M33" s="244">
        <f t="shared" si="3"/>
        <v>0</v>
      </c>
      <c r="N33" s="245">
        <f t="shared" si="4"/>
        <v>664.60278402699669</v>
      </c>
      <c r="O33" s="279"/>
      <c r="P33" s="243">
        <v>0</v>
      </c>
      <c r="Q33" s="244">
        <v>0</v>
      </c>
      <c r="R33" s="245">
        <f t="shared" si="5"/>
        <v>0</v>
      </c>
      <c r="S33" s="243">
        <v>0</v>
      </c>
      <c r="T33" s="244">
        <v>0</v>
      </c>
      <c r="U33" s="245">
        <f t="shared" si="10"/>
        <v>0</v>
      </c>
      <c r="V33" s="244">
        <f t="shared" si="7"/>
        <v>0</v>
      </c>
      <c r="W33" s="244">
        <f t="shared" si="8"/>
        <v>0</v>
      </c>
      <c r="X33" s="252">
        <f t="shared" si="9"/>
        <v>0</v>
      </c>
    </row>
    <row r="34" spans="1:24" x14ac:dyDescent="0.2">
      <c r="A34" s="242">
        <v>2046</v>
      </c>
      <c r="B34" s="243">
        <v>559.75903402699669</v>
      </c>
      <c r="C34" s="244">
        <v>2750</v>
      </c>
      <c r="D34" s="245">
        <f t="shared" si="0"/>
        <v>3309.7590340269967</v>
      </c>
      <c r="E34" s="243">
        <v>0</v>
      </c>
      <c r="F34" s="244">
        <v>0</v>
      </c>
      <c r="G34" s="243">
        <v>0</v>
      </c>
      <c r="H34" s="244">
        <v>0</v>
      </c>
      <c r="I34" s="244">
        <v>0</v>
      </c>
      <c r="J34" s="245">
        <v>0</v>
      </c>
      <c r="K34" s="245">
        <f t="shared" si="1"/>
        <v>0</v>
      </c>
      <c r="L34" s="243">
        <f t="shared" si="2"/>
        <v>559.75903402699669</v>
      </c>
      <c r="M34" s="244">
        <f t="shared" si="3"/>
        <v>2750</v>
      </c>
      <c r="N34" s="245">
        <f t="shared" si="4"/>
        <v>3309.7590340269967</v>
      </c>
      <c r="O34" s="279"/>
      <c r="P34" s="243">
        <v>0</v>
      </c>
      <c r="Q34" s="244">
        <v>0</v>
      </c>
      <c r="R34" s="245">
        <f t="shared" si="5"/>
        <v>0</v>
      </c>
      <c r="S34" s="243">
        <v>0</v>
      </c>
      <c r="T34" s="244">
        <v>0</v>
      </c>
      <c r="U34" s="245">
        <f t="shared" si="10"/>
        <v>0</v>
      </c>
      <c r="V34" s="244">
        <f t="shared" si="7"/>
        <v>0</v>
      </c>
      <c r="W34" s="244">
        <f t="shared" si="8"/>
        <v>0</v>
      </c>
      <c r="X34" s="252">
        <f t="shared" si="9"/>
        <v>0</v>
      </c>
    </row>
    <row r="35" spans="1:24" x14ac:dyDescent="0.2">
      <c r="A35" s="242">
        <v>2047</v>
      </c>
      <c r="B35" s="243">
        <v>454.91528402699663</v>
      </c>
      <c r="C35" s="244">
        <v>843.64454443194609</v>
      </c>
      <c r="D35" s="245">
        <f t="shared" si="0"/>
        <v>1298.5598284589428</v>
      </c>
      <c r="E35" s="243">
        <v>0</v>
      </c>
      <c r="F35" s="244">
        <v>0</v>
      </c>
      <c r="G35" s="243">
        <v>0</v>
      </c>
      <c r="H35" s="244">
        <v>0</v>
      </c>
      <c r="I35" s="244">
        <v>0</v>
      </c>
      <c r="J35" s="245">
        <v>0</v>
      </c>
      <c r="K35" s="245">
        <f t="shared" si="1"/>
        <v>0</v>
      </c>
      <c r="L35" s="243">
        <f t="shared" si="2"/>
        <v>454.91528402699663</v>
      </c>
      <c r="M35" s="244">
        <f t="shared" si="3"/>
        <v>843.64454443194609</v>
      </c>
      <c r="N35" s="245">
        <f t="shared" si="4"/>
        <v>1298.5598284589428</v>
      </c>
      <c r="O35" s="279"/>
      <c r="P35" s="243">
        <v>0</v>
      </c>
      <c r="Q35" s="244">
        <v>0</v>
      </c>
      <c r="R35" s="245">
        <f t="shared" si="5"/>
        <v>0</v>
      </c>
      <c r="S35" s="243">
        <v>0</v>
      </c>
      <c r="T35" s="244">
        <v>0</v>
      </c>
      <c r="U35" s="245">
        <f t="shared" si="10"/>
        <v>0</v>
      </c>
      <c r="V35" s="244">
        <f t="shared" si="7"/>
        <v>0</v>
      </c>
      <c r="W35" s="244">
        <f t="shared" si="8"/>
        <v>0</v>
      </c>
      <c r="X35" s="252">
        <f t="shared" si="9"/>
        <v>0</v>
      </c>
    </row>
    <row r="36" spans="1:24" x14ac:dyDescent="0.2">
      <c r="A36" s="242">
        <v>2048</v>
      </c>
      <c r="B36" s="243">
        <v>299.0625</v>
      </c>
      <c r="C36" s="244">
        <v>3000</v>
      </c>
      <c r="D36" s="245">
        <f t="shared" si="0"/>
        <v>3299.0625</v>
      </c>
      <c r="E36" s="243">
        <v>0</v>
      </c>
      <c r="F36" s="244">
        <v>0</v>
      </c>
      <c r="G36" s="243">
        <v>0</v>
      </c>
      <c r="H36" s="244">
        <v>0</v>
      </c>
      <c r="I36" s="244">
        <v>0</v>
      </c>
      <c r="J36" s="245">
        <v>0</v>
      </c>
      <c r="K36" s="245">
        <f t="shared" si="1"/>
        <v>0</v>
      </c>
      <c r="L36" s="243">
        <f t="shared" si="2"/>
        <v>299.0625</v>
      </c>
      <c r="M36" s="244">
        <f t="shared" si="3"/>
        <v>3000</v>
      </c>
      <c r="N36" s="245">
        <f t="shared" si="4"/>
        <v>3299.0625</v>
      </c>
      <c r="O36" s="279"/>
      <c r="P36" s="243">
        <v>0</v>
      </c>
      <c r="Q36" s="244">
        <v>0</v>
      </c>
      <c r="R36" s="245">
        <f t="shared" si="5"/>
        <v>0</v>
      </c>
      <c r="S36" s="243">
        <v>0</v>
      </c>
      <c r="T36" s="244">
        <v>0</v>
      </c>
      <c r="U36" s="245">
        <f t="shared" si="10"/>
        <v>0</v>
      </c>
      <c r="V36" s="244">
        <f t="shared" si="7"/>
        <v>0</v>
      </c>
      <c r="W36" s="244">
        <f t="shared" si="8"/>
        <v>0</v>
      </c>
      <c r="X36" s="252">
        <f t="shared" si="9"/>
        <v>0</v>
      </c>
    </row>
    <row r="37" spans="1:24" x14ac:dyDescent="0.2">
      <c r="A37" s="242" t="s">
        <v>100</v>
      </c>
      <c r="B37" s="243">
        <v>13421.71875</v>
      </c>
      <c r="C37" s="244">
        <v>2750</v>
      </c>
      <c r="D37" s="245">
        <f t="shared" si="0"/>
        <v>16171.71875</v>
      </c>
      <c r="E37" s="243">
        <v>0</v>
      </c>
      <c r="F37" s="244">
        <v>0</v>
      </c>
      <c r="G37" s="243">
        <v>0</v>
      </c>
      <c r="H37" s="244">
        <v>0</v>
      </c>
      <c r="I37" s="244">
        <v>0</v>
      </c>
      <c r="J37" s="245">
        <v>0</v>
      </c>
      <c r="K37" s="245">
        <f t="shared" si="1"/>
        <v>0</v>
      </c>
      <c r="L37" s="243">
        <f t="shared" si="2"/>
        <v>13421.71875</v>
      </c>
      <c r="M37" s="244">
        <f t="shared" si="3"/>
        <v>2750</v>
      </c>
      <c r="N37" s="245">
        <f t="shared" si="4"/>
        <v>16171.71875</v>
      </c>
      <c r="O37" s="279"/>
      <c r="P37" s="243">
        <v>0</v>
      </c>
      <c r="Q37" s="244">
        <v>0</v>
      </c>
      <c r="R37" s="245">
        <f t="shared" si="5"/>
        <v>0</v>
      </c>
      <c r="S37" s="243">
        <v>0</v>
      </c>
      <c r="T37" s="244">
        <v>0</v>
      </c>
      <c r="U37" s="245">
        <f t="shared" si="10"/>
        <v>0</v>
      </c>
      <c r="V37" s="244">
        <f t="shared" si="7"/>
        <v>0</v>
      </c>
      <c r="W37" s="244">
        <f t="shared" si="8"/>
        <v>0</v>
      </c>
      <c r="X37" s="252">
        <f t="shared" si="9"/>
        <v>0</v>
      </c>
    </row>
    <row r="38" spans="1:24" ht="20.25" customHeight="1" x14ac:dyDescent="0.2">
      <c r="A38" s="247" t="s">
        <v>37</v>
      </c>
      <c r="B38" s="248">
        <f>+SUM(B8:B37)</f>
        <v>60068.145450131859</v>
      </c>
      <c r="C38" s="249">
        <f t="shared" ref="C38:X38" si="11">+SUM(C8:C37)</f>
        <v>66316.372170313669</v>
      </c>
      <c r="D38" s="250">
        <f t="shared" si="11"/>
        <v>126384.51762044549</v>
      </c>
      <c r="E38" s="248">
        <f t="shared" si="11"/>
        <v>18105.159192977579</v>
      </c>
      <c r="F38" s="249">
        <f t="shared" si="11"/>
        <v>41717.178658349992</v>
      </c>
      <c r="G38" s="248">
        <f t="shared" si="11"/>
        <v>42104.146890437056</v>
      </c>
      <c r="H38" s="249">
        <f t="shared" si="11"/>
        <v>2726.3141165499997</v>
      </c>
      <c r="I38" s="249">
        <f t="shared" si="11"/>
        <v>84.662235617835293</v>
      </c>
      <c r="J38" s="250">
        <f t="shared" si="11"/>
        <v>14907.214608722667</v>
      </c>
      <c r="K38" s="250">
        <f t="shared" si="11"/>
        <v>59822.337851327589</v>
      </c>
      <c r="L38" s="248">
        <f t="shared" si="11"/>
        <v>78173.304643109441</v>
      </c>
      <c r="M38" s="249">
        <f t="shared" si="11"/>
        <v>108033.55082866366</v>
      </c>
      <c r="N38" s="250">
        <f t="shared" si="11"/>
        <v>186206.85547177307</v>
      </c>
      <c r="O38" s="282"/>
      <c r="P38" s="248">
        <f t="shared" si="11"/>
        <v>23797.501546937136</v>
      </c>
      <c r="Q38" s="249">
        <f t="shared" si="11"/>
        <v>67866.193825876544</v>
      </c>
      <c r="R38" s="250">
        <f t="shared" si="11"/>
        <v>91663.695372813701</v>
      </c>
      <c r="S38" s="248">
        <f t="shared" si="11"/>
        <v>12016.67415109821</v>
      </c>
      <c r="T38" s="249">
        <f t="shared" si="11"/>
        <v>43018.477796067295</v>
      </c>
      <c r="U38" s="250">
        <f t="shared" si="11"/>
        <v>55035.151947165497</v>
      </c>
      <c r="V38" s="249">
        <f t="shared" si="11"/>
        <v>35814.175698035346</v>
      </c>
      <c r="W38" s="249">
        <f t="shared" si="11"/>
        <v>110884.67162194382</v>
      </c>
      <c r="X38" s="250">
        <f t="shared" si="11"/>
        <v>146698.84731997922</v>
      </c>
    </row>
    <row r="40" spans="1:24" x14ac:dyDescent="0.2">
      <c r="A40" s="251"/>
      <c r="B40" s="251"/>
      <c r="C40" s="251"/>
      <c r="D40" s="251"/>
    </row>
    <row r="41" spans="1:24" x14ac:dyDescent="0.2">
      <c r="A41" s="251"/>
      <c r="B41" s="251"/>
      <c r="C41" s="251"/>
      <c r="D41" s="251"/>
    </row>
  </sheetData>
  <mergeCells count="6">
    <mergeCell ref="L6:N6"/>
    <mergeCell ref="B6:D6"/>
    <mergeCell ref="E6:K6"/>
    <mergeCell ref="P6:R6"/>
    <mergeCell ref="V6:X6"/>
    <mergeCell ref="S6:U6"/>
  </mergeCells>
  <pageMargins left="0.7" right="0.7" top="0.75" bottom="0.75" header="0.3" footer="0.3"/>
  <pageSetup orientation="portrait" r:id="rId1"/>
  <ignoredErrors>
    <ignoredError sqref="D8:D38 K8:K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A3D2-B6AB-4246-ABA9-19F2DB7BB3CF}">
  <sheetPr codeName="Hoja4"/>
  <dimension ref="A1:AV239"/>
  <sheetViews>
    <sheetView showGridLines="0" zoomScaleNormal="100" workbookViewId="0">
      <pane ySplit="6" topLeftCell="A7" activePane="bottomLeft" state="frozen"/>
      <selection activeCell="A2" activeCellId="1" sqref="A1:XFD1 A2:XFD2"/>
      <selection pane="bottomLeft"/>
    </sheetView>
  </sheetViews>
  <sheetFormatPr baseColWidth="10" defaultColWidth="11.42578125" defaultRowHeight="12.75" x14ac:dyDescent="0.25"/>
  <cols>
    <col min="1" max="1" width="25.7109375" style="6" customWidth="1"/>
    <col min="2" max="6" width="13.28515625" style="6" customWidth="1"/>
    <col min="7" max="7" width="8" style="6" customWidth="1"/>
    <col min="8" max="8" width="12" style="6" customWidth="1"/>
    <col min="9" max="28" width="10" style="3" customWidth="1"/>
    <col min="29" max="16384" width="11.42578125" style="6"/>
  </cols>
  <sheetData>
    <row r="1" spans="1:48" s="23" customFormat="1" ht="15.75" x14ac:dyDescent="0.25">
      <c r="A1" s="15" t="s">
        <v>142</v>
      </c>
      <c r="B1" s="27"/>
      <c r="J1" s="28" t="s">
        <v>1</v>
      </c>
      <c r="K1" s="28">
        <v>12</v>
      </c>
      <c r="L1" s="28">
        <v>1</v>
      </c>
      <c r="M1" s="29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48" s="23" customFormat="1" x14ac:dyDescent="0.25">
      <c r="A2" s="319" t="s">
        <v>2</v>
      </c>
      <c r="I2" s="50"/>
      <c r="J2" s="28" t="s">
        <v>3</v>
      </c>
      <c r="K2" s="28">
        <v>4</v>
      </c>
      <c r="L2" s="28">
        <v>3</v>
      </c>
      <c r="M2" s="3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48" x14ac:dyDescent="0.25">
      <c r="A3" s="23" t="s">
        <v>4</v>
      </c>
      <c r="J3" s="28" t="s">
        <v>0</v>
      </c>
      <c r="K3" s="28">
        <v>2</v>
      </c>
      <c r="L3" s="28">
        <v>6</v>
      </c>
      <c r="M3" s="30"/>
    </row>
    <row r="4" spans="1:48" x14ac:dyDescent="0.25">
      <c r="J4" s="28" t="s">
        <v>5</v>
      </c>
      <c r="K4" s="28">
        <v>1</v>
      </c>
      <c r="L4" s="28">
        <v>12</v>
      </c>
      <c r="M4" s="51"/>
    </row>
    <row r="5" spans="1:48" ht="18" customHeight="1" x14ac:dyDescent="0.25">
      <c r="A5" s="52" t="s">
        <v>145</v>
      </c>
      <c r="B5" s="53">
        <v>0.11</v>
      </c>
      <c r="I5" s="23"/>
      <c r="J5" s="50"/>
      <c r="K5" s="50"/>
      <c r="L5" s="50"/>
      <c r="M5" s="23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23"/>
      <c r="AO5" s="23"/>
      <c r="AP5" s="23"/>
      <c r="AQ5" s="23"/>
      <c r="AR5" s="23"/>
      <c r="AS5" s="23"/>
      <c r="AT5" s="23"/>
      <c r="AU5" s="23"/>
      <c r="AV5" s="23"/>
    </row>
    <row r="6" spans="1:48" s="16" customFormat="1" ht="24.75" customHeight="1" x14ac:dyDescent="0.25">
      <c r="A6" s="75" t="s">
        <v>6</v>
      </c>
      <c r="B6" s="76" t="s">
        <v>45</v>
      </c>
      <c r="C6" s="77" t="s">
        <v>39</v>
      </c>
      <c r="D6" s="77" t="s">
        <v>40</v>
      </c>
      <c r="E6" s="77" t="s">
        <v>41</v>
      </c>
      <c r="F6" s="77" t="s">
        <v>42</v>
      </c>
      <c r="H6" s="64"/>
    </row>
    <row r="7" spans="1:48" x14ac:dyDescent="0.25">
      <c r="A7" s="55" t="s">
        <v>7</v>
      </c>
      <c r="B7" s="56">
        <v>44078</v>
      </c>
      <c r="C7" s="56">
        <v>44078</v>
      </c>
      <c r="D7" s="56">
        <v>44078</v>
      </c>
      <c r="E7" s="56">
        <v>44078</v>
      </c>
      <c r="F7" s="56">
        <v>44078</v>
      </c>
      <c r="G7" s="1"/>
    </row>
    <row r="8" spans="1:48" x14ac:dyDescent="0.25">
      <c r="A8" s="55" t="s">
        <v>8</v>
      </c>
      <c r="B8" s="56">
        <v>47730</v>
      </c>
      <c r="C8" s="56">
        <v>47730</v>
      </c>
      <c r="D8" s="56">
        <v>49556</v>
      </c>
      <c r="E8" s="56">
        <v>50652</v>
      </c>
      <c r="F8" s="56">
        <v>51748</v>
      </c>
      <c r="G8" s="1"/>
    </row>
    <row r="9" spans="1:48" x14ac:dyDescent="0.25">
      <c r="A9" s="55" t="s">
        <v>9</v>
      </c>
      <c r="B9" s="56" t="s">
        <v>10</v>
      </c>
      <c r="C9" s="56" t="s">
        <v>10</v>
      </c>
      <c r="D9" s="56" t="s">
        <v>10</v>
      </c>
      <c r="E9" s="56" t="s">
        <v>10</v>
      </c>
      <c r="F9" s="56" t="s">
        <v>10</v>
      </c>
      <c r="G9" s="1"/>
    </row>
    <row r="10" spans="1:48" x14ac:dyDescent="0.25">
      <c r="A10" s="55" t="s">
        <v>11</v>
      </c>
      <c r="B10" s="57">
        <f>+YEARFRAC(B7,B8)</f>
        <v>10</v>
      </c>
      <c r="C10" s="57">
        <f>+YEARFRAC(C7,C8)</f>
        <v>10</v>
      </c>
      <c r="D10" s="57">
        <f t="shared" ref="D10:F10" si="0">+YEARFRAC(D7,D8)</f>
        <v>15</v>
      </c>
      <c r="E10" s="57">
        <f t="shared" si="0"/>
        <v>18</v>
      </c>
      <c r="F10" s="57">
        <f t="shared" si="0"/>
        <v>21</v>
      </c>
      <c r="G10" s="1"/>
    </row>
    <row r="11" spans="1:48" hidden="1" x14ac:dyDescent="0.25">
      <c r="A11" s="55" t="s">
        <v>12</v>
      </c>
      <c r="B11" s="57">
        <f>+YEARFRAC(B7,B12)</f>
        <v>0</v>
      </c>
      <c r="C11" s="57">
        <f>+YEARFRAC(C7,C12)</f>
        <v>0</v>
      </c>
      <c r="D11" s="57">
        <f t="shared" ref="D11:F11" si="1">+YEARFRAC(D7,D12)</f>
        <v>0</v>
      </c>
      <c r="E11" s="57">
        <f t="shared" si="1"/>
        <v>0</v>
      </c>
      <c r="F11" s="57">
        <f t="shared" si="1"/>
        <v>0</v>
      </c>
      <c r="G11" s="1"/>
    </row>
    <row r="12" spans="1:48" hidden="1" x14ac:dyDescent="0.25">
      <c r="A12" s="55" t="s">
        <v>13</v>
      </c>
      <c r="B12" s="56">
        <v>44078</v>
      </c>
      <c r="C12" s="56">
        <v>44078</v>
      </c>
      <c r="D12" s="56">
        <v>44078</v>
      </c>
      <c r="E12" s="56">
        <v>44078</v>
      </c>
      <c r="F12" s="56">
        <v>44078</v>
      </c>
      <c r="G12" s="1"/>
    </row>
    <row r="13" spans="1:48" x14ac:dyDescent="0.25">
      <c r="A13" s="55" t="s">
        <v>14</v>
      </c>
      <c r="B13" s="56">
        <v>44443</v>
      </c>
      <c r="C13" s="56">
        <v>44443</v>
      </c>
      <c r="D13" s="56">
        <v>44443</v>
      </c>
      <c r="E13" s="56">
        <v>44443</v>
      </c>
      <c r="F13" s="56">
        <v>44443</v>
      </c>
      <c r="G13" s="1"/>
    </row>
    <row r="14" spans="1:48" x14ac:dyDescent="0.25">
      <c r="A14" s="55" t="s">
        <v>15</v>
      </c>
      <c r="B14" s="58" t="s">
        <v>16</v>
      </c>
      <c r="C14" s="58" t="s">
        <v>16</v>
      </c>
      <c r="D14" s="58" t="s">
        <v>16</v>
      </c>
      <c r="E14" s="58" t="s">
        <v>16</v>
      </c>
      <c r="F14" s="58" t="s">
        <v>16</v>
      </c>
      <c r="G14" s="1"/>
    </row>
    <row r="15" spans="1:48" x14ac:dyDescent="0.25">
      <c r="A15" s="55" t="s">
        <v>17</v>
      </c>
      <c r="B15" s="56" t="s">
        <v>0</v>
      </c>
      <c r="C15" s="56" t="s">
        <v>0</v>
      </c>
      <c r="D15" s="56" t="s">
        <v>0</v>
      </c>
      <c r="E15" s="56" t="s">
        <v>0</v>
      </c>
      <c r="F15" s="56" t="s">
        <v>0</v>
      </c>
      <c r="G15" s="1"/>
    </row>
    <row r="16" spans="1:48" x14ac:dyDescent="0.25">
      <c r="A16" s="55" t="s">
        <v>135</v>
      </c>
      <c r="B16" s="59">
        <v>8</v>
      </c>
      <c r="C16" s="59">
        <v>12</v>
      </c>
      <c r="D16" s="59">
        <v>10</v>
      </c>
      <c r="E16" s="59">
        <v>22</v>
      </c>
      <c r="F16" s="59">
        <v>28</v>
      </c>
      <c r="G16" s="1"/>
    </row>
    <row r="17" spans="1:48" x14ac:dyDescent="0.25">
      <c r="A17" s="55" t="s">
        <v>18</v>
      </c>
      <c r="B17" s="56">
        <v>46450</v>
      </c>
      <c r="C17" s="56">
        <v>45720</v>
      </c>
      <c r="D17" s="56">
        <v>47911</v>
      </c>
      <c r="E17" s="56">
        <v>46816</v>
      </c>
      <c r="F17" s="56">
        <v>46816</v>
      </c>
      <c r="G17" s="1"/>
    </row>
    <row r="18" spans="1:48" x14ac:dyDescent="0.25">
      <c r="A18" s="60" t="s">
        <v>137</v>
      </c>
      <c r="B18" s="204">
        <v>100</v>
      </c>
      <c r="C18" s="204">
        <v>100</v>
      </c>
      <c r="D18" s="204">
        <v>100</v>
      </c>
      <c r="E18" s="204">
        <v>100</v>
      </c>
      <c r="F18" s="204">
        <v>100</v>
      </c>
      <c r="G18" s="1"/>
    </row>
    <row r="19" spans="1:48" s="3" customFormat="1" ht="21" customHeight="1" x14ac:dyDescent="0.25">
      <c r="A19" s="54" t="s">
        <v>19</v>
      </c>
      <c r="B19" s="62">
        <f>$L$78</f>
        <v>47.913828521654551</v>
      </c>
      <c r="C19" s="62">
        <f>$P$78</f>
        <v>50.743090606336217</v>
      </c>
      <c r="D19" s="62">
        <f>$T$78</f>
        <v>48.069347044450879</v>
      </c>
      <c r="E19" s="62">
        <f>$X$78</f>
        <v>53.188304493621956</v>
      </c>
      <c r="F19" s="62">
        <f>$AB$78</f>
        <v>47.229656055223955</v>
      </c>
      <c r="G19" s="1"/>
      <c r="H19" s="6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21" customHeight="1" x14ac:dyDescent="0.25">
      <c r="A20" s="320"/>
      <c r="B20" s="320"/>
      <c r="C20" s="320"/>
      <c r="D20" s="1"/>
      <c r="E20" s="1"/>
      <c r="F20" s="1"/>
      <c r="G20" s="1"/>
      <c r="H20" s="6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x14ac:dyDescent="0.25">
      <c r="A21" s="3"/>
      <c r="B21" s="3"/>
    </row>
    <row r="22" spans="1:48" s="103" customFormat="1" x14ac:dyDescent="0.25">
      <c r="A22" s="101"/>
      <c r="B22" s="101"/>
      <c r="C22" s="101"/>
      <c r="D22" s="102"/>
      <c r="E22" s="102"/>
      <c r="F22" s="102"/>
      <c r="I22" s="395" t="str">
        <f>B6</f>
        <v>USDI 2030 LA</v>
      </c>
      <c r="J22" s="391"/>
      <c r="K22" s="391"/>
      <c r="L22" s="392"/>
      <c r="M22" s="395" t="str">
        <f>C6</f>
        <v>USD 2030 LA</v>
      </c>
      <c r="N22" s="391"/>
      <c r="O22" s="391"/>
      <c r="P22" s="392"/>
      <c r="Q22" s="391" t="str">
        <f>D6</f>
        <v>USD 2035 LA</v>
      </c>
      <c r="R22" s="391"/>
      <c r="S22" s="391"/>
      <c r="T22" s="392"/>
      <c r="U22" s="391" t="str">
        <f>E6</f>
        <v>USD 2038 LA</v>
      </c>
      <c r="V22" s="391"/>
      <c r="W22" s="391"/>
      <c r="X22" s="392"/>
      <c r="Y22" s="391" t="str">
        <f>F6</f>
        <v>USD 2041 LA</v>
      </c>
      <c r="Z22" s="391"/>
      <c r="AA22" s="391"/>
      <c r="AB22" s="392"/>
      <c r="AC22" s="104"/>
    </row>
    <row r="23" spans="1:48" s="7" customFormat="1" ht="25.5" x14ac:dyDescent="0.25">
      <c r="A23" s="96" t="s">
        <v>20</v>
      </c>
      <c r="B23" s="393" t="s">
        <v>21</v>
      </c>
      <c r="C23" s="394"/>
      <c r="D23" s="394"/>
      <c r="E23" s="394"/>
      <c r="F23" s="394"/>
      <c r="G23" s="97" t="s">
        <v>36</v>
      </c>
      <c r="H23" s="97" t="s">
        <v>22</v>
      </c>
      <c r="I23" s="97" t="s">
        <v>23</v>
      </c>
      <c r="J23" s="98" t="s">
        <v>24</v>
      </c>
      <c r="K23" s="98" t="s">
        <v>25</v>
      </c>
      <c r="L23" s="99" t="s">
        <v>26</v>
      </c>
      <c r="M23" s="97" t="s">
        <v>23</v>
      </c>
      <c r="N23" s="98" t="s">
        <v>24</v>
      </c>
      <c r="O23" s="98" t="s">
        <v>25</v>
      </c>
      <c r="P23" s="99" t="s">
        <v>26</v>
      </c>
      <c r="Q23" s="97" t="s">
        <v>23</v>
      </c>
      <c r="R23" s="98" t="s">
        <v>24</v>
      </c>
      <c r="S23" s="98" t="s">
        <v>25</v>
      </c>
      <c r="T23" s="99" t="s">
        <v>26</v>
      </c>
      <c r="U23" s="97" t="s">
        <v>23</v>
      </c>
      <c r="V23" s="98" t="s">
        <v>24</v>
      </c>
      <c r="W23" s="98" t="s">
        <v>25</v>
      </c>
      <c r="X23" s="99" t="s">
        <v>26</v>
      </c>
      <c r="Y23" s="97" t="s">
        <v>23</v>
      </c>
      <c r="Z23" s="98" t="s">
        <v>24</v>
      </c>
      <c r="AA23" s="98" t="s">
        <v>25</v>
      </c>
      <c r="AB23" s="99" t="s">
        <v>26</v>
      </c>
      <c r="AC23" s="100"/>
    </row>
    <row r="24" spans="1:48" s="8" customFormat="1" x14ac:dyDescent="0.25">
      <c r="A24" s="80">
        <f>B7</f>
        <v>44078</v>
      </c>
      <c r="B24" s="81">
        <v>0</v>
      </c>
      <c r="C24" s="82">
        <v>0</v>
      </c>
      <c r="D24" s="82">
        <v>0</v>
      </c>
      <c r="E24" s="82">
        <v>0</v>
      </c>
      <c r="F24" s="82">
        <v>0</v>
      </c>
      <c r="G24" s="116">
        <f>+YEAR(H24)</f>
        <v>2020</v>
      </c>
      <c r="H24" s="83">
        <f>A24</f>
        <v>44078</v>
      </c>
      <c r="I24" s="105"/>
      <c r="J24" s="106"/>
      <c r="K24" s="107"/>
      <c r="L24" s="108"/>
      <c r="M24" s="105"/>
      <c r="N24" s="106"/>
      <c r="O24" s="107"/>
      <c r="P24" s="108"/>
      <c r="Q24" s="105"/>
      <c r="R24" s="106"/>
      <c r="S24" s="107"/>
      <c r="T24" s="108"/>
      <c r="U24" s="105"/>
      <c r="V24" s="106"/>
      <c r="W24" s="107"/>
      <c r="X24" s="108"/>
      <c r="Y24" s="105"/>
      <c r="Z24" s="106"/>
      <c r="AA24" s="107"/>
      <c r="AB24" s="108"/>
      <c r="AC24" s="79"/>
    </row>
    <row r="25" spans="1:48" s="8" customFormat="1" x14ac:dyDescent="0.25">
      <c r="A25" s="80">
        <f t="shared" ref="A25:A56" si="2">DATE(YEAR(A24),MONTH(A24)+VLOOKUP($D$15,$J$1:$L$4,3,0),DAY(A24))</f>
        <v>44259</v>
      </c>
      <c r="B25" s="81">
        <v>0</v>
      </c>
      <c r="C25" s="82">
        <v>0</v>
      </c>
      <c r="D25" s="82">
        <v>0</v>
      </c>
      <c r="E25" s="82">
        <v>0</v>
      </c>
      <c r="F25" s="82">
        <v>0</v>
      </c>
      <c r="G25" s="117">
        <f t="shared" ref="G25:G77" si="3">+YEAR(H25)</f>
        <v>2021</v>
      </c>
      <c r="H25" s="83">
        <f>DATE(YEAR(A24),MONTH(A24)+VLOOKUP($D$15,$J$1:$L$4,3,0),DAY(A24))</f>
        <v>44259</v>
      </c>
      <c r="I25" s="119">
        <v>0</v>
      </c>
      <c r="J25" s="120">
        <f>+IF($M25&gt;$B$8,"FIN",IF($M25&lt;$B$17,0,$B$18/$B$16))</f>
        <v>0</v>
      </c>
      <c r="K25" s="121">
        <f t="shared" ref="K25:K26" si="4">+SUM(I25:J25)</f>
        <v>0</v>
      </c>
      <c r="L25" s="122">
        <f>K25/(1+$B$5)^(YEARFRAC($M$24,$M25))</f>
        <v>0</v>
      </c>
      <c r="M25" s="119">
        <v>0</v>
      </c>
      <c r="N25" s="120">
        <f>+IF($M25&gt;$C$8,"FIN",IF($M25&lt;$C$17,0,$C$18/$C$16))</f>
        <v>0</v>
      </c>
      <c r="O25" s="121">
        <f t="shared" ref="O25:O26" si="5">+SUM(M25:N25)</f>
        <v>0</v>
      </c>
      <c r="P25" s="122">
        <f>O25/(1+$B$5)^(YEARFRAC($M$24,$M25))</f>
        <v>0</v>
      </c>
      <c r="Q25" s="119">
        <v>0</v>
      </c>
      <c r="R25" s="120">
        <f>+IF($M25&gt;$D$8,"FIN",IF($M25&lt;$D$17,0,$D$18/$D$16))</f>
        <v>0</v>
      </c>
      <c r="S25" s="121">
        <f t="shared" ref="S25:S26" si="6">+SUM(Q25:R25)</f>
        <v>0</v>
      </c>
      <c r="T25" s="122">
        <f>S25/(1+$B$5)^(YEARFRAC($M$24,$M25))</f>
        <v>0</v>
      </c>
      <c r="U25" s="119">
        <v>0</v>
      </c>
      <c r="V25" s="121">
        <f>+IF($M25&gt;$E$8,"FIN",IF($M25&lt;$E$17,0,$E$18/$E$16))</f>
        <v>0</v>
      </c>
      <c r="W25" s="121">
        <f t="shared" ref="W25:W55" si="7">+SUM(U25:V25)</f>
        <v>0</v>
      </c>
      <c r="X25" s="122">
        <f>W25/(1+$B$5)^(YEARFRAC($M$24,$M25))</f>
        <v>0</v>
      </c>
      <c r="Y25" s="119">
        <v>0</v>
      </c>
      <c r="Z25" s="120">
        <f>+IF($M25&gt;$F$8,"FIN",IF($M25&lt;$F$17,0,$F$18/$F$16))</f>
        <v>0</v>
      </c>
      <c r="AA25" s="121">
        <f t="shared" ref="AA25:AA26" si="8">+SUM(Y25:Z25)</f>
        <v>0</v>
      </c>
      <c r="AB25" s="122">
        <f>AA25/(1+$B$5)^(YEARFRAC($M$24,$M25))</f>
        <v>0</v>
      </c>
      <c r="AC25" s="79"/>
    </row>
    <row r="26" spans="1:48" s="8" customFormat="1" x14ac:dyDescent="0.25">
      <c r="A26" s="80">
        <f t="shared" si="2"/>
        <v>44443</v>
      </c>
      <c r="B26" s="81">
        <v>0.01</v>
      </c>
      <c r="C26" s="84">
        <v>1.25E-3</v>
      </c>
      <c r="D26" s="82">
        <v>1.25E-3</v>
      </c>
      <c r="E26" s="84">
        <v>1.25E-3</v>
      </c>
      <c r="F26" s="82">
        <v>1.25E-3</v>
      </c>
      <c r="G26" s="117">
        <f t="shared" si="3"/>
        <v>2021</v>
      </c>
      <c r="H26" s="83">
        <f t="shared" ref="H26:H57" si="9">+DATE(YEAR(H25),MONTH(H25)+VLOOKUP(C$15,$J$1:$L$4,3,0),DAY(H25))</f>
        <v>44443</v>
      </c>
      <c r="I26" s="119">
        <f>+IF($H26&gt;B$8,"FIN",(B$18-SUM(J$24:J25))*VLOOKUP($H26,$A:$F,2,0)/VLOOKUP(B$15,$J$1:$L$4,2,0))*2</f>
        <v>1</v>
      </c>
      <c r="J26" s="120">
        <f>+IF($M26&gt;$B$8,"FIN",IF($M26&lt;$B$17,0,$B$18/$B$16))</f>
        <v>0</v>
      </c>
      <c r="K26" s="121">
        <f t="shared" si="4"/>
        <v>1</v>
      </c>
      <c r="L26" s="122">
        <f t="shared" ref="L26:L44" si="10">K26/(1+$B$5)^(YEARFRAC($H$24,$H26))</f>
        <v>0.9009009009009008</v>
      </c>
      <c r="M26" s="119">
        <f>+IF($H26&gt;C$8,"FIN",(C$18-SUM(N$24:N25))*VLOOKUP($H26,$A:$F,3,0)/VLOOKUP(C$15,$J$1:$L$4,2,0))*2</f>
        <v>0.125</v>
      </c>
      <c r="N26" s="120">
        <f>+IF($M26&gt;$C$8,"FIN",IF($M26&lt;$C$17,0,$C$18/$C$16))</f>
        <v>0</v>
      </c>
      <c r="O26" s="121">
        <f t="shared" si="5"/>
        <v>0.125</v>
      </c>
      <c r="P26" s="122">
        <f t="shared" ref="P26:P44" si="11">O26/(1+$B$5)^(YEARFRAC($H$24,$H26))</f>
        <v>0.1126126126126126</v>
      </c>
      <c r="Q26" s="119">
        <f>+IF($H26&gt;D$8,"FIN",(D$18-SUM(R$24:R25))*VLOOKUP($H26,$A:$F,4,0)/VLOOKUP(D$15,$J$1:$L$4,2,0))*2</f>
        <v>0.125</v>
      </c>
      <c r="R26" s="120">
        <f>+IF($M26&gt;$D$8,"FIN",IF($M26&lt;$D$17,0,$D$18/$D$16))</f>
        <v>0</v>
      </c>
      <c r="S26" s="121">
        <f t="shared" si="6"/>
        <v>0.125</v>
      </c>
      <c r="T26" s="122">
        <f t="shared" ref="T26:T54" si="12">S26/(1+$B$5)^(YEARFRAC($H$24,$H26))</f>
        <v>0.1126126126126126</v>
      </c>
      <c r="U26" s="119">
        <f>+IF($H26&gt;E$8,"FIN",(E$18-SUM(V$24:V25))*VLOOKUP($H26,$A$2:$F$1048576,5,0)/VLOOKUP(E$15,$J$1:$L$4,2,0))*2</f>
        <v>0.125</v>
      </c>
      <c r="V26" s="121">
        <f>+IF($M26&gt;$E$8,"FIN",IF($M26&lt;$E$17,0,$E$18/$E$16))</f>
        <v>0</v>
      </c>
      <c r="W26" s="121">
        <f t="shared" si="7"/>
        <v>0.125</v>
      </c>
      <c r="X26" s="122">
        <f t="shared" ref="X26:X60" si="13">W26/(1+$B$5)^(YEARFRAC($H$24,$H26))</f>
        <v>0.1126126126126126</v>
      </c>
      <c r="Y26" s="119">
        <f>+IF($H26&gt;F$8,"FIN",(F$18-SUM(Z$24:Z25))*VLOOKUP($H26,$A:$F,6,0)/VLOOKUP(F$15,$J$1:$L$4,2,0))*2</f>
        <v>0.125</v>
      </c>
      <c r="Z26" s="120">
        <f>+IF($M26&gt;$F$8,"FIN",IF($M26&lt;$F$17,0,$F$18/$F$16))</f>
        <v>0</v>
      </c>
      <c r="AA26" s="121">
        <f t="shared" si="8"/>
        <v>0.125</v>
      </c>
      <c r="AB26" s="122">
        <f t="shared" ref="AB26:AB66" si="14">AA26/(1+$B$5)^(YEARFRAC($H$24,$H26))</f>
        <v>0.1126126126126126</v>
      </c>
      <c r="AC26" s="79"/>
    </row>
    <row r="27" spans="1:48" s="8" customFormat="1" x14ac:dyDescent="0.25">
      <c r="A27" s="80">
        <f t="shared" si="2"/>
        <v>44624</v>
      </c>
      <c r="B27" s="81">
        <v>0.01</v>
      </c>
      <c r="C27" s="84">
        <v>5.0000000000000001E-3</v>
      </c>
      <c r="D27" s="82">
        <v>1.125E-2</v>
      </c>
      <c r="E27" s="84">
        <v>0.02</v>
      </c>
      <c r="F27" s="82">
        <v>2.5000000000000001E-2</v>
      </c>
      <c r="G27" s="117">
        <f t="shared" si="3"/>
        <v>2022</v>
      </c>
      <c r="H27" s="83">
        <f t="shared" si="9"/>
        <v>44624</v>
      </c>
      <c r="I27" s="105">
        <f>+IF($H27&gt;B$8,"FIN",(B$18-SUM(J$24:J26))*VLOOKUP($H27,$A:$F,2,0)/VLOOKUP(B$15,$J$1:$L$4,2,0))</f>
        <v>0.5</v>
      </c>
      <c r="J27" s="109">
        <f t="shared" ref="J27:J44" si="15">+IF($H27&gt;B$8,"FIN",IF($H27&lt;B$17,0,B$18/B$16))</f>
        <v>0</v>
      </c>
      <c r="K27" s="109">
        <f t="shared" ref="K27:K44" si="16">+SUM(I27:J27)</f>
        <v>0.5</v>
      </c>
      <c r="L27" s="108">
        <f t="shared" si="10"/>
        <v>0.42754864673535981</v>
      </c>
      <c r="M27" s="105">
        <f>+IF($H27&gt;C$8,"FIN",(C$18-SUM(N$24:N26))*VLOOKUP($H27,$A:$F,3,0)/VLOOKUP(C$15,$J$1:$L$4,2,0))</f>
        <v>0.25</v>
      </c>
      <c r="N27" s="109">
        <f t="shared" ref="N27:N44" si="17">+IF($H27&gt;C$8,"FIN",IF($H27&lt;C$17,0,C$18/C$16))</f>
        <v>0</v>
      </c>
      <c r="O27" s="109">
        <f t="shared" ref="O27:O44" si="18">+SUM(M27:N27)</f>
        <v>0.25</v>
      </c>
      <c r="P27" s="108">
        <f t="shared" si="11"/>
        <v>0.2137743233676799</v>
      </c>
      <c r="Q27" s="105">
        <f>+IF($H27&gt;D$8,"FIN",(D$18-SUM(R$24:R26))*VLOOKUP($H27,$A:$F,4,0)/VLOOKUP(D$15,$J$1:$L$4,2,0))</f>
        <v>0.5625</v>
      </c>
      <c r="R27" s="109">
        <f t="shared" ref="R27:R54" si="19">+IF($H27&gt;D$8,"FIN",IF($H27&lt;D$17,0,D$18/D$16))</f>
        <v>0</v>
      </c>
      <c r="S27" s="109">
        <f t="shared" ref="S27:S45" si="20">+SUM(Q27:R27)</f>
        <v>0.5625</v>
      </c>
      <c r="T27" s="108">
        <f t="shared" si="12"/>
        <v>0.48099222757727983</v>
      </c>
      <c r="U27" s="105">
        <f>+IF($H27&gt;E$8,"FIN",(E$18-SUM(V$24:V26))*VLOOKUP($H27,$A:$F,5,0)/VLOOKUP(E$15,$J$1:$L$4,2,0))</f>
        <v>1</v>
      </c>
      <c r="V27" s="109">
        <f t="shared" ref="V27:V60" si="21">+IF($H27&gt;E$8,"FIN",IF($H27&lt;E$17,0,E$18/E$16))</f>
        <v>0</v>
      </c>
      <c r="W27" s="107">
        <f t="shared" si="7"/>
        <v>1</v>
      </c>
      <c r="X27" s="108">
        <f t="shared" si="13"/>
        <v>0.85509729347071961</v>
      </c>
      <c r="Y27" s="105">
        <f>+IF($H27&gt;F$8,"FIN",(F$18-SUM(Z$24:Z26))*VLOOKUP($H27,$A:$F,6,0)/VLOOKUP(F$15,$J$1:$L$4,2,0))</f>
        <v>1.25</v>
      </c>
      <c r="Z27" s="109">
        <f t="shared" ref="Z27:Z66" si="22">+IF($H27&gt;F$8,"FIN",IF($H27&lt;F$17,0,F$18/F$16))</f>
        <v>0</v>
      </c>
      <c r="AA27" s="107">
        <f t="shared" ref="AA27:AA55" si="23">+SUM(Y27:Z27)</f>
        <v>1.25</v>
      </c>
      <c r="AB27" s="108">
        <f t="shared" si="14"/>
        <v>1.0688716168383996</v>
      </c>
      <c r="AC27" s="79"/>
    </row>
    <row r="28" spans="1:48" s="8" customFormat="1" x14ac:dyDescent="0.25">
      <c r="A28" s="80">
        <f t="shared" si="2"/>
        <v>44808</v>
      </c>
      <c r="B28" s="84">
        <v>0.01</v>
      </c>
      <c r="C28" s="84">
        <v>5.0000000000000001E-3</v>
      </c>
      <c r="D28" s="82">
        <v>1.125E-2</v>
      </c>
      <c r="E28" s="85">
        <v>0.02</v>
      </c>
      <c r="F28" s="84">
        <v>2.5000000000000001E-2</v>
      </c>
      <c r="G28" s="117">
        <f t="shared" si="3"/>
        <v>2022</v>
      </c>
      <c r="H28" s="83">
        <f t="shared" si="9"/>
        <v>44808</v>
      </c>
      <c r="I28" s="105">
        <f>+IF($H28&gt;B$8,"FIN",(B$18-SUM(J$24:J27))*VLOOKUP($H28,$A:$G,2,0)/VLOOKUP(B$15,$J$1:$L$4,2,0))</f>
        <v>0.5</v>
      </c>
      <c r="J28" s="107">
        <f t="shared" si="15"/>
        <v>0</v>
      </c>
      <c r="K28" s="107">
        <f t="shared" si="16"/>
        <v>0.5</v>
      </c>
      <c r="L28" s="108">
        <f t="shared" si="10"/>
        <v>0.40581121662202735</v>
      </c>
      <c r="M28" s="105">
        <f>+IF($H28&gt;C$8,"FIN",(C$18-SUM(N$24:N27))*VLOOKUP($H28,$A:$G,3,0)/VLOOKUP(C$15,$J$1:$L$4,2,0))</f>
        <v>0.25</v>
      </c>
      <c r="N28" s="107">
        <f t="shared" si="17"/>
        <v>0</v>
      </c>
      <c r="O28" s="107">
        <f t="shared" si="18"/>
        <v>0.25</v>
      </c>
      <c r="P28" s="108">
        <f t="shared" si="11"/>
        <v>0.20290560831101367</v>
      </c>
      <c r="Q28" s="105">
        <f>+IF($H28&gt;D$8,"FIN",(D$18-SUM(R$24:R27))*VLOOKUP($H28,$A:$F,4,0)/VLOOKUP(D$15,$J$1:$L$4,2,0))</f>
        <v>0.5625</v>
      </c>
      <c r="R28" s="109">
        <f t="shared" si="19"/>
        <v>0</v>
      </c>
      <c r="S28" s="109">
        <f t="shared" si="20"/>
        <v>0.5625</v>
      </c>
      <c r="T28" s="108">
        <f t="shared" si="12"/>
        <v>0.45653761869978077</v>
      </c>
      <c r="U28" s="105">
        <f>+IF($H28&gt;E$8,"FIN",(E$18-SUM(V$24:V27))*VLOOKUP($H28,$A:$F,5,0)/VLOOKUP(E$15,$J$1:$L$4,2,0))</f>
        <v>1</v>
      </c>
      <c r="V28" s="107">
        <f t="shared" si="21"/>
        <v>0</v>
      </c>
      <c r="W28" s="107">
        <f t="shared" si="7"/>
        <v>1</v>
      </c>
      <c r="X28" s="108">
        <f t="shared" si="13"/>
        <v>0.8116224332440547</v>
      </c>
      <c r="Y28" s="105">
        <f>+IF($H28&gt;F$8,"FIN",(F$18-SUM(Z$24:Z27))*VLOOKUP($H28,$A:$F,6,0)/VLOOKUP(F$15,$J$1:$L$4,2,0))</f>
        <v>1.25</v>
      </c>
      <c r="Z28" s="107">
        <f t="shared" si="22"/>
        <v>0</v>
      </c>
      <c r="AA28" s="107">
        <f t="shared" si="23"/>
        <v>1.25</v>
      </c>
      <c r="AB28" s="108">
        <f t="shared" si="14"/>
        <v>1.0145280415550684</v>
      </c>
      <c r="AC28" s="79"/>
    </row>
    <row r="29" spans="1:48" s="8" customFormat="1" x14ac:dyDescent="0.25">
      <c r="A29" s="80">
        <f t="shared" si="2"/>
        <v>44989</v>
      </c>
      <c r="B29" s="84">
        <v>0.01</v>
      </c>
      <c r="C29" s="84">
        <v>5.0000000000000001E-3</v>
      </c>
      <c r="D29" s="82">
        <v>1.4999999999999999E-2</v>
      </c>
      <c r="E29" s="85">
        <v>3.875E-2</v>
      </c>
      <c r="F29" s="84">
        <v>3.5000000000000003E-2</v>
      </c>
      <c r="G29" s="86">
        <f t="shared" si="3"/>
        <v>2023</v>
      </c>
      <c r="H29" s="83">
        <f t="shared" si="9"/>
        <v>44989</v>
      </c>
      <c r="I29" s="105">
        <f>+IF($H29&gt;B$8,"FIN",(B$18-SUM(J$24:J28))*VLOOKUP($H29,$A:$G,2,0)/VLOOKUP(B$15,$J$1:$L$4,2,0))</f>
        <v>0.5</v>
      </c>
      <c r="J29" s="107">
        <f t="shared" si="15"/>
        <v>0</v>
      </c>
      <c r="K29" s="107">
        <f t="shared" si="16"/>
        <v>0.5</v>
      </c>
      <c r="L29" s="108">
        <f t="shared" si="10"/>
        <v>0.38517896102284671</v>
      </c>
      <c r="M29" s="105">
        <f>+IF($H29&gt;C$8,"FIN",(C$18-SUM(N$24:N28))*VLOOKUP($H29,$A:$G,3,0)/VLOOKUP(C$15,$J$1:$L$4,2,0))</f>
        <v>0.25</v>
      </c>
      <c r="N29" s="107">
        <f t="shared" si="17"/>
        <v>0</v>
      </c>
      <c r="O29" s="107">
        <f t="shared" si="18"/>
        <v>0.25</v>
      </c>
      <c r="P29" s="108">
        <f t="shared" si="11"/>
        <v>0.19258948051142336</v>
      </c>
      <c r="Q29" s="105">
        <f>+IF($H29&gt;D$8,"FIN",(D$18-SUM(R$24:R28))*VLOOKUP($H29,$A:$F,4,0)/VLOOKUP(D$15,$J$1:$L$4,2,0))</f>
        <v>0.75</v>
      </c>
      <c r="R29" s="109">
        <f t="shared" si="19"/>
        <v>0</v>
      </c>
      <c r="S29" s="109">
        <f t="shared" si="20"/>
        <v>0.75</v>
      </c>
      <c r="T29" s="108">
        <f t="shared" si="12"/>
        <v>0.57776844153427009</v>
      </c>
      <c r="U29" s="105">
        <f>+IF($H29&gt;E$8,"FIN",(E$18-SUM(V$24:V28))*VLOOKUP($H29,$A:$F,5,0)/VLOOKUP(E$15,$J$1:$L$4,2,0))</f>
        <v>1.9375</v>
      </c>
      <c r="V29" s="107">
        <f t="shared" si="21"/>
        <v>0</v>
      </c>
      <c r="W29" s="107">
        <f t="shared" si="7"/>
        <v>1.9375</v>
      </c>
      <c r="X29" s="108">
        <f t="shared" si="13"/>
        <v>1.492568473963531</v>
      </c>
      <c r="Y29" s="105">
        <f>+IF($H29&gt;F$8,"FIN",(F$18-SUM(Z$24:Z28))*VLOOKUP($H29,$A:$F,6,0)/VLOOKUP(F$15,$J$1:$L$4,2,0))</f>
        <v>1.7500000000000002</v>
      </c>
      <c r="Z29" s="107">
        <f t="shared" si="22"/>
        <v>0</v>
      </c>
      <c r="AA29" s="107">
        <f t="shared" si="23"/>
        <v>1.7500000000000002</v>
      </c>
      <c r="AB29" s="108">
        <f t="shared" si="14"/>
        <v>1.3481263635799636</v>
      </c>
      <c r="AC29" s="79"/>
    </row>
    <row r="30" spans="1:48" s="8" customFormat="1" x14ac:dyDescent="0.25">
      <c r="A30" s="80">
        <f t="shared" si="2"/>
        <v>45173</v>
      </c>
      <c r="B30" s="84">
        <v>0.01</v>
      </c>
      <c r="C30" s="84">
        <v>5.0000000000000001E-3</v>
      </c>
      <c r="D30" s="82">
        <v>1.4999999999999999E-2</v>
      </c>
      <c r="E30" s="85">
        <v>3.875E-2</v>
      </c>
      <c r="F30" s="85">
        <v>3.5000000000000003E-2</v>
      </c>
      <c r="G30" s="86">
        <f t="shared" si="3"/>
        <v>2023</v>
      </c>
      <c r="H30" s="83">
        <f t="shared" si="9"/>
        <v>45173</v>
      </c>
      <c r="I30" s="105">
        <f>+IF($H30&gt;B$8,"FIN",(B$18-SUM(J$24:J29))*VLOOKUP($H30,$A:$G,2,0)/VLOOKUP(B$15,$J$1:$L$4,2,0))</f>
        <v>0.5</v>
      </c>
      <c r="J30" s="107">
        <f t="shared" si="15"/>
        <v>0</v>
      </c>
      <c r="K30" s="107">
        <f t="shared" si="16"/>
        <v>0.5</v>
      </c>
      <c r="L30" s="108">
        <f t="shared" si="10"/>
        <v>0.36559569065047509</v>
      </c>
      <c r="M30" s="105">
        <f>+IF($H30&gt;C$8,"FIN",(C$18-SUM(N$24:N29))*VLOOKUP($H30,$A:$G,3,0)/VLOOKUP(C$15,$J$1:$L$4,2,0))</f>
        <v>0.25</v>
      </c>
      <c r="N30" s="107">
        <f t="shared" si="17"/>
        <v>0</v>
      </c>
      <c r="O30" s="107">
        <f t="shared" si="18"/>
        <v>0.25</v>
      </c>
      <c r="P30" s="108">
        <f t="shared" si="11"/>
        <v>0.18279784532523755</v>
      </c>
      <c r="Q30" s="105">
        <f>+IF($H30&gt;D$8,"FIN",(D$18-SUM(R$24:R29))*VLOOKUP($H30,$A:$F,4,0)/VLOOKUP(D$15,$J$1:$L$4,2,0))</f>
        <v>0.75</v>
      </c>
      <c r="R30" s="109">
        <f t="shared" si="19"/>
        <v>0</v>
      </c>
      <c r="S30" s="109">
        <f t="shared" si="20"/>
        <v>0.75</v>
      </c>
      <c r="T30" s="108">
        <f t="shared" si="12"/>
        <v>0.54839353597571261</v>
      </c>
      <c r="U30" s="105">
        <f>+IF($H30&gt;E$8,"FIN",(E$18-SUM(V$24:V29))*VLOOKUP($H30,$A:$F,5,0)/VLOOKUP(E$15,$J$1:$L$4,2,0))</f>
        <v>1.9375</v>
      </c>
      <c r="V30" s="107">
        <f t="shared" si="21"/>
        <v>0</v>
      </c>
      <c r="W30" s="107">
        <f t="shared" si="7"/>
        <v>1.9375</v>
      </c>
      <c r="X30" s="108">
        <f t="shared" si="13"/>
        <v>1.4166833012705911</v>
      </c>
      <c r="Y30" s="105">
        <f>+IF($H30&gt;F$8,"FIN",(F$18-SUM(Z$24:Z29))*VLOOKUP($H30,$A:$F,6,0)/VLOOKUP(F$15,$J$1:$L$4,2,0))</f>
        <v>1.7500000000000002</v>
      </c>
      <c r="Z30" s="107">
        <f t="shared" si="22"/>
        <v>0</v>
      </c>
      <c r="AA30" s="107">
        <f t="shared" si="23"/>
        <v>1.7500000000000002</v>
      </c>
      <c r="AB30" s="108">
        <f t="shared" si="14"/>
        <v>1.2795849172766629</v>
      </c>
      <c r="AC30" s="79"/>
    </row>
    <row r="31" spans="1:48" s="8" customFormat="1" x14ac:dyDescent="0.25">
      <c r="A31" s="80">
        <f t="shared" si="2"/>
        <v>45355</v>
      </c>
      <c r="B31" s="84">
        <v>0.01</v>
      </c>
      <c r="C31" s="84">
        <v>7.4999999999999997E-3</v>
      </c>
      <c r="D31" s="82">
        <v>3.6249999999999998E-2</v>
      </c>
      <c r="E31" s="85">
        <v>4.2500000000000003E-2</v>
      </c>
      <c r="F31" s="85">
        <v>3.5000000000000003E-2</v>
      </c>
      <c r="G31" s="86">
        <f t="shared" si="3"/>
        <v>2024</v>
      </c>
      <c r="H31" s="83">
        <f t="shared" si="9"/>
        <v>45355</v>
      </c>
      <c r="I31" s="105">
        <f>+IF($H31&gt;B$8,"FIN",(B$18-SUM(J$24:J30))*VLOOKUP($H31,$A:$G,2,0)/VLOOKUP(B$15,$J$1:$L$4,2,0))</f>
        <v>0.5</v>
      </c>
      <c r="J31" s="107">
        <f t="shared" si="15"/>
        <v>0</v>
      </c>
      <c r="K31" s="107">
        <f t="shared" si="16"/>
        <v>0.5</v>
      </c>
      <c r="L31" s="108">
        <f t="shared" si="10"/>
        <v>0.34700807299355552</v>
      </c>
      <c r="M31" s="105">
        <f>+IF($H31&gt;C$8,"FIN",(C$18-SUM(N$24:N30))*VLOOKUP($H31,$A:$G,3,0)/VLOOKUP(C$15,$J$1:$L$4,2,0))</f>
        <v>0.375</v>
      </c>
      <c r="N31" s="107">
        <f t="shared" si="17"/>
        <v>0</v>
      </c>
      <c r="O31" s="107">
        <f t="shared" si="18"/>
        <v>0.375</v>
      </c>
      <c r="P31" s="108">
        <f t="shared" si="11"/>
        <v>0.26025605474516667</v>
      </c>
      <c r="Q31" s="105">
        <f>+IF($H31&gt;D$8,"FIN",(D$18-SUM(R$24:R30))*VLOOKUP($H31,$A:$F,4,0)/VLOOKUP(D$15,$J$1:$L$4,2,0))</f>
        <v>1.8124999999999998</v>
      </c>
      <c r="R31" s="109">
        <f t="shared" si="19"/>
        <v>0</v>
      </c>
      <c r="S31" s="109">
        <f t="shared" si="20"/>
        <v>1.8124999999999998</v>
      </c>
      <c r="T31" s="108">
        <f t="shared" si="12"/>
        <v>1.2579042646016385</v>
      </c>
      <c r="U31" s="105">
        <f>+IF($H31&gt;E$8,"FIN",(E$18-SUM(V$24:V30))*VLOOKUP($H31,$A:$F,5,0)/VLOOKUP(E$15,$J$1:$L$4,2,0))</f>
        <v>2.125</v>
      </c>
      <c r="V31" s="107">
        <f t="shared" si="21"/>
        <v>0</v>
      </c>
      <c r="W31" s="107">
        <f t="shared" si="7"/>
        <v>2.125</v>
      </c>
      <c r="X31" s="108">
        <f t="shared" si="13"/>
        <v>1.474784310222611</v>
      </c>
      <c r="Y31" s="105">
        <f>+IF($H31&gt;F$8,"FIN",(F$18-SUM(Z$24:Z30))*VLOOKUP($H31,$A:$F,6,0)/VLOOKUP(F$15,$J$1:$L$4,2,0))</f>
        <v>1.7500000000000002</v>
      </c>
      <c r="Z31" s="107">
        <f t="shared" si="22"/>
        <v>0</v>
      </c>
      <c r="AA31" s="107">
        <f t="shared" si="23"/>
        <v>1.7500000000000002</v>
      </c>
      <c r="AB31" s="108">
        <f t="shared" si="14"/>
        <v>1.2145282554774444</v>
      </c>
      <c r="AC31" s="79"/>
    </row>
    <row r="32" spans="1:48" s="8" customFormat="1" x14ac:dyDescent="0.25">
      <c r="A32" s="80">
        <f t="shared" si="2"/>
        <v>45539</v>
      </c>
      <c r="B32" s="84">
        <v>0.01</v>
      </c>
      <c r="C32" s="84">
        <v>7.4999999999999997E-3</v>
      </c>
      <c r="D32" s="82">
        <v>3.6249999999999998E-2</v>
      </c>
      <c r="E32" s="85">
        <v>4.2500000000000003E-2</v>
      </c>
      <c r="F32" s="85">
        <v>3.5000000000000003E-2</v>
      </c>
      <c r="G32" s="86">
        <f t="shared" si="3"/>
        <v>2024</v>
      </c>
      <c r="H32" s="83">
        <f t="shared" si="9"/>
        <v>45539</v>
      </c>
      <c r="I32" s="105">
        <f>+IF($H32&gt;B$8,"FIN",(B$18-SUM(J$24:J31))*VLOOKUP($H32,$A:$G,2,0)/VLOOKUP(B$15,$J$1:$L$4,2,0))</f>
        <v>0.5</v>
      </c>
      <c r="J32" s="107">
        <f t="shared" si="15"/>
        <v>0</v>
      </c>
      <c r="K32" s="107">
        <f t="shared" si="16"/>
        <v>0.5</v>
      </c>
      <c r="L32" s="108">
        <f t="shared" si="10"/>
        <v>0.32936548707250007</v>
      </c>
      <c r="M32" s="105">
        <f>+IF($H32&gt;C$8,"FIN",(C$18-SUM(N$24:N31))*VLOOKUP($H32,$A:$G,3,0)/VLOOKUP(C$15,$J$1:$L$4,2,0))</f>
        <v>0.375</v>
      </c>
      <c r="N32" s="107">
        <f t="shared" si="17"/>
        <v>0</v>
      </c>
      <c r="O32" s="107">
        <f t="shared" si="18"/>
        <v>0.375</v>
      </c>
      <c r="P32" s="108">
        <f t="shared" si="11"/>
        <v>0.24702411530437504</v>
      </c>
      <c r="Q32" s="105">
        <f>+IF($H32&gt;D$8,"FIN",(D$18-SUM(R$24:R31))*VLOOKUP($H32,$A:$F,4,0)/VLOOKUP(D$15,$J$1:$L$4,2,0))</f>
        <v>1.8124999999999998</v>
      </c>
      <c r="R32" s="109">
        <f t="shared" si="19"/>
        <v>0</v>
      </c>
      <c r="S32" s="109">
        <f t="shared" si="20"/>
        <v>1.8124999999999998</v>
      </c>
      <c r="T32" s="108">
        <f t="shared" si="12"/>
        <v>1.1939498906378125</v>
      </c>
      <c r="U32" s="105">
        <f>+IF($H32&gt;E$8,"FIN",(E$18-SUM(V$24:V31))*VLOOKUP($H32,$A:$F,5,0)/VLOOKUP(E$15,$J$1:$L$4,2,0))</f>
        <v>2.125</v>
      </c>
      <c r="V32" s="107">
        <f t="shared" si="21"/>
        <v>0</v>
      </c>
      <c r="W32" s="107">
        <f t="shared" si="7"/>
        <v>2.125</v>
      </c>
      <c r="X32" s="108">
        <f t="shared" si="13"/>
        <v>1.3998033200581252</v>
      </c>
      <c r="Y32" s="105">
        <f>+IF($H32&gt;F$8,"FIN",(F$18-SUM(Z$24:Z31))*VLOOKUP($H32,$A:$F,6,0)/VLOOKUP(F$15,$J$1:$L$4,2,0))</f>
        <v>1.7500000000000002</v>
      </c>
      <c r="Z32" s="107">
        <f t="shared" si="22"/>
        <v>0</v>
      </c>
      <c r="AA32" s="107">
        <f t="shared" si="23"/>
        <v>1.7500000000000002</v>
      </c>
      <c r="AB32" s="108">
        <f t="shared" si="14"/>
        <v>1.1527792047537504</v>
      </c>
      <c r="AC32" s="79"/>
    </row>
    <row r="33" spans="1:29" s="8" customFormat="1" x14ac:dyDescent="0.25">
      <c r="A33" s="80">
        <f t="shared" si="2"/>
        <v>45720</v>
      </c>
      <c r="B33" s="84">
        <v>0.01</v>
      </c>
      <c r="C33" s="84">
        <v>7.4999999999999997E-3</v>
      </c>
      <c r="D33" s="82">
        <v>4.1250000000000002E-2</v>
      </c>
      <c r="E33" s="85">
        <v>0.05</v>
      </c>
      <c r="F33" s="85">
        <v>3.5000000000000003E-2</v>
      </c>
      <c r="G33" s="86">
        <f t="shared" si="3"/>
        <v>2025</v>
      </c>
      <c r="H33" s="83">
        <f t="shared" si="9"/>
        <v>45720</v>
      </c>
      <c r="I33" s="105">
        <f>+IF($H33&gt;B$8,"FIN",(B$18-SUM(J$24:J32))*VLOOKUP($H33,$A:$G,2,0)/VLOOKUP(B$15,$J$1:$L$4,2,0))</f>
        <v>0.5</v>
      </c>
      <c r="J33" s="107">
        <f t="shared" si="15"/>
        <v>0</v>
      </c>
      <c r="K33" s="107">
        <f t="shared" si="16"/>
        <v>0.5</v>
      </c>
      <c r="L33" s="108">
        <f t="shared" si="10"/>
        <v>0.31261988557977977</v>
      </c>
      <c r="M33" s="105">
        <f>+IF($H33&gt;C$8,"FIN",(C$18-SUM(N$24:N32))*VLOOKUP($H33,$A:$G,3,0)/VLOOKUP(C$15,$J$1:$L$4,2,0))</f>
        <v>0.375</v>
      </c>
      <c r="N33" s="107">
        <f t="shared" si="17"/>
        <v>8.3333333333333339</v>
      </c>
      <c r="O33" s="107">
        <f t="shared" si="18"/>
        <v>8.7083333333333339</v>
      </c>
      <c r="P33" s="108">
        <f t="shared" si="11"/>
        <v>5.4447963405144977</v>
      </c>
      <c r="Q33" s="105">
        <f>+IF($H33&gt;D$8,"FIN",(D$18-SUM(R$24:R32))*VLOOKUP($H33,$A:$F,4,0)/VLOOKUP(D$15,$J$1:$L$4,2,0))</f>
        <v>2.0625</v>
      </c>
      <c r="R33" s="109">
        <f t="shared" si="19"/>
        <v>0</v>
      </c>
      <c r="S33" s="109">
        <f t="shared" si="20"/>
        <v>2.0625</v>
      </c>
      <c r="T33" s="108">
        <f t="shared" si="12"/>
        <v>1.2895570280165913</v>
      </c>
      <c r="U33" s="105">
        <f>+IF($H33&gt;E$8,"FIN",(E$18-SUM(V$24:V32))*VLOOKUP($H33,$A:$F,5,0)/VLOOKUP(E$15,$J$1:$L$4,2,0))</f>
        <v>2.5</v>
      </c>
      <c r="V33" s="107">
        <f t="shared" si="21"/>
        <v>0</v>
      </c>
      <c r="W33" s="107">
        <f t="shared" si="7"/>
        <v>2.5</v>
      </c>
      <c r="X33" s="108">
        <f t="shared" si="13"/>
        <v>1.5630994278988988</v>
      </c>
      <c r="Y33" s="105">
        <f>+IF($H33&gt;F$8,"FIN",(F$18-SUM(Z$24:Z32))*VLOOKUP($H33,$A:$F,6,0)/VLOOKUP(F$15,$J$1:$L$4,2,0))</f>
        <v>1.7500000000000002</v>
      </c>
      <c r="Z33" s="107">
        <f t="shared" si="22"/>
        <v>0</v>
      </c>
      <c r="AA33" s="107">
        <f t="shared" si="23"/>
        <v>1.7500000000000002</v>
      </c>
      <c r="AB33" s="108">
        <f t="shared" si="14"/>
        <v>1.0941695995292293</v>
      </c>
      <c r="AC33" s="79"/>
    </row>
    <row r="34" spans="1:29" s="8" customFormat="1" x14ac:dyDescent="0.25">
      <c r="A34" s="80">
        <f t="shared" si="2"/>
        <v>45904</v>
      </c>
      <c r="B34" s="84">
        <v>0.01</v>
      </c>
      <c r="C34" s="84">
        <v>7.4999999999999997E-3</v>
      </c>
      <c r="D34" s="82">
        <v>4.1250000000000002E-2</v>
      </c>
      <c r="E34" s="85">
        <v>0.05</v>
      </c>
      <c r="F34" s="85">
        <v>3.5000000000000003E-2</v>
      </c>
      <c r="G34" s="86">
        <f t="shared" si="3"/>
        <v>2025</v>
      </c>
      <c r="H34" s="83">
        <f t="shared" si="9"/>
        <v>45904</v>
      </c>
      <c r="I34" s="105">
        <f>+IF($H34&gt;B$8,"FIN",(B$18-SUM(J$24:J33))*VLOOKUP($H34,$A:$G,2,0)/VLOOKUP(B$15,$J$1:$L$4,2,0))</f>
        <v>0.5</v>
      </c>
      <c r="J34" s="107">
        <f t="shared" si="15"/>
        <v>0</v>
      </c>
      <c r="K34" s="107">
        <f t="shared" si="16"/>
        <v>0.5</v>
      </c>
      <c r="L34" s="108">
        <f t="shared" si="10"/>
        <v>0.2967256640292793</v>
      </c>
      <c r="M34" s="105">
        <f>+IF($H34&gt;C$8,"FIN",(C$18-SUM(N$24:N33))*VLOOKUP($H34,$A:$G,3,0)/VLOOKUP(C$15,$J$1:$L$4,2,0))</f>
        <v>0.34375</v>
      </c>
      <c r="N34" s="107">
        <f t="shared" si="17"/>
        <v>8.3333333333333339</v>
      </c>
      <c r="O34" s="107">
        <f t="shared" si="18"/>
        <v>8.6770833333333339</v>
      </c>
      <c r="P34" s="108">
        <f t="shared" si="11"/>
        <v>5.1494266278414518</v>
      </c>
      <c r="Q34" s="105">
        <f>+IF($H34&gt;D$8,"FIN",(D$18-SUM(R$24:R33))*VLOOKUP($H34,$A:$F,4,0)/VLOOKUP(D$15,$J$1:$L$4,2,0))</f>
        <v>2.0625</v>
      </c>
      <c r="R34" s="109">
        <f t="shared" si="19"/>
        <v>0</v>
      </c>
      <c r="S34" s="109">
        <f t="shared" si="20"/>
        <v>2.0625</v>
      </c>
      <c r="T34" s="108">
        <f t="shared" si="12"/>
        <v>1.2239933641207772</v>
      </c>
      <c r="U34" s="105">
        <f>+IF($H34&gt;E$8,"FIN",(E$18-SUM(V$24:V33))*VLOOKUP($H34,$A:$F,5,0)/VLOOKUP(E$15,$J$1:$L$4,2,0))</f>
        <v>2.5</v>
      </c>
      <c r="V34" s="107">
        <f t="shared" si="21"/>
        <v>0</v>
      </c>
      <c r="W34" s="107">
        <f t="shared" si="7"/>
        <v>2.5</v>
      </c>
      <c r="X34" s="108">
        <f t="shared" si="13"/>
        <v>1.4836283201463967</v>
      </c>
      <c r="Y34" s="105">
        <f>+IF($H34&gt;F$8,"FIN",(F$18-SUM(Z$24:Z33))*VLOOKUP($H34,$A:$F,6,0)/VLOOKUP(F$15,$J$1:$L$4,2,0))</f>
        <v>1.7500000000000002</v>
      </c>
      <c r="Z34" s="107">
        <f t="shared" si="22"/>
        <v>0</v>
      </c>
      <c r="AA34" s="107">
        <f t="shared" si="23"/>
        <v>1.7500000000000002</v>
      </c>
      <c r="AB34" s="108">
        <f t="shared" si="14"/>
        <v>1.0385398241024777</v>
      </c>
      <c r="AC34" s="79"/>
    </row>
    <row r="35" spans="1:29" s="8" customFormat="1" x14ac:dyDescent="0.25">
      <c r="A35" s="80">
        <f t="shared" si="2"/>
        <v>46085</v>
      </c>
      <c r="B35" s="84">
        <v>0.01</v>
      </c>
      <c r="C35" s="84">
        <v>7.4999999999999997E-3</v>
      </c>
      <c r="D35" s="82">
        <v>4.1250000000000002E-2</v>
      </c>
      <c r="E35" s="85">
        <v>0.05</v>
      </c>
      <c r="F35" s="85">
        <v>3.5000000000000003E-2</v>
      </c>
      <c r="G35" s="86">
        <f t="shared" si="3"/>
        <v>2026</v>
      </c>
      <c r="H35" s="83">
        <f t="shared" si="9"/>
        <v>46085</v>
      </c>
      <c r="I35" s="105">
        <f>+IF($H35&gt;B$8,"FIN",(B$18-SUM(J$24:J34))*VLOOKUP($H35,$A:$G,2,0)/VLOOKUP(B$15,$J$1:$L$4,2,0))</f>
        <v>0.5</v>
      </c>
      <c r="J35" s="107">
        <f t="shared" si="15"/>
        <v>0</v>
      </c>
      <c r="K35" s="107">
        <f t="shared" si="16"/>
        <v>0.5</v>
      </c>
      <c r="L35" s="108">
        <f t="shared" si="10"/>
        <v>0.2816395365583601</v>
      </c>
      <c r="M35" s="105">
        <f>+IF($H35&gt;C$8,"FIN",(C$18-SUM(N$24:N34))*VLOOKUP($H35,$A:$G,3,0)/VLOOKUP(C$15,$J$1:$L$4,2,0))</f>
        <v>0.31249999999999994</v>
      </c>
      <c r="N35" s="107">
        <f t="shared" si="17"/>
        <v>8.3333333333333339</v>
      </c>
      <c r="O35" s="107">
        <f t="shared" si="18"/>
        <v>8.6458333333333339</v>
      </c>
      <c r="P35" s="108">
        <f t="shared" si="11"/>
        <v>4.8700169863216436</v>
      </c>
      <c r="Q35" s="105">
        <f>+IF($H35&gt;D$8,"FIN",(D$18-SUM(R$24:R34))*VLOOKUP($H35,$A:$F,4,0)/VLOOKUP(D$15,$J$1:$L$4,2,0))</f>
        <v>2.0625</v>
      </c>
      <c r="R35" s="109">
        <f t="shared" si="19"/>
        <v>0</v>
      </c>
      <c r="S35" s="109">
        <f t="shared" si="20"/>
        <v>2.0625</v>
      </c>
      <c r="T35" s="108">
        <f t="shared" si="12"/>
        <v>1.1617630883032355</v>
      </c>
      <c r="U35" s="105">
        <f>+IF($H35&gt;E$8,"FIN",(E$18-SUM(V$24:V34))*VLOOKUP($H35,$A:$F,5,0)/VLOOKUP(E$15,$J$1:$L$4,2,0))</f>
        <v>2.5</v>
      </c>
      <c r="V35" s="107">
        <f t="shared" si="21"/>
        <v>0</v>
      </c>
      <c r="W35" s="107">
        <f t="shared" si="7"/>
        <v>2.5</v>
      </c>
      <c r="X35" s="108">
        <f t="shared" si="13"/>
        <v>1.4081976827918006</v>
      </c>
      <c r="Y35" s="105">
        <f>+IF($H35&gt;F$8,"FIN",(F$18-SUM(Z$24:Z34))*VLOOKUP($H35,$A:$F,6,0)/VLOOKUP(F$15,$J$1:$L$4,2,0))</f>
        <v>1.7500000000000002</v>
      </c>
      <c r="Z35" s="107">
        <f t="shared" si="22"/>
        <v>0</v>
      </c>
      <c r="AA35" s="107">
        <f t="shared" si="23"/>
        <v>1.7500000000000002</v>
      </c>
      <c r="AB35" s="108">
        <f t="shared" si="14"/>
        <v>0.98573837795426056</v>
      </c>
      <c r="AC35" s="79"/>
    </row>
    <row r="36" spans="1:29" s="8" customFormat="1" x14ac:dyDescent="0.25">
      <c r="A36" s="80">
        <f t="shared" si="2"/>
        <v>46269</v>
      </c>
      <c r="B36" s="84">
        <v>0.01</v>
      </c>
      <c r="C36" s="84">
        <v>7.4999999999999997E-3</v>
      </c>
      <c r="D36" s="82">
        <v>4.1250000000000002E-2</v>
      </c>
      <c r="E36" s="85">
        <v>0.05</v>
      </c>
      <c r="F36" s="85">
        <v>3.5000000000000003E-2</v>
      </c>
      <c r="G36" s="86">
        <f t="shared" si="3"/>
        <v>2026</v>
      </c>
      <c r="H36" s="83">
        <f t="shared" si="9"/>
        <v>46269</v>
      </c>
      <c r="I36" s="105">
        <f>+IF($H36&gt;B$8,"FIN",(B$18-SUM(J$24:J35))*VLOOKUP($H36,$A:$G,2,0)/VLOOKUP(B$15,$J$1:$L$4,2,0))</f>
        <v>0.5</v>
      </c>
      <c r="J36" s="107">
        <f t="shared" si="15"/>
        <v>0</v>
      </c>
      <c r="K36" s="107">
        <f t="shared" si="16"/>
        <v>0.5</v>
      </c>
      <c r="L36" s="108">
        <f t="shared" si="10"/>
        <v>0.26732041804439577</v>
      </c>
      <c r="M36" s="105">
        <f>+IF($H36&gt;C$8,"FIN",(C$18-SUM(N$24:N35))*VLOOKUP($H36,$A:$G,3,0)/VLOOKUP(C$15,$J$1:$L$4,2,0))</f>
        <v>0.28125</v>
      </c>
      <c r="N36" s="107">
        <f t="shared" si="17"/>
        <v>8.3333333333333339</v>
      </c>
      <c r="O36" s="107">
        <f t="shared" si="18"/>
        <v>8.6145833333333339</v>
      </c>
      <c r="P36" s="108">
        <f t="shared" si="11"/>
        <v>4.6057080358899025</v>
      </c>
      <c r="Q36" s="105">
        <f>+IF($H36&gt;D$8,"FIN",(D$18-SUM(R$24:R35))*VLOOKUP($H36,$A:$F,4,0)/VLOOKUP(D$15,$J$1:$L$4,2,0))</f>
        <v>2.0625</v>
      </c>
      <c r="R36" s="109">
        <f t="shared" si="19"/>
        <v>0</v>
      </c>
      <c r="S36" s="109">
        <f t="shared" si="20"/>
        <v>2.0625</v>
      </c>
      <c r="T36" s="108">
        <f t="shared" si="12"/>
        <v>1.1026967244331325</v>
      </c>
      <c r="U36" s="105">
        <f>+IF($H36&gt;E$8,"FIN",(E$18-SUM(V$24:V35))*VLOOKUP($H36,$A:$F,5,0)/VLOOKUP(E$15,$J$1:$L$4,2,0))</f>
        <v>2.5</v>
      </c>
      <c r="V36" s="107">
        <f t="shared" si="21"/>
        <v>0</v>
      </c>
      <c r="W36" s="107">
        <f t="shared" si="7"/>
        <v>2.5</v>
      </c>
      <c r="X36" s="108">
        <f t="shared" si="13"/>
        <v>1.3366020902219788</v>
      </c>
      <c r="Y36" s="105">
        <f>+IF($H36&gt;F$8,"FIN",(F$18-SUM(Z$24:Z35))*VLOOKUP($H36,$A:$F,6,0)/VLOOKUP(F$15,$J$1:$L$4,2,0))</f>
        <v>1.7500000000000002</v>
      </c>
      <c r="Z36" s="107">
        <f t="shared" si="22"/>
        <v>0</v>
      </c>
      <c r="AA36" s="107">
        <f t="shared" si="23"/>
        <v>1.7500000000000002</v>
      </c>
      <c r="AB36" s="108">
        <f t="shared" si="14"/>
        <v>0.9356214631553853</v>
      </c>
      <c r="AC36" s="79"/>
    </row>
    <row r="37" spans="1:29" s="8" customFormat="1" x14ac:dyDescent="0.25">
      <c r="A37" s="80">
        <f t="shared" si="2"/>
        <v>46450</v>
      </c>
      <c r="B37" s="84">
        <v>0.01</v>
      </c>
      <c r="C37" s="84">
        <v>7.4999999999999997E-3</v>
      </c>
      <c r="D37" s="82">
        <v>4.1250000000000002E-2</v>
      </c>
      <c r="E37" s="85">
        <v>0.05</v>
      </c>
      <c r="F37" s="85">
        <v>3.5000000000000003E-2</v>
      </c>
      <c r="G37" s="86">
        <f t="shared" si="3"/>
        <v>2027</v>
      </c>
      <c r="H37" s="83">
        <f t="shared" si="9"/>
        <v>46450</v>
      </c>
      <c r="I37" s="105">
        <f>+IF($H37&gt;B$8,"FIN",(B$18-SUM(J$24:J36))*VLOOKUP($H37,$A:$G,2,0)/VLOOKUP(B$15,$J$1:$L$4,2,0))</f>
        <v>0.5</v>
      </c>
      <c r="J37" s="107">
        <f t="shared" si="15"/>
        <v>12.5</v>
      </c>
      <c r="K37" s="107">
        <f t="shared" si="16"/>
        <v>13</v>
      </c>
      <c r="L37" s="108">
        <f t="shared" si="10"/>
        <v>6.5969621175832085</v>
      </c>
      <c r="M37" s="105">
        <f>+IF($H37&gt;C$8,"FIN",(C$18-SUM(N$24:N36))*VLOOKUP($H37,$A:$G,3,0)/VLOOKUP(C$15,$J$1:$L$4,2,0))</f>
        <v>0.24999999999999994</v>
      </c>
      <c r="N37" s="107">
        <f t="shared" si="17"/>
        <v>8.3333333333333339</v>
      </c>
      <c r="O37" s="107">
        <f t="shared" si="18"/>
        <v>8.5833333333333339</v>
      </c>
      <c r="P37" s="108">
        <f t="shared" si="11"/>
        <v>4.3556865263530158</v>
      </c>
      <c r="Q37" s="105">
        <f>+IF($H37&gt;D$8,"FIN",(D$18-SUM(R$24:R36))*VLOOKUP($H37,$A:$F,4,0)/VLOOKUP(D$15,$J$1:$L$4,2,0))</f>
        <v>2.0625</v>
      </c>
      <c r="R37" s="109">
        <f t="shared" si="19"/>
        <v>0</v>
      </c>
      <c r="S37" s="109">
        <f t="shared" si="20"/>
        <v>2.0625</v>
      </c>
      <c r="T37" s="108">
        <f t="shared" si="12"/>
        <v>1.0466334128857975</v>
      </c>
      <c r="U37" s="105">
        <f>+IF($H37&gt;E$8,"FIN",(E$18-SUM(V$24:V36))*VLOOKUP($H37,$A:$F,5,0)/VLOOKUP(E$15,$J$1:$L$4,2,0))</f>
        <v>2.5</v>
      </c>
      <c r="V37" s="107">
        <f t="shared" si="21"/>
        <v>0</v>
      </c>
      <c r="W37" s="107">
        <f t="shared" si="7"/>
        <v>2.5</v>
      </c>
      <c r="X37" s="108">
        <f t="shared" si="13"/>
        <v>1.2686465610736939</v>
      </c>
      <c r="Y37" s="105">
        <f>+IF($H37&gt;F$8,"FIN",(F$18-SUM(Z$24:Z36))*VLOOKUP($H37,$A:$F,6,0)/VLOOKUP(F$15,$J$1:$L$4,2,0))</f>
        <v>1.7500000000000002</v>
      </c>
      <c r="Z37" s="107">
        <f t="shared" si="22"/>
        <v>0</v>
      </c>
      <c r="AA37" s="107">
        <f t="shared" si="23"/>
        <v>1.7500000000000002</v>
      </c>
      <c r="AB37" s="108">
        <f t="shared" si="14"/>
        <v>0.88805259275158588</v>
      </c>
      <c r="AC37" s="79"/>
    </row>
    <row r="38" spans="1:29" s="8" customFormat="1" x14ac:dyDescent="0.25">
      <c r="A38" s="80">
        <f t="shared" si="2"/>
        <v>46634</v>
      </c>
      <c r="B38" s="84">
        <v>0.01</v>
      </c>
      <c r="C38" s="84">
        <v>7.4999999999999997E-3</v>
      </c>
      <c r="D38" s="82">
        <v>4.1250000000000002E-2</v>
      </c>
      <c r="E38" s="85">
        <v>0.05</v>
      </c>
      <c r="F38" s="85">
        <v>3.5000000000000003E-2</v>
      </c>
      <c r="G38" s="86">
        <f t="shared" si="3"/>
        <v>2027</v>
      </c>
      <c r="H38" s="83">
        <f t="shared" si="9"/>
        <v>46634</v>
      </c>
      <c r="I38" s="105">
        <f>+IF($H38&gt;B$8,"FIN",(B$18-SUM(J$24:J37))*VLOOKUP($H38,$A:$G,2,0)/VLOOKUP(B$15,$J$1:$L$4,2,0))</f>
        <v>0.4375</v>
      </c>
      <c r="J38" s="107">
        <f t="shared" si="15"/>
        <v>12.5</v>
      </c>
      <c r="K38" s="107">
        <f t="shared" si="16"/>
        <v>12.9375</v>
      </c>
      <c r="L38" s="108">
        <f t="shared" si="10"/>
        <v>6.2314556908997663</v>
      </c>
      <c r="M38" s="105">
        <f>+IF($H38&gt;C$8,"FIN",(C$18-SUM(N$24:N37))*VLOOKUP($H38,$A:$G,3,0)/VLOOKUP(C$15,$J$1:$L$4,2,0))</f>
        <v>0.21874999999999997</v>
      </c>
      <c r="N38" s="107">
        <f t="shared" si="17"/>
        <v>8.3333333333333339</v>
      </c>
      <c r="O38" s="107">
        <f t="shared" si="18"/>
        <v>8.5520833333333339</v>
      </c>
      <c r="P38" s="108">
        <f t="shared" si="11"/>
        <v>4.119182868139057</v>
      </c>
      <c r="Q38" s="105">
        <f>+IF($H38&gt;D$8,"FIN",(D$18-SUM(R$24:R37))*VLOOKUP($H38,$A:$F,4,0)/VLOOKUP(D$15,$J$1:$L$4,2,0))</f>
        <v>2.0625</v>
      </c>
      <c r="R38" s="109">
        <f t="shared" si="19"/>
        <v>0</v>
      </c>
      <c r="S38" s="109">
        <f t="shared" si="20"/>
        <v>2.0625</v>
      </c>
      <c r="T38" s="108">
        <f t="shared" si="12"/>
        <v>0.9934204724622816</v>
      </c>
      <c r="U38" s="105">
        <f>+IF($H38&gt;E$8,"FIN",(E$18-SUM(V$24:V37))*VLOOKUP($H38,$A:$F,5,0)/VLOOKUP(E$15,$J$1:$L$4,2,0))</f>
        <v>2.5</v>
      </c>
      <c r="V38" s="107">
        <f t="shared" si="21"/>
        <v>0</v>
      </c>
      <c r="W38" s="107">
        <f t="shared" si="7"/>
        <v>2.5</v>
      </c>
      <c r="X38" s="108">
        <f t="shared" si="13"/>
        <v>1.2041460272270079</v>
      </c>
      <c r="Y38" s="105">
        <f>+IF($H38&gt;F$8,"FIN",(F$18-SUM(Z$24:Z37))*VLOOKUP($H38,$A:$F,6,0)/VLOOKUP(F$15,$J$1:$L$4,2,0))</f>
        <v>1.7500000000000002</v>
      </c>
      <c r="Z38" s="107">
        <f t="shared" si="22"/>
        <v>0</v>
      </c>
      <c r="AA38" s="107">
        <f t="shared" si="23"/>
        <v>1.7500000000000002</v>
      </c>
      <c r="AB38" s="108">
        <f t="shared" si="14"/>
        <v>0.84290221905890572</v>
      </c>
      <c r="AC38" s="79"/>
    </row>
    <row r="39" spans="1:29" s="8" customFormat="1" x14ac:dyDescent="0.25">
      <c r="A39" s="80">
        <f t="shared" si="2"/>
        <v>46816</v>
      </c>
      <c r="B39" s="84">
        <v>0.01</v>
      </c>
      <c r="C39" s="84">
        <v>1.7500000000000002E-2</v>
      </c>
      <c r="D39" s="82">
        <v>4.7500000000000001E-2</v>
      </c>
      <c r="E39" s="85">
        <v>0.05</v>
      </c>
      <c r="F39" s="85">
        <v>3.5000000000000003E-2</v>
      </c>
      <c r="G39" s="86">
        <f t="shared" si="3"/>
        <v>2028</v>
      </c>
      <c r="H39" s="83">
        <f t="shared" si="9"/>
        <v>46816</v>
      </c>
      <c r="I39" s="105">
        <f>+IF($H39&gt;B$8,"FIN",(B$18-SUM(J$24:J38))*VLOOKUP($H39,$A:$G,2,0)/VLOOKUP(B$15,$J$1:$L$4,2,0))</f>
        <v>0.375</v>
      </c>
      <c r="J39" s="107">
        <f t="shared" si="15"/>
        <v>12.5</v>
      </c>
      <c r="K39" s="107">
        <f t="shared" si="16"/>
        <v>12.875</v>
      </c>
      <c r="L39" s="108">
        <f t="shared" si="10"/>
        <v>5.8860628734500207</v>
      </c>
      <c r="M39" s="105">
        <f>+IF($H39&gt;C$8,"FIN",(C$18-SUM(N$24:N38))*VLOOKUP($H39,$A:$G,3,0)/VLOOKUP(C$15,$J$1:$L$4,2,0))</f>
        <v>0.4375</v>
      </c>
      <c r="N39" s="107">
        <f t="shared" si="17"/>
        <v>8.3333333333333339</v>
      </c>
      <c r="O39" s="107">
        <f t="shared" si="18"/>
        <v>8.7708333333333339</v>
      </c>
      <c r="P39" s="108">
        <f t="shared" si="11"/>
        <v>4.0097612778680567</v>
      </c>
      <c r="Q39" s="105">
        <f>+IF($H39&gt;D$8,"FIN",(D$18-SUM(R$24:R38))*VLOOKUP($H39,$A:$F,4,0)/VLOOKUP(D$15,$J$1:$L$4,2,0))</f>
        <v>2.375</v>
      </c>
      <c r="R39" s="109">
        <f t="shared" si="19"/>
        <v>0</v>
      </c>
      <c r="S39" s="109">
        <f t="shared" si="20"/>
        <v>2.375</v>
      </c>
      <c r="T39" s="108">
        <f t="shared" si="12"/>
        <v>1.0857785883063145</v>
      </c>
      <c r="U39" s="105">
        <f>+IF($H39&gt;E$8,"FIN",(E$18-SUM(V$24:V38))*VLOOKUP($H39,$A:$F,5,0)/VLOOKUP(E$15,$J$1:$L$4,2,0))</f>
        <v>2.5</v>
      </c>
      <c r="V39" s="107">
        <f t="shared" si="21"/>
        <v>4.5454545454545459</v>
      </c>
      <c r="W39" s="107">
        <f t="shared" si="7"/>
        <v>7.0454545454545459</v>
      </c>
      <c r="X39" s="108">
        <f t="shared" si="13"/>
        <v>3.220969974879976</v>
      </c>
      <c r="Y39" s="105">
        <f>+IF($H39&gt;F$8,"FIN",(F$18-SUM(Z$24:Z38))*VLOOKUP($H39,$A:$F,6,0)/VLOOKUP(F$15,$J$1:$L$4,2,0))</f>
        <v>1.7500000000000002</v>
      </c>
      <c r="Z39" s="107">
        <f t="shared" si="22"/>
        <v>3.5714285714285716</v>
      </c>
      <c r="AA39" s="107">
        <f t="shared" si="23"/>
        <v>5.3214285714285721</v>
      </c>
      <c r="AB39" s="108">
        <f t="shared" si="14"/>
        <v>2.4327971377088855</v>
      </c>
      <c r="AC39" s="79"/>
    </row>
    <row r="40" spans="1:29" s="8" customFormat="1" x14ac:dyDescent="0.25">
      <c r="A40" s="80">
        <f t="shared" si="2"/>
        <v>47000</v>
      </c>
      <c r="B40" s="84">
        <v>0.01</v>
      </c>
      <c r="C40" s="84">
        <v>1.7500000000000002E-2</v>
      </c>
      <c r="D40" s="82">
        <v>4.7500000000000001E-2</v>
      </c>
      <c r="E40" s="85">
        <v>0.05</v>
      </c>
      <c r="F40" s="85">
        <v>3.5000000000000003E-2</v>
      </c>
      <c r="G40" s="86">
        <f t="shared" si="3"/>
        <v>2028</v>
      </c>
      <c r="H40" s="83">
        <f t="shared" si="9"/>
        <v>47000</v>
      </c>
      <c r="I40" s="105">
        <f>+IF($H40&gt;B$8,"FIN",(B$18-SUM(J$24:J39))*VLOOKUP($H40,$A:$G,2,0)/VLOOKUP(B$15,$J$1:$L$4,2,0))</f>
        <v>0.3125</v>
      </c>
      <c r="J40" s="107">
        <f t="shared" si="15"/>
        <v>12.5</v>
      </c>
      <c r="K40" s="107">
        <f t="shared" si="16"/>
        <v>12.8125</v>
      </c>
      <c r="L40" s="108">
        <f t="shared" si="10"/>
        <v>5.559683233818391</v>
      </c>
      <c r="M40" s="105">
        <f>+IF($H40&gt;C$8,"FIN",(C$18-SUM(N$24:N39))*VLOOKUP($H40,$A:$G,3,0)/VLOOKUP(C$15,$J$1:$L$4,2,0))</f>
        <v>0.36458333333333326</v>
      </c>
      <c r="N40" s="107">
        <f t="shared" si="17"/>
        <v>8.3333333333333339</v>
      </c>
      <c r="O40" s="107">
        <f t="shared" si="18"/>
        <v>8.6979166666666679</v>
      </c>
      <c r="P40" s="108">
        <f t="shared" si="11"/>
        <v>3.774256504258827</v>
      </c>
      <c r="Q40" s="105">
        <f>+IF($H40&gt;D$8,"FIN",(D$18-SUM(R$24:R39))*VLOOKUP($H40,$A:$F,4,0)/VLOOKUP(D$15,$J$1:$L$4,2,0))</f>
        <v>2.375</v>
      </c>
      <c r="R40" s="109">
        <f t="shared" si="19"/>
        <v>0</v>
      </c>
      <c r="S40" s="109">
        <f t="shared" si="20"/>
        <v>2.375</v>
      </c>
      <c r="T40" s="108">
        <f t="shared" si="12"/>
        <v>1.0305754287077993</v>
      </c>
      <c r="U40" s="105">
        <f>+IF($H40&gt;E$8,"FIN",(E$18-SUM(V$24:V39))*VLOOKUP($H40,$A:$F,5,0)/VLOOKUP(E$15,$J$1:$L$4,2,0))</f>
        <v>2.3863636363636362</v>
      </c>
      <c r="V40" s="107">
        <f t="shared" si="21"/>
        <v>4.5454545454545459</v>
      </c>
      <c r="W40" s="107">
        <f t="shared" si="7"/>
        <v>6.9318181818181817</v>
      </c>
      <c r="X40" s="108">
        <f t="shared" si="13"/>
        <v>3.0078995766112802</v>
      </c>
      <c r="Y40" s="105">
        <f>+IF($H40&gt;F$8,"FIN",(F$18-SUM(Z$24:Z39))*VLOOKUP($H40,$A:$F,6,0)/VLOOKUP(F$15,$J$1:$L$4,2,0))</f>
        <v>1.6875000000000002</v>
      </c>
      <c r="Z40" s="107">
        <f t="shared" si="22"/>
        <v>3.5714285714285716</v>
      </c>
      <c r="AA40" s="107">
        <f t="shared" si="23"/>
        <v>5.2589285714285721</v>
      </c>
      <c r="AB40" s="108">
        <f t="shared" si="14"/>
        <v>2.2819884492815561</v>
      </c>
      <c r="AC40" s="79"/>
    </row>
    <row r="41" spans="1:29" s="8" customFormat="1" x14ac:dyDescent="0.25">
      <c r="A41" s="80">
        <f t="shared" si="2"/>
        <v>47181</v>
      </c>
      <c r="B41" s="84">
        <v>0.01</v>
      </c>
      <c r="C41" s="84">
        <v>1.7500000000000002E-2</v>
      </c>
      <c r="D41" s="82">
        <v>0.05</v>
      </c>
      <c r="E41" s="85">
        <v>0.05</v>
      </c>
      <c r="F41" s="85">
        <v>3.5000000000000003E-2</v>
      </c>
      <c r="G41" s="86">
        <f t="shared" si="3"/>
        <v>2029</v>
      </c>
      <c r="H41" s="83">
        <f t="shared" si="9"/>
        <v>47181</v>
      </c>
      <c r="I41" s="105">
        <f>+IF($H41&gt;B$8,"FIN",(B$18-SUM(J$24:J40))*VLOOKUP($H41,$A:$G,2,0)/VLOOKUP(B$15,$J$1:$L$4,2,0))</f>
        <v>0.25</v>
      </c>
      <c r="J41" s="107">
        <f t="shared" si="15"/>
        <v>12.5</v>
      </c>
      <c r="K41" s="107">
        <f t="shared" si="16"/>
        <v>12.75</v>
      </c>
      <c r="L41" s="108">
        <f t="shared" si="10"/>
        <v>5.251276245009203</v>
      </c>
      <c r="M41" s="105">
        <f>+IF($H41&gt;C$8,"FIN",(C$18-SUM(N$24:N40))*VLOOKUP($H41,$A:$G,3,0)/VLOOKUP(C$15,$J$1:$L$4,2,0))</f>
        <v>0.29166666666666663</v>
      </c>
      <c r="N41" s="107">
        <f t="shared" si="17"/>
        <v>8.3333333333333339</v>
      </c>
      <c r="O41" s="107">
        <f t="shared" si="18"/>
        <v>8.625</v>
      </c>
      <c r="P41" s="108">
        <f t="shared" si="11"/>
        <v>3.5523339304474022</v>
      </c>
      <c r="Q41" s="105">
        <f>+IF($H41&gt;D$8,"FIN",(D$18-SUM(R$24:R40))*VLOOKUP($H41,$A:$F,4,0)/VLOOKUP(D$15,$J$1:$L$4,2,0))</f>
        <v>2.5</v>
      </c>
      <c r="R41" s="109">
        <f t="shared" si="19"/>
        <v>0</v>
      </c>
      <c r="S41" s="109">
        <f t="shared" si="20"/>
        <v>2.5</v>
      </c>
      <c r="T41" s="108">
        <f t="shared" si="12"/>
        <v>1.0296620088253339</v>
      </c>
      <c r="U41" s="105">
        <f>+IF($H41&gt;E$8,"FIN",(E$18-SUM(V$24:V40))*VLOOKUP($H41,$A:$F,5,0)/VLOOKUP(E$15,$J$1:$L$4,2,0))</f>
        <v>2.2727272727272729</v>
      </c>
      <c r="V41" s="107">
        <f t="shared" si="21"/>
        <v>4.5454545454545459</v>
      </c>
      <c r="W41" s="107">
        <f t="shared" si="7"/>
        <v>6.8181818181818183</v>
      </c>
      <c r="X41" s="108">
        <f t="shared" si="13"/>
        <v>2.8081691149781833</v>
      </c>
      <c r="Y41" s="105">
        <f>+IF($H41&gt;F$8,"FIN",(F$18-SUM(Z$24:Z40))*VLOOKUP($H41,$A:$F,6,0)/VLOOKUP(F$15,$J$1:$L$4,2,0))</f>
        <v>1.6250000000000002</v>
      </c>
      <c r="Z41" s="107">
        <f t="shared" si="22"/>
        <v>3.5714285714285716</v>
      </c>
      <c r="AA41" s="107">
        <f t="shared" si="23"/>
        <v>5.1964285714285721</v>
      </c>
      <c r="AB41" s="108">
        <f t="shared" si="14"/>
        <v>2.1402260326298017</v>
      </c>
      <c r="AC41" s="79"/>
    </row>
    <row r="42" spans="1:29" s="8" customFormat="1" x14ac:dyDescent="0.25">
      <c r="A42" s="80">
        <f t="shared" si="2"/>
        <v>47365</v>
      </c>
      <c r="B42" s="84">
        <v>0.01</v>
      </c>
      <c r="C42" s="84">
        <v>1.7500000000000002E-2</v>
      </c>
      <c r="D42" s="82">
        <v>0.05</v>
      </c>
      <c r="E42" s="85">
        <v>0.05</v>
      </c>
      <c r="F42" s="85">
        <v>3.5000000000000003E-2</v>
      </c>
      <c r="G42" s="86">
        <f t="shared" si="3"/>
        <v>2029</v>
      </c>
      <c r="H42" s="83">
        <f t="shared" si="9"/>
        <v>47365</v>
      </c>
      <c r="I42" s="105">
        <f>+IF($H42&gt;B$8,"FIN",(B$18-SUM(J$24:J41))*VLOOKUP($H42,$A:$G,2,0)/VLOOKUP(B$15,$J$1:$L$4,2,0))</f>
        <v>0.1875</v>
      </c>
      <c r="J42" s="107">
        <f t="shared" si="15"/>
        <v>12.5</v>
      </c>
      <c r="K42" s="107">
        <f t="shared" si="16"/>
        <v>12.6875</v>
      </c>
      <c r="L42" s="108">
        <f t="shared" si="10"/>
        <v>4.9598580376406654</v>
      </c>
      <c r="M42" s="105">
        <f>+IF($H42&gt;C$8,"FIN",(C$18-SUM(N$24:N41))*VLOOKUP($H42,$A:$G,3,0)/VLOOKUP(C$15,$J$1:$L$4,2,0))</f>
        <v>0.21875000000000003</v>
      </c>
      <c r="N42" s="107">
        <f t="shared" si="17"/>
        <v>8.3333333333333339</v>
      </c>
      <c r="O42" s="107">
        <f t="shared" si="18"/>
        <v>8.5520833333333339</v>
      </c>
      <c r="P42" s="108">
        <f t="shared" si="11"/>
        <v>3.3432212224162448</v>
      </c>
      <c r="Q42" s="105">
        <f>+IF($H42&gt;D$8,"FIN",(D$18-SUM(R$24:R41))*VLOOKUP($H42,$A:$F,4,0)/VLOOKUP(D$15,$J$1:$L$4,2,0))</f>
        <v>2.5</v>
      </c>
      <c r="R42" s="109">
        <f t="shared" si="19"/>
        <v>0</v>
      </c>
      <c r="S42" s="109">
        <f t="shared" si="20"/>
        <v>2.5</v>
      </c>
      <c r="T42" s="108">
        <f t="shared" si="12"/>
        <v>0.97731192859914584</v>
      </c>
      <c r="U42" s="105">
        <f>+IF($H42&gt;E$8,"FIN",(E$18-SUM(V$24:V41))*VLOOKUP($H42,$A:$F,5,0)/VLOOKUP(E$15,$J$1:$L$4,2,0))</f>
        <v>2.1590909090909092</v>
      </c>
      <c r="V42" s="107">
        <f t="shared" si="21"/>
        <v>4.5454545454545459</v>
      </c>
      <c r="W42" s="107">
        <f t="shared" si="7"/>
        <v>6.704545454545455</v>
      </c>
      <c r="X42" s="108">
        <f t="shared" si="13"/>
        <v>2.6209728994249821</v>
      </c>
      <c r="Y42" s="105">
        <f>+IF($H42&gt;F$8,"FIN",(F$18-SUM(Z$24:Z41))*VLOOKUP($H42,$A:$F,6,0)/VLOOKUP(F$15,$J$1:$L$4,2,0))</f>
        <v>1.5625</v>
      </c>
      <c r="Z42" s="107">
        <f t="shared" si="22"/>
        <v>3.5714285714285716</v>
      </c>
      <c r="AA42" s="107">
        <f t="shared" si="23"/>
        <v>5.1339285714285712</v>
      </c>
      <c r="AB42" s="108">
        <f t="shared" si="14"/>
        <v>2.0069798533732457</v>
      </c>
      <c r="AC42" s="79"/>
    </row>
    <row r="43" spans="1:29" s="8" customFormat="1" x14ac:dyDescent="0.25">
      <c r="A43" s="80">
        <f t="shared" si="2"/>
        <v>47546</v>
      </c>
      <c r="B43" s="84">
        <v>0.01</v>
      </c>
      <c r="C43" s="84">
        <v>1.7500000000000002E-2</v>
      </c>
      <c r="D43" s="82">
        <v>0.05</v>
      </c>
      <c r="E43" s="85">
        <v>0.05</v>
      </c>
      <c r="F43" s="85">
        <v>4.8750000000000002E-2</v>
      </c>
      <c r="G43" s="86">
        <f t="shared" si="3"/>
        <v>2030</v>
      </c>
      <c r="H43" s="83">
        <f t="shared" si="9"/>
        <v>47546</v>
      </c>
      <c r="I43" s="105">
        <f>+IF($H43&gt;B$8,"FIN",(B$18-SUM(J$24:J42))*VLOOKUP($H43,$A:$G,2,0)/VLOOKUP(B$15,$J$1:$L$4,2,0))</f>
        <v>0.125</v>
      </c>
      <c r="J43" s="107">
        <f t="shared" si="15"/>
        <v>12.5</v>
      </c>
      <c r="K43" s="107">
        <f t="shared" si="16"/>
        <v>12.625</v>
      </c>
      <c r="L43" s="108">
        <f t="shared" si="10"/>
        <v>4.6844983284395818</v>
      </c>
      <c r="M43" s="105">
        <f>+IF($H43&gt;C$8,"FIN",(C$18-SUM(N$24:N42))*VLOOKUP($H43,$A:$G,3,0)/VLOOKUP(C$15,$J$1:$L$4,2,0))</f>
        <v>0.1458333333333334</v>
      </c>
      <c r="N43" s="107">
        <f t="shared" si="17"/>
        <v>8.3333333333333339</v>
      </c>
      <c r="O43" s="107">
        <f t="shared" si="18"/>
        <v>8.4791666666666679</v>
      </c>
      <c r="P43" s="108">
        <f t="shared" si="11"/>
        <v>3.1461894714107426</v>
      </c>
      <c r="Q43" s="105">
        <f>+IF($H43&gt;D$8,"FIN",(D$18-SUM(R$24:R42))*VLOOKUP($H43,$A:$F,4,0)/VLOOKUP(D$15,$J$1:$L$4,2,0))</f>
        <v>2.5</v>
      </c>
      <c r="R43" s="109">
        <f t="shared" si="19"/>
        <v>0</v>
      </c>
      <c r="S43" s="109">
        <f t="shared" si="20"/>
        <v>2.5</v>
      </c>
      <c r="T43" s="108">
        <f t="shared" si="12"/>
        <v>0.92762343137417458</v>
      </c>
      <c r="U43" s="105">
        <f>+IF($H43&gt;E$8,"FIN",(E$18-SUM(V$24:V42))*VLOOKUP($H43,$A:$F,5,0)/VLOOKUP(E$15,$J$1:$L$4,2,0))</f>
        <v>2.0454545454545454</v>
      </c>
      <c r="V43" s="107">
        <f t="shared" si="21"/>
        <v>4.5454545454545459</v>
      </c>
      <c r="W43" s="107">
        <f t="shared" si="7"/>
        <v>6.5909090909090917</v>
      </c>
      <c r="X43" s="108">
        <f t="shared" si="13"/>
        <v>2.4455526827137333</v>
      </c>
      <c r="Y43" s="105">
        <f>+IF($H43&gt;F$8,"FIN",(F$18-SUM(Z$24:Z42))*VLOOKUP($H43,$A:$F,6,0)/VLOOKUP(F$15,$J$1:$L$4,2,0))</f>
        <v>2.0892857142857144</v>
      </c>
      <c r="Z43" s="107">
        <f t="shared" si="22"/>
        <v>3.5714285714285716</v>
      </c>
      <c r="AA43" s="107">
        <f t="shared" si="23"/>
        <v>5.6607142857142865</v>
      </c>
      <c r="AB43" s="108">
        <f t="shared" si="14"/>
        <v>2.1004044838972384</v>
      </c>
      <c r="AC43" s="79"/>
    </row>
    <row r="44" spans="1:29" s="8" customFormat="1" x14ac:dyDescent="0.25">
      <c r="A44" s="80">
        <f t="shared" si="2"/>
        <v>47730</v>
      </c>
      <c r="B44" s="84">
        <v>0.01</v>
      </c>
      <c r="C44" s="84">
        <v>1.7500000000000002E-2</v>
      </c>
      <c r="D44" s="82">
        <v>0.05</v>
      </c>
      <c r="E44" s="85">
        <v>0.05</v>
      </c>
      <c r="F44" s="85">
        <v>4.8750000000000002E-2</v>
      </c>
      <c r="G44" s="86">
        <f t="shared" si="3"/>
        <v>2030</v>
      </c>
      <c r="H44" s="83">
        <f t="shared" si="9"/>
        <v>47730</v>
      </c>
      <c r="I44" s="105">
        <f>+IF($H44&gt;B$8,"FIN",(B$18-SUM(J$24:J43))*VLOOKUP($H44,$A:$G,2,0)/VLOOKUP(B$15,$J$1:$L$4,2,0))</f>
        <v>6.25E-2</v>
      </c>
      <c r="J44" s="107">
        <f t="shared" si="15"/>
        <v>12.5</v>
      </c>
      <c r="K44" s="107">
        <f t="shared" si="16"/>
        <v>12.5625</v>
      </c>
      <c r="L44" s="108">
        <f t="shared" si="10"/>
        <v>4.4243175146042404</v>
      </c>
      <c r="M44" s="105">
        <f>+IF($H44&gt;C$8,"FIN",(C$18-SUM(N$24:N43))*VLOOKUP($H44,$A:$G,3,0)/VLOOKUP(C$15,$J$1:$L$4,2,0))</f>
        <v>7.2916666666666755E-2</v>
      </c>
      <c r="N44" s="107">
        <f t="shared" si="17"/>
        <v>8.3333333333333339</v>
      </c>
      <c r="O44" s="107">
        <f t="shared" si="18"/>
        <v>8.40625</v>
      </c>
      <c r="P44" s="108">
        <f t="shared" si="11"/>
        <v>2.9605507746978623</v>
      </c>
      <c r="Q44" s="105">
        <f>+IF($H44&gt;D$8,"FIN",(D$18-SUM(R$24:R43))*VLOOKUP($H44,$A:$F,4,0)/VLOOKUP(D$15,$J$1:$L$4,2,0))</f>
        <v>2.5</v>
      </c>
      <c r="R44" s="109">
        <f t="shared" si="19"/>
        <v>0</v>
      </c>
      <c r="S44" s="109">
        <f t="shared" si="20"/>
        <v>2.5</v>
      </c>
      <c r="T44" s="108">
        <f t="shared" si="12"/>
        <v>0.88046119693616731</v>
      </c>
      <c r="U44" s="105">
        <f>+IF($H44&gt;E$8,"FIN",(E$18-SUM(V$24:V43))*VLOOKUP($H44,$A:$F,5,0)/VLOOKUP(E$15,$J$1:$L$4,2,0))</f>
        <v>1.9318181818181817</v>
      </c>
      <c r="V44" s="107">
        <f t="shared" si="21"/>
        <v>4.5454545454545459</v>
      </c>
      <c r="W44" s="107">
        <f t="shared" si="7"/>
        <v>6.4772727272727275</v>
      </c>
      <c r="X44" s="108">
        <f t="shared" si="13"/>
        <v>2.2811949193346153</v>
      </c>
      <c r="Y44" s="105">
        <f>+IF($H44&gt;F$8,"FIN",(F$18-SUM(Z$24:Z43))*VLOOKUP($H44,$A:$F,6,0)/VLOOKUP(F$15,$J$1:$L$4,2,0))</f>
        <v>2.0022321428571428</v>
      </c>
      <c r="Z44" s="107">
        <f t="shared" si="22"/>
        <v>3.5714285714285716</v>
      </c>
      <c r="AA44" s="107">
        <f t="shared" si="23"/>
        <v>5.5736607142857144</v>
      </c>
      <c r="AB44" s="108">
        <f t="shared" si="14"/>
        <v>1.9629567935264374</v>
      </c>
      <c r="AC44" s="79"/>
    </row>
    <row r="45" spans="1:29" s="8" customFormat="1" x14ac:dyDescent="0.25">
      <c r="A45" s="80">
        <f t="shared" si="2"/>
        <v>47911</v>
      </c>
      <c r="B45" s="84"/>
      <c r="C45" s="84"/>
      <c r="D45" s="82">
        <v>0.05</v>
      </c>
      <c r="E45" s="85">
        <v>0.05</v>
      </c>
      <c r="F45" s="85">
        <v>4.8750000000000002E-2</v>
      </c>
      <c r="G45" s="86">
        <f t="shared" si="3"/>
        <v>2031</v>
      </c>
      <c r="H45" s="83">
        <f t="shared" si="9"/>
        <v>47911</v>
      </c>
      <c r="I45" s="105"/>
      <c r="J45" s="107"/>
      <c r="K45" s="107"/>
      <c r="L45" s="108"/>
      <c r="M45" s="105"/>
      <c r="N45" s="107"/>
      <c r="O45" s="107"/>
      <c r="P45" s="108"/>
      <c r="Q45" s="105">
        <f>+IF($H45&gt;D$8,"FIN",(D$18-SUM(R$24:R44))*VLOOKUP($H45,$A:$F,4,0)/VLOOKUP(D$15,$J$1:$L$4,2,0))</f>
        <v>2.5</v>
      </c>
      <c r="R45" s="109">
        <f t="shared" si="19"/>
        <v>10</v>
      </c>
      <c r="S45" s="109">
        <f t="shared" si="20"/>
        <v>12.5</v>
      </c>
      <c r="T45" s="108">
        <f t="shared" si="12"/>
        <v>4.1784839251088943</v>
      </c>
      <c r="U45" s="105">
        <f>+IF($H45&gt;E$8,"FIN",(E$18-SUM(V$24:V44))*VLOOKUP($H45,$A:$F,5,0)/VLOOKUP(E$15,$J$1:$L$4,2,0))</f>
        <v>1.8181818181818181</v>
      </c>
      <c r="V45" s="107">
        <f t="shared" si="21"/>
        <v>4.5454545454545459</v>
      </c>
      <c r="W45" s="107">
        <f t="shared" si="7"/>
        <v>6.3636363636363642</v>
      </c>
      <c r="X45" s="108">
        <f t="shared" si="13"/>
        <v>2.1272281800554373</v>
      </c>
      <c r="Y45" s="105">
        <f>+IF($H45&gt;F$8,"FIN",(F$18-SUM(Z$24:Z44))*VLOOKUP($H45,$A:$F,6,0)/VLOOKUP(F$15,$J$1:$L$4,2,0))</f>
        <v>1.9151785714285714</v>
      </c>
      <c r="Z45" s="107">
        <f t="shared" si="22"/>
        <v>3.5714285714285716</v>
      </c>
      <c r="AA45" s="107">
        <f t="shared" si="23"/>
        <v>5.4866071428571432</v>
      </c>
      <c r="AB45" s="108">
        <f t="shared" si="14"/>
        <v>1.8340559799852969</v>
      </c>
      <c r="AC45" s="79"/>
    </row>
    <row r="46" spans="1:29" s="8" customFormat="1" x14ac:dyDescent="0.25">
      <c r="A46" s="80">
        <f t="shared" si="2"/>
        <v>48095</v>
      </c>
      <c r="B46" s="84"/>
      <c r="C46" s="84"/>
      <c r="D46" s="84">
        <v>0.05</v>
      </c>
      <c r="E46" s="85">
        <v>0.05</v>
      </c>
      <c r="F46" s="85">
        <v>4.8750000000000002E-2</v>
      </c>
      <c r="G46" s="86">
        <f t="shared" si="3"/>
        <v>2031</v>
      </c>
      <c r="H46" s="83">
        <f t="shared" si="9"/>
        <v>48095</v>
      </c>
      <c r="I46" s="105"/>
      <c r="J46" s="107"/>
      <c r="K46" s="107"/>
      <c r="L46" s="108"/>
      <c r="M46" s="105"/>
      <c r="N46" s="107"/>
      <c r="O46" s="107"/>
      <c r="P46" s="108"/>
      <c r="Q46" s="105">
        <f>+IF($H46&gt;D$8,"FIN",(D$18-SUM(R$24:R45))*VLOOKUP($H46,$A:$F,4,0)/VLOOKUP(D$15,$J$1:$L$4,2,0))</f>
        <v>2.25</v>
      </c>
      <c r="R46" s="109">
        <f t="shared" si="19"/>
        <v>10</v>
      </c>
      <c r="S46" s="109">
        <f t="shared" ref="S46:S54" si="24">+SUM(Q46:R46)</f>
        <v>12.25</v>
      </c>
      <c r="T46" s="108">
        <f t="shared" si="12"/>
        <v>3.8867205990875853</v>
      </c>
      <c r="U46" s="105">
        <f>+IF($H46&gt;E$8,"FIN",(E$18-SUM(V$24:V45))*VLOOKUP($H46,$A:$F,5,0)/VLOOKUP(E$15,$J$1:$L$4,2,0))</f>
        <v>1.7045454545454544</v>
      </c>
      <c r="V46" s="107">
        <f t="shared" si="21"/>
        <v>4.5454545454545459</v>
      </c>
      <c r="W46" s="107">
        <f t="shared" si="7"/>
        <v>6.25</v>
      </c>
      <c r="X46" s="108">
        <f t="shared" si="13"/>
        <v>1.9830207138201965</v>
      </c>
      <c r="Y46" s="105">
        <f>+IF($H46&gt;F$8,"FIN",(F$18-SUM(Z$24:Z45))*VLOOKUP($H46,$A:$F,6,0)/VLOOKUP(F$15,$J$1:$L$4,2,0))</f>
        <v>1.828125</v>
      </c>
      <c r="Z46" s="107">
        <f t="shared" si="22"/>
        <v>3.5714285714285716</v>
      </c>
      <c r="AA46" s="107">
        <f t="shared" si="23"/>
        <v>5.3995535714285712</v>
      </c>
      <c r="AB46" s="108">
        <f t="shared" si="14"/>
        <v>1.7131882524039483</v>
      </c>
      <c r="AC46" s="79"/>
    </row>
    <row r="47" spans="1:29" s="8" customFormat="1" x14ac:dyDescent="0.25">
      <c r="A47" s="80">
        <f t="shared" si="2"/>
        <v>48277</v>
      </c>
      <c r="B47" s="84"/>
      <c r="C47" s="84"/>
      <c r="D47" s="84">
        <v>0.05</v>
      </c>
      <c r="E47" s="85">
        <v>0.05</v>
      </c>
      <c r="F47" s="85">
        <v>4.8750000000000002E-2</v>
      </c>
      <c r="G47" s="86">
        <f t="shared" si="3"/>
        <v>2032</v>
      </c>
      <c r="H47" s="83">
        <f t="shared" si="9"/>
        <v>48277</v>
      </c>
      <c r="I47" s="105"/>
      <c r="J47" s="107"/>
      <c r="K47" s="107"/>
      <c r="L47" s="108"/>
      <c r="M47" s="105"/>
      <c r="N47" s="107"/>
      <c r="O47" s="107"/>
      <c r="P47" s="108"/>
      <c r="Q47" s="105">
        <f>+IF($H47&gt;D$8,"FIN",(D$18-SUM(R$24:R46))*VLOOKUP($H47,$A:$F,4,0)/VLOOKUP(D$15,$J$1:$L$4,2,0))</f>
        <v>2</v>
      </c>
      <c r="R47" s="109">
        <f t="shared" si="19"/>
        <v>10</v>
      </c>
      <c r="S47" s="109">
        <f t="shared" si="24"/>
        <v>12</v>
      </c>
      <c r="T47" s="108">
        <f t="shared" si="12"/>
        <v>3.6138239352293131</v>
      </c>
      <c r="U47" s="105">
        <f>+IF($H47&gt;E$8,"FIN",(E$18-SUM(V$24:V46))*VLOOKUP($H47,$A:$F,5,0)/VLOOKUP(E$15,$J$1:$L$4,2,0))</f>
        <v>1.5909090909090908</v>
      </c>
      <c r="V47" s="107">
        <f t="shared" si="21"/>
        <v>4.5454545454545459</v>
      </c>
      <c r="W47" s="107">
        <f t="shared" si="7"/>
        <v>6.1363636363636367</v>
      </c>
      <c r="X47" s="108">
        <f t="shared" si="13"/>
        <v>1.8479781486968079</v>
      </c>
      <c r="Y47" s="105">
        <f>+IF($H47&gt;F$8,"FIN",(F$18-SUM(Z$24:Z46))*VLOOKUP($H47,$A:$F,6,0)/VLOOKUP(F$15,$J$1:$L$4,2,0))</f>
        <v>1.7410714285714284</v>
      </c>
      <c r="Z47" s="107">
        <f t="shared" si="22"/>
        <v>3.5714285714285716</v>
      </c>
      <c r="AA47" s="107">
        <f t="shared" si="23"/>
        <v>5.3125</v>
      </c>
      <c r="AB47" s="108">
        <f t="shared" si="14"/>
        <v>1.5998699713254771</v>
      </c>
      <c r="AC47" s="79"/>
    </row>
    <row r="48" spans="1:29" s="8" customFormat="1" x14ac:dyDescent="0.25">
      <c r="A48" s="80">
        <f t="shared" si="2"/>
        <v>48461</v>
      </c>
      <c r="B48" s="84"/>
      <c r="C48" s="84"/>
      <c r="D48" s="84">
        <v>0.05</v>
      </c>
      <c r="E48" s="85">
        <v>0.05</v>
      </c>
      <c r="F48" s="85">
        <v>4.8750000000000002E-2</v>
      </c>
      <c r="G48" s="86">
        <f t="shared" si="3"/>
        <v>2032</v>
      </c>
      <c r="H48" s="83">
        <f t="shared" si="9"/>
        <v>48461</v>
      </c>
      <c r="I48" s="105"/>
      <c r="J48" s="107"/>
      <c r="K48" s="107"/>
      <c r="L48" s="108"/>
      <c r="M48" s="105"/>
      <c r="N48" s="107"/>
      <c r="O48" s="107"/>
      <c r="P48" s="108"/>
      <c r="Q48" s="105">
        <f>+IF($H48&gt;D$8,"FIN",(D$18-SUM(R$24:R47))*VLOOKUP($H48,$A:$F,4,0)/VLOOKUP(D$15,$J$1:$L$4,2,0))</f>
        <v>1.75</v>
      </c>
      <c r="R48" s="109">
        <f t="shared" si="19"/>
        <v>10</v>
      </c>
      <c r="S48" s="109">
        <f t="shared" si="24"/>
        <v>11.75</v>
      </c>
      <c r="T48" s="108">
        <f t="shared" si="12"/>
        <v>3.3586296774612334</v>
      </c>
      <c r="U48" s="105">
        <f>+IF($H48&gt;E$8,"FIN",(E$18-SUM(V$24:V47))*VLOOKUP($H48,$A:$F,5,0)/VLOOKUP(E$15,$J$1:$L$4,2,0))</f>
        <v>1.4772727272727273</v>
      </c>
      <c r="V48" s="107">
        <f t="shared" si="21"/>
        <v>4.5454545454545459</v>
      </c>
      <c r="W48" s="107">
        <f t="shared" si="7"/>
        <v>6.0227272727272734</v>
      </c>
      <c r="X48" s="108">
        <f t="shared" si="13"/>
        <v>1.7215413240371895</v>
      </c>
      <c r="Y48" s="105">
        <f>+IF($H48&gt;F$8,"FIN",(F$18-SUM(Z$24:Z47))*VLOOKUP($H48,$A:$F,6,0)/VLOOKUP(F$15,$J$1:$L$4,2,0))</f>
        <v>1.6540178571428572</v>
      </c>
      <c r="Z48" s="107">
        <f t="shared" si="22"/>
        <v>3.5714285714285716</v>
      </c>
      <c r="AA48" s="107">
        <f t="shared" si="23"/>
        <v>5.2254464285714288</v>
      </c>
      <c r="AB48" s="108">
        <f t="shared" si="14"/>
        <v>1.4936459108922393</v>
      </c>
      <c r="AC48" s="79"/>
    </row>
    <row r="49" spans="1:29" s="8" customFormat="1" x14ac:dyDescent="0.25">
      <c r="A49" s="80">
        <f t="shared" si="2"/>
        <v>48642</v>
      </c>
      <c r="B49" s="84"/>
      <c r="C49" s="84"/>
      <c r="D49" s="84">
        <v>0.05</v>
      </c>
      <c r="E49" s="85">
        <v>0.05</v>
      </c>
      <c r="F49" s="85">
        <v>4.8750000000000002E-2</v>
      </c>
      <c r="G49" s="86">
        <f t="shared" si="3"/>
        <v>2033</v>
      </c>
      <c r="H49" s="83">
        <f t="shared" si="9"/>
        <v>48642</v>
      </c>
      <c r="I49" s="105"/>
      <c r="J49" s="107"/>
      <c r="K49" s="107"/>
      <c r="L49" s="108"/>
      <c r="M49" s="105"/>
      <c r="N49" s="107"/>
      <c r="O49" s="107"/>
      <c r="P49" s="108"/>
      <c r="Q49" s="105">
        <f>+IF($H49&gt;D$8,"FIN",(D$18-SUM(R$24:R48))*VLOOKUP($H49,$A:$F,4,0)/VLOOKUP(D$15,$J$1:$L$4,2,0))</f>
        <v>1.5</v>
      </c>
      <c r="R49" s="109">
        <f t="shared" si="19"/>
        <v>10</v>
      </c>
      <c r="S49" s="109">
        <f t="shared" si="24"/>
        <v>11.5</v>
      </c>
      <c r="T49" s="108">
        <f t="shared" si="12"/>
        <v>3.1200431873226049</v>
      </c>
      <c r="U49" s="105">
        <f>+IF($H49&gt;E$8,"FIN",(E$18-SUM(V$24:V48))*VLOOKUP($H49,$A:$F,5,0)/VLOOKUP(E$15,$J$1:$L$4,2,0))</f>
        <v>1.3636363636363635</v>
      </c>
      <c r="V49" s="107">
        <f t="shared" si="21"/>
        <v>4.5454545454545459</v>
      </c>
      <c r="W49" s="107">
        <f t="shared" si="7"/>
        <v>5.9090909090909092</v>
      </c>
      <c r="X49" s="108">
        <f t="shared" si="13"/>
        <v>1.6031842464503505</v>
      </c>
      <c r="Y49" s="105">
        <f>+IF($H49&gt;F$8,"FIN",(F$18-SUM(Z$24:Z48))*VLOOKUP($H49,$A:$F,6,0)/VLOOKUP(F$15,$J$1:$L$4,2,0))</f>
        <v>1.5669642857142856</v>
      </c>
      <c r="Z49" s="107">
        <f t="shared" si="22"/>
        <v>3.5714285714285716</v>
      </c>
      <c r="AA49" s="107">
        <f t="shared" si="23"/>
        <v>5.1383928571428577</v>
      </c>
      <c r="AB49" s="108">
        <f t="shared" si="14"/>
        <v>1.3940876198013661</v>
      </c>
      <c r="AC49" s="79"/>
    </row>
    <row r="50" spans="1:29" s="8" customFormat="1" x14ac:dyDescent="0.25">
      <c r="A50" s="80">
        <f t="shared" si="2"/>
        <v>48826</v>
      </c>
      <c r="B50" s="84"/>
      <c r="C50" s="84"/>
      <c r="D50" s="84">
        <v>0.05</v>
      </c>
      <c r="E50" s="85">
        <v>0.05</v>
      </c>
      <c r="F50" s="85">
        <v>4.8750000000000002E-2</v>
      </c>
      <c r="G50" s="86">
        <f t="shared" si="3"/>
        <v>2033</v>
      </c>
      <c r="H50" s="83">
        <f t="shared" si="9"/>
        <v>48826</v>
      </c>
      <c r="I50" s="105"/>
      <c r="J50" s="107"/>
      <c r="K50" s="107"/>
      <c r="L50" s="108"/>
      <c r="M50" s="110"/>
      <c r="N50" s="107"/>
      <c r="O50" s="107"/>
      <c r="P50" s="108"/>
      <c r="Q50" s="105">
        <f>+IF($H50&gt;D$8,"FIN",(D$18-SUM(R$24:R49))*VLOOKUP($H50,$A:$F,4,0)/VLOOKUP(D$15,$J$1:$L$4,2,0))</f>
        <v>1.25</v>
      </c>
      <c r="R50" s="109">
        <f t="shared" si="19"/>
        <v>10</v>
      </c>
      <c r="S50" s="109">
        <f t="shared" si="24"/>
        <v>11.25</v>
      </c>
      <c r="T50" s="108">
        <f t="shared" si="12"/>
        <v>2.8970353744633983</v>
      </c>
      <c r="U50" s="105">
        <f>+IF($H50&gt;E$8,"FIN",(E$18-SUM(V$24:V49))*VLOOKUP($H50,$A:$F,5,0)/VLOOKUP(E$15,$J$1:$L$4,2,0))</f>
        <v>1.25</v>
      </c>
      <c r="V50" s="107">
        <f t="shared" si="21"/>
        <v>4.5454545454545459</v>
      </c>
      <c r="W50" s="107">
        <f t="shared" si="7"/>
        <v>5.7954545454545459</v>
      </c>
      <c r="X50" s="108">
        <f t="shared" si="13"/>
        <v>1.492412162602357</v>
      </c>
      <c r="Y50" s="105">
        <f>+IF($H50&gt;F$8,"FIN",(F$18-SUM(Z$24:Z49))*VLOOKUP($H50,$A:$F,6,0)/VLOOKUP(F$15,$J$1:$L$4,2,0))</f>
        <v>1.4799107142857144</v>
      </c>
      <c r="Z50" s="107">
        <f t="shared" si="22"/>
        <v>3.5714285714285716</v>
      </c>
      <c r="AA50" s="107">
        <f t="shared" si="23"/>
        <v>5.0513392857142865</v>
      </c>
      <c r="AB50" s="108">
        <f t="shared" si="14"/>
        <v>1.3007918754783079</v>
      </c>
      <c r="AC50" s="79"/>
    </row>
    <row r="51" spans="1:29" s="8" customFormat="1" x14ac:dyDescent="0.25">
      <c r="A51" s="80">
        <f t="shared" si="2"/>
        <v>49007</v>
      </c>
      <c r="B51" s="84"/>
      <c r="C51" s="84"/>
      <c r="D51" s="84">
        <v>0.05</v>
      </c>
      <c r="E51" s="85">
        <v>0.05</v>
      </c>
      <c r="F51" s="85">
        <v>4.8750000000000002E-2</v>
      </c>
      <c r="G51" s="86">
        <f t="shared" si="3"/>
        <v>2034</v>
      </c>
      <c r="H51" s="83">
        <f t="shared" si="9"/>
        <v>49007</v>
      </c>
      <c r="I51" s="105"/>
      <c r="J51" s="107"/>
      <c r="K51" s="107"/>
      <c r="L51" s="108"/>
      <c r="M51" s="110"/>
      <c r="N51" s="107"/>
      <c r="O51" s="107"/>
      <c r="P51" s="108"/>
      <c r="Q51" s="105">
        <f>+IF($H51&gt;D$8,"FIN",(D$18-SUM(R$24:R50))*VLOOKUP($H51,$A:$F,4,0)/VLOOKUP(D$15,$J$1:$L$4,2,0))</f>
        <v>1</v>
      </c>
      <c r="R51" s="109">
        <f t="shared" si="19"/>
        <v>10</v>
      </c>
      <c r="S51" s="109">
        <f t="shared" si="24"/>
        <v>11</v>
      </c>
      <c r="T51" s="108">
        <f t="shared" si="12"/>
        <v>2.6886388609908853</v>
      </c>
      <c r="U51" s="105">
        <f>+IF($H51&gt;E$8,"FIN",(E$18-SUM(V$24:V50))*VLOOKUP($H51,$A:$F,5,0)/VLOOKUP(E$15,$J$1:$L$4,2,0))</f>
        <v>1.1363636363636362</v>
      </c>
      <c r="V51" s="107">
        <f t="shared" si="21"/>
        <v>4.5454545454545459</v>
      </c>
      <c r="W51" s="107">
        <f t="shared" si="7"/>
        <v>5.6818181818181817</v>
      </c>
      <c r="X51" s="108">
        <f t="shared" si="13"/>
        <v>1.3887597422473581</v>
      </c>
      <c r="Y51" s="105">
        <f>+IF($H51&gt;F$8,"FIN",(F$18-SUM(Z$24:Z50))*VLOOKUP($H51,$A:$F,6,0)/VLOOKUP(F$15,$J$1:$L$4,2,0))</f>
        <v>1.392857142857143</v>
      </c>
      <c r="Z51" s="107">
        <f t="shared" si="22"/>
        <v>3.5714285714285716</v>
      </c>
      <c r="AA51" s="107">
        <f t="shared" si="23"/>
        <v>4.9642857142857144</v>
      </c>
      <c r="AB51" s="108">
        <f t="shared" si="14"/>
        <v>1.213379226226406</v>
      </c>
      <c r="AC51" s="79"/>
    </row>
    <row r="52" spans="1:29" s="8" customFormat="1" x14ac:dyDescent="0.25">
      <c r="A52" s="80">
        <f t="shared" si="2"/>
        <v>49191</v>
      </c>
      <c r="B52" s="84"/>
      <c r="C52" s="84"/>
      <c r="D52" s="84">
        <v>0.05</v>
      </c>
      <c r="E52" s="85">
        <v>0.05</v>
      </c>
      <c r="F52" s="85">
        <v>4.8750000000000002E-2</v>
      </c>
      <c r="G52" s="86">
        <f t="shared" si="3"/>
        <v>2034</v>
      </c>
      <c r="H52" s="83">
        <f t="shared" si="9"/>
        <v>49191</v>
      </c>
      <c r="I52" s="105"/>
      <c r="J52" s="107"/>
      <c r="K52" s="107"/>
      <c r="L52" s="108"/>
      <c r="M52" s="110"/>
      <c r="N52" s="107"/>
      <c r="O52" s="107"/>
      <c r="P52" s="108"/>
      <c r="Q52" s="105">
        <f>+IF($H52&gt;D$8,"FIN",(D$18-SUM(R$24:R51))*VLOOKUP($H52,$A:$F,4,0)/VLOOKUP(D$15,$J$1:$L$4,2,0))</f>
        <v>0.75</v>
      </c>
      <c r="R52" s="109">
        <f t="shared" si="19"/>
        <v>10</v>
      </c>
      <c r="S52" s="109">
        <f t="shared" si="24"/>
        <v>10.75</v>
      </c>
      <c r="T52" s="108">
        <f t="shared" si="12"/>
        <v>2.4939443664049277</v>
      </c>
      <c r="U52" s="105">
        <f>+IF($H52&gt;E$8,"FIN",(E$18-SUM(V$24:V51))*VLOOKUP($H52,$A:$F,5,0)/VLOOKUP(E$15,$J$1:$L$4,2,0))</f>
        <v>1.0227272727272725</v>
      </c>
      <c r="V52" s="107">
        <f t="shared" si="21"/>
        <v>4.5454545454545459</v>
      </c>
      <c r="W52" s="107">
        <f t="shared" si="7"/>
        <v>5.5681818181818183</v>
      </c>
      <c r="X52" s="108">
        <f t="shared" si="13"/>
        <v>1.2917893652625947</v>
      </c>
      <c r="Y52" s="105">
        <f>+IF($H52&gt;F$8,"FIN",(F$18-SUM(Z$24:Z51))*VLOOKUP($H52,$A:$F,6,0)/VLOOKUP(F$15,$J$1:$L$4,2,0))</f>
        <v>1.3058035714285716</v>
      </c>
      <c r="Z52" s="107">
        <f t="shared" si="22"/>
        <v>3.5714285714285716</v>
      </c>
      <c r="AA52" s="107">
        <f t="shared" si="23"/>
        <v>4.8772321428571432</v>
      </c>
      <c r="AB52" s="108">
        <f t="shared" si="14"/>
        <v>1.131492616402568</v>
      </c>
      <c r="AC52" s="79"/>
    </row>
    <row r="53" spans="1:29" s="8" customFormat="1" x14ac:dyDescent="0.25">
      <c r="A53" s="80">
        <f t="shared" si="2"/>
        <v>49372</v>
      </c>
      <c r="B53" s="84"/>
      <c r="C53" s="84"/>
      <c r="D53" s="84">
        <v>0.05</v>
      </c>
      <c r="E53" s="85">
        <v>0.05</v>
      </c>
      <c r="F53" s="85">
        <v>4.8750000000000002E-2</v>
      </c>
      <c r="G53" s="86">
        <f t="shared" si="3"/>
        <v>2035</v>
      </c>
      <c r="H53" s="83">
        <f t="shared" si="9"/>
        <v>49372</v>
      </c>
      <c r="I53" s="105"/>
      <c r="J53" s="107"/>
      <c r="K53" s="107"/>
      <c r="L53" s="108"/>
      <c r="M53" s="110"/>
      <c r="N53" s="107"/>
      <c r="O53" s="107"/>
      <c r="P53" s="108"/>
      <c r="Q53" s="105">
        <f>+IF($H53&gt;D$8,"FIN",(D$18-SUM(R$24:R52))*VLOOKUP($H53,$A:$F,4,0)/VLOOKUP(D$15,$J$1:$L$4,2,0))</f>
        <v>0.5</v>
      </c>
      <c r="R53" s="109">
        <f t="shared" si="19"/>
        <v>10</v>
      </c>
      <c r="S53" s="109">
        <f t="shared" si="24"/>
        <v>10.5</v>
      </c>
      <c r="T53" s="108">
        <f t="shared" si="12"/>
        <v>2.3120973006064127</v>
      </c>
      <c r="U53" s="105">
        <f>+IF($H53&gt;E$8,"FIN",(E$18-SUM(V$24:V52))*VLOOKUP($H53,$A:$F,5,0)/VLOOKUP(E$15,$J$1:$L$4,2,0))</f>
        <v>0.90909090909090884</v>
      </c>
      <c r="V53" s="107">
        <f t="shared" si="21"/>
        <v>4.5454545454545459</v>
      </c>
      <c r="W53" s="107">
        <f t="shared" si="7"/>
        <v>5.454545454545455</v>
      </c>
      <c r="X53" s="108">
        <f t="shared" si="13"/>
        <v>1.2010895068085261</v>
      </c>
      <c r="Y53" s="105">
        <f>+IF($H53&gt;F$8,"FIN",(F$18-SUM(Z$24:Z52))*VLOOKUP($H53,$A:$F,6,0)/VLOOKUP(F$15,$J$1:$L$4,2,0))</f>
        <v>1.2187500000000002</v>
      </c>
      <c r="Z53" s="107">
        <f t="shared" si="22"/>
        <v>3.5714285714285716</v>
      </c>
      <c r="AA53" s="107">
        <f t="shared" si="23"/>
        <v>4.7901785714285721</v>
      </c>
      <c r="AB53" s="108">
        <f t="shared" si="14"/>
        <v>1.0547960899450175</v>
      </c>
      <c r="AC53" s="79"/>
    </row>
    <row r="54" spans="1:29" s="8" customFormat="1" x14ac:dyDescent="0.25">
      <c r="A54" s="80">
        <f t="shared" si="2"/>
        <v>49556</v>
      </c>
      <c r="B54" s="82"/>
      <c r="C54" s="84"/>
      <c r="D54" s="84">
        <v>0.05</v>
      </c>
      <c r="E54" s="85">
        <v>0.05</v>
      </c>
      <c r="F54" s="85">
        <v>4.8750000000000002E-2</v>
      </c>
      <c r="G54" s="86">
        <f t="shared" si="3"/>
        <v>2035</v>
      </c>
      <c r="H54" s="83">
        <f t="shared" si="9"/>
        <v>49556</v>
      </c>
      <c r="I54" s="105"/>
      <c r="J54" s="107"/>
      <c r="K54" s="107"/>
      <c r="L54" s="108"/>
      <c r="M54" s="110"/>
      <c r="N54" s="107"/>
      <c r="O54" s="107"/>
      <c r="P54" s="108"/>
      <c r="Q54" s="105">
        <f>+IF($H54&gt;D$8,"FIN",(D$18-SUM(R$24:R53))*VLOOKUP($H54,$A:$F,4,0)/VLOOKUP(D$15,$J$1:$L$4,2,0))</f>
        <v>0.25</v>
      </c>
      <c r="R54" s="109">
        <f t="shared" si="19"/>
        <v>10</v>
      </c>
      <c r="S54" s="109">
        <f t="shared" si="24"/>
        <v>10.25</v>
      </c>
      <c r="T54" s="108">
        <f t="shared" si="12"/>
        <v>2.1422945531657667</v>
      </c>
      <c r="U54" s="105">
        <f>+IF($H54&gt;E$8,"FIN",(E$18-SUM(V$24:V53))*VLOOKUP($H54,$A:$F,5,0)/VLOOKUP(E$15,$J$1:$L$4,2,0))</f>
        <v>0.79545454545454541</v>
      </c>
      <c r="V54" s="107">
        <f t="shared" si="21"/>
        <v>4.5454545454545459</v>
      </c>
      <c r="W54" s="107">
        <f t="shared" si="7"/>
        <v>5.3409090909090917</v>
      </c>
      <c r="X54" s="108">
        <f t="shared" si="13"/>
        <v>1.1162732150642023</v>
      </c>
      <c r="Y54" s="105">
        <f>+IF($H54&gt;F$8,"FIN",(F$18-SUM(Z$24:Z53))*VLOOKUP($H54,$A:$F,6,0)/VLOOKUP(F$15,$J$1:$L$4,2,0))</f>
        <v>1.1316964285714288</v>
      </c>
      <c r="Z54" s="107">
        <f t="shared" si="22"/>
        <v>3.5714285714285716</v>
      </c>
      <c r="AA54" s="107">
        <f t="shared" si="23"/>
        <v>4.703125</v>
      </c>
      <c r="AB54" s="108">
        <f t="shared" si="14"/>
        <v>0.98297356783978007</v>
      </c>
      <c r="AC54" s="79"/>
    </row>
    <row r="55" spans="1:29" s="8" customFormat="1" x14ac:dyDescent="0.25">
      <c r="A55" s="80">
        <f t="shared" si="2"/>
        <v>49738</v>
      </c>
      <c r="B55" s="82"/>
      <c r="C55" s="84"/>
      <c r="D55" s="84"/>
      <c r="E55" s="85">
        <v>0.05</v>
      </c>
      <c r="F55" s="85">
        <v>4.8750000000000002E-2</v>
      </c>
      <c r="G55" s="86">
        <f t="shared" si="3"/>
        <v>2036</v>
      </c>
      <c r="H55" s="83">
        <f t="shared" si="9"/>
        <v>49738</v>
      </c>
      <c r="I55" s="110"/>
      <c r="J55" s="107"/>
      <c r="K55" s="107"/>
      <c r="L55" s="108"/>
      <c r="M55" s="110"/>
      <c r="N55" s="107"/>
      <c r="O55" s="107"/>
      <c r="P55" s="108"/>
      <c r="Q55" s="107"/>
      <c r="R55" s="107"/>
      <c r="S55" s="107"/>
      <c r="T55" s="108"/>
      <c r="U55" s="105">
        <f>+IF($H55&gt;E$8,"FIN",(E$18-SUM(V$24:V54))*VLOOKUP($H55,$A:$F,5,0)/VLOOKUP(E$15,$J$1:$L$4,2,0))</f>
        <v>0.68181818181818166</v>
      </c>
      <c r="V55" s="107">
        <f t="shared" si="21"/>
        <v>4.5454545454545459</v>
      </c>
      <c r="W55" s="107">
        <f t="shared" si="7"/>
        <v>5.2272727272727275</v>
      </c>
      <c r="X55" s="108">
        <f t="shared" si="13"/>
        <v>1.0369766762986523</v>
      </c>
      <c r="Y55" s="105">
        <f>+IF($H55&gt;F$8,"FIN",(F$18-SUM(Z$24:Z54))*VLOOKUP($H55,$A:$F,6,0)/VLOOKUP(F$15,$J$1:$L$4,2,0))</f>
        <v>1.0446428571428574</v>
      </c>
      <c r="Z55" s="107">
        <f t="shared" si="22"/>
        <v>3.5714285714285716</v>
      </c>
      <c r="AA55" s="107">
        <f t="shared" si="23"/>
        <v>4.6160714285714288</v>
      </c>
      <c r="AB55" s="108">
        <f t="shared" si="14"/>
        <v>0.91572769535876331</v>
      </c>
      <c r="AC55" s="79"/>
    </row>
    <row r="56" spans="1:29" s="8" customFormat="1" x14ac:dyDescent="0.25">
      <c r="A56" s="80">
        <f t="shared" si="2"/>
        <v>49922</v>
      </c>
      <c r="B56" s="82"/>
      <c r="C56" s="84"/>
      <c r="D56" s="84"/>
      <c r="E56" s="84">
        <v>0.05</v>
      </c>
      <c r="F56" s="84">
        <v>4.8750000000000002E-2</v>
      </c>
      <c r="G56" s="86">
        <f t="shared" si="3"/>
        <v>2036</v>
      </c>
      <c r="H56" s="83">
        <f t="shared" si="9"/>
        <v>49922</v>
      </c>
      <c r="I56" s="110"/>
      <c r="J56" s="107"/>
      <c r="K56" s="107"/>
      <c r="L56" s="108"/>
      <c r="M56" s="110"/>
      <c r="N56" s="107"/>
      <c r="O56" s="107"/>
      <c r="P56" s="108"/>
      <c r="Q56" s="107"/>
      <c r="R56" s="107"/>
      <c r="S56" s="107"/>
      <c r="T56" s="108"/>
      <c r="U56" s="105">
        <f>+IF($H56&gt;E$8,"FIN",(E$18-SUM(V$24:V55))*VLOOKUP($H56,$A:$F,5,0)/VLOOKUP(E$15,$J$1:$L$4,2,0))</f>
        <v>0.56818181818181801</v>
      </c>
      <c r="V56" s="107">
        <f t="shared" si="21"/>
        <v>4.5454545454545459</v>
      </c>
      <c r="W56" s="107">
        <f t="shared" ref="W56:W60" si="25">+SUM(U56:V56)</f>
        <v>5.1136363636363642</v>
      </c>
      <c r="X56" s="108">
        <f t="shared" si="13"/>
        <v>0.96285786233254911</v>
      </c>
      <c r="Y56" s="105">
        <f>+IF($H56&gt;F$8,"FIN",(F$18-SUM(Z$24:Z55))*VLOOKUP($H56,$A:$F,6,0)/VLOOKUP(F$15,$J$1:$L$4,2,0))</f>
        <v>0.95758928571428603</v>
      </c>
      <c r="Z56" s="107">
        <f t="shared" si="22"/>
        <v>3.5714285714285716</v>
      </c>
      <c r="AA56" s="107">
        <f t="shared" ref="AA56:AA66" si="26">+SUM(Y56:Z56)</f>
        <v>4.5290178571428577</v>
      </c>
      <c r="AB56" s="108">
        <f t="shared" si="14"/>
        <v>0.85277875513492718</v>
      </c>
      <c r="AC56" s="79"/>
    </row>
    <row r="57" spans="1:29" s="8" customFormat="1" x14ac:dyDescent="0.25">
      <c r="A57" s="80">
        <f t="shared" ref="A57:A77" si="27">DATE(YEAR(A56),MONTH(A56)+VLOOKUP($D$15,$J$1:$L$4,3,0),DAY(A56))</f>
        <v>50103</v>
      </c>
      <c r="B57" s="82"/>
      <c r="C57" s="84"/>
      <c r="D57" s="84"/>
      <c r="E57" s="84">
        <v>0.05</v>
      </c>
      <c r="F57" s="84">
        <v>4.8750000000000002E-2</v>
      </c>
      <c r="G57" s="86">
        <f t="shared" si="3"/>
        <v>2037</v>
      </c>
      <c r="H57" s="83">
        <f t="shared" si="9"/>
        <v>50103</v>
      </c>
      <c r="I57" s="110"/>
      <c r="J57" s="107"/>
      <c r="K57" s="107"/>
      <c r="L57" s="108"/>
      <c r="M57" s="110"/>
      <c r="N57" s="107"/>
      <c r="O57" s="107"/>
      <c r="P57" s="108"/>
      <c r="Q57" s="107"/>
      <c r="R57" s="107"/>
      <c r="S57" s="107"/>
      <c r="T57" s="108"/>
      <c r="U57" s="105">
        <f>+IF($H57&gt;E$8,"FIN",(E$18-SUM(V$24:V56))*VLOOKUP($H57,$A:$F,5,0)/VLOOKUP(E$15,$J$1:$L$4,2,0))</f>
        <v>0.45454545454545436</v>
      </c>
      <c r="V57" s="107">
        <f t="shared" si="21"/>
        <v>4.5454545454545459</v>
      </c>
      <c r="W57" s="107">
        <f t="shared" si="25"/>
        <v>5</v>
      </c>
      <c r="X57" s="108">
        <f t="shared" si="13"/>
        <v>0.89359525572151766</v>
      </c>
      <c r="Y57" s="105">
        <f>+IF($H57&gt;F$8,"FIN",(F$18-SUM(Z$24:Z56))*VLOOKUP($H57,$A:$F,6,0)/VLOOKUP(F$15,$J$1:$L$4,2,0))</f>
        <v>0.87053571428571452</v>
      </c>
      <c r="Z57" s="107">
        <f t="shared" si="22"/>
        <v>3.5714285714285716</v>
      </c>
      <c r="AA57" s="107">
        <f t="shared" si="26"/>
        <v>4.4419642857142865</v>
      </c>
      <c r="AB57" s="108">
        <f t="shared" si="14"/>
        <v>0.79386364235974127</v>
      </c>
      <c r="AC57" s="79"/>
    </row>
    <row r="58" spans="1:29" s="8" customFormat="1" x14ac:dyDescent="0.25">
      <c r="A58" s="80">
        <f t="shared" si="27"/>
        <v>50287</v>
      </c>
      <c r="B58" s="82"/>
      <c r="C58" s="84"/>
      <c r="D58" s="84"/>
      <c r="E58" s="84">
        <v>0.05</v>
      </c>
      <c r="F58" s="84">
        <v>4.8750000000000002E-2</v>
      </c>
      <c r="G58" s="86">
        <f t="shared" si="3"/>
        <v>2037</v>
      </c>
      <c r="H58" s="83">
        <f t="shared" ref="H58:H77" si="28">+DATE(YEAR(H57),MONTH(H57)+VLOOKUP(C$15,$J$1:$L$4,3,0),DAY(H57))</f>
        <v>50287</v>
      </c>
      <c r="I58" s="110"/>
      <c r="J58" s="107"/>
      <c r="K58" s="107"/>
      <c r="L58" s="108"/>
      <c r="M58" s="110"/>
      <c r="N58" s="107"/>
      <c r="O58" s="107"/>
      <c r="P58" s="108"/>
      <c r="Q58" s="107"/>
      <c r="R58" s="107"/>
      <c r="S58" s="107"/>
      <c r="T58" s="108"/>
      <c r="U58" s="105">
        <f>+IF($H58&gt;E$8,"FIN",(E$18-SUM(V$24:V57))*VLOOKUP($H58,$A:$F,5,0)/VLOOKUP(E$15,$J$1:$L$4,2,0))</f>
        <v>0.34090909090909066</v>
      </c>
      <c r="V58" s="107">
        <f t="shared" si="21"/>
        <v>4.5454545454545459</v>
      </c>
      <c r="W58" s="107">
        <f t="shared" si="25"/>
        <v>4.8863636363636367</v>
      </c>
      <c r="X58" s="108">
        <f t="shared" si="13"/>
        <v>0.82888664825424641</v>
      </c>
      <c r="Y58" s="105">
        <f>+IF($H58&gt;F$8,"FIN",(F$18-SUM(Z$24:Z57))*VLOOKUP($H58,$A:$F,6,0)/VLOOKUP(F$15,$J$1:$L$4,2,0))</f>
        <v>0.78348214285714313</v>
      </c>
      <c r="Z58" s="107">
        <f t="shared" si="22"/>
        <v>3.5714285714285716</v>
      </c>
      <c r="AA58" s="107">
        <f t="shared" si="26"/>
        <v>4.3549107142857144</v>
      </c>
      <c r="AB58" s="108">
        <f t="shared" si="14"/>
        <v>0.73873489859569696</v>
      </c>
      <c r="AC58" s="79"/>
    </row>
    <row r="59" spans="1:29" s="8" customFormat="1" x14ac:dyDescent="0.25">
      <c r="A59" s="80">
        <f t="shared" si="27"/>
        <v>50468</v>
      </c>
      <c r="B59" s="82"/>
      <c r="C59" s="84"/>
      <c r="D59" s="84"/>
      <c r="E59" s="84">
        <v>0.05</v>
      </c>
      <c r="F59" s="84">
        <v>4.8750000000000002E-2</v>
      </c>
      <c r="G59" s="86">
        <f t="shared" si="3"/>
        <v>2038</v>
      </c>
      <c r="H59" s="83">
        <f t="shared" si="28"/>
        <v>50468</v>
      </c>
      <c r="I59" s="110"/>
      <c r="J59" s="107"/>
      <c r="K59" s="107"/>
      <c r="L59" s="108"/>
      <c r="M59" s="110"/>
      <c r="N59" s="107"/>
      <c r="O59" s="107"/>
      <c r="P59" s="108"/>
      <c r="Q59" s="107"/>
      <c r="R59" s="107"/>
      <c r="S59" s="107"/>
      <c r="T59" s="108"/>
      <c r="U59" s="105">
        <f>+IF($H59&gt;E$8,"FIN",(E$18-SUM(V$24:V58))*VLOOKUP($H59,$A:$F,5,0)/VLOOKUP(E$15,$J$1:$L$4,2,0))</f>
        <v>0.22727272727272699</v>
      </c>
      <c r="V59" s="107">
        <f t="shared" si="21"/>
        <v>4.5454545454545459</v>
      </c>
      <c r="W59" s="107">
        <f t="shared" si="25"/>
        <v>4.7727272727272725</v>
      </c>
      <c r="X59" s="108">
        <f t="shared" si="13"/>
        <v>0.76844800860572759</v>
      </c>
      <c r="Y59" s="105">
        <f>+IF($H59&gt;F$8,"FIN",(F$18-SUM(Z$24:Z58))*VLOOKUP($H59,$A:$F,6,0)/VLOOKUP(F$15,$J$1:$L$4,2,0))</f>
        <v>0.69642857142857173</v>
      </c>
      <c r="Z59" s="107">
        <f t="shared" si="22"/>
        <v>3.5714285714285716</v>
      </c>
      <c r="AA59" s="107">
        <f t="shared" si="26"/>
        <v>4.2678571428571432</v>
      </c>
      <c r="AB59" s="108">
        <f t="shared" si="14"/>
        <v>0.68715980089267281</v>
      </c>
      <c r="AC59" s="79"/>
    </row>
    <row r="60" spans="1:29" s="8" customFormat="1" x14ac:dyDescent="0.25">
      <c r="A60" s="80">
        <f t="shared" si="27"/>
        <v>50652</v>
      </c>
      <c r="B60" s="82"/>
      <c r="C60" s="84"/>
      <c r="D60" s="84"/>
      <c r="E60" s="84">
        <v>0.05</v>
      </c>
      <c r="F60" s="84">
        <v>4.8750000000000002E-2</v>
      </c>
      <c r="G60" s="86">
        <f t="shared" si="3"/>
        <v>2038</v>
      </c>
      <c r="H60" s="83">
        <f t="shared" si="28"/>
        <v>50652</v>
      </c>
      <c r="I60" s="110"/>
      <c r="J60" s="107"/>
      <c r="K60" s="107"/>
      <c r="L60" s="108"/>
      <c r="M60" s="110"/>
      <c r="N60" s="107"/>
      <c r="O60" s="107"/>
      <c r="P60" s="108"/>
      <c r="Q60" s="107"/>
      <c r="R60" s="107"/>
      <c r="S60" s="107"/>
      <c r="T60" s="108"/>
      <c r="U60" s="105">
        <f>+IF($H60&gt;E$8,"FIN",(E$18-SUM(V$24:V59))*VLOOKUP($H60,$A:$F,5,0)/VLOOKUP(E$15,$J$1:$L$4,2,0))</f>
        <v>0.11363636363636331</v>
      </c>
      <c r="V60" s="107">
        <f t="shared" si="21"/>
        <v>4.5454545454545459</v>
      </c>
      <c r="W60" s="107">
        <f t="shared" si="25"/>
        <v>4.6590909090909092</v>
      </c>
      <c r="X60" s="108">
        <f t="shared" si="13"/>
        <v>0.71201241521944481</v>
      </c>
      <c r="Y60" s="105">
        <f>+IF($H60&gt;F$8,"FIN",(F$18-SUM(Z$24:Z59))*VLOOKUP($H60,$A:$F,6,0)/VLOOKUP(F$15,$J$1:$L$4,2,0))</f>
        <v>0.60937500000000033</v>
      </c>
      <c r="Z60" s="107">
        <f t="shared" si="22"/>
        <v>3.5714285714285716</v>
      </c>
      <c r="AA60" s="107">
        <f t="shared" si="26"/>
        <v>4.1808035714285721</v>
      </c>
      <c r="AB60" s="108">
        <f t="shared" si="14"/>
        <v>0.63891950308215262</v>
      </c>
      <c r="AC60" s="87"/>
    </row>
    <row r="61" spans="1:29" s="8" customFormat="1" x14ac:dyDescent="0.25">
      <c r="A61" s="80">
        <f t="shared" si="27"/>
        <v>50833</v>
      </c>
      <c r="B61" s="82"/>
      <c r="C61" s="88"/>
      <c r="D61" s="88"/>
      <c r="E61" s="88"/>
      <c r="F61" s="85">
        <v>4.8750000000000002E-2</v>
      </c>
      <c r="G61" s="86">
        <f t="shared" si="3"/>
        <v>2039</v>
      </c>
      <c r="H61" s="83">
        <f t="shared" si="28"/>
        <v>50833</v>
      </c>
      <c r="I61" s="110"/>
      <c r="J61" s="107"/>
      <c r="K61" s="107"/>
      <c r="L61" s="108"/>
      <c r="M61" s="110"/>
      <c r="N61" s="107"/>
      <c r="O61" s="107"/>
      <c r="P61" s="108"/>
      <c r="Q61" s="107"/>
      <c r="R61" s="107"/>
      <c r="S61" s="107"/>
      <c r="T61" s="108"/>
      <c r="U61" s="107"/>
      <c r="V61" s="107"/>
      <c r="W61" s="107"/>
      <c r="X61" s="108"/>
      <c r="Y61" s="105">
        <f>+IF($H61&gt;F$8,"FIN",(F$18-SUM(Z$24:Z60))*VLOOKUP($H61,$A:$F,6,0)/VLOOKUP(F$15,$J$1:$L$4,2,0))</f>
        <v>0.52232142857142894</v>
      </c>
      <c r="Z61" s="107">
        <f t="shared" si="22"/>
        <v>3.5714285714285716</v>
      </c>
      <c r="AA61" s="107">
        <f t="shared" si="26"/>
        <v>4.0937500000000009</v>
      </c>
      <c r="AB61" s="108">
        <f t="shared" si="14"/>
        <v>0.59380822629818408</v>
      </c>
      <c r="AC61" s="79"/>
    </row>
    <row r="62" spans="1:29" s="8" customFormat="1" x14ac:dyDescent="0.25">
      <c r="A62" s="80">
        <f t="shared" si="27"/>
        <v>51017</v>
      </c>
      <c r="B62" s="82"/>
      <c r="C62" s="88"/>
      <c r="D62" s="88"/>
      <c r="E62" s="88"/>
      <c r="F62" s="84">
        <v>4.8750000000000002E-2</v>
      </c>
      <c r="G62" s="86">
        <f t="shared" si="3"/>
        <v>2039</v>
      </c>
      <c r="H62" s="83">
        <f t="shared" si="28"/>
        <v>51017</v>
      </c>
      <c r="I62" s="110"/>
      <c r="J62" s="107"/>
      <c r="K62" s="107"/>
      <c r="L62" s="108"/>
      <c r="M62" s="110"/>
      <c r="N62" s="107"/>
      <c r="O62" s="107"/>
      <c r="P62" s="108"/>
      <c r="Q62" s="107"/>
      <c r="R62" s="107"/>
      <c r="S62" s="107"/>
      <c r="T62" s="108"/>
      <c r="U62" s="107"/>
      <c r="V62" s="107"/>
      <c r="W62" s="107"/>
      <c r="X62" s="108"/>
      <c r="Y62" s="105">
        <f>+IF($H62&gt;F$8,"FIN",(F$18-SUM(Z$24:Z61))*VLOOKUP($H62,$A:$F,6,0)/VLOOKUP(F$15,$J$1:$L$4,2,0))</f>
        <v>0.43526785714285759</v>
      </c>
      <c r="Z62" s="107">
        <f t="shared" si="22"/>
        <v>3.5714285714285716</v>
      </c>
      <c r="AA62" s="107">
        <f t="shared" si="26"/>
        <v>4.0066964285714288</v>
      </c>
      <c r="AB62" s="108">
        <f t="shared" si="14"/>
        <v>0.55163249593919461</v>
      </c>
      <c r="AC62" s="79"/>
    </row>
    <row r="63" spans="1:29" s="8" customFormat="1" x14ac:dyDescent="0.25">
      <c r="A63" s="80">
        <f t="shared" si="27"/>
        <v>51199</v>
      </c>
      <c r="B63" s="82"/>
      <c r="C63" s="88"/>
      <c r="D63" s="88"/>
      <c r="E63" s="88"/>
      <c r="F63" s="84">
        <v>4.8750000000000002E-2</v>
      </c>
      <c r="G63" s="86">
        <f t="shared" si="3"/>
        <v>2040</v>
      </c>
      <c r="H63" s="83">
        <f t="shared" si="28"/>
        <v>51199</v>
      </c>
      <c r="I63" s="110"/>
      <c r="J63" s="107"/>
      <c r="K63" s="107"/>
      <c r="L63" s="108"/>
      <c r="M63" s="110"/>
      <c r="N63" s="107"/>
      <c r="O63" s="107"/>
      <c r="P63" s="108"/>
      <c r="Q63" s="107"/>
      <c r="R63" s="107"/>
      <c r="S63" s="107"/>
      <c r="T63" s="108"/>
      <c r="U63" s="107"/>
      <c r="V63" s="107"/>
      <c r="W63" s="107"/>
      <c r="X63" s="108"/>
      <c r="Y63" s="105">
        <f>+IF($H63&gt;F$8,"FIN",(F$18-SUM(Z$24:Z62))*VLOOKUP($H63,$A:$F,6,0)/VLOOKUP(F$15,$J$1:$L$4,2,0))</f>
        <v>0.3482142857142862</v>
      </c>
      <c r="Z63" s="107">
        <f t="shared" si="22"/>
        <v>3.5714285714285716</v>
      </c>
      <c r="AA63" s="107">
        <f t="shared" si="26"/>
        <v>3.9196428571428577</v>
      </c>
      <c r="AB63" s="108">
        <f t="shared" si="14"/>
        <v>0.51221042244078863</v>
      </c>
      <c r="AC63" s="79"/>
    </row>
    <row r="64" spans="1:29" s="8" customFormat="1" x14ac:dyDescent="0.25">
      <c r="A64" s="80">
        <f t="shared" si="27"/>
        <v>51383</v>
      </c>
      <c r="B64" s="82"/>
      <c r="C64" s="88"/>
      <c r="D64" s="88"/>
      <c r="E64" s="88"/>
      <c r="F64" s="84">
        <v>4.8750000000000002E-2</v>
      </c>
      <c r="G64" s="86">
        <f t="shared" si="3"/>
        <v>2040</v>
      </c>
      <c r="H64" s="83">
        <f t="shared" si="28"/>
        <v>51383</v>
      </c>
      <c r="I64" s="110"/>
      <c r="J64" s="107"/>
      <c r="K64" s="107"/>
      <c r="L64" s="108"/>
      <c r="M64" s="110"/>
      <c r="N64" s="107"/>
      <c r="O64" s="107"/>
      <c r="P64" s="108"/>
      <c r="Q64" s="107"/>
      <c r="R64" s="107"/>
      <c r="S64" s="107"/>
      <c r="T64" s="108"/>
      <c r="U64" s="107"/>
      <c r="V64" s="107"/>
      <c r="W64" s="107"/>
      <c r="X64" s="108"/>
      <c r="Y64" s="105">
        <f>+IF($H64&gt;F$8,"FIN",(F$18-SUM(Z$24:Z63))*VLOOKUP($H64,$A:$F,6,0)/VLOOKUP(F$15,$J$1:$L$4,2,0))</f>
        <v>0.26116071428571486</v>
      </c>
      <c r="Z64" s="107">
        <f t="shared" si="22"/>
        <v>3.5714285714285716</v>
      </c>
      <c r="AA64" s="107">
        <f t="shared" si="26"/>
        <v>3.8325892857142865</v>
      </c>
      <c r="AB64" s="108">
        <f t="shared" si="14"/>
        <v>0.4753710233770469</v>
      </c>
      <c r="AC64" s="79"/>
    </row>
    <row r="65" spans="1:29" s="8" customFormat="1" x14ac:dyDescent="0.25">
      <c r="A65" s="80">
        <f t="shared" si="27"/>
        <v>51564</v>
      </c>
      <c r="B65" s="82"/>
      <c r="C65" s="88"/>
      <c r="D65" s="88"/>
      <c r="E65" s="88"/>
      <c r="F65" s="85">
        <v>4.8750000000000002E-2</v>
      </c>
      <c r="G65" s="86">
        <f t="shared" si="3"/>
        <v>2041</v>
      </c>
      <c r="H65" s="83">
        <f t="shared" si="28"/>
        <v>51564</v>
      </c>
      <c r="I65" s="110"/>
      <c r="J65" s="107"/>
      <c r="K65" s="107"/>
      <c r="L65" s="108"/>
      <c r="M65" s="110"/>
      <c r="N65" s="107"/>
      <c r="O65" s="107"/>
      <c r="P65" s="108"/>
      <c r="Q65" s="107"/>
      <c r="R65" s="107"/>
      <c r="S65" s="107"/>
      <c r="T65" s="108"/>
      <c r="U65" s="107"/>
      <c r="V65" s="107"/>
      <c r="W65" s="107"/>
      <c r="X65" s="108"/>
      <c r="Y65" s="105">
        <f>+IF($H65&gt;F$8,"FIN",(F$18-SUM(Z$24:Z64))*VLOOKUP($H65,$A:$F,6,0)/VLOOKUP(F$15,$J$1:$L$4,2,0))</f>
        <v>0.17410714285714346</v>
      </c>
      <c r="Z65" s="107">
        <f t="shared" si="22"/>
        <v>3.5714285714285716</v>
      </c>
      <c r="AA65" s="107">
        <f t="shared" si="26"/>
        <v>3.7455357142857153</v>
      </c>
      <c r="AB65" s="108">
        <f t="shared" si="14"/>
        <v>0.44095358454700651</v>
      </c>
      <c r="AC65" s="79"/>
    </row>
    <row r="66" spans="1:29" s="8" customFormat="1" x14ac:dyDescent="0.25">
      <c r="A66" s="80">
        <f t="shared" si="27"/>
        <v>51748</v>
      </c>
      <c r="B66" s="82"/>
      <c r="C66" s="88"/>
      <c r="D66" s="88"/>
      <c r="E66" s="88"/>
      <c r="F66" s="84">
        <v>4.8750000000000002E-2</v>
      </c>
      <c r="G66" s="86">
        <f t="shared" si="3"/>
        <v>2041</v>
      </c>
      <c r="H66" s="83">
        <f t="shared" si="28"/>
        <v>51748</v>
      </c>
      <c r="I66" s="110"/>
      <c r="J66" s="107"/>
      <c r="K66" s="107"/>
      <c r="L66" s="108"/>
      <c r="M66" s="110"/>
      <c r="N66" s="107"/>
      <c r="O66" s="107"/>
      <c r="P66" s="108"/>
      <c r="Q66" s="107"/>
      <c r="R66" s="107"/>
      <c r="S66" s="107"/>
      <c r="T66" s="108"/>
      <c r="U66" s="107"/>
      <c r="V66" s="107"/>
      <c r="W66" s="107"/>
      <c r="X66" s="108"/>
      <c r="Y66" s="105">
        <f>+IF($H66&gt;F$8,"FIN",(F$18-SUM(Z$24:Z65))*VLOOKUP($H66,$A:$F,6,0)/VLOOKUP(F$15,$J$1:$L$4,2,0))</f>
        <v>8.7053571428572077E-2</v>
      </c>
      <c r="Z66" s="107">
        <f t="shared" si="22"/>
        <v>3.5714285714285716</v>
      </c>
      <c r="AA66" s="107">
        <f t="shared" si="26"/>
        <v>3.6584821428571437</v>
      </c>
      <c r="AB66" s="108">
        <f t="shared" si="14"/>
        <v>0.40880705783446919</v>
      </c>
      <c r="AC66" s="79"/>
    </row>
    <row r="67" spans="1:29" s="8" customFormat="1" x14ac:dyDescent="0.25">
      <c r="A67" s="80">
        <f t="shared" si="27"/>
        <v>51929</v>
      </c>
      <c r="B67" s="82"/>
      <c r="C67" s="88"/>
      <c r="D67" s="88"/>
      <c r="E67" s="88"/>
      <c r="F67" s="88"/>
      <c r="G67" s="86">
        <f t="shared" si="3"/>
        <v>2042</v>
      </c>
      <c r="H67" s="83">
        <f t="shared" si="28"/>
        <v>51929</v>
      </c>
      <c r="I67" s="110"/>
      <c r="J67" s="107"/>
      <c r="K67" s="107"/>
      <c r="L67" s="108"/>
      <c r="M67" s="110"/>
      <c r="N67" s="107"/>
      <c r="O67" s="107"/>
      <c r="P67" s="108"/>
      <c r="Q67" s="107"/>
      <c r="R67" s="107"/>
      <c r="S67" s="107"/>
      <c r="T67" s="108"/>
      <c r="U67" s="107"/>
      <c r="V67" s="107"/>
      <c r="W67" s="107"/>
      <c r="X67" s="108"/>
      <c r="Y67" s="105"/>
      <c r="Z67" s="107"/>
      <c r="AA67" s="107"/>
      <c r="AB67" s="108"/>
      <c r="AC67" s="79"/>
    </row>
    <row r="68" spans="1:29" s="8" customFormat="1" x14ac:dyDescent="0.25">
      <c r="A68" s="80">
        <f t="shared" si="27"/>
        <v>52113</v>
      </c>
      <c r="B68" s="82"/>
      <c r="C68" s="88"/>
      <c r="D68" s="88"/>
      <c r="E68" s="88"/>
      <c r="F68" s="88"/>
      <c r="G68" s="86">
        <f t="shared" si="3"/>
        <v>2042</v>
      </c>
      <c r="H68" s="83">
        <f t="shared" si="28"/>
        <v>52113</v>
      </c>
      <c r="I68" s="110"/>
      <c r="J68" s="107"/>
      <c r="K68" s="107"/>
      <c r="L68" s="108"/>
      <c r="M68" s="110"/>
      <c r="N68" s="107"/>
      <c r="O68" s="107"/>
      <c r="P68" s="108"/>
      <c r="Q68" s="107"/>
      <c r="R68" s="107"/>
      <c r="S68" s="107"/>
      <c r="T68" s="108"/>
      <c r="U68" s="107"/>
      <c r="V68" s="107"/>
      <c r="W68" s="107"/>
      <c r="X68" s="108"/>
      <c r="Y68" s="107"/>
      <c r="Z68" s="107"/>
      <c r="AA68" s="107"/>
      <c r="AB68" s="108"/>
      <c r="AC68" s="79"/>
    </row>
    <row r="69" spans="1:29" s="8" customFormat="1" x14ac:dyDescent="0.25">
      <c r="A69" s="80">
        <f t="shared" si="27"/>
        <v>52294</v>
      </c>
      <c r="B69" s="82"/>
      <c r="C69" s="88"/>
      <c r="D69" s="88"/>
      <c r="E69" s="88"/>
      <c r="F69" s="88"/>
      <c r="G69" s="86">
        <f t="shared" si="3"/>
        <v>2043</v>
      </c>
      <c r="H69" s="83">
        <f t="shared" si="28"/>
        <v>52294</v>
      </c>
      <c r="I69" s="110"/>
      <c r="J69" s="107"/>
      <c r="K69" s="107"/>
      <c r="L69" s="108"/>
      <c r="M69" s="110"/>
      <c r="N69" s="107"/>
      <c r="O69" s="107"/>
      <c r="P69" s="108"/>
      <c r="Q69" s="107"/>
      <c r="R69" s="107"/>
      <c r="S69" s="107"/>
      <c r="T69" s="108"/>
      <c r="U69" s="107"/>
      <c r="V69" s="107"/>
      <c r="W69" s="107"/>
      <c r="X69" s="108"/>
      <c r="Y69" s="107"/>
      <c r="Z69" s="107"/>
      <c r="AA69" s="107"/>
      <c r="AB69" s="108"/>
      <c r="AC69" s="79"/>
    </row>
    <row r="70" spans="1:29" s="8" customFormat="1" x14ac:dyDescent="0.25">
      <c r="A70" s="80">
        <f t="shared" si="27"/>
        <v>52478</v>
      </c>
      <c r="B70" s="82"/>
      <c r="C70" s="88"/>
      <c r="D70" s="88"/>
      <c r="E70" s="88"/>
      <c r="F70" s="88"/>
      <c r="G70" s="86">
        <f t="shared" si="3"/>
        <v>2043</v>
      </c>
      <c r="H70" s="83">
        <f t="shared" si="28"/>
        <v>52478</v>
      </c>
      <c r="I70" s="110"/>
      <c r="J70" s="107"/>
      <c r="K70" s="107"/>
      <c r="L70" s="108"/>
      <c r="M70" s="110"/>
      <c r="N70" s="107"/>
      <c r="O70" s="107"/>
      <c r="P70" s="108"/>
      <c r="Q70" s="107"/>
      <c r="R70" s="107"/>
      <c r="S70" s="107"/>
      <c r="T70" s="108"/>
      <c r="U70" s="107"/>
      <c r="V70" s="107"/>
      <c r="W70" s="107"/>
      <c r="X70" s="108"/>
      <c r="Y70" s="107"/>
      <c r="Z70" s="107"/>
      <c r="AA70" s="107"/>
      <c r="AB70" s="108"/>
      <c r="AC70" s="79"/>
    </row>
    <row r="71" spans="1:29" s="8" customFormat="1" x14ac:dyDescent="0.25">
      <c r="A71" s="80">
        <f t="shared" si="27"/>
        <v>52660</v>
      </c>
      <c r="B71" s="82"/>
      <c r="C71" s="88"/>
      <c r="D71" s="88"/>
      <c r="E71" s="88"/>
      <c r="F71" s="88"/>
      <c r="G71" s="86">
        <f t="shared" si="3"/>
        <v>2044</v>
      </c>
      <c r="H71" s="83">
        <f t="shared" si="28"/>
        <v>52660</v>
      </c>
      <c r="I71" s="110"/>
      <c r="J71" s="107"/>
      <c r="K71" s="107"/>
      <c r="L71" s="108"/>
      <c r="M71" s="110"/>
      <c r="N71" s="107"/>
      <c r="O71" s="107"/>
      <c r="P71" s="108"/>
      <c r="Q71" s="107"/>
      <c r="R71" s="107"/>
      <c r="S71" s="107"/>
      <c r="T71" s="108"/>
      <c r="U71" s="107"/>
      <c r="V71" s="107"/>
      <c r="W71" s="107"/>
      <c r="X71" s="108"/>
      <c r="Y71" s="107"/>
      <c r="Z71" s="107"/>
      <c r="AA71" s="107"/>
      <c r="AB71" s="108"/>
      <c r="AC71" s="79"/>
    </row>
    <row r="72" spans="1:29" s="8" customFormat="1" x14ac:dyDescent="0.25">
      <c r="A72" s="80">
        <f t="shared" si="27"/>
        <v>52844</v>
      </c>
      <c r="B72" s="82"/>
      <c r="C72" s="88"/>
      <c r="D72" s="88"/>
      <c r="E72" s="88"/>
      <c r="F72" s="88"/>
      <c r="G72" s="86">
        <f t="shared" si="3"/>
        <v>2044</v>
      </c>
      <c r="H72" s="83">
        <f t="shared" si="28"/>
        <v>52844</v>
      </c>
      <c r="I72" s="110"/>
      <c r="J72" s="107"/>
      <c r="K72" s="107"/>
      <c r="L72" s="108"/>
      <c r="M72" s="110"/>
      <c r="N72" s="107"/>
      <c r="O72" s="107"/>
      <c r="P72" s="108"/>
      <c r="Q72" s="107"/>
      <c r="R72" s="107"/>
      <c r="S72" s="107"/>
      <c r="T72" s="108"/>
      <c r="U72" s="107"/>
      <c r="V72" s="107"/>
      <c r="W72" s="107"/>
      <c r="X72" s="108"/>
      <c r="Y72" s="107"/>
      <c r="Z72" s="107"/>
      <c r="AA72" s="107"/>
      <c r="AB72" s="108"/>
      <c r="AC72" s="79"/>
    </row>
    <row r="73" spans="1:29" s="8" customFormat="1" x14ac:dyDescent="0.25">
      <c r="A73" s="80">
        <f t="shared" si="27"/>
        <v>53025</v>
      </c>
      <c r="B73" s="82"/>
      <c r="C73" s="88"/>
      <c r="D73" s="88"/>
      <c r="E73" s="88"/>
      <c r="F73" s="88"/>
      <c r="G73" s="86">
        <f t="shared" si="3"/>
        <v>2045</v>
      </c>
      <c r="H73" s="83">
        <f t="shared" si="28"/>
        <v>53025</v>
      </c>
      <c r="I73" s="110"/>
      <c r="J73" s="107"/>
      <c r="K73" s="107"/>
      <c r="L73" s="108"/>
      <c r="M73" s="110"/>
      <c r="N73" s="107"/>
      <c r="O73" s="107"/>
      <c r="P73" s="108"/>
      <c r="Q73" s="107"/>
      <c r="R73" s="107"/>
      <c r="S73" s="107"/>
      <c r="T73" s="108"/>
      <c r="U73" s="107"/>
      <c r="V73" s="107"/>
      <c r="W73" s="107"/>
      <c r="X73" s="108"/>
      <c r="Y73" s="107"/>
      <c r="Z73" s="107"/>
      <c r="AA73" s="107"/>
      <c r="AB73" s="108"/>
      <c r="AC73" s="79"/>
    </row>
    <row r="74" spans="1:29" s="8" customFormat="1" x14ac:dyDescent="0.25">
      <c r="A74" s="80">
        <f t="shared" si="27"/>
        <v>53209</v>
      </c>
      <c r="B74" s="82"/>
      <c r="C74" s="88"/>
      <c r="D74" s="88"/>
      <c r="E74" s="88"/>
      <c r="F74" s="88"/>
      <c r="G74" s="86">
        <f t="shared" si="3"/>
        <v>2045</v>
      </c>
      <c r="H74" s="83">
        <f t="shared" si="28"/>
        <v>53209</v>
      </c>
      <c r="I74" s="110"/>
      <c r="J74" s="107"/>
      <c r="K74" s="107"/>
      <c r="L74" s="108"/>
      <c r="M74" s="110"/>
      <c r="N74" s="107"/>
      <c r="O74" s="107"/>
      <c r="P74" s="108"/>
      <c r="Q74" s="107"/>
      <c r="R74" s="107"/>
      <c r="S74" s="107"/>
      <c r="T74" s="108"/>
      <c r="U74" s="107"/>
      <c r="V74" s="107"/>
      <c r="W74" s="107"/>
      <c r="X74" s="108"/>
      <c r="Y74" s="107"/>
      <c r="Z74" s="107"/>
      <c r="AA74" s="107"/>
      <c r="AB74" s="108"/>
      <c r="AC74" s="79"/>
    </row>
    <row r="75" spans="1:29" s="8" customFormat="1" x14ac:dyDescent="0.25">
      <c r="A75" s="80">
        <f t="shared" si="27"/>
        <v>53390</v>
      </c>
      <c r="B75" s="82"/>
      <c r="C75" s="88"/>
      <c r="D75" s="88"/>
      <c r="E75" s="88"/>
      <c r="F75" s="88"/>
      <c r="G75" s="86">
        <f t="shared" si="3"/>
        <v>2046</v>
      </c>
      <c r="H75" s="83">
        <f t="shared" si="28"/>
        <v>53390</v>
      </c>
      <c r="I75" s="110"/>
      <c r="J75" s="107"/>
      <c r="K75" s="107"/>
      <c r="L75" s="108"/>
      <c r="M75" s="110"/>
      <c r="N75" s="107"/>
      <c r="O75" s="107"/>
      <c r="P75" s="108"/>
      <c r="Q75" s="107"/>
      <c r="R75" s="107"/>
      <c r="S75" s="107"/>
      <c r="T75" s="108"/>
      <c r="U75" s="107"/>
      <c r="V75" s="107"/>
      <c r="W75" s="107"/>
      <c r="X75" s="108"/>
      <c r="Y75" s="107"/>
      <c r="Z75" s="107"/>
      <c r="AA75" s="107"/>
      <c r="AB75" s="108"/>
      <c r="AC75" s="79"/>
    </row>
    <row r="76" spans="1:29" s="8" customFormat="1" x14ac:dyDescent="0.25">
      <c r="A76" s="80">
        <f t="shared" si="27"/>
        <v>53574</v>
      </c>
      <c r="B76" s="82"/>
      <c r="C76" s="88"/>
      <c r="D76" s="88"/>
      <c r="E76" s="88"/>
      <c r="F76" s="88"/>
      <c r="G76" s="86">
        <f t="shared" si="3"/>
        <v>2046</v>
      </c>
      <c r="H76" s="83">
        <f t="shared" si="28"/>
        <v>53574</v>
      </c>
      <c r="I76" s="110"/>
      <c r="J76" s="107"/>
      <c r="K76" s="107"/>
      <c r="L76" s="108"/>
      <c r="M76" s="110"/>
      <c r="N76" s="107"/>
      <c r="O76" s="107"/>
      <c r="P76" s="108"/>
      <c r="Q76" s="107"/>
      <c r="R76" s="107"/>
      <c r="S76" s="107"/>
      <c r="T76" s="108"/>
      <c r="U76" s="107"/>
      <c r="V76" s="107"/>
      <c r="W76" s="107"/>
      <c r="X76" s="108"/>
      <c r="Y76" s="107"/>
      <c r="Z76" s="107"/>
      <c r="AA76" s="107"/>
      <c r="AB76" s="108"/>
      <c r="AC76" s="79"/>
    </row>
    <row r="77" spans="1:29" s="8" customFormat="1" x14ac:dyDescent="0.25">
      <c r="A77" s="115">
        <f t="shared" si="27"/>
        <v>53755</v>
      </c>
      <c r="B77" s="89"/>
      <c r="C77" s="90"/>
      <c r="D77" s="90"/>
      <c r="E77" s="90"/>
      <c r="F77" s="90"/>
      <c r="G77" s="118">
        <f t="shared" si="3"/>
        <v>2047</v>
      </c>
      <c r="H77" s="83">
        <f t="shared" si="28"/>
        <v>53755</v>
      </c>
      <c r="I77" s="110"/>
      <c r="J77" s="107"/>
      <c r="K77" s="107"/>
      <c r="L77" s="108"/>
      <c r="M77" s="110"/>
      <c r="N77" s="107"/>
      <c r="O77" s="107"/>
      <c r="P77" s="108"/>
      <c r="Q77" s="107"/>
      <c r="R77" s="107"/>
      <c r="S77" s="107"/>
      <c r="T77" s="108"/>
      <c r="U77" s="107"/>
      <c r="V77" s="107"/>
      <c r="W77" s="107"/>
      <c r="X77" s="108"/>
      <c r="Y77" s="107"/>
      <c r="Z77" s="107"/>
      <c r="AA77" s="107"/>
      <c r="AB77" s="108"/>
      <c r="AC77" s="79"/>
    </row>
    <row r="78" spans="1:29" s="8" customFormat="1" x14ac:dyDescent="0.25">
      <c r="H78" s="92" t="s">
        <v>27</v>
      </c>
      <c r="I78" s="93">
        <f>+SUM(I24:I77)</f>
        <v>8.25</v>
      </c>
      <c r="J78" s="94">
        <f>+SUM(J24:J77)</f>
        <v>100</v>
      </c>
      <c r="K78" s="94"/>
      <c r="L78" s="95">
        <f>+SUM(L24:L77)</f>
        <v>47.913828521654551</v>
      </c>
      <c r="M78" s="93">
        <f>+SUM(M24:M77)</f>
        <v>5.1875</v>
      </c>
      <c r="N78" s="94">
        <f>+SUM(N24:N77)</f>
        <v>99.999999999999986</v>
      </c>
      <c r="O78" s="94"/>
      <c r="P78" s="95">
        <f>+SUM(P24:P77)</f>
        <v>50.743090606336217</v>
      </c>
      <c r="Q78" s="94">
        <f>+SUM(Q24:Q77)</f>
        <v>47.25</v>
      </c>
      <c r="R78" s="94">
        <f>+SUM(R24:R77)</f>
        <v>100</v>
      </c>
      <c r="S78" s="94"/>
      <c r="T78" s="95">
        <f>+SUM(T24:T77)</f>
        <v>48.069347044450879</v>
      </c>
      <c r="U78" s="94">
        <f>+SUM(U24:U77)</f>
        <v>54</v>
      </c>
      <c r="V78" s="94">
        <f>+SUM(V24:V77)</f>
        <v>100.00000000000001</v>
      </c>
      <c r="W78" s="94"/>
      <c r="X78" s="95">
        <f>+SUM(X24:X77)</f>
        <v>53.188304493621956</v>
      </c>
      <c r="Y78" s="94">
        <f>+SUM(Y24:Y77)</f>
        <v>52.866071428571431</v>
      </c>
      <c r="Z78" s="94">
        <f>+SUM(Z24:Z77)</f>
        <v>99.999999999999972</v>
      </c>
      <c r="AA78" s="94"/>
      <c r="AB78" s="95">
        <f>+SUM(AB24:AB77)</f>
        <v>47.229656055223955</v>
      </c>
      <c r="AC78" s="79"/>
    </row>
    <row r="79" spans="1:29" s="8" customFormat="1" x14ac:dyDescent="0.25"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</row>
    <row r="80" spans="1:29" s="8" customFormat="1" x14ac:dyDescent="0.25"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</row>
    <row r="81" spans="9:28" s="8" customFormat="1" x14ac:dyDescent="0.25"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</row>
    <row r="82" spans="9:28" s="8" customFormat="1" x14ac:dyDescent="0.25"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</row>
    <row r="83" spans="9:28" s="8" customFormat="1" x14ac:dyDescent="0.25"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</row>
    <row r="84" spans="9:28" s="8" customFormat="1" x14ac:dyDescent="0.25"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</row>
    <row r="85" spans="9:28" s="8" customFormat="1" x14ac:dyDescent="0.25"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</row>
    <row r="86" spans="9:28" s="8" customFormat="1" x14ac:dyDescent="0.25"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</row>
    <row r="87" spans="9:28" s="8" customFormat="1" x14ac:dyDescent="0.25"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</row>
    <row r="88" spans="9:28" s="8" customFormat="1" x14ac:dyDescent="0.25"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</row>
    <row r="89" spans="9:28" s="8" customFormat="1" x14ac:dyDescent="0.25"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9:28" s="8" customFormat="1" x14ac:dyDescent="0.25"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</row>
    <row r="91" spans="9:28" s="8" customFormat="1" x14ac:dyDescent="0.25"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</row>
    <row r="92" spans="9:28" s="8" customFormat="1" x14ac:dyDescent="0.25"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</row>
    <row r="93" spans="9:28" s="8" customFormat="1" x14ac:dyDescent="0.25"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</row>
    <row r="94" spans="9:28" s="8" customFormat="1" x14ac:dyDescent="0.25"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</row>
    <row r="95" spans="9:28" s="8" customFormat="1" x14ac:dyDescent="0.25"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</row>
    <row r="96" spans="9:28" s="8" customFormat="1" x14ac:dyDescent="0.25"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</row>
    <row r="97" spans="9:28" s="8" customFormat="1" x14ac:dyDescent="0.25"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9:28" s="8" customFormat="1" x14ac:dyDescent="0.25"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9:28" s="8" customFormat="1" x14ac:dyDescent="0.25"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</row>
    <row r="100" spans="9:28" s="8" customFormat="1" x14ac:dyDescent="0.25"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9:28" s="8" customFormat="1" x14ac:dyDescent="0.25"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9:28" s="8" customFormat="1" x14ac:dyDescent="0.25"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9:28" s="8" customFormat="1" x14ac:dyDescent="0.25"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9:28" s="8" customFormat="1" x14ac:dyDescent="0.25"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9:28" s="8" customFormat="1" x14ac:dyDescent="0.25"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9:28" s="8" customFormat="1" x14ac:dyDescent="0.25"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9:28" s="8" customFormat="1" x14ac:dyDescent="0.25"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9:28" s="8" customFormat="1" x14ac:dyDescent="0.25"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9:28" s="8" customFormat="1" x14ac:dyDescent="0.25"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9:28" s="8" customFormat="1" x14ac:dyDescent="0.25"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9:28" s="8" customFormat="1" x14ac:dyDescent="0.25"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9:28" s="8" customFormat="1" x14ac:dyDescent="0.25"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9:28" s="8" customFormat="1" x14ac:dyDescent="0.25"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9:28" s="8" customFormat="1" x14ac:dyDescent="0.25"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  <row r="115" spans="9:28" s="8" customFormat="1" x14ac:dyDescent="0.25"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9:28" s="8" customFormat="1" x14ac:dyDescent="0.25"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</row>
    <row r="117" spans="9:28" s="8" customFormat="1" x14ac:dyDescent="0.25"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</row>
    <row r="118" spans="9:28" s="8" customFormat="1" x14ac:dyDescent="0.25"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</row>
    <row r="119" spans="9:28" s="8" customFormat="1" x14ac:dyDescent="0.25"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</row>
    <row r="120" spans="9:28" s="8" customFormat="1" x14ac:dyDescent="0.25"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</row>
    <row r="121" spans="9:28" s="8" customFormat="1" x14ac:dyDescent="0.25"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</row>
    <row r="122" spans="9:28" s="8" customFormat="1" x14ac:dyDescent="0.25"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</row>
    <row r="123" spans="9:28" s="8" customFormat="1" x14ac:dyDescent="0.25"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</row>
    <row r="124" spans="9:28" s="8" customFormat="1" x14ac:dyDescent="0.25"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</row>
    <row r="125" spans="9:28" s="8" customFormat="1" x14ac:dyDescent="0.25"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</row>
    <row r="126" spans="9:28" s="8" customFormat="1" x14ac:dyDescent="0.25"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</row>
    <row r="127" spans="9:28" s="8" customFormat="1" x14ac:dyDescent="0.25"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</row>
    <row r="128" spans="9:28" s="8" customFormat="1" x14ac:dyDescent="0.25"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</row>
    <row r="129" spans="9:28" s="8" customFormat="1" x14ac:dyDescent="0.25"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</row>
    <row r="130" spans="9:28" s="8" customFormat="1" x14ac:dyDescent="0.25"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</row>
    <row r="131" spans="9:28" s="8" customFormat="1" x14ac:dyDescent="0.25"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</row>
    <row r="132" spans="9:28" s="8" customFormat="1" x14ac:dyDescent="0.25"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</row>
    <row r="133" spans="9:28" s="8" customFormat="1" x14ac:dyDescent="0.25"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</row>
    <row r="134" spans="9:28" s="8" customFormat="1" x14ac:dyDescent="0.25"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</row>
    <row r="135" spans="9:28" s="8" customFormat="1" x14ac:dyDescent="0.25"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</row>
    <row r="136" spans="9:28" s="8" customFormat="1" x14ac:dyDescent="0.25"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</row>
    <row r="137" spans="9:28" s="8" customFormat="1" x14ac:dyDescent="0.25"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</row>
    <row r="138" spans="9:28" s="8" customFormat="1" x14ac:dyDescent="0.25"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</row>
    <row r="139" spans="9:28" s="8" customFormat="1" x14ac:dyDescent="0.25"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</row>
    <row r="140" spans="9:28" s="8" customFormat="1" x14ac:dyDescent="0.25"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</row>
    <row r="141" spans="9:28" s="8" customFormat="1" x14ac:dyDescent="0.25"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</row>
    <row r="142" spans="9:28" s="8" customFormat="1" x14ac:dyDescent="0.25"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</row>
    <row r="143" spans="9:28" s="8" customFormat="1" x14ac:dyDescent="0.25"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</row>
    <row r="144" spans="9:28" s="8" customFormat="1" x14ac:dyDescent="0.25"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</row>
    <row r="145" spans="9:28" s="8" customFormat="1" x14ac:dyDescent="0.25"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9:28" s="8" customFormat="1" x14ac:dyDescent="0.25"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9:28" s="8" customFormat="1" x14ac:dyDescent="0.25"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9:28" s="8" customFormat="1" x14ac:dyDescent="0.25"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9:28" s="8" customFormat="1" x14ac:dyDescent="0.25"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9:28" s="8" customFormat="1" x14ac:dyDescent="0.25"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9:28" s="8" customFormat="1" x14ac:dyDescent="0.25"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9:28" s="8" customFormat="1" x14ac:dyDescent="0.25"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9:28" s="8" customFormat="1" x14ac:dyDescent="0.25"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9:28" s="8" customFormat="1" x14ac:dyDescent="0.25"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9:28" s="8" customFormat="1" x14ac:dyDescent="0.25"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9:28" s="8" customFormat="1" x14ac:dyDescent="0.25"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9:28" s="8" customFormat="1" x14ac:dyDescent="0.25"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9:28" s="8" customFormat="1" x14ac:dyDescent="0.25"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9:28" s="8" customFormat="1" x14ac:dyDescent="0.25"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9:28" s="8" customFormat="1" x14ac:dyDescent="0.25"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9:28" s="8" customFormat="1" x14ac:dyDescent="0.25"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9:28" s="8" customFormat="1" x14ac:dyDescent="0.25"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9:28" s="8" customFormat="1" x14ac:dyDescent="0.25"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9:28" s="8" customFormat="1" x14ac:dyDescent="0.25"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9:28" s="8" customFormat="1" x14ac:dyDescent="0.25"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9:28" s="8" customFormat="1" x14ac:dyDescent="0.25"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9:28" s="8" customFormat="1" x14ac:dyDescent="0.25"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9:28" s="8" customFormat="1" x14ac:dyDescent="0.25"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9:28" s="8" customFormat="1" x14ac:dyDescent="0.25"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9:28" s="8" customFormat="1" x14ac:dyDescent="0.25"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</row>
    <row r="171" spans="9:28" s="8" customFormat="1" x14ac:dyDescent="0.25"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9:28" s="8" customFormat="1" x14ac:dyDescent="0.25"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9:28" s="8" customFormat="1" x14ac:dyDescent="0.25"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9:28" s="8" customFormat="1" x14ac:dyDescent="0.25"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9:28" s="8" customFormat="1" x14ac:dyDescent="0.25"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9:28" s="8" customFormat="1" x14ac:dyDescent="0.25"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9:28" s="8" customFormat="1" x14ac:dyDescent="0.25"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9:28" s="8" customFormat="1" x14ac:dyDescent="0.25"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9:28" s="8" customFormat="1" x14ac:dyDescent="0.25"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9:28" s="8" customFormat="1" x14ac:dyDescent="0.25"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9:28" s="8" customFormat="1" x14ac:dyDescent="0.25"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9:28" s="8" customFormat="1" x14ac:dyDescent="0.25"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9:28" s="8" customFormat="1" x14ac:dyDescent="0.25"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9:28" s="8" customFormat="1" x14ac:dyDescent="0.25"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9:28" s="8" customFormat="1" x14ac:dyDescent="0.25"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9:28" s="8" customFormat="1" x14ac:dyDescent="0.25"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9:28" s="8" customFormat="1" x14ac:dyDescent="0.25"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9:28" s="8" customFormat="1" x14ac:dyDescent="0.25"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9:28" s="8" customFormat="1" x14ac:dyDescent="0.25"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9:28" s="8" customFormat="1" x14ac:dyDescent="0.25"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9:28" s="8" customFormat="1" x14ac:dyDescent="0.25"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9:28" s="8" customFormat="1" x14ac:dyDescent="0.25"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9:28" s="8" customFormat="1" x14ac:dyDescent="0.25"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9:28" s="8" customFormat="1" x14ac:dyDescent="0.25"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9:28" s="8" customFormat="1" x14ac:dyDescent="0.25"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9:28" s="8" customFormat="1" x14ac:dyDescent="0.25"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</row>
    <row r="197" spans="9:28" s="8" customFormat="1" x14ac:dyDescent="0.25"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9:28" s="8" customFormat="1" x14ac:dyDescent="0.25"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9:28" s="8" customFormat="1" x14ac:dyDescent="0.25"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9:28" s="8" customFormat="1" x14ac:dyDescent="0.25"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9:28" s="8" customFormat="1" x14ac:dyDescent="0.25"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9:28" s="8" customFormat="1" x14ac:dyDescent="0.25"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9:28" s="8" customFormat="1" x14ac:dyDescent="0.25"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9:28" s="8" customFormat="1" x14ac:dyDescent="0.25"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9:28" s="8" customFormat="1" x14ac:dyDescent="0.25"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9:28" s="8" customFormat="1" x14ac:dyDescent="0.25"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9:28" s="8" customFormat="1" x14ac:dyDescent="0.25"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9:28" s="8" customFormat="1" x14ac:dyDescent="0.25"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9:28" s="8" customFormat="1" x14ac:dyDescent="0.25"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9:28" s="8" customFormat="1" x14ac:dyDescent="0.25"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9:28" s="8" customFormat="1" x14ac:dyDescent="0.25"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9:28" s="8" customFormat="1" x14ac:dyDescent="0.25"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9:28" s="8" customFormat="1" x14ac:dyDescent="0.25"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9:28" s="8" customFormat="1" x14ac:dyDescent="0.25"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9:28" s="8" customFormat="1" x14ac:dyDescent="0.25"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9:28" s="8" customFormat="1" x14ac:dyDescent="0.25"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9:28" s="8" customFormat="1" x14ac:dyDescent="0.25"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9:28" s="8" customFormat="1" x14ac:dyDescent="0.25"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9:28" s="8" customFormat="1" x14ac:dyDescent="0.25"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9:28" s="8" customFormat="1" x14ac:dyDescent="0.25"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9:28" s="8" customFormat="1" x14ac:dyDescent="0.25"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</row>
    <row r="222" spans="9:28" s="8" customFormat="1" x14ac:dyDescent="0.25"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</row>
    <row r="223" spans="9:28" s="8" customFormat="1" x14ac:dyDescent="0.25"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</row>
    <row r="224" spans="9:28" s="8" customFormat="1" x14ac:dyDescent="0.25"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</row>
    <row r="225" spans="9:28" s="8" customFormat="1" x14ac:dyDescent="0.25"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</row>
    <row r="226" spans="9:28" s="8" customFormat="1" x14ac:dyDescent="0.25"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</row>
    <row r="227" spans="9:28" s="8" customFormat="1" x14ac:dyDescent="0.25"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</row>
    <row r="228" spans="9:28" s="8" customFormat="1" x14ac:dyDescent="0.25"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</row>
    <row r="229" spans="9:28" s="8" customFormat="1" x14ac:dyDescent="0.25"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</row>
    <row r="230" spans="9:28" s="8" customFormat="1" x14ac:dyDescent="0.25"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</row>
    <row r="231" spans="9:28" s="8" customFormat="1" x14ac:dyDescent="0.25"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</row>
    <row r="232" spans="9:28" s="8" customFormat="1" x14ac:dyDescent="0.25"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</row>
    <row r="233" spans="9:28" s="8" customFormat="1" x14ac:dyDescent="0.25"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</row>
    <row r="234" spans="9:28" s="8" customFormat="1" x14ac:dyDescent="0.25"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</row>
    <row r="235" spans="9:28" s="8" customFormat="1" x14ac:dyDescent="0.25"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</row>
    <row r="236" spans="9:28" s="8" customFormat="1" x14ac:dyDescent="0.25"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9:28" s="8" customFormat="1" x14ac:dyDescent="0.25"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</row>
    <row r="238" spans="9:28" s="8" customFormat="1" x14ac:dyDescent="0.25"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</row>
    <row r="239" spans="9:28" s="8" customFormat="1" x14ac:dyDescent="0.25"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</row>
  </sheetData>
  <mergeCells count="6">
    <mergeCell ref="Y22:AB22"/>
    <mergeCell ref="B23:F23"/>
    <mergeCell ref="I22:L22"/>
    <mergeCell ref="M22:P22"/>
    <mergeCell ref="Q22:T22"/>
    <mergeCell ref="U22:X2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2722-D0A9-4DCD-B978-856D6ABD8FE8}">
  <dimension ref="A1:Q236"/>
  <sheetViews>
    <sheetView showGridLines="0" zoomScaleNormal="100" workbookViewId="0"/>
  </sheetViews>
  <sheetFormatPr baseColWidth="10" defaultColWidth="11.42578125" defaultRowHeight="15" x14ac:dyDescent="0.25"/>
  <cols>
    <col min="1" max="1" width="35.42578125" style="6" customWidth="1"/>
    <col min="2" max="2" width="14.42578125" style="6" bestFit="1" customWidth="1"/>
    <col min="3" max="3" width="14.7109375" style="6" bestFit="1" customWidth="1"/>
    <col min="4" max="4" width="10.85546875" style="6" bestFit="1" customWidth="1"/>
    <col min="5" max="5" width="12.28515625" style="6" bestFit="1" customWidth="1"/>
    <col min="6" max="6" width="8" style="6" bestFit="1" customWidth="1"/>
    <col min="7" max="7" width="11.5703125" style="6" bestFit="1" customWidth="1"/>
    <col min="8" max="8" width="8.7109375" style="6" bestFit="1" customWidth="1"/>
    <col min="9" max="9" width="12.7109375" style="3" bestFit="1" customWidth="1"/>
    <col min="10" max="10" width="6.7109375" style="3" bestFit="1" customWidth="1"/>
    <col min="11" max="11" width="11.5703125" style="3" bestFit="1" customWidth="1"/>
    <col min="12" max="12" width="8.7109375" bestFit="1" customWidth="1"/>
    <col min="13" max="13" width="12.7109375" style="3" bestFit="1" customWidth="1"/>
    <col min="14" max="16384" width="11.42578125" style="6"/>
  </cols>
  <sheetData>
    <row r="1" spans="1:17" s="23" customFormat="1" ht="15.75" x14ac:dyDescent="0.25">
      <c r="A1" s="15" t="s">
        <v>143</v>
      </c>
      <c r="B1" s="27"/>
      <c r="C1" s="27"/>
      <c r="I1" s="173"/>
      <c r="J1" s="174"/>
      <c r="K1" s="50"/>
      <c r="M1" s="50"/>
    </row>
    <row r="2" spans="1:17" s="23" customFormat="1" x14ac:dyDescent="0.25">
      <c r="A2" s="23" t="s">
        <v>2</v>
      </c>
      <c r="C2" s="27"/>
      <c r="I2" s="173"/>
      <c r="J2" s="175"/>
      <c r="K2" s="50"/>
      <c r="L2" s="309"/>
      <c r="M2" s="50"/>
    </row>
    <row r="3" spans="1:17" x14ac:dyDescent="0.25">
      <c r="A3" s="23" t="s">
        <v>4</v>
      </c>
      <c r="D3" s="23"/>
      <c r="E3" s="23"/>
      <c r="F3" s="23"/>
      <c r="I3" s="173"/>
      <c r="J3" s="175"/>
    </row>
    <row r="4" spans="1:17" x14ac:dyDescent="0.25">
      <c r="D4" s="23"/>
      <c r="E4" s="23"/>
      <c r="F4" s="23"/>
    </row>
    <row r="5" spans="1:17" x14ac:dyDescent="0.25">
      <c r="A5" s="52" t="s">
        <v>144</v>
      </c>
      <c r="B5" s="176">
        <v>0.09</v>
      </c>
      <c r="C5" s="177"/>
      <c r="E5" s="23"/>
      <c r="F5" s="23"/>
      <c r="N5" s="50"/>
      <c r="O5" s="23"/>
      <c r="P5" s="23"/>
      <c r="Q5" s="23"/>
    </row>
    <row r="6" spans="1:17" s="16" customFormat="1" ht="25.5" customHeight="1" x14ac:dyDescent="0.25">
      <c r="A6" s="75" t="s">
        <v>6</v>
      </c>
      <c r="B6" s="75" t="s">
        <v>43</v>
      </c>
      <c r="C6" s="77" t="s">
        <v>44</v>
      </c>
      <c r="D6" s="178"/>
      <c r="E6" s="103"/>
      <c r="F6" s="395" t="s">
        <v>43</v>
      </c>
      <c r="G6" s="391"/>
      <c r="H6" s="391"/>
      <c r="I6" s="392"/>
      <c r="J6" s="395" t="s">
        <v>44</v>
      </c>
      <c r="K6" s="391"/>
      <c r="L6" s="391"/>
      <c r="M6" s="392"/>
    </row>
    <row r="7" spans="1:17" ht="12.75" x14ac:dyDescent="0.25">
      <c r="A7" s="55" t="s">
        <v>7</v>
      </c>
      <c r="B7" s="179">
        <v>44078</v>
      </c>
      <c r="C7" s="179">
        <f>$B$7</f>
        <v>44078</v>
      </c>
      <c r="D7" s="180"/>
      <c r="E7" s="396" t="s">
        <v>22</v>
      </c>
      <c r="F7" s="398"/>
      <c r="G7" s="399"/>
      <c r="H7" s="98"/>
      <c r="I7" s="99"/>
      <c r="J7" s="398"/>
      <c r="K7" s="399"/>
      <c r="L7" s="98"/>
      <c r="M7" s="99"/>
    </row>
    <row r="8" spans="1:17" ht="12.75" x14ac:dyDescent="0.25">
      <c r="A8" s="55" t="s">
        <v>8</v>
      </c>
      <c r="B8" s="179">
        <v>46330</v>
      </c>
      <c r="C8" s="179">
        <v>47061</v>
      </c>
      <c r="D8" s="180"/>
      <c r="E8" s="397"/>
      <c r="F8" s="97" t="s">
        <v>23</v>
      </c>
      <c r="G8" s="98" t="s">
        <v>76</v>
      </c>
      <c r="H8" s="98" t="s">
        <v>25</v>
      </c>
      <c r="I8" s="99" t="s">
        <v>26</v>
      </c>
      <c r="J8" s="97" t="s">
        <v>23</v>
      </c>
      <c r="K8" s="98" t="s">
        <v>76</v>
      </c>
      <c r="L8" s="98" t="s">
        <v>25</v>
      </c>
      <c r="M8" s="99" t="s">
        <v>26</v>
      </c>
    </row>
    <row r="9" spans="1:17" ht="12.75" x14ac:dyDescent="0.25">
      <c r="A9" s="55" t="s">
        <v>9</v>
      </c>
      <c r="B9" s="179" t="s">
        <v>77</v>
      </c>
      <c r="C9" s="179" t="s">
        <v>77</v>
      </c>
      <c r="D9" s="180"/>
      <c r="E9" s="83">
        <f>+B7</f>
        <v>44078</v>
      </c>
      <c r="F9" s="181"/>
      <c r="G9" s="182"/>
      <c r="H9" s="182"/>
      <c r="I9" s="183"/>
      <c r="J9" s="181"/>
      <c r="K9" s="182"/>
      <c r="L9" s="182"/>
      <c r="M9" s="183"/>
    </row>
    <row r="10" spans="1:17" ht="12.75" x14ac:dyDescent="0.25">
      <c r="A10" s="55" t="s">
        <v>11</v>
      </c>
      <c r="B10" s="186">
        <f>+YEARFRAC(B7,B8)</f>
        <v>6.166666666666667</v>
      </c>
      <c r="C10" s="186">
        <f>+YEARFRAC(C7,C8)</f>
        <v>8.1666666666666661</v>
      </c>
      <c r="D10" s="180"/>
      <c r="E10" s="83">
        <v>44320</v>
      </c>
      <c r="F10" s="187">
        <f>+$B$11/360*DAYS360($E9,$E10)*($B$17-SUM(G$9:G9))</f>
        <v>1.3333333333333335</v>
      </c>
      <c r="G10" s="188">
        <f t="shared" ref="G10:G21" si="0">+IF($E10&gt;$B$8,"FIN",IF($E10&lt;$B$16,0,$B$17/$B$14))</f>
        <v>0</v>
      </c>
      <c r="H10" s="188">
        <f>+SUM(F10:G10)</f>
        <v>1.3333333333333335</v>
      </c>
      <c r="I10" s="189">
        <f>H10/(1+$B$5)^(YEARFRAC($E$9,$E10))</f>
        <v>1.2588898673657571</v>
      </c>
      <c r="J10" s="187">
        <f>+$C$11/360*DAYS360($E9,$E10)*($C$17-SUM(K$9:K9))</f>
        <v>1.5</v>
      </c>
      <c r="K10" s="188">
        <f t="shared" ref="K10:K25" si="1">+IF($E10&gt;$C$8,"FIN",IF($E10&lt;$C$16,0,$C$17/$C$14))</f>
        <v>0</v>
      </c>
      <c r="L10" s="188">
        <f>+SUM(J10:K10)</f>
        <v>1.5</v>
      </c>
      <c r="M10" s="189">
        <f>L10/(1+$B$5)^(YEARFRAC($E$9,$E10))</f>
        <v>1.4162511007864766</v>
      </c>
    </row>
    <row r="11" spans="1:17" ht="12.75" x14ac:dyDescent="0.25">
      <c r="A11" s="55" t="s">
        <v>134</v>
      </c>
      <c r="B11" s="191">
        <v>0.02</v>
      </c>
      <c r="C11" s="192">
        <v>2.2499999999999999E-2</v>
      </c>
      <c r="D11" s="180"/>
      <c r="E11" s="83">
        <v>44504</v>
      </c>
      <c r="F11" s="187">
        <f>+$B$11/360*DAYS360($E10,$E11)*($B$17-SUM(G$9:G10))</f>
        <v>1</v>
      </c>
      <c r="G11" s="188">
        <f t="shared" si="0"/>
        <v>0</v>
      </c>
      <c r="H11" s="188">
        <f t="shared" ref="H11:H21" si="2">+SUM(F11:G11)</f>
        <v>1</v>
      </c>
      <c r="I11" s="189">
        <f t="shared" ref="I11:I21" si="3">H11/(1+$B$5)^(YEARFRAC($E$9,$E11))</f>
        <v>0.90434835387111823</v>
      </c>
      <c r="J11" s="187">
        <f>+$C$11/360*DAYS360($E10,$E11)*($C$17-SUM(K$9:K10))</f>
        <v>1.125</v>
      </c>
      <c r="K11" s="188">
        <f t="shared" si="1"/>
        <v>0</v>
      </c>
      <c r="L11" s="188">
        <f t="shared" ref="L11:L25" si="4">+SUM(J11:K11)</f>
        <v>1.125</v>
      </c>
      <c r="M11" s="189">
        <f t="shared" ref="M11:M25" si="5">L11/(1+$B$5)^(YEARFRAC($E$9,$E11))</f>
        <v>1.0173918981050081</v>
      </c>
    </row>
    <row r="12" spans="1:17" ht="12.75" x14ac:dyDescent="0.25">
      <c r="A12" s="55" t="s">
        <v>14</v>
      </c>
      <c r="B12" s="179">
        <v>44320</v>
      </c>
      <c r="C12" s="179">
        <v>44320</v>
      </c>
      <c r="D12" s="180"/>
      <c r="E12" s="83">
        <v>44685</v>
      </c>
      <c r="F12" s="187">
        <f>+$B$11/360*DAYS360($E11,$E12)*($B$17-SUM(G$9:G11))</f>
        <v>1</v>
      </c>
      <c r="G12" s="188">
        <f t="shared" si="0"/>
        <v>0</v>
      </c>
      <c r="H12" s="188">
        <f t="shared" si="2"/>
        <v>1</v>
      </c>
      <c r="I12" s="189">
        <f t="shared" si="3"/>
        <v>0.8662086243342364</v>
      </c>
      <c r="J12" s="187">
        <f>+$C$11/360*DAYS360($E11,$E12)*($C$17-SUM(K$9:K11))</f>
        <v>1.125</v>
      </c>
      <c r="K12" s="188">
        <f t="shared" si="1"/>
        <v>0</v>
      </c>
      <c r="L12" s="188">
        <f t="shared" si="4"/>
        <v>1.125</v>
      </c>
      <c r="M12" s="189">
        <f t="shared" si="5"/>
        <v>0.97448470237601592</v>
      </c>
    </row>
    <row r="13" spans="1:17" ht="12.75" x14ac:dyDescent="0.25">
      <c r="A13" s="190" t="s">
        <v>79</v>
      </c>
      <c r="B13" s="195" t="s">
        <v>0</v>
      </c>
      <c r="C13" s="195" t="s">
        <v>0</v>
      </c>
      <c r="D13" s="180"/>
      <c r="E13" s="83">
        <v>44869</v>
      </c>
      <c r="F13" s="187">
        <f>+$B$11/360*DAYS360($E12,$E13)*($B$17-SUM(G$9:G12))</f>
        <v>1</v>
      </c>
      <c r="G13" s="188">
        <f t="shared" si="0"/>
        <v>0</v>
      </c>
      <c r="H13" s="188">
        <f t="shared" si="2"/>
        <v>1</v>
      </c>
      <c r="I13" s="189">
        <f t="shared" si="3"/>
        <v>0.82967738887258558</v>
      </c>
      <c r="J13" s="187">
        <f>+$C$11/360*DAYS360($E12,$E13)*($C$17-SUM(K$9:K12))</f>
        <v>1.125</v>
      </c>
      <c r="K13" s="188">
        <f t="shared" si="1"/>
        <v>0</v>
      </c>
      <c r="L13" s="188">
        <f t="shared" si="4"/>
        <v>1.125</v>
      </c>
      <c r="M13" s="189">
        <f t="shared" si="5"/>
        <v>0.93338706248165881</v>
      </c>
    </row>
    <row r="14" spans="1:17" ht="12.75" x14ac:dyDescent="0.25">
      <c r="A14" s="55" t="s">
        <v>135</v>
      </c>
      <c r="B14" s="193">
        <v>4</v>
      </c>
      <c r="C14" s="193">
        <v>8</v>
      </c>
      <c r="D14" s="180"/>
      <c r="E14" s="83">
        <v>45050</v>
      </c>
      <c r="F14" s="187">
        <f>+$B$11/360*DAYS360($E13,$E14)*($B$17-SUM(G$9:G13))</f>
        <v>1</v>
      </c>
      <c r="G14" s="188">
        <f t="shared" si="0"/>
        <v>0</v>
      </c>
      <c r="H14" s="188">
        <f t="shared" si="2"/>
        <v>1</v>
      </c>
      <c r="I14" s="189">
        <f t="shared" si="3"/>
        <v>0.7946868113158132</v>
      </c>
      <c r="J14" s="187">
        <f>+$C$11/360*DAYS360($E13,$E14)*($C$17-SUM(K$9:K13))</f>
        <v>1.125</v>
      </c>
      <c r="K14" s="188">
        <f t="shared" si="1"/>
        <v>0</v>
      </c>
      <c r="L14" s="188">
        <f t="shared" si="4"/>
        <v>1.125</v>
      </c>
      <c r="M14" s="189">
        <f t="shared" si="5"/>
        <v>0.89402266273028985</v>
      </c>
    </row>
    <row r="15" spans="1:17" ht="12.75" x14ac:dyDescent="0.25">
      <c r="A15" s="55" t="s">
        <v>80</v>
      </c>
      <c r="B15" s="193" t="s">
        <v>81</v>
      </c>
      <c r="C15" s="193" t="s">
        <v>81</v>
      </c>
      <c r="D15" s="180"/>
      <c r="E15" s="83">
        <v>45234</v>
      </c>
      <c r="F15" s="187">
        <f>+$B$11/360*DAYS360($E14,$E15)*($B$17-SUM(G$9:G14))</f>
        <v>1</v>
      </c>
      <c r="G15" s="188">
        <f t="shared" si="0"/>
        <v>0</v>
      </c>
      <c r="H15" s="188">
        <f t="shared" si="2"/>
        <v>1</v>
      </c>
      <c r="I15" s="189">
        <f t="shared" si="3"/>
        <v>0.76117191639686743</v>
      </c>
      <c r="J15" s="187">
        <f>+$C$11/360*DAYS360($E14,$E15)*($C$17-SUM(K$9:K14))</f>
        <v>1.125</v>
      </c>
      <c r="K15" s="188">
        <f t="shared" si="1"/>
        <v>0</v>
      </c>
      <c r="L15" s="188">
        <f t="shared" si="4"/>
        <v>1.125</v>
      </c>
      <c r="M15" s="189">
        <f t="shared" si="5"/>
        <v>0.8563184059464759</v>
      </c>
    </row>
    <row r="16" spans="1:17" ht="12.75" x14ac:dyDescent="0.25">
      <c r="A16" s="190" t="s">
        <v>18</v>
      </c>
      <c r="B16" s="195">
        <v>45781</v>
      </c>
      <c r="C16" s="195">
        <v>45781</v>
      </c>
      <c r="D16" s="180"/>
      <c r="E16" s="83">
        <v>45416</v>
      </c>
      <c r="F16" s="187">
        <f>+$B$11/360*DAYS360($E15,$E16)*($B$17-SUM(G$9:G15))</f>
        <v>1</v>
      </c>
      <c r="G16" s="188">
        <f t="shared" si="0"/>
        <v>0</v>
      </c>
      <c r="H16" s="188">
        <f t="shared" si="2"/>
        <v>1</v>
      </c>
      <c r="I16" s="189">
        <f t="shared" si="3"/>
        <v>0.72907046909707618</v>
      </c>
      <c r="J16" s="187">
        <f>+$C$11/360*DAYS360($E15,$E16)*($C$17-SUM(K$9:K15))</f>
        <v>1.125</v>
      </c>
      <c r="K16" s="188">
        <f t="shared" si="1"/>
        <v>0</v>
      </c>
      <c r="L16" s="188">
        <f t="shared" si="4"/>
        <v>1.125</v>
      </c>
      <c r="M16" s="189">
        <f t="shared" si="5"/>
        <v>0.82020427773421078</v>
      </c>
    </row>
    <row r="17" spans="1:14" ht="12.75" x14ac:dyDescent="0.25">
      <c r="A17" s="196" t="s">
        <v>137</v>
      </c>
      <c r="B17" s="197">
        <v>100</v>
      </c>
      <c r="C17" s="197">
        <v>100</v>
      </c>
      <c r="D17" s="180"/>
      <c r="E17" s="83">
        <v>45600</v>
      </c>
      <c r="F17" s="187">
        <f>+$B$11/360*DAYS360($E16,$E17)*($B$17-SUM(G$9:G16))</f>
        <v>1</v>
      </c>
      <c r="G17" s="188">
        <f t="shared" si="0"/>
        <v>0</v>
      </c>
      <c r="H17" s="188">
        <f t="shared" si="2"/>
        <v>1</v>
      </c>
      <c r="I17" s="189">
        <f t="shared" si="3"/>
        <v>0.69832285907969482</v>
      </c>
      <c r="J17" s="187">
        <f>+$C$11/360*DAYS360($E16,$E17)*($C$17-SUM(K$9:K16))</f>
        <v>1.125</v>
      </c>
      <c r="K17" s="188">
        <f t="shared" si="1"/>
        <v>0</v>
      </c>
      <c r="L17" s="188">
        <f t="shared" si="4"/>
        <v>1.125</v>
      </c>
      <c r="M17" s="189">
        <f t="shared" si="5"/>
        <v>0.78561321646465665</v>
      </c>
    </row>
    <row r="18" spans="1:14" ht="12.75" x14ac:dyDescent="0.25">
      <c r="A18" s="54" t="s">
        <v>139</v>
      </c>
      <c r="B18" s="198">
        <f>$I$26</f>
        <v>71.21909802686055</v>
      </c>
      <c r="C18" s="198">
        <f>$M$26</f>
        <v>68.575267875336607</v>
      </c>
      <c r="D18" s="180"/>
      <c r="E18" s="83">
        <v>45781</v>
      </c>
      <c r="F18" s="187">
        <f>+$B$11/360*DAYS360($E17,$E18)*($B$17-SUM(G$9:G17))</f>
        <v>1</v>
      </c>
      <c r="G18" s="188">
        <f t="shared" si="0"/>
        <v>25</v>
      </c>
      <c r="H18" s="188">
        <f t="shared" si="2"/>
        <v>26</v>
      </c>
      <c r="I18" s="189">
        <f t="shared" si="3"/>
        <v>17.390671739930259</v>
      </c>
      <c r="J18" s="187">
        <f>+$C$11/360*DAYS360($E17,$E18)*($C$17-SUM(K$9:K17))</f>
        <v>1.125</v>
      </c>
      <c r="K18" s="188">
        <f t="shared" si="1"/>
        <v>12.5</v>
      </c>
      <c r="L18" s="188">
        <f t="shared" si="4"/>
        <v>13.625</v>
      </c>
      <c r="M18" s="189">
        <f t="shared" si="5"/>
        <v>9.1133808637134521</v>
      </c>
    </row>
    <row r="19" spans="1:14" ht="12.75" x14ac:dyDescent="0.25">
      <c r="A19" s="79"/>
      <c r="B19" s="79"/>
      <c r="C19" s="79"/>
      <c r="D19" s="180"/>
      <c r="E19" s="83">
        <v>45965</v>
      </c>
      <c r="F19" s="187">
        <f>+$B$11/360*DAYS360($E18,$E19)*($B$17-SUM(G$9:G18))</f>
        <v>0.75</v>
      </c>
      <c r="G19" s="188">
        <f t="shared" si="0"/>
        <v>25</v>
      </c>
      <c r="H19" s="188">
        <f t="shared" si="2"/>
        <v>25.75</v>
      </c>
      <c r="I19" s="189">
        <f t="shared" si="3"/>
        <v>16.497076716790954</v>
      </c>
      <c r="J19" s="187">
        <f>+$C$11/360*DAYS360($E18,$E19)*($C$17-SUM(K$9:K18))</f>
        <v>0.984375</v>
      </c>
      <c r="K19" s="188">
        <f t="shared" si="1"/>
        <v>12.5</v>
      </c>
      <c r="L19" s="188">
        <f t="shared" si="4"/>
        <v>13.484375</v>
      </c>
      <c r="M19" s="189">
        <f t="shared" si="5"/>
        <v>8.6389424797273016</v>
      </c>
    </row>
    <row r="20" spans="1:14" ht="12.75" x14ac:dyDescent="0.25">
      <c r="A20" s="79"/>
      <c r="B20" s="79"/>
      <c r="C20" s="79"/>
      <c r="D20" s="180"/>
      <c r="E20" s="83">
        <v>46146</v>
      </c>
      <c r="F20" s="187">
        <f>+$B$11/360*DAYS360($E19,$E20)*($B$17-SUM(G$9:G19))</f>
        <v>0.5</v>
      </c>
      <c r="G20" s="188">
        <f t="shared" si="0"/>
        <v>25</v>
      </c>
      <c r="H20" s="188">
        <f t="shared" si="2"/>
        <v>25.5</v>
      </c>
      <c r="I20" s="189">
        <f t="shared" si="3"/>
        <v>15.647922701772108</v>
      </c>
      <c r="J20" s="187">
        <f>+$C$11/360*DAYS360($E19,$E20)*($C$17-SUM(K$9:K19))</f>
        <v>0.84375</v>
      </c>
      <c r="K20" s="188">
        <f t="shared" si="1"/>
        <v>12.5</v>
      </c>
      <c r="L20" s="188">
        <f t="shared" si="4"/>
        <v>13.34375</v>
      </c>
      <c r="M20" s="189">
        <f t="shared" si="5"/>
        <v>8.1883124922263359</v>
      </c>
    </row>
    <row r="21" spans="1:14" ht="12.75" x14ac:dyDescent="0.25">
      <c r="A21" s="79"/>
      <c r="B21" s="79"/>
      <c r="C21" s="79"/>
      <c r="D21" s="180"/>
      <c r="E21" s="83">
        <v>46330</v>
      </c>
      <c r="F21" s="187">
        <f>+$B$11/360*DAYS360($E20,$E21)*($B$17-SUM(G$9:G20))</f>
        <v>0.25</v>
      </c>
      <c r="G21" s="188">
        <f t="shared" si="0"/>
        <v>25</v>
      </c>
      <c r="H21" s="188">
        <f t="shared" si="2"/>
        <v>25.25</v>
      </c>
      <c r="I21" s="189">
        <f t="shared" si="3"/>
        <v>14.84105057803408</v>
      </c>
      <c r="J21" s="187">
        <f>+$C$11/360*DAYS360($E20,$E21)*($C$17-SUM(K$9:K20))</f>
        <v>0.703125</v>
      </c>
      <c r="K21" s="188">
        <f t="shared" si="1"/>
        <v>12.5</v>
      </c>
      <c r="L21" s="188">
        <f t="shared" si="4"/>
        <v>13.203125</v>
      </c>
      <c r="M21" s="189">
        <f t="shared" si="5"/>
        <v>7.7603265708160878</v>
      </c>
    </row>
    <row r="22" spans="1:14" ht="12.75" x14ac:dyDescent="0.25">
      <c r="A22" s="79"/>
      <c r="B22" s="79"/>
      <c r="C22" s="79"/>
      <c r="D22" s="180"/>
      <c r="E22" s="83">
        <v>46511</v>
      </c>
      <c r="F22" s="187"/>
      <c r="G22" s="188"/>
      <c r="H22" s="188"/>
      <c r="I22" s="189"/>
      <c r="J22" s="187">
        <f>+$C$11/360*DAYS360($E21,$E22)*($C$17-SUM(K$9:K21))</f>
        <v>0.5625</v>
      </c>
      <c r="K22" s="188">
        <f t="shared" si="1"/>
        <v>12.5</v>
      </c>
      <c r="L22" s="188">
        <f t="shared" si="4"/>
        <v>13.0625</v>
      </c>
      <c r="M22" s="189">
        <f t="shared" si="5"/>
        <v>7.3538762472350481</v>
      </c>
    </row>
    <row r="23" spans="1:14" ht="12.75" x14ac:dyDescent="0.25">
      <c r="A23" s="79"/>
      <c r="B23" s="79"/>
      <c r="C23" s="79"/>
      <c r="D23" s="180"/>
      <c r="E23" s="83">
        <v>46695</v>
      </c>
      <c r="F23" s="187"/>
      <c r="G23" s="188"/>
      <c r="H23" s="188"/>
      <c r="I23" s="189"/>
      <c r="J23" s="187">
        <f>+$C$11/360*DAYS360($E22,$E23)*($C$17-SUM(K$9:K22))</f>
        <v>0.421875</v>
      </c>
      <c r="K23" s="188">
        <f t="shared" si="1"/>
        <v>12.5</v>
      </c>
      <c r="L23" s="188">
        <f t="shared" si="4"/>
        <v>12.921875</v>
      </c>
      <c r="M23" s="189">
        <f t="shared" si="5"/>
        <v>6.9679062744312503</v>
      </c>
    </row>
    <row r="24" spans="1:14" s="3" customFormat="1" ht="12.75" x14ac:dyDescent="0.25">
      <c r="A24" s="79"/>
      <c r="B24" s="79"/>
      <c r="C24" s="79"/>
      <c r="D24" s="79"/>
      <c r="E24" s="83">
        <v>46877</v>
      </c>
      <c r="F24" s="187"/>
      <c r="G24" s="188"/>
      <c r="H24" s="188"/>
      <c r="I24" s="189"/>
      <c r="J24" s="187">
        <f>+$C$11/360*DAYS360($E23,$E24)*($C$17-SUM(K$9:K23))</f>
        <v>0.28125</v>
      </c>
      <c r="K24" s="188">
        <f t="shared" si="1"/>
        <v>12.5</v>
      </c>
      <c r="L24" s="188">
        <f t="shared" si="4"/>
        <v>12.78125</v>
      </c>
      <c r="M24" s="189">
        <f t="shared" si="5"/>
        <v>6.6014121090363336</v>
      </c>
      <c r="N24" s="8"/>
    </row>
    <row r="25" spans="1:14" s="3" customFormat="1" ht="12.75" x14ac:dyDescent="0.25">
      <c r="A25" s="79"/>
      <c r="B25" s="79"/>
      <c r="C25" s="79"/>
      <c r="D25" s="79"/>
      <c r="E25" s="83">
        <v>47061</v>
      </c>
      <c r="F25" s="199"/>
      <c r="G25" s="200"/>
      <c r="H25" s="188"/>
      <c r="I25" s="189"/>
      <c r="J25" s="187">
        <f>+$C$11/360*DAYS360($E24,$E25)*($C$17-SUM(K$9:K24))</f>
        <v>0.140625</v>
      </c>
      <c r="K25" s="188">
        <f t="shared" si="1"/>
        <v>12.5</v>
      </c>
      <c r="L25" s="188">
        <f t="shared" si="4"/>
        <v>12.640625</v>
      </c>
      <c r="M25" s="189">
        <f t="shared" si="5"/>
        <v>6.2534375115260001</v>
      </c>
      <c r="N25" s="8"/>
    </row>
    <row r="26" spans="1:14" ht="12.75" x14ac:dyDescent="0.25">
      <c r="A26" s="79"/>
      <c r="B26" s="79"/>
      <c r="C26" s="79"/>
      <c r="D26" s="79"/>
      <c r="E26" s="132" t="s">
        <v>27</v>
      </c>
      <c r="F26" s="201">
        <f>+SUM(F9:F25)</f>
        <v>10.833333333333334</v>
      </c>
      <c r="G26" s="202">
        <f>+SUM(G9:G25)</f>
        <v>100</v>
      </c>
      <c r="H26" s="202"/>
      <c r="I26" s="203">
        <f>+SUM(I9:I25)</f>
        <v>71.21909802686055</v>
      </c>
      <c r="J26" s="201">
        <f>+SUM(J9:J25)</f>
        <v>14.4375</v>
      </c>
      <c r="K26" s="202">
        <f>+SUM(K9:K25)</f>
        <v>100</v>
      </c>
      <c r="L26" s="202">
        <f>+SUM(L9:L25)</f>
        <v>114.4375</v>
      </c>
      <c r="M26" s="203">
        <f t="shared" ref="M26" si="6">+SUM(M9:M25)</f>
        <v>68.575267875336607</v>
      </c>
      <c r="N26" s="8"/>
    </row>
    <row r="27" spans="1:14" s="103" customFormat="1" ht="12.75" x14ac:dyDescent="0.25">
      <c r="A27" s="79"/>
      <c r="B27" s="79"/>
      <c r="C27" s="79"/>
      <c r="D27" s="79"/>
      <c r="E27" s="8"/>
      <c r="F27" s="79"/>
      <c r="G27" s="79"/>
      <c r="H27" s="79"/>
      <c r="I27" s="79"/>
      <c r="J27" s="79"/>
      <c r="K27" s="79"/>
      <c r="M27" s="79"/>
      <c r="N27" s="8"/>
    </row>
    <row r="28" spans="1:14" s="7" customFormat="1" ht="12.75" x14ac:dyDescent="0.25">
      <c r="A28" s="79"/>
      <c r="B28" s="79"/>
      <c r="C28" s="79"/>
      <c r="D28" s="79"/>
      <c r="E28" s="8"/>
      <c r="F28" s="79"/>
      <c r="G28" s="79"/>
      <c r="H28" s="79"/>
      <c r="I28" s="79"/>
      <c r="J28" s="79"/>
      <c r="K28" s="79"/>
      <c r="M28" s="79"/>
      <c r="N28" s="8"/>
    </row>
    <row r="29" spans="1:14" s="8" customFormat="1" ht="12.75" x14ac:dyDescent="0.25">
      <c r="A29" s="79"/>
      <c r="B29" s="79"/>
      <c r="C29" s="79"/>
      <c r="D29" s="79"/>
      <c r="F29" s="79"/>
      <c r="G29" s="79"/>
      <c r="H29" s="79"/>
      <c r="I29" s="79"/>
      <c r="J29" s="79"/>
      <c r="K29" s="79"/>
      <c r="M29" s="79"/>
    </row>
    <row r="30" spans="1:14" s="8" customFormat="1" ht="12.75" x14ac:dyDescent="0.25">
      <c r="A30" s="79"/>
      <c r="B30" s="79"/>
      <c r="C30" s="79"/>
      <c r="D30" s="79"/>
      <c r="F30" s="79"/>
      <c r="G30" s="79"/>
      <c r="H30" s="79"/>
      <c r="I30" s="79"/>
      <c r="J30" s="79"/>
      <c r="K30" s="79"/>
      <c r="M30" s="79"/>
    </row>
    <row r="31" spans="1:14" s="8" customFormat="1" ht="12.75" x14ac:dyDescent="0.25">
      <c r="A31" s="104"/>
      <c r="B31" s="104"/>
      <c r="C31" s="104"/>
      <c r="D31" s="79"/>
      <c r="F31" s="79"/>
      <c r="G31" s="79"/>
      <c r="H31" s="79"/>
      <c r="I31" s="79"/>
      <c r="J31" s="79"/>
      <c r="K31" s="79"/>
      <c r="M31" s="79"/>
    </row>
    <row r="32" spans="1:14" s="8" customFormat="1" ht="12.75" x14ac:dyDescent="0.25">
      <c r="A32" s="104"/>
      <c r="B32" s="104"/>
      <c r="C32" s="104"/>
      <c r="D32" s="79"/>
      <c r="F32" s="79"/>
      <c r="G32" s="79"/>
      <c r="H32" s="79"/>
      <c r="I32" s="79"/>
      <c r="J32" s="79"/>
      <c r="K32" s="79"/>
      <c r="M32" s="79"/>
    </row>
    <row r="33" spans="1:13" s="8" customFormat="1" ht="12.75" x14ac:dyDescent="0.25">
      <c r="A33" s="104"/>
      <c r="B33" s="104"/>
      <c r="C33" s="104"/>
      <c r="D33" s="79"/>
      <c r="F33" s="79"/>
      <c r="G33" s="79"/>
      <c r="H33" s="79"/>
      <c r="I33" s="79"/>
      <c r="J33" s="79"/>
      <c r="K33" s="79"/>
      <c r="M33" s="79"/>
    </row>
    <row r="34" spans="1:13" s="8" customFormat="1" ht="12.75" x14ac:dyDescent="0.25">
      <c r="A34" s="104"/>
      <c r="B34" s="104"/>
      <c r="C34" s="104"/>
      <c r="D34" s="79"/>
      <c r="F34" s="79"/>
      <c r="G34" s="79"/>
      <c r="H34" s="79"/>
      <c r="I34" s="79"/>
      <c r="J34" s="79"/>
      <c r="K34" s="79"/>
      <c r="M34" s="79"/>
    </row>
    <row r="35" spans="1:13" s="8" customFormat="1" ht="12.75" x14ac:dyDescent="0.25">
      <c r="A35" s="104"/>
      <c r="B35" s="104"/>
      <c r="C35" s="104"/>
      <c r="D35" s="79"/>
      <c r="F35" s="79"/>
      <c r="G35" s="79"/>
      <c r="H35" s="79"/>
      <c r="I35" s="79"/>
      <c r="J35" s="79"/>
      <c r="K35" s="79"/>
      <c r="M35" s="79"/>
    </row>
    <row r="36" spans="1:13" s="8" customFormat="1" ht="12.75" x14ac:dyDescent="0.25">
      <c r="A36" s="104"/>
      <c r="B36" s="104"/>
      <c r="C36" s="104"/>
      <c r="D36" s="79"/>
      <c r="F36" s="79"/>
      <c r="G36" s="79"/>
      <c r="H36" s="79"/>
      <c r="I36" s="79"/>
      <c r="J36" s="79"/>
      <c r="K36" s="79"/>
      <c r="M36" s="79"/>
    </row>
    <row r="37" spans="1:13" s="8" customFormat="1" ht="12.75" x14ac:dyDescent="0.25">
      <c r="A37" s="104"/>
      <c r="B37" s="104"/>
      <c r="C37" s="104"/>
      <c r="D37" s="79"/>
      <c r="F37" s="79"/>
      <c r="G37" s="79"/>
      <c r="H37" s="79"/>
      <c r="I37" s="79"/>
      <c r="J37" s="79"/>
      <c r="K37" s="79"/>
      <c r="M37" s="79"/>
    </row>
    <row r="38" spans="1:13" s="8" customFormat="1" ht="12.75" x14ac:dyDescent="0.25">
      <c r="A38" s="104"/>
      <c r="B38" s="104"/>
      <c r="C38" s="104"/>
      <c r="D38" s="79"/>
      <c r="F38" s="79"/>
      <c r="G38" s="79"/>
      <c r="H38" s="79"/>
      <c r="I38" s="79"/>
      <c r="J38" s="79"/>
      <c r="K38" s="79"/>
      <c r="M38" s="79"/>
    </row>
    <row r="39" spans="1:13" s="8" customFormat="1" ht="12.75" x14ac:dyDescent="0.25">
      <c r="A39" s="104"/>
      <c r="B39" s="104"/>
      <c r="C39" s="104"/>
      <c r="D39" s="79"/>
      <c r="F39" s="79"/>
      <c r="G39" s="79"/>
      <c r="H39" s="79"/>
      <c r="I39" s="79"/>
      <c r="J39" s="79"/>
      <c r="K39" s="79"/>
      <c r="M39" s="79"/>
    </row>
    <row r="40" spans="1:13" s="8" customFormat="1" ht="12.75" x14ac:dyDescent="0.25">
      <c r="A40" s="104"/>
      <c r="B40" s="104"/>
      <c r="C40" s="104"/>
      <c r="F40" s="79"/>
      <c r="G40" s="79"/>
      <c r="H40" s="79"/>
      <c r="I40" s="79"/>
      <c r="J40" s="79"/>
      <c r="K40" s="79"/>
      <c r="M40" s="79"/>
    </row>
    <row r="41" spans="1:13" s="8" customFormat="1" ht="12.75" x14ac:dyDescent="0.25">
      <c r="A41" s="104"/>
      <c r="B41" s="104"/>
      <c r="C41" s="104"/>
      <c r="F41" s="79"/>
      <c r="G41" s="79"/>
      <c r="H41" s="79"/>
      <c r="I41" s="79"/>
      <c r="J41" s="79"/>
      <c r="K41" s="79"/>
      <c r="M41" s="79"/>
    </row>
    <row r="42" spans="1:13" s="8" customFormat="1" ht="12.75" x14ac:dyDescent="0.25">
      <c r="A42" s="104"/>
      <c r="B42" s="104"/>
      <c r="C42" s="104"/>
      <c r="F42" s="79"/>
      <c r="G42" s="79"/>
      <c r="H42" s="79"/>
      <c r="I42" s="79"/>
      <c r="J42" s="79"/>
      <c r="K42" s="79"/>
      <c r="M42" s="79"/>
    </row>
    <row r="43" spans="1:13" s="8" customFormat="1" ht="12.75" x14ac:dyDescent="0.25">
      <c r="A43" s="104"/>
      <c r="B43" s="104"/>
      <c r="C43" s="104"/>
      <c r="F43" s="79"/>
      <c r="G43" s="79"/>
      <c r="H43" s="79"/>
      <c r="I43" s="79"/>
      <c r="J43" s="79"/>
      <c r="K43" s="79"/>
      <c r="M43" s="79"/>
    </row>
    <row r="44" spans="1:13" s="8" customFormat="1" ht="12.75" x14ac:dyDescent="0.25">
      <c r="A44" s="104"/>
      <c r="B44" s="104"/>
      <c r="C44" s="104"/>
      <c r="F44" s="79"/>
      <c r="G44" s="79"/>
      <c r="H44" s="79"/>
      <c r="I44" s="79"/>
      <c r="J44" s="79"/>
      <c r="K44" s="79"/>
      <c r="M44" s="79"/>
    </row>
    <row r="45" spans="1:13" s="8" customFormat="1" ht="12.75" x14ac:dyDescent="0.25">
      <c r="A45" s="104"/>
      <c r="B45" s="104"/>
      <c r="C45" s="104"/>
      <c r="F45" s="79"/>
      <c r="G45" s="79"/>
      <c r="H45" s="79"/>
      <c r="I45" s="79"/>
      <c r="J45" s="79"/>
      <c r="K45" s="79"/>
      <c r="M45" s="79"/>
    </row>
    <row r="46" spans="1:13" s="8" customFormat="1" ht="12.75" x14ac:dyDescent="0.25">
      <c r="A46" s="104"/>
      <c r="B46" s="104"/>
      <c r="C46" s="104"/>
      <c r="F46" s="79"/>
      <c r="G46" s="79"/>
      <c r="H46" s="79"/>
      <c r="I46" s="79"/>
      <c r="J46" s="79"/>
      <c r="K46" s="79"/>
      <c r="M46" s="79"/>
    </row>
    <row r="47" spans="1:13" s="8" customFormat="1" ht="12.75" x14ac:dyDescent="0.25">
      <c r="A47" s="104"/>
      <c r="B47" s="104"/>
      <c r="C47" s="104"/>
      <c r="F47" s="79"/>
      <c r="G47" s="79"/>
      <c r="H47" s="79"/>
      <c r="I47" s="79"/>
      <c r="J47" s="79"/>
      <c r="K47" s="79"/>
      <c r="M47" s="79"/>
    </row>
    <row r="48" spans="1:13" s="8" customFormat="1" ht="12.75" x14ac:dyDescent="0.25">
      <c r="A48" s="104"/>
      <c r="B48" s="104"/>
      <c r="C48" s="104"/>
      <c r="F48" s="79"/>
      <c r="G48" s="79"/>
      <c r="H48" s="79"/>
      <c r="I48" s="79"/>
      <c r="J48" s="79"/>
      <c r="K48" s="79"/>
      <c r="M48" s="79"/>
    </row>
    <row r="49" spans="1:13" s="8" customFormat="1" ht="12.75" x14ac:dyDescent="0.25">
      <c r="A49" s="104"/>
      <c r="B49" s="104"/>
      <c r="C49" s="104"/>
      <c r="F49" s="79"/>
      <c r="G49" s="79"/>
      <c r="H49" s="79"/>
      <c r="I49" s="79"/>
      <c r="J49" s="79"/>
      <c r="K49" s="79"/>
      <c r="M49" s="79"/>
    </row>
    <row r="50" spans="1:13" s="8" customFormat="1" ht="12.75" x14ac:dyDescent="0.25">
      <c r="A50" s="104"/>
      <c r="B50" s="104"/>
      <c r="C50" s="104"/>
      <c r="F50" s="79"/>
      <c r="G50" s="79"/>
      <c r="H50" s="79"/>
      <c r="I50" s="79"/>
      <c r="J50" s="79"/>
      <c r="K50" s="79"/>
      <c r="M50" s="79"/>
    </row>
    <row r="51" spans="1:13" s="8" customFormat="1" ht="12.75" x14ac:dyDescent="0.25">
      <c r="A51" s="104"/>
      <c r="B51" s="104"/>
      <c r="C51" s="104"/>
      <c r="F51" s="79"/>
      <c r="G51" s="79"/>
      <c r="H51" s="79"/>
      <c r="I51" s="79"/>
      <c r="J51" s="79"/>
      <c r="K51" s="79"/>
      <c r="M51" s="79"/>
    </row>
    <row r="52" spans="1:13" s="8" customFormat="1" ht="12.75" x14ac:dyDescent="0.25">
      <c r="A52" s="104"/>
      <c r="B52" s="104"/>
      <c r="C52" s="104"/>
      <c r="F52" s="79"/>
      <c r="G52" s="79"/>
      <c r="H52" s="79"/>
      <c r="I52" s="79"/>
      <c r="J52" s="79"/>
      <c r="K52" s="79"/>
      <c r="M52" s="79"/>
    </row>
    <row r="53" spans="1:13" s="8" customFormat="1" ht="12.75" x14ac:dyDescent="0.25">
      <c r="A53" s="104"/>
      <c r="B53" s="104"/>
      <c r="C53" s="104"/>
      <c r="F53" s="79"/>
      <c r="G53" s="79"/>
      <c r="H53" s="79"/>
      <c r="I53" s="79"/>
      <c r="J53" s="79"/>
      <c r="K53" s="79"/>
      <c r="M53" s="79"/>
    </row>
    <row r="54" spans="1:13" s="8" customFormat="1" ht="12.75" x14ac:dyDescent="0.25">
      <c r="A54" s="104"/>
      <c r="B54" s="104"/>
      <c r="C54" s="104"/>
      <c r="F54" s="79"/>
      <c r="G54" s="79"/>
      <c r="H54" s="79"/>
      <c r="I54" s="79"/>
      <c r="J54" s="79"/>
      <c r="K54" s="79"/>
      <c r="M54" s="79"/>
    </row>
    <row r="55" spans="1:13" s="8" customFormat="1" ht="12.75" x14ac:dyDescent="0.25">
      <c r="A55" s="104"/>
      <c r="B55" s="104"/>
      <c r="C55" s="104"/>
      <c r="F55" s="79"/>
      <c r="G55" s="79"/>
      <c r="H55" s="79"/>
      <c r="I55" s="79"/>
      <c r="J55" s="79"/>
      <c r="K55" s="79"/>
      <c r="M55" s="79"/>
    </row>
    <row r="56" spans="1:13" s="8" customFormat="1" ht="12.75" x14ac:dyDescent="0.25">
      <c r="A56" s="104"/>
      <c r="B56" s="104"/>
      <c r="C56" s="104"/>
      <c r="F56" s="79"/>
      <c r="G56" s="79"/>
      <c r="H56" s="79"/>
      <c r="I56" s="79"/>
      <c r="J56" s="79"/>
      <c r="K56" s="79"/>
      <c r="M56" s="79"/>
    </row>
    <row r="57" spans="1:13" s="8" customFormat="1" ht="12.75" x14ac:dyDescent="0.25">
      <c r="A57" s="104"/>
      <c r="B57" s="104"/>
      <c r="C57" s="104"/>
      <c r="F57" s="79"/>
      <c r="G57" s="79"/>
      <c r="H57" s="79"/>
      <c r="I57" s="79"/>
      <c r="J57" s="79"/>
      <c r="K57" s="79"/>
      <c r="M57" s="79"/>
    </row>
    <row r="58" spans="1:13" s="8" customFormat="1" ht="12.75" x14ac:dyDescent="0.25">
      <c r="A58" s="104"/>
      <c r="B58" s="104"/>
      <c r="C58" s="104"/>
      <c r="F58" s="79"/>
      <c r="G58" s="79"/>
      <c r="H58" s="79"/>
      <c r="I58" s="79"/>
      <c r="J58" s="79"/>
      <c r="K58" s="79"/>
      <c r="M58" s="79"/>
    </row>
    <row r="59" spans="1:13" s="8" customFormat="1" ht="12.75" x14ac:dyDescent="0.25">
      <c r="A59" s="104"/>
      <c r="B59" s="104"/>
      <c r="C59" s="104"/>
      <c r="F59" s="79"/>
      <c r="G59" s="79"/>
      <c r="H59" s="79"/>
      <c r="I59" s="79"/>
      <c r="J59" s="79"/>
      <c r="K59" s="79"/>
      <c r="M59" s="79"/>
    </row>
    <row r="60" spans="1:13" s="8" customFormat="1" ht="12.75" x14ac:dyDescent="0.25">
      <c r="A60" s="104"/>
      <c r="B60" s="104"/>
      <c r="C60" s="104"/>
      <c r="I60" s="79"/>
      <c r="J60" s="79"/>
      <c r="K60" s="79"/>
      <c r="M60" s="79"/>
    </row>
    <row r="61" spans="1:13" s="8" customFormat="1" ht="12.75" x14ac:dyDescent="0.25">
      <c r="A61" s="104"/>
      <c r="B61" s="104"/>
      <c r="C61" s="104"/>
      <c r="I61" s="79"/>
      <c r="J61" s="79"/>
      <c r="K61" s="79"/>
      <c r="M61" s="79"/>
    </row>
    <row r="62" spans="1:13" s="8" customFormat="1" ht="12.75" x14ac:dyDescent="0.25">
      <c r="A62" s="104"/>
      <c r="B62" s="104"/>
      <c r="C62" s="104"/>
      <c r="I62" s="79"/>
      <c r="J62" s="79"/>
      <c r="K62" s="79"/>
      <c r="M62" s="79"/>
    </row>
    <row r="63" spans="1:13" s="8" customFormat="1" ht="12.75" x14ac:dyDescent="0.25">
      <c r="A63" s="104"/>
      <c r="B63" s="104"/>
      <c r="C63" s="104"/>
      <c r="I63" s="79"/>
      <c r="J63" s="79"/>
      <c r="K63" s="79"/>
      <c r="M63" s="79"/>
    </row>
    <row r="64" spans="1:13" s="8" customFormat="1" ht="12.75" x14ac:dyDescent="0.25">
      <c r="A64" s="104"/>
      <c r="B64" s="104"/>
      <c r="C64" s="104"/>
      <c r="I64" s="79"/>
      <c r="J64" s="79"/>
      <c r="K64" s="79"/>
      <c r="M64" s="79"/>
    </row>
    <row r="65" spans="1:13" s="8" customFormat="1" ht="12.75" x14ac:dyDescent="0.25">
      <c r="A65" s="104"/>
      <c r="B65" s="104"/>
      <c r="C65" s="104"/>
      <c r="I65" s="79"/>
      <c r="J65" s="79"/>
      <c r="K65" s="79"/>
      <c r="M65" s="79"/>
    </row>
    <row r="66" spans="1:13" s="8" customFormat="1" ht="12.75" x14ac:dyDescent="0.25">
      <c r="A66" s="104"/>
      <c r="B66" s="104"/>
      <c r="C66" s="104"/>
      <c r="I66" s="79"/>
      <c r="J66" s="79"/>
      <c r="K66" s="79"/>
      <c r="M66" s="79"/>
    </row>
    <row r="67" spans="1:13" s="8" customFormat="1" ht="12.75" x14ac:dyDescent="0.25">
      <c r="I67" s="79"/>
      <c r="J67" s="79"/>
      <c r="K67" s="79"/>
      <c r="M67" s="79"/>
    </row>
    <row r="68" spans="1:13" s="8" customFormat="1" ht="12.75" x14ac:dyDescent="0.25">
      <c r="I68" s="79"/>
      <c r="J68" s="79"/>
      <c r="K68" s="79"/>
      <c r="M68" s="79"/>
    </row>
    <row r="69" spans="1:13" s="8" customFormat="1" ht="12.75" x14ac:dyDescent="0.25">
      <c r="I69" s="79"/>
      <c r="J69" s="79"/>
      <c r="K69" s="79"/>
      <c r="M69" s="79"/>
    </row>
    <row r="70" spans="1:13" s="8" customFormat="1" ht="12.75" x14ac:dyDescent="0.25">
      <c r="I70" s="79"/>
      <c r="J70" s="79"/>
      <c r="K70" s="79"/>
      <c r="M70" s="79"/>
    </row>
    <row r="71" spans="1:13" s="8" customFormat="1" ht="12.75" x14ac:dyDescent="0.25">
      <c r="I71" s="79"/>
      <c r="J71" s="79"/>
      <c r="K71" s="79"/>
      <c r="M71" s="79"/>
    </row>
    <row r="72" spans="1:13" s="8" customFormat="1" ht="12.75" x14ac:dyDescent="0.25">
      <c r="I72" s="79"/>
      <c r="J72" s="79"/>
      <c r="K72" s="79"/>
      <c r="M72" s="79"/>
    </row>
    <row r="73" spans="1:13" s="8" customFormat="1" ht="12.75" x14ac:dyDescent="0.25">
      <c r="I73" s="79"/>
      <c r="J73" s="79"/>
      <c r="K73" s="79"/>
      <c r="M73" s="79"/>
    </row>
    <row r="74" spans="1:13" s="8" customFormat="1" ht="12.75" x14ac:dyDescent="0.25">
      <c r="I74" s="79"/>
      <c r="J74" s="79"/>
      <c r="K74" s="79"/>
      <c r="M74" s="79"/>
    </row>
    <row r="75" spans="1:13" s="8" customFormat="1" ht="12.75" x14ac:dyDescent="0.25">
      <c r="I75" s="79"/>
      <c r="J75" s="79"/>
      <c r="K75" s="79"/>
      <c r="M75" s="79"/>
    </row>
    <row r="76" spans="1:13" s="8" customFormat="1" ht="12.75" x14ac:dyDescent="0.25">
      <c r="I76" s="79"/>
      <c r="J76" s="79"/>
      <c r="K76" s="79"/>
      <c r="M76" s="79"/>
    </row>
    <row r="77" spans="1:13" s="8" customFormat="1" ht="12.75" x14ac:dyDescent="0.25">
      <c r="I77" s="79"/>
      <c r="J77" s="79"/>
      <c r="K77" s="79"/>
      <c r="M77" s="79"/>
    </row>
    <row r="78" spans="1:13" s="8" customFormat="1" ht="12.75" x14ac:dyDescent="0.25">
      <c r="I78" s="79"/>
      <c r="J78" s="79"/>
      <c r="K78" s="79"/>
      <c r="M78" s="79"/>
    </row>
    <row r="79" spans="1:13" s="8" customFormat="1" ht="12.75" x14ac:dyDescent="0.25">
      <c r="I79" s="79"/>
      <c r="J79" s="79"/>
      <c r="K79" s="79"/>
      <c r="M79" s="79"/>
    </row>
    <row r="80" spans="1:13" s="8" customFormat="1" ht="12.75" x14ac:dyDescent="0.25">
      <c r="I80" s="79"/>
      <c r="J80" s="79"/>
      <c r="K80" s="79"/>
      <c r="M80" s="79"/>
    </row>
    <row r="81" spans="9:13" s="8" customFormat="1" ht="12.75" x14ac:dyDescent="0.25">
      <c r="I81" s="79"/>
      <c r="J81" s="79"/>
      <c r="K81" s="79"/>
      <c r="M81" s="79"/>
    </row>
    <row r="82" spans="9:13" s="8" customFormat="1" ht="12.75" x14ac:dyDescent="0.25">
      <c r="I82" s="79"/>
      <c r="J82" s="79"/>
      <c r="K82" s="79"/>
      <c r="M82" s="79"/>
    </row>
    <row r="83" spans="9:13" s="8" customFormat="1" ht="12.75" x14ac:dyDescent="0.25">
      <c r="I83" s="79"/>
      <c r="J83" s="79"/>
      <c r="K83" s="79"/>
      <c r="M83" s="79"/>
    </row>
    <row r="84" spans="9:13" s="8" customFormat="1" ht="12.75" x14ac:dyDescent="0.25">
      <c r="I84" s="79"/>
      <c r="J84" s="79"/>
      <c r="K84" s="79"/>
      <c r="M84" s="79"/>
    </row>
    <row r="85" spans="9:13" s="8" customFormat="1" ht="12.75" x14ac:dyDescent="0.25">
      <c r="I85" s="79"/>
      <c r="J85" s="79"/>
      <c r="K85" s="79"/>
      <c r="M85" s="79"/>
    </row>
    <row r="86" spans="9:13" s="8" customFormat="1" ht="12.75" x14ac:dyDescent="0.25">
      <c r="I86" s="79"/>
      <c r="J86" s="79"/>
      <c r="K86" s="79"/>
      <c r="M86" s="79"/>
    </row>
    <row r="87" spans="9:13" s="8" customFormat="1" ht="12.75" x14ac:dyDescent="0.25">
      <c r="I87" s="79"/>
      <c r="J87" s="79"/>
      <c r="K87" s="79"/>
      <c r="M87" s="79"/>
    </row>
    <row r="88" spans="9:13" s="8" customFormat="1" ht="12.75" x14ac:dyDescent="0.25">
      <c r="I88" s="79"/>
      <c r="J88" s="79"/>
      <c r="K88" s="79"/>
      <c r="M88" s="79"/>
    </row>
    <row r="89" spans="9:13" s="8" customFormat="1" ht="12.75" x14ac:dyDescent="0.25">
      <c r="I89" s="79"/>
      <c r="J89" s="79"/>
      <c r="K89" s="79"/>
      <c r="M89" s="79"/>
    </row>
    <row r="90" spans="9:13" s="8" customFormat="1" ht="12.75" x14ac:dyDescent="0.25">
      <c r="I90" s="79"/>
      <c r="J90" s="79"/>
      <c r="K90" s="79"/>
      <c r="M90" s="79"/>
    </row>
    <row r="91" spans="9:13" s="8" customFormat="1" ht="12.75" x14ac:dyDescent="0.25">
      <c r="I91" s="79"/>
      <c r="J91" s="79"/>
      <c r="K91" s="79"/>
      <c r="M91" s="79"/>
    </row>
    <row r="92" spans="9:13" s="8" customFormat="1" ht="12.75" x14ac:dyDescent="0.25">
      <c r="I92" s="79"/>
      <c r="J92" s="79"/>
      <c r="K92" s="79"/>
      <c r="M92" s="79"/>
    </row>
    <row r="93" spans="9:13" s="8" customFormat="1" ht="12.75" x14ac:dyDescent="0.25">
      <c r="I93" s="79"/>
      <c r="J93" s="79"/>
      <c r="K93" s="79"/>
      <c r="M93" s="79"/>
    </row>
    <row r="94" spans="9:13" s="8" customFormat="1" ht="12.75" x14ac:dyDescent="0.25">
      <c r="I94" s="79"/>
      <c r="J94" s="79"/>
      <c r="K94" s="79"/>
      <c r="M94" s="79"/>
    </row>
    <row r="95" spans="9:13" s="8" customFormat="1" ht="12.75" x14ac:dyDescent="0.25">
      <c r="I95" s="79"/>
      <c r="J95" s="79"/>
      <c r="K95" s="79"/>
      <c r="M95" s="79"/>
    </row>
    <row r="96" spans="9:13" s="8" customFormat="1" ht="12.75" x14ac:dyDescent="0.25">
      <c r="I96" s="79"/>
      <c r="J96" s="79"/>
      <c r="K96" s="79"/>
      <c r="M96" s="79"/>
    </row>
    <row r="97" spans="9:13" s="8" customFormat="1" ht="12.75" x14ac:dyDescent="0.25">
      <c r="I97" s="79"/>
      <c r="J97" s="79"/>
      <c r="K97" s="79"/>
      <c r="M97" s="79"/>
    </row>
    <row r="98" spans="9:13" s="8" customFormat="1" ht="12.75" x14ac:dyDescent="0.25">
      <c r="I98" s="79"/>
      <c r="J98" s="79"/>
      <c r="K98" s="79"/>
      <c r="M98" s="79"/>
    </row>
    <row r="99" spans="9:13" s="8" customFormat="1" ht="12.75" x14ac:dyDescent="0.25">
      <c r="I99" s="79"/>
      <c r="J99" s="79"/>
      <c r="K99" s="79"/>
      <c r="M99" s="79"/>
    </row>
    <row r="100" spans="9:13" s="8" customFormat="1" ht="12.75" x14ac:dyDescent="0.25">
      <c r="I100" s="79"/>
      <c r="J100" s="79"/>
      <c r="K100" s="79"/>
      <c r="M100" s="79"/>
    </row>
    <row r="101" spans="9:13" s="8" customFormat="1" ht="12.75" x14ac:dyDescent="0.25">
      <c r="I101" s="79"/>
      <c r="J101" s="79"/>
      <c r="K101" s="79"/>
      <c r="M101" s="79"/>
    </row>
    <row r="102" spans="9:13" s="8" customFormat="1" ht="12.75" x14ac:dyDescent="0.25">
      <c r="I102" s="79"/>
      <c r="J102" s="79"/>
      <c r="K102" s="79"/>
      <c r="M102" s="79"/>
    </row>
    <row r="103" spans="9:13" s="8" customFormat="1" ht="12.75" x14ac:dyDescent="0.25">
      <c r="I103" s="79"/>
      <c r="J103" s="79"/>
      <c r="K103" s="79"/>
      <c r="M103" s="79"/>
    </row>
    <row r="104" spans="9:13" s="8" customFormat="1" ht="12.75" x14ac:dyDescent="0.25">
      <c r="I104" s="79"/>
      <c r="J104" s="79"/>
      <c r="K104" s="79"/>
      <c r="M104" s="79"/>
    </row>
    <row r="105" spans="9:13" s="8" customFormat="1" ht="12.75" x14ac:dyDescent="0.25">
      <c r="I105" s="79"/>
      <c r="J105" s="79"/>
      <c r="K105" s="79"/>
      <c r="M105" s="79"/>
    </row>
    <row r="106" spans="9:13" s="8" customFormat="1" ht="12.75" x14ac:dyDescent="0.25">
      <c r="I106" s="79"/>
      <c r="J106" s="79"/>
      <c r="K106" s="79"/>
      <c r="M106" s="79"/>
    </row>
    <row r="107" spans="9:13" s="8" customFormat="1" ht="12.75" x14ac:dyDescent="0.25">
      <c r="I107" s="79"/>
      <c r="J107" s="79"/>
      <c r="K107" s="79"/>
      <c r="M107" s="79"/>
    </row>
    <row r="108" spans="9:13" s="8" customFormat="1" ht="12.75" x14ac:dyDescent="0.25">
      <c r="I108" s="79"/>
      <c r="J108" s="79"/>
      <c r="K108" s="79"/>
      <c r="M108" s="79"/>
    </row>
    <row r="109" spans="9:13" s="8" customFormat="1" ht="12.75" x14ac:dyDescent="0.25">
      <c r="I109" s="79"/>
      <c r="J109" s="79"/>
      <c r="K109" s="79"/>
      <c r="M109" s="79"/>
    </row>
    <row r="110" spans="9:13" s="8" customFormat="1" ht="12.75" x14ac:dyDescent="0.25">
      <c r="I110" s="79"/>
      <c r="J110" s="79"/>
      <c r="K110" s="79"/>
      <c r="M110" s="79"/>
    </row>
    <row r="111" spans="9:13" s="8" customFormat="1" ht="12.75" x14ac:dyDescent="0.25">
      <c r="I111" s="79"/>
      <c r="J111" s="79"/>
      <c r="K111" s="79"/>
      <c r="M111" s="79"/>
    </row>
    <row r="112" spans="9:13" s="8" customFormat="1" ht="12.75" x14ac:dyDescent="0.25">
      <c r="I112" s="79"/>
      <c r="J112" s="79"/>
      <c r="K112" s="79"/>
      <c r="M112" s="79"/>
    </row>
    <row r="113" spans="9:13" s="8" customFormat="1" ht="12.75" x14ac:dyDescent="0.25">
      <c r="I113" s="79"/>
      <c r="J113" s="79"/>
      <c r="K113" s="79"/>
      <c r="M113" s="79"/>
    </row>
    <row r="114" spans="9:13" s="8" customFormat="1" ht="12.75" x14ac:dyDescent="0.25">
      <c r="I114" s="79"/>
      <c r="J114" s="79"/>
      <c r="K114" s="79"/>
      <c r="M114" s="79"/>
    </row>
    <row r="115" spans="9:13" s="8" customFormat="1" ht="12.75" x14ac:dyDescent="0.25">
      <c r="I115" s="79"/>
      <c r="J115" s="79"/>
      <c r="K115" s="79"/>
      <c r="M115" s="79"/>
    </row>
    <row r="116" spans="9:13" s="8" customFormat="1" ht="12.75" x14ac:dyDescent="0.25">
      <c r="I116" s="79"/>
      <c r="J116" s="79"/>
      <c r="K116" s="79"/>
      <c r="M116" s="79"/>
    </row>
    <row r="117" spans="9:13" s="8" customFormat="1" ht="12.75" x14ac:dyDescent="0.25">
      <c r="I117" s="79"/>
      <c r="J117" s="79"/>
      <c r="K117" s="79"/>
      <c r="M117" s="79"/>
    </row>
    <row r="118" spans="9:13" s="8" customFormat="1" ht="12.75" x14ac:dyDescent="0.25">
      <c r="I118" s="79"/>
      <c r="J118" s="79"/>
      <c r="K118" s="79"/>
      <c r="M118" s="79"/>
    </row>
    <row r="119" spans="9:13" s="8" customFormat="1" ht="12.75" x14ac:dyDescent="0.25">
      <c r="I119" s="79"/>
      <c r="J119" s="79"/>
      <c r="K119" s="79"/>
      <c r="M119" s="79"/>
    </row>
    <row r="120" spans="9:13" s="8" customFormat="1" ht="12.75" x14ac:dyDescent="0.25">
      <c r="I120" s="79"/>
      <c r="J120" s="79"/>
      <c r="K120" s="79"/>
      <c r="M120" s="79"/>
    </row>
    <row r="121" spans="9:13" s="8" customFormat="1" ht="12.75" x14ac:dyDescent="0.25">
      <c r="I121" s="79"/>
      <c r="J121" s="79"/>
      <c r="K121" s="79"/>
      <c r="M121" s="79"/>
    </row>
    <row r="122" spans="9:13" s="8" customFormat="1" ht="12.75" x14ac:dyDescent="0.25">
      <c r="I122" s="79"/>
      <c r="J122" s="79"/>
      <c r="K122" s="79"/>
      <c r="M122" s="79"/>
    </row>
    <row r="123" spans="9:13" s="8" customFormat="1" ht="12.75" x14ac:dyDescent="0.25">
      <c r="I123" s="79"/>
      <c r="J123" s="79"/>
      <c r="K123" s="79"/>
      <c r="M123" s="79"/>
    </row>
    <row r="124" spans="9:13" s="8" customFormat="1" ht="12.75" x14ac:dyDescent="0.25">
      <c r="I124" s="79"/>
      <c r="J124" s="79"/>
      <c r="K124" s="79"/>
      <c r="M124" s="79"/>
    </row>
    <row r="125" spans="9:13" s="8" customFormat="1" ht="12.75" x14ac:dyDescent="0.25">
      <c r="I125" s="79"/>
      <c r="J125" s="79"/>
      <c r="K125" s="79"/>
      <c r="M125" s="79"/>
    </row>
    <row r="126" spans="9:13" s="8" customFormat="1" ht="12.75" x14ac:dyDescent="0.25">
      <c r="I126" s="79"/>
      <c r="J126" s="79"/>
      <c r="K126" s="79"/>
      <c r="M126" s="79"/>
    </row>
    <row r="127" spans="9:13" s="8" customFormat="1" ht="12.75" x14ac:dyDescent="0.25">
      <c r="I127" s="79"/>
      <c r="J127" s="79"/>
      <c r="K127" s="79"/>
      <c r="M127" s="79"/>
    </row>
    <row r="128" spans="9:13" s="8" customFormat="1" ht="12.75" x14ac:dyDescent="0.25">
      <c r="I128" s="79"/>
      <c r="J128" s="79"/>
      <c r="K128" s="79"/>
      <c r="M128" s="79"/>
    </row>
    <row r="129" spans="9:13" s="8" customFormat="1" ht="12.75" x14ac:dyDescent="0.25">
      <c r="I129" s="79"/>
      <c r="J129" s="79"/>
      <c r="K129" s="79"/>
      <c r="M129" s="79"/>
    </row>
    <row r="130" spans="9:13" s="8" customFormat="1" ht="12.75" x14ac:dyDescent="0.25">
      <c r="I130" s="79"/>
      <c r="J130" s="79"/>
      <c r="K130" s="79"/>
      <c r="M130" s="79"/>
    </row>
    <row r="131" spans="9:13" s="8" customFormat="1" ht="12.75" x14ac:dyDescent="0.25">
      <c r="I131" s="79"/>
      <c r="J131" s="79"/>
      <c r="K131" s="79"/>
      <c r="M131" s="79"/>
    </row>
    <row r="132" spans="9:13" s="8" customFormat="1" ht="12.75" x14ac:dyDescent="0.25">
      <c r="I132" s="79"/>
      <c r="J132" s="79"/>
      <c r="K132" s="79"/>
      <c r="M132" s="79"/>
    </row>
    <row r="133" spans="9:13" s="8" customFormat="1" ht="12.75" x14ac:dyDescent="0.25">
      <c r="I133" s="79"/>
      <c r="J133" s="79"/>
      <c r="K133" s="79"/>
      <c r="M133" s="79"/>
    </row>
    <row r="134" spans="9:13" s="8" customFormat="1" ht="12.75" x14ac:dyDescent="0.25">
      <c r="I134" s="79"/>
      <c r="J134" s="79"/>
      <c r="K134" s="79"/>
      <c r="M134" s="79"/>
    </row>
    <row r="135" spans="9:13" s="8" customFormat="1" ht="12.75" x14ac:dyDescent="0.25">
      <c r="I135" s="79"/>
      <c r="J135" s="79"/>
      <c r="K135" s="79"/>
      <c r="M135" s="79"/>
    </row>
    <row r="136" spans="9:13" s="8" customFormat="1" ht="12.75" x14ac:dyDescent="0.25">
      <c r="I136" s="79"/>
      <c r="J136" s="79"/>
      <c r="K136" s="79"/>
      <c r="M136" s="79"/>
    </row>
    <row r="137" spans="9:13" s="8" customFormat="1" ht="12.75" x14ac:dyDescent="0.25">
      <c r="I137" s="79"/>
      <c r="J137" s="79"/>
      <c r="K137" s="79"/>
      <c r="M137" s="79"/>
    </row>
    <row r="138" spans="9:13" s="8" customFormat="1" ht="12.75" x14ac:dyDescent="0.25">
      <c r="I138" s="79"/>
      <c r="J138" s="79"/>
      <c r="K138" s="79"/>
      <c r="M138" s="79"/>
    </row>
    <row r="139" spans="9:13" s="8" customFormat="1" ht="12.75" x14ac:dyDescent="0.25">
      <c r="I139" s="79"/>
      <c r="J139" s="79"/>
      <c r="K139" s="79"/>
      <c r="M139" s="79"/>
    </row>
    <row r="140" spans="9:13" s="8" customFormat="1" ht="12.75" x14ac:dyDescent="0.25">
      <c r="I140" s="79"/>
      <c r="J140" s="79"/>
      <c r="K140" s="79"/>
      <c r="M140" s="79"/>
    </row>
    <row r="141" spans="9:13" s="8" customFormat="1" ht="12.75" x14ac:dyDescent="0.25">
      <c r="I141" s="79"/>
      <c r="J141" s="79"/>
      <c r="K141" s="79"/>
      <c r="M141" s="79"/>
    </row>
    <row r="142" spans="9:13" s="8" customFormat="1" ht="12.75" x14ac:dyDescent="0.25">
      <c r="I142" s="79"/>
      <c r="J142" s="79"/>
      <c r="K142" s="79"/>
      <c r="M142" s="79"/>
    </row>
    <row r="143" spans="9:13" s="8" customFormat="1" ht="12.75" x14ac:dyDescent="0.25">
      <c r="I143" s="79"/>
      <c r="J143" s="79"/>
      <c r="K143" s="79"/>
      <c r="M143" s="79"/>
    </row>
    <row r="144" spans="9:13" s="8" customFormat="1" ht="12.75" x14ac:dyDescent="0.25">
      <c r="I144" s="79"/>
      <c r="J144" s="79"/>
      <c r="K144" s="79"/>
      <c r="M144" s="79"/>
    </row>
    <row r="145" spans="9:13" s="8" customFormat="1" ht="12.75" x14ac:dyDescent="0.25">
      <c r="I145" s="79"/>
      <c r="J145" s="79"/>
      <c r="K145" s="79"/>
      <c r="M145" s="79"/>
    </row>
    <row r="146" spans="9:13" s="8" customFormat="1" ht="12.75" x14ac:dyDescent="0.25">
      <c r="I146" s="79"/>
      <c r="J146" s="79"/>
      <c r="K146" s="79"/>
      <c r="M146" s="79"/>
    </row>
    <row r="147" spans="9:13" s="8" customFormat="1" ht="12.75" x14ac:dyDescent="0.25">
      <c r="I147" s="79"/>
      <c r="J147" s="79"/>
      <c r="K147" s="79"/>
      <c r="M147" s="79"/>
    </row>
    <row r="148" spans="9:13" s="8" customFormat="1" ht="12.75" x14ac:dyDescent="0.25">
      <c r="I148" s="79"/>
      <c r="J148" s="79"/>
      <c r="K148" s="79"/>
      <c r="M148" s="79"/>
    </row>
    <row r="149" spans="9:13" s="8" customFormat="1" ht="12.75" x14ac:dyDescent="0.25">
      <c r="I149" s="79"/>
      <c r="J149" s="79"/>
      <c r="K149" s="79"/>
      <c r="M149" s="79"/>
    </row>
    <row r="150" spans="9:13" s="8" customFormat="1" ht="12.75" x14ac:dyDescent="0.25">
      <c r="I150" s="79"/>
      <c r="J150" s="79"/>
      <c r="K150" s="79"/>
      <c r="M150" s="79"/>
    </row>
    <row r="151" spans="9:13" s="8" customFormat="1" ht="12.75" x14ac:dyDescent="0.25">
      <c r="I151" s="79"/>
      <c r="J151" s="79"/>
      <c r="K151" s="79"/>
      <c r="M151" s="79"/>
    </row>
    <row r="152" spans="9:13" s="8" customFormat="1" ht="12.75" x14ac:dyDescent="0.25">
      <c r="I152" s="79"/>
      <c r="J152" s="79"/>
      <c r="K152" s="79"/>
      <c r="M152" s="79"/>
    </row>
    <row r="153" spans="9:13" s="8" customFormat="1" ht="12.75" x14ac:dyDescent="0.25">
      <c r="I153" s="79"/>
      <c r="J153" s="79"/>
      <c r="K153" s="79"/>
      <c r="M153" s="79"/>
    </row>
    <row r="154" spans="9:13" s="8" customFormat="1" ht="12.75" x14ac:dyDescent="0.25">
      <c r="I154" s="79"/>
      <c r="J154" s="79"/>
      <c r="K154" s="79"/>
      <c r="M154" s="79"/>
    </row>
    <row r="155" spans="9:13" s="8" customFormat="1" ht="12.75" x14ac:dyDescent="0.25">
      <c r="I155" s="79"/>
      <c r="J155" s="79"/>
      <c r="K155" s="79"/>
      <c r="M155" s="79"/>
    </row>
    <row r="156" spans="9:13" s="8" customFormat="1" ht="12.75" x14ac:dyDescent="0.25">
      <c r="I156" s="79"/>
      <c r="J156" s="79"/>
      <c r="K156" s="79"/>
      <c r="M156" s="79"/>
    </row>
    <row r="157" spans="9:13" s="8" customFormat="1" ht="12.75" x14ac:dyDescent="0.25">
      <c r="I157" s="79"/>
      <c r="J157" s="79"/>
      <c r="K157" s="79"/>
      <c r="M157" s="79"/>
    </row>
    <row r="158" spans="9:13" s="8" customFormat="1" ht="12.75" x14ac:dyDescent="0.25">
      <c r="I158" s="79"/>
      <c r="J158" s="79"/>
      <c r="K158" s="79"/>
      <c r="M158" s="79"/>
    </row>
    <row r="159" spans="9:13" s="8" customFormat="1" ht="12.75" x14ac:dyDescent="0.25">
      <c r="I159" s="79"/>
      <c r="J159" s="79"/>
      <c r="K159" s="79"/>
      <c r="M159" s="79"/>
    </row>
    <row r="160" spans="9:13" s="8" customFormat="1" ht="12.75" x14ac:dyDescent="0.25">
      <c r="I160" s="79"/>
      <c r="J160" s="79"/>
      <c r="K160" s="79"/>
      <c r="M160" s="79"/>
    </row>
    <row r="161" spans="9:13" s="8" customFormat="1" ht="12.75" x14ac:dyDescent="0.25">
      <c r="I161" s="79"/>
      <c r="J161" s="79"/>
      <c r="K161" s="79"/>
      <c r="M161" s="79"/>
    </row>
    <row r="162" spans="9:13" s="8" customFormat="1" ht="12.75" x14ac:dyDescent="0.25">
      <c r="I162" s="79"/>
      <c r="J162" s="79"/>
      <c r="K162" s="79"/>
      <c r="M162" s="79"/>
    </row>
    <row r="163" spans="9:13" s="8" customFormat="1" ht="12.75" x14ac:dyDescent="0.25">
      <c r="I163" s="79"/>
      <c r="J163" s="79"/>
      <c r="K163" s="79"/>
      <c r="M163" s="79"/>
    </row>
    <row r="164" spans="9:13" s="8" customFormat="1" ht="12.75" x14ac:dyDescent="0.25">
      <c r="I164" s="79"/>
      <c r="J164" s="79"/>
      <c r="K164" s="79"/>
      <c r="M164" s="79"/>
    </row>
    <row r="165" spans="9:13" s="8" customFormat="1" ht="12.75" x14ac:dyDescent="0.25">
      <c r="I165" s="79"/>
      <c r="J165" s="79"/>
      <c r="K165" s="79"/>
      <c r="M165" s="79"/>
    </row>
    <row r="166" spans="9:13" s="8" customFormat="1" ht="12.75" x14ac:dyDescent="0.25">
      <c r="I166" s="79"/>
      <c r="J166" s="79"/>
      <c r="K166" s="79"/>
      <c r="M166" s="79"/>
    </row>
    <row r="167" spans="9:13" s="8" customFormat="1" ht="12.75" x14ac:dyDescent="0.25">
      <c r="I167" s="79"/>
      <c r="J167" s="79"/>
      <c r="K167" s="79"/>
      <c r="M167" s="79"/>
    </row>
    <row r="168" spans="9:13" s="8" customFormat="1" ht="12.75" x14ac:dyDescent="0.25">
      <c r="I168" s="79"/>
      <c r="J168" s="79"/>
      <c r="K168" s="79"/>
      <c r="M168" s="79"/>
    </row>
    <row r="169" spans="9:13" s="8" customFormat="1" ht="12.75" x14ac:dyDescent="0.25">
      <c r="I169" s="79"/>
      <c r="J169" s="79"/>
      <c r="K169" s="79"/>
      <c r="M169" s="79"/>
    </row>
    <row r="170" spans="9:13" s="8" customFormat="1" ht="12.75" x14ac:dyDescent="0.25">
      <c r="I170" s="79"/>
      <c r="J170" s="79"/>
      <c r="K170" s="79"/>
      <c r="M170" s="79"/>
    </row>
    <row r="171" spans="9:13" s="8" customFormat="1" ht="12.75" x14ac:dyDescent="0.25">
      <c r="I171" s="79"/>
      <c r="J171" s="79"/>
      <c r="K171" s="79"/>
      <c r="M171" s="79"/>
    </row>
    <row r="172" spans="9:13" s="8" customFormat="1" ht="12.75" x14ac:dyDescent="0.25">
      <c r="I172" s="79"/>
      <c r="J172" s="79"/>
      <c r="K172" s="79"/>
      <c r="M172" s="79"/>
    </row>
    <row r="173" spans="9:13" s="8" customFormat="1" ht="12.75" x14ac:dyDescent="0.25">
      <c r="I173" s="79"/>
      <c r="J173" s="79"/>
      <c r="K173" s="79"/>
      <c r="M173" s="79"/>
    </row>
    <row r="174" spans="9:13" s="8" customFormat="1" ht="12.75" x14ac:dyDescent="0.25">
      <c r="I174" s="79"/>
      <c r="J174" s="79"/>
      <c r="K174" s="79"/>
      <c r="M174" s="79"/>
    </row>
    <row r="175" spans="9:13" s="8" customFormat="1" ht="12.75" x14ac:dyDescent="0.25">
      <c r="I175" s="79"/>
      <c r="J175" s="79"/>
      <c r="K175" s="79"/>
      <c r="M175" s="79"/>
    </row>
    <row r="176" spans="9:13" s="8" customFormat="1" ht="12.75" x14ac:dyDescent="0.25">
      <c r="I176" s="79"/>
      <c r="J176" s="79"/>
      <c r="K176" s="79"/>
      <c r="M176" s="79"/>
    </row>
    <row r="177" spans="5:13" s="8" customFormat="1" ht="12.75" x14ac:dyDescent="0.25">
      <c r="I177" s="79"/>
      <c r="J177" s="79"/>
      <c r="K177" s="79"/>
      <c r="M177" s="79"/>
    </row>
    <row r="178" spans="5:13" s="8" customFormat="1" ht="12.75" x14ac:dyDescent="0.25">
      <c r="I178" s="79"/>
      <c r="J178" s="79"/>
      <c r="K178" s="79"/>
      <c r="M178" s="79"/>
    </row>
    <row r="179" spans="5:13" s="8" customFormat="1" ht="12.75" x14ac:dyDescent="0.25">
      <c r="I179" s="79"/>
      <c r="J179" s="79"/>
      <c r="K179" s="79"/>
      <c r="M179" s="79"/>
    </row>
    <row r="180" spans="5:13" s="8" customFormat="1" ht="12.75" x14ac:dyDescent="0.25">
      <c r="I180" s="79"/>
      <c r="J180" s="79"/>
      <c r="K180" s="79"/>
      <c r="M180" s="79"/>
    </row>
    <row r="181" spans="5:13" s="8" customFormat="1" ht="12.75" x14ac:dyDescent="0.25">
      <c r="E181" s="6"/>
      <c r="F181" s="6"/>
      <c r="G181" s="6"/>
      <c r="H181" s="6"/>
      <c r="I181" s="3"/>
      <c r="J181" s="3"/>
      <c r="K181" s="3"/>
      <c r="M181" s="3"/>
    </row>
    <row r="182" spans="5:13" s="8" customFormat="1" ht="12.75" x14ac:dyDescent="0.25">
      <c r="E182" s="6"/>
      <c r="F182" s="6"/>
      <c r="G182" s="6"/>
      <c r="H182" s="6"/>
      <c r="I182" s="3"/>
      <c r="J182" s="3"/>
      <c r="K182" s="3"/>
      <c r="M182" s="3"/>
    </row>
    <row r="183" spans="5:13" s="8" customFormat="1" ht="12.75" x14ac:dyDescent="0.25">
      <c r="E183" s="6"/>
      <c r="F183" s="6"/>
      <c r="G183" s="6"/>
      <c r="H183" s="6"/>
      <c r="I183" s="3"/>
      <c r="J183" s="3"/>
      <c r="K183" s="3"/>
      <c r="M183" s="3"/>
    </row>
    <row r="184" spans="5:13" s="8" customFormat="1" ht="12.75" x14ac:dyDescent="0.25">
      <c r="E184" s="6"/>
      <c r="F184" s="6"/>
      <c r="G184" s="6"/>
      <c r="H184" s="6"/>
      <c r="I184" s="3"/>
      <c r="J184" s="3"/>
      <c r="K184" s="3"/>
      <c r="M184" s="3"/>
    </row>
    <row r="185" spans="5:13" s="8" customFormat="1" ht="12.75" x14ac:dyDescent="0.25">
      <c r="E185" s="6"/>
      <c r="F185" s="6"/>
      <c r="G185" s="6"/>
      <c r="H185" s="6"/>
      <c r="I185" s="3"/>
      <c r="J185" s="3"/>
      <c r="K185" s="3"/>
      <c r="M185" s="3"/>
    </row>
    <row r="186" spans="5:13" s="8" customFormat="1" ht="12.75" x14ac:dyDescent="0.25">
      <c r="E186" s="6"/>
      <c r="F186" s="6"/>
      <c r="G186" s="6"/>
      <c r="H186" s="6"/>
      <c r="I186" s="3"/>
      <c r="J186" s="3"/>
      <c r="K186" s="3"/>
      <c r="M186" s="3"/>
    </row>
    <row r="187" spans="5:13" s="8" customFormat="1" ht="12.75" x14ac:dyDescent="0.25">
      <c r="E187" s="6"/>
      <c r="F187" s="6"/>
      <c r="G187" s="6"/>
      <c r="H187" s="6"/>
      <c r="I187" s="3"/>
      <c r="J187" s="3"/>
      <c r="K187" s="3"/>
      <c r="M187" s="3"/>
    </row>
    <row r="188" spans="5:13" s="8" customFormat="1" ht="12.75" x14ac:dyDescent="0.25">
      <c r="E188" s="6"/>
      <c r="F188" s="6"/>
      <c r="G188" s="6"/>
      <c r="H188" s="6"/>
      <c r="I188" s="3"/>
      <c r="J188" s="3"/>
      <c r="K188" s="3"/>
      <c r="M188" s="3"/>
    </row>
    <row r="189" spans="5:13" s="8" customFormat="1" ht="12.75" x14ac:dyDescent="0.25">
      <c r="E189" s="6"/>
      <c r="F189" s="6"/>
      <c r="G189" s="6"/>
      <c r="H189" s="6"/>
      <c r="I189" s="3"/>
      <c r="J189" s="3"/>
      <c r="K189" s="3"/>
      <c r="M189" s="3"/>
    </row>
    <row r="190" spans="5:13" s="8" customFormat="1" ht="12.75" x14ac:dyDescent="0.25">
      <c r="E190" s="6"/>
      <c r="F190" s="6"/>
      <c r="G190" s="6"/>
      <c r="H190" s="6"/>
      <c r="I190" s="3"/>
      <c r="J190" s="3"/>
      <c r="K190" s="3"/>
      <c r="M190" s="3"/>
    </row>
    <row r="191" spans="5:13" s="8" customFormat="1" ht="12.75" x14ac:dyDescent="0.25">
      <c r="E191" s="6"/>
      <c r="F191" s="6"/>
      <c r="G191" s="6"/>
      <c r="H191" s="6"/>
      <c r="I191" s="3"/>
      <c r="J191" s="3"/>
      <c r="K191" s="3"/>
      <c r="M191" s="3"/>
    </row>
    <row r="192" spans="5:13" s="8" customFormat="1" ht="12.75" x14ac:dyDescent="0.25">
      <c r="E192" s="6"/>
      <c r="F192" s="6"/>
      <c r="G192" s="6"/>
      <c r="H192" s="6"/>
      <c r="I192" s="3"/>
      <c r="J192" s="3"/>
      <c r="K192" s="3"/>
      <c r="M192" s="3"/>
    </row>
    <row r="193" spans="4:14" s="8" customFormat="1" ht="12.75" x14ac:dyDescent="0.25">
      <c r="E193" s="6"/>
      <c r="F193" s="6"/>
      <c r="G193" s="6"/>
      <c r="H193" s="6"/>
      <c r="I193" s="3"/>
      <c r="J193" s="3"/>
      <c r="K193" s="3"/>
      <c r="M193" s="3"/>
    </row>
    <row r="194" spans="4:14" s="8" customFormat="1" ht="12.75" x14ac:dyDescent="0.25">
      <c r="E194" s="6"/>
      <c r="F194" s="6"/>
      <c r="G194" s="6"/>
      <c r="H194" s="6"/>
      <c r="I194" s="3"/>
      <c r="J194" s="3"/>
      <c r="K194" s="3"/>
      <c r="M194" s="3"/>
    </row>
    <row r="195" spans="4:14" s="8" customFormat="1" ht="12.75" x14ac:dyDescent="0.25">
      <c r="E195" s="6"/>
      <c r="F195" s="6"/>
      <c r="G195" s="6"/>
      <c r="H195" s="6"/>
      <c r="I195" s="3"/>
      <c r="J195" s="3"/>
      <c r="K195" s="3"/>
      <c r="M195" s="3"/>
    </row>
    <row r="196" spans="4:14" s="8" customFormat="1" ht="12.75" x14ac:dyDescent="0.25">
      <c r="E196" s="6"/>
      <c r="F196" s="6"/>
      <c r="G196" s="6"/>
      <c r="H196" s="6"/>
      <c r="I196" s="3"/>
      <c r="J196" s="3"/>
      <c r="K196" s="3"/>
      <c r="M196" s="3"/>
    </row>
    <row r="197" spans="4:14" s="8" customFormat="1" ht="12.75" x14ac:dyDescent="0.25">
      <c r="E197" s="6"/>
      <c r="F197" s="6"/>
      <c r="G197" s="6"/>
      <c r="H197" s="6"/>
      <c r="I197" s="3"/>
      <c r="J197" s="3"/>
      <c r="K197" s="3"/>
      <c r="M197" s="3"/>
    </row>
    <row r="198" spans="4:14" s="8" customFormat="1" ht="12.75" x14ac:dyDescent="0.25">
      <c r="E198" s="6"/>
      <c r="F198" s="6"/>
      <c r="G198" s="6"/>
      <c r="H198" s="6"/>
      <c r="I198" s="3"/>
      <c r="J198" s="3"/>
      <c r="K198" s="3"/>
      <c r="M198" s="3"/>
    </row>
    <row r="199" spans="4:14" s="8" customFormat="1" ht="12.75" x14ac:dyDescent="0.25">
      <c r="E199" s="6"/>
      <c r="F199" s="6"/>
      <c r="G199" s="6"/>
      <c r="H199" s="6"/>
      <c r="I199" s="3"/>
      <c r="J199" s="3"/>
      <c r="K199" s="3"/>
      <c r="M199" s="3"/>
    </row>
    <row r="200" spans="4:14" s="8" customFormat="1" ht="12.75" x14ac:dyDescent="0.25">
      <c r="E200" s="6"/>
      <c r="F200" s="6"/>
      <c r="G200" s="6"/>
      <c r="H200" s="6"/>
      <c r="I200" s="3"/>
      <c r="J200" s="3"/>
      <c r="K200" s="3"/>
      <c r="M200" s="3"/>
    </row>
    <row r="201" spans="4:14" s="8" customFormat="1" ht="12.75" x14ac:dyDescent="0.25">
      <c r="D201" s="6"/>
      <c r="E201" s="6"/>
      <c r="F201" s="6"/>
      <c r="G201" s="6"/>
      <c r="H201" s="6"/>
      <c r="I201" s="3"/>
      <c r="J201" s="3"/>
      <c r="K201" s="3"/>
      <c r="M201" s="3"/>
      <c r="N201" s="6"/>
    </row>
    <row r="202" spans="4:14" s="8" customFormat="1" ht="12.75" x14ac:dyDescent="0.25">
      <c r="D202" s="6"/>
      <c r="E202" s="6"/>
      <c r="F202" s="6"/>
      <c r="G202" s="6"/>
      <c r="H202" s="6"/>
      <c r="I202" s="3"/>
      <c r="J202" s="3"/>
      <c r="K202" s="3"/>
      <c r="M202" s="3"/>
      <c r="N202" s="6"/>
    </row>
    <row r="203" spans="4:14" s="8" customFormat="1" ht="12.75" x14ac:dyDescent="0.25">
      <c r="D203" s="6"/>
      <c r="E203" s="6"/>
      <c r="F203" s="6"/>
      <c r="G203" s="6"/>
      <c r="H203" s="6"/>
      <c r="I203" s="3"/>
      <c r="J203" s="3"/>
      <c r="K203" s="3"/>
      <c r="M203" s="3"/>
      <c r="N203" s="6"/>
    </row>
    <row r="204" spans="4:14" s="8" customFormat="1" ht="12.75" x14ac:dyDescent="0.25">
      <c r="D204" s="6"/>
      <c r="E204" s="6"/>
      <c r="F204" s="6"/>
      <c r="G204" s="6"/>
      <c r="H204" s="6"/>
      <c r="I204" s="3"/>
      <c r="J204" s="3"/>
      <c r="K204" s="3"/>
      <c r="M204" s="3"/>
      <c r="N204" s="6"/>
    </row>
    <row r="205" spans="4:14" s="8" customFormat="1" ht="12.75" x14ac:dyDescent="0.25">
      <c r="D205" s="6"/>
      <c r="E205" s="6"/>
      <c r="F205" s="6"/>
      <c r="G205" s="6"/>
      <c r="H205" s="6"/>
      <c r="I205" s="3"/>
      <c r="J205" s="3"/>
      <c r="K205" s="3"/>
      <c r="M205" s="3"/>
      <c r="N205" s="6"/>
    </row>
    <row r="206" spans="4:14" s="8" customFormat="1" ht="12.75" x14ac:dyDescent="0.25">
      <c r="D206" s="6"/>
      <c r="E206" s="6"/>
      <c r="F206" s="6"/>
      <c r="G206" s="6"/>
      <c r="H206" s="6"/>
      <c r="I206" s="3"/>
      <c r="J206" s="3"/>
      <c r="K206" s="3"/>
      <c r="M206" s="3"/>
      <c r="N206" s="6"/>
    </row>
    <row r="207" spans="4:14" s="8" customFormat="1" ht="12.75" x14ac:dyDescent="0.25">
      <c r="D207" s="6"/>
      <c r="E207" s="6"/>
      <c r="F207" s="6"/>
      <c r="G207" s="6"/>
      <c r="H207" s="6"/>
      <c r="I207" s="3"/>
      <c r="J207" s="3"/>
      <c r="K207" s="3"/>
      <c r="M207" s="3"/>
      <c r="N207" s="6"/>
    </row>
    <row r="208" spans="4:14" s="8" customFormat="1" ht="12.75" x14ac:dyDescent="0.25">
      <c r="D208" s="6"/>
      <c r="E208" s="6"/>
      <c r="F208" s="6"/>
      <c r="G208" s="6"/>
      <c r="H208" s="6"/>
      <c r="I208" s="3"/>
      <c r="J208" s="3"/>
      <c r="K208" s="3"/>
      <c r="M208" s="3"/>
      <c r="N208" s="6"/>
    </row>
    <row r="209" spans="4:14" s="8" customFormat="1" ht="12.75" x14ac:dyDescent="0.25">
      <c r="D209" s="6"/>
      <c r="E209" s="6"/>
      <c r="F209" s="6"/>
      <c r="G209" s="6"/>
      <c r="H209" s="6"/>
      <c r="I209" s="3"/>
      <c r="J209" s="3"/>
      <c r="K209" s="3"/>
      <c r="M209" s="3"/>
      <c r="N209" s="6"/>
    </row>
    <row r="210" spans="4:14" s="8" customFormat="1" ht="12.75" x14ac:dyDescent="0.25">
      <c r="D210" s="6"/>
      <c r="E210" s="6"/>
      <c r="F210" s="6"/>
      <c r="G210" s="6"/>
      <c r="H210" s="6"/>
      <c r="I210" s="3"/>
      <c r="J210" s="3"/>
      <c r="K210" s="3"/>
      <c r="M210" s="3"/>
      <c r="N210" s="6"/>
    </row>
    <row r="211" spans="4:14" s="8" customFormat="1" ht="12.75" x14ac:dyDescent="0.25">
      <c r="D211" s="6"/>
      <c r="E211" s="6"/>
      <c r="F211" s="6"/>
      <c r="G211" s="6"/>
      <c r="H211" s="6"/>
      <c r="I211" s="3"/>
      <c r="J211" s="3"/>
      <c r="K211" s="3"/>
      <c r="M211" s="3"/>
      <c r="N211" s="6"/>
    </row>
    <row r="212" spans="4:14" s="8" customFormat="1" ht="12.75" x14ac:dyDescent="0.25">
      <c r="D212" s="6"/>
      <c r="E212" s="6"/>
      <c r="F212" s="6"/>
      <c r="G212" s="6"/>
      <c r="H212" s="6"/>
      <c r="I212" s="3"/>
      <c r="J212" s="3"/>
      <c r="K212" s="3"/>
      <c r="M212" s="3"/>
      <c r="N212" s="6"/>
    </row>
    <row r="213" spans="4:14" s="8" customFormat="1" ht="12.75" x14ac:dyDescent="0.25">
      <c r="D213" s="6"/>
      <c r="E213" s="6"/>
      <c r="F213" s="6"/>
      <c r="G213" s="6"/>
      <c r="H213" s="6"/>
      <c r="I213" s="3"/>
      <c r="J213" s="3"/>
      <c r="K213" s="3"/>
      <c r="M213" s="3"/>
      <c r="N213" s="6"/>
    </row>
    <row r="214" spans="4:14" s="8" customFormat="1" ht="12.75" x14ac:dyDescent="0.25">
      <c r="D214" s="6"/>
      <c r="E214" s="6"/>
      <c r="F214" s="6"/>
      <c r="G214" s="6"/>
      <c r="H214" s="6"/>
      <c r="I214" s="3"/>
      <c r="J214" s="3"/>
      <c r="K214" s="3"/>
      <c r="M214" s="3"/>
      <c r="N214" s="6"/>
    </row>
    <row r="215" spans="4:14" s="8" customFormat="1" ht="12.75" x14ac:dyDescent="0.25">
      <c r="D215" s="6"/>
      <c r="E215" s="6"/>
      <c r="F215" s="6"/>
      <c r="G215" s="6"/>
      <c r="H215" s="6"/>
      <c r="I215" s="3"/>
      <c r="J215" s="3"/>
      <c r="K215" s="3"/>
      <c r="M215" s="3"/>
      <c r="N215" s="6"/>
    </row>
    <row r="216" spans="4:14" s="8" customFormat="1" ht="12.75" x14ac:dyDescent="0.25">
      <c r="D216" s="6"/>
      <c r="E216" s="6"/>
      <c r="F216" s="6"/>
      <c r="G216" s="6"/>
      <c r="H216" s="6"/>
      <c r="I216" s="3"/>
      <c r="J216" s="3"/>
      <c r="K216" s="3"/>
      <c r="M216" s="3"/>
      <c r="N216" s="6"/>
    </row>
    <row r="217" spans="4:14" s="8" customFormat="1" ht="12.75" x14ac:dyDescent="0.25">
      <c r="D217" s="6"/>
      <c r="E217" s="6"/>
      <c r="F217" s="6"/>
      <c r="G217" s="6"/>
      <c r="H217" s="6"/>
      <c r="I217" s="3"/>
      <c r="J217" s="3"/>
      <c r="K217" s="3"/>
      <c r="M217" s="3"/>
      <c r="N217" s="6"/>
    </row>
    <row r="218" spans="4:14" s="8" customFormat="1" ht="12.75" x14ac:dyDescent="0.25">
      <c r="D218" s="6"/>
      <c r="E218" s="6"/>
      <c r="F218" s="6"/>
      <c r="G218" s="6"/>
      <c r="H218" s="6"/>
      <c r="I218" s="3"/>
      <c r="J218" s="3"/>
      <c r="K218" s="3"/>
      <c r="M218" s="3"/>
      <c r="N218" s="6"/>
    </row>
    <row r="219" spans="4:14" s="8" customFormat="1" ht="12.75" x14ac:dyDescent="0.25">
      <c r="D219" s="6"/>
      <c r="E219" s="6"/>
      <c r="F219" s="6"/>
      <c r="G219" s="6"/>
      <c r="H219" s="6"/>
      <c r="I219" s="3"/>
      <c r="J219" s="3"/>
      <c r="K219" s="3"/>
      <c r="M219" s="3"/>
      <c r="N219" s="6"/>
    </row>
    <row r="220" spans="4:14" s="8" customFormat="1" ht="12.75" x14ac:dyDescent="0.25">
      <c r="D220" s="6"/>
      <c r="E220" s="6"/>
      <c r="F220" s="6"/>
      <c r="G220" s="6"/>
      <c r="H220" s="6"/>
      <c r="I220" s="3"/>
      <c r="J220" s="3"/>
      <c r="K220" s="3"/>
      <c r="M220" s="3"/>
      <c r="N220" s="6"/>
    </row>
    <row r="221" spans="4:14" s="8" customFormat="1" ht="12.75" x14ac:dyDescent="0.25">
      <c r="D221" s="6"/>
      <c r="E221" s="6"/>
      <c r="F221" s="6"/>
      <c r="G221" s="6"/>
      <c r="H221" s="6"/>
      <c r="I221" s="3"/>
      <c r="J221" s="3"/>
      <c r="K221" s="3"/>
      <c r="M221" s="3"/>
      <c r="N221" s="6"/>
    </row>
    <row r="222" spans="4:14" s="8" customFormat="1" ht="12.75" x14ac:dyDescent="0.25">
      <c r="D222" s="6"/>
      <c r="E222" s="6"/>
      <c r="F222" s="6"/>
      <c r="G222" s="6"/>
      <c r="H222" s="6"/>
      <c r="I222" s="3"/>
      <c r="J222" s="3"/>
      <c r="K222" s="3"/>
      <c r="M222" s="3"/>
      <c r="N222" s="6"/>
    </row>
    <row r="223" spans="4:14" s="8" customFormat="1" ht="12.75" x14ac:dyDescent="0.25">
      <c r="D223" s="6"/>
      <c r="E223" s="6"/>
      <c r="F223" s="6"/>
      <c r="G223" s="6"/>
      <c r="H223" s="6"/>
      <c r="I223" s="3"/>
      <c r="J223" s="3"/>
      <c r="K223" s="3"/>
      <c r="M223" s="3"/>
      <c r="N223" s="6"/>
    </row>
    <row r="224" spans="4:14" s="8" customFormat="1" ht="12.75" x14ac:dyDescent="0.25">
      <c r="D224" s="6"/>
      <c r="E224" s="6"/>
      <c r="F224" s="6"/>
      <c r="G224" s="6"/>
      <c r="H224" s="6"/>
      <c r="I224" s="3"/>
      <c r="J224" s="3"/>
      <c r="K224" s="3"/>
      <c r="M224" s="3"/>
      <c r="N224" s="6"/>
    </row>
    <row r="225" spans="1:14" s="8" customFormat="1" ht="12.75" x14ac:dyDescent="0.25">
      <c r="D225" s="6"/>
      <c r="E225" s="6"/>
      <c r="F225" s="6"/>
      <c r="G225" s="6"/>
      <c r="H225" s="6"/>
      <c r="I225" s="3"/>
      <c r="J225" s="3"/>
      <c r="K225" s="3"/>
      <c r="M225" s="3"/>
      <c r="N225" s="6"/>
    </row>
    <row r="226" spans="1:14" s="8" customFormat="1" ht="12.75" x14ac:dyDescent="0.25">
      <c r="D226" s="6"/>
      <c r="E226" s="6"/>
      <c r="F226" s="6"/>
      <c r="G226" s="6"/>
      <c r="H226" s="6"/>
      <c r="I226" s="3"/>
      <c r="J226" s="3"/>
      <c r="K226" s="3"/>
      <c r="M226" s="3"/>
      <c r="N226" s="6"/>
    </row>
    <row r="227" spans="1:14" s="8" customFormat="1" ht="12.75" x14ac:dyDescent="0.25">
      <c r="A227" s="6"/>
      <c r="B227" s="6"/>
      <c r="C227" s="6"/>
      <c r="D227" s="6"/>
      <c r="E227" s="6"/>
      <c r="F227" s="6"/>
      <c r="G227" s="6"/>
      <c r="H227" s="6"/>
      <c r="I227" s="3"/>
      <c r="J227" s="3"/>
      <c r="K227" s="3"/>
      <c r="M227" s="3"/>
      <c r="N227" s="6"/>
    </row>
    <row r="228" spans="1:14" s="8" customFormat="1" ht="12.75" x14ac:dyDescent="0.25">
      <c r="A228" s="6"/>
      <c r="B228" s="6"/>
      <c r="C228" s="6"/>
      <c r="D228" s="6"/>
      <c r="E228" s="6"/>
      <c r="F228" s="6"/>
      <c r="G228" s="6"/>
      <c r="H228" s="6"/>
      <c r="I228" s="3"/>
      <c r="J228" s="3"/>
      <c r="K228" s="3"/>
      <c r="M228" s="3"/>
      <c r="N228" s="6"/>
    </row>
    <row r="229" spans="1:14" s="8" customFormat="1" ht="12.75" x14ac:dyDescent="0.25">
      <c r="A229" s="6"/>
      <c r="B229" s="6"/>
      <c r="C229" s="6"/>
      <c r="D229" s="6"/>
      <c r="E229" s="6"/>
      <c r="F229" s="6"/>
      <c r="G229" s="6"/>
      <c r="H229" s="6"/>
      <c r="I229" s="3"/>
      <c r="J229" s="3"/>
      <c r="K229" s="3"/>
      <c r="M229" s="3"/>
      <c r="N229" s="6"/>
    </row>
    <row r="230" spans="1:14" s="8" customFormat="1" ht="12.75" x14ac:dyDescent="0.25">
      <c r="A230" s="6"/>
      <c r="B230" s="6"/>
      <c r="C230" s="6"/>
      <c r="D230" s="6"/>
      <c r="E230" s="6"/>
      <c r="F230" s="6"/>
      <c r="G230" s="6"/>
      <c r="H230" s="6"/>
      <c r="I230" s="3"/>
      <c r="J230" s="3"/>
      <c r="K230" s="3"/>
      <c r="M230" s="3"/>
      <c r="N230" s="6"/>
    </row>
    <row r="231" spans="1:14" s="8" customFormat="1" ht="12.75" x14ac:dyDescent="0.25">
      <c r="A231" s="6"/>
      <c r="B231" s="6"/>
      <c r="C231" s="6"/>
      <c r="D231" s="6"/>
      <c r="E231" s="6"/>
      <c r="F231" s="6"/>
      <c r="G231" s="6"/>
      <c r="H231" s="6"/>
      <c r="I231" s="3"/>
      <c r="J231" s="3"/>
      <c r="K231" s="3"/>
      <c r="M231" s="3"/>
      <c r="N231" s="6"/>
    </row>
    <row r="232" spans="1:14" s="8" customFormat="1" ht="12.75" x14ac:dyDescent="0.25">
      <c r="A232" s="6"/>
      <c r="B232" s="6"/>
      <c r="C232" s="6"/>
      <c r="D232" s="6"/>
      <c r="E232" s="6"/>
      <c r="F232" s="6"/>
      <c r="G232" s="6"/>
      <c r="H232" s="6"/>
      <c r="I232" s="3"/>
      <c r="J232" s="3"/>
      <c r="K232" s="3"/>
      <c r="M232" s="3"/>
      <c r="N232" s="6"/>
    </row>
    <row r="233" spans="1:14" s="8" customFormat="1" ht="12.75" x14ac:dyDescent="0.25">
      <c r="A233" s="6"/>
      <c r="B233" s="6"/>
      <c r="C233" s="6"/>
      <c r="D233" s="6"/>
      <c r="E233" s="6"/>
      <c r="F233" s="6"/>
      <c r="G233" s="6"/>
      <c r="H233" s="6"/>
      <c r="I233" s="3"/>
      <c r="J233" s="3"/>
      <c r="K233" s="3"/>
      <c r="M233" s="3"/>
      <c r="N233" s="6"/>
    </row>
    <row r="234" spans="1:14" s="8" customFormat="1" ht="12.75" x14ac:dyDescent="0.25">
      <c r="A234" s="6"/>
      <c r="B234" s="6"/>
      <c r="C234" s="6"/>
      <c r="D234" s="6"/>
      <c r="E234" s="6"/>
      <c r="F234" s="6"/>
      <c r="G234" s="6"/>
      <c r="H234" s="6"/>
      <c r="I234" s="3"/>
      <c r="J234" s="3"/>
      <c r="K234" s="3"/>
      <c r="M234" s="3"/>
      <c r="N234" s="6"/>
    </row>
    <row r="235" spans="1:14" s="8" customFormat="1" ht="12.75" x14ac:dyDescent="0.25">
      <c r="A235" s="6"/>
      <c r="B235" s="6"/>
      <c r="C235" s="6"/>
      <c r="D235" s="6"/>
      <c r="E235" s="6"/>
      <c r="F235" s="6"/>
      <c r="G235" s="6"/>
      <c r="H235" s="6"/>
      <c r="I235" s="3"/>
      <c r="J235" s="3"/>
      <c r="K235" s="3"/>
      <c r="M235" s="3"/>
      <c r="N235" s="6"/>
    </row>
    <row r="236" spans="1:14" s="8" customFormat="1" ht="12.75" x14ac:dyDescent="0.25">
      <c r="A236" s="6"/>
      <c r="B236" s="6"/>
      <c r="C236" s="6"/>
      <c r="D236" s="6"/>
      <c r="E236" s="6"/>
      <c r="F236" s="6"/>
      <c r="G236" s="6"/>
      <c r="H236" s="6"/>
      <c r="I236" s="3"/>
      <c r="J236" s="3"/>
      <c r="K236" s="3"/>
      <c r="M236" s="3"/>
      <c r="N236" s="6"/>
    </row>
  </sheetData>
  <mergeCells count="5">
    <mergeCell ref="E7:E8"/>
    <mergeCell ref="F7:G7"/>
    <mergeCell ref="J7:K7"/>
    <mergeCell ref="F6:I6"/>
    <mergeCell ref="J6:M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6FA1-2AD5-4E76-9CBE-68067CE7A503}">
  <dimension ref="A1:AT228"/>
  <sheetViews>
    <sheetView showGridLines="0" zoomScaleNormal="100" workbookViewId="0"/>
  </sheetViews>
  <sheetFormatPr baseColWidth="10" defaultColWidth="11.42578125" defaultRowHeight="12.75" x14ac:dyDescent="0.25"/>
  <cols>
    <col min="1" max="1" width="25.7109375" style="6" customWidth="1"/>
    <col min="2" max="6" width="11.28515625" style="6" customWidth="1"/>
    <col min="7" max="7" width="8" style="6" customWidth="1"/>
    <col min="8" max="8" width="12" style="6" customWidth="1"/>
    <col min="9" max="11" width="10" style="3" customWidth="1"/>
    <col min="12" max="12" width="10" style="3" hidden="1" customWidth="1"/>
    <col min="13" max="15" width="10" style="3" customWidth="1"/>
    <col min="16" max="16" width="10" style="3" hidden="1" customWidth="1"/>
    <col min="17" max="19" width="10" style="3" customWidth="1"/>
    <col min="20" max="20" width="10" style="3" hidden="1" customWidth="1"/>
    <col min="21" max="23" width="10" style="3" customWidth="1"/>
    <col min="24" max="24" width="10" style="3" hidden="1" customWidth="1"/>
    <col min="25" max="27" width="10" style="3" customWidth="1"/>
    <col min="28" max="28" width="10" style="3" hidden="1" customWidth="1"/>
    <col min="29" max="29" width="3.7109375" style="6" customWidth="1"/>
    <col min="30" max="30" width="11.28515625" style="6" bestFit="1" customWidth="1"/>
    <col min="31" max="31" width="10.85546875" style="6" bestFit="1" customWidth="1"/>
    <col min="32" max="32" width="11" style="6" bestFit="1" customWidth="1"/>
    <col min="33" max="16384" width="11.42578125" style="6"/>
  </cols>
  <sheetData>
    <row r="1" spans="1:46" s="23" customFormat="1" ht="15.75" x14ac:dyDescent="0.25">
      <c r="A1" s="15" t="s">
        <v>142</v>
      </c>
      <c r="B1" s="27"/>
      <c r="J1" s="28" t="s">
        <v>1</v>
      </c>
      <c r="K1" s="28">
        <v>12</v>
      </c>
      <c r="L1" s="28">
        <v>1</v>
      </c>
      <c r="M1" s="29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46" s="23" customFormat="1" x14ac:dyDescent="0.25">
      <c r="A2" s="23" t="s">
        <v>141</v>
      </c>
      <c r="I2" s="50"/>
      <c r="J2" s="28" t="s">
        <v>3</v>
      </c>
      <c r="K2" s="28">
        <v>4</v>
      </c>
      <c r="L2" s="28">
        <v>3</v>
      </c>
      <c r="M2" s="3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46" x14ac:dyDescent="0.25">
      <c r="A3" s="23" t="s">
        <v>4</v>
      </c>
      <c r="J3" s="28" t="s">
        <v>0</v>
      </c>
      <c r="K3" s="28">
        <v>2</v>
      </c>
      <c r="L3" s="28">
        <v>6</v>
      </c>
      <c r="M3" s="30"/>
    </row>
    <row r="4" spans="1:46" x14ac:dyDescent="0.25">
      <c r="J4" s="28" t="s">
        <v>5</v>
      </c>
      <c r="K4" s="28">
        <v>1</v>
      </c>
      <c r="L4" s="28">
        <v>12</v>
      </c>
      <c r="M4" s="51"/>
    </row>
    <row r="5" spans="1:46" ht="15" customHeight="1" x14ac:dyDescent="0.25">
      <c r="A5" s="52" t="s">
        <v>145</v>
      </c>
      <c r="B5" s="53">
        <v>0.11</v>
      </c>
      <c r="I5" s="23"/>
      <c r="J5" s="50"/>
      <c r="K5" s="50"/>
      <c r="L5" s="50"/>
      <c r="M5" s="23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23"/>
      <c r="AM5" s="23"/>
      <c r="AN5" s="23"/>
      <c r="AO5" s="23"/>
      <c r="AP5" s="23"/>
      <c r="AQ5" s="23"/>
      <c r="AR5" s="23"/>
      <c r="AS5" s="23"/>
      <c r="AT5" s="23"/>
    </row>
    <row r="6" spans="1:46" s="16" customFormat="1" ht="24.75" customHeight="1" x14ac:dyDescent="0.25">
      <c r="A6" s="77" t="s">
        <v>6</v>
      </c>
      <c r="B6" s="76" t="s">
        <v>45</v>
      </c>
      <c r="C6" s="77" t="s">
        <v>39</v>
      </c>
      <c r="D6" s="77" t="s">
        <v>40</v>
      </c>
      <c r="E6" s="77" t="s">
        <v>41</v>
      </c>
      <c r="F6" s="77" t="s">
        <v>42</v>
      </c>
      <c r="H6" s="64"/>
    </row>
    <row r="7" spans="1:46" x14ac:dyDescent="0.25">
      <c r="A7" s="321" t="s">
        <v>7</v>
      </c>
      <c r="B7" s="56">
        <v>44078</v>
      </c>
      <c r="C7" s="56">
        <v>44078</v>
      </c>
      <c r="D7" s="56">
        <v>44078</v>
      </c>
      <c r="E7" s="56">
        <v>44078</v>
      </c>
      <c r="F7" s="56">
        <v>44078</v>
      </c>
      <c r="G7" s="1"/>
    </row>
    <row r="8" spans="1:46" x14ac:dyDescent="0.25">
      <c r="A8" s="321" t="s">
        <v>8</v>
      </c>
      <c r="B8" s="56">
        <v>47730</v>
      </c>
      <c r="C8" s="56">
        <v>47730</v>
      </c>
      <c r="D8" s="56">
        <v>49556</v>
      </c>
      <c r="E8" s="56">
        <v>50652</v>
      </c>
      <c r="F8" s="56">
        <v>51748</v>
      </c>
      <c r="G8" s="1"/>
    </row>
    <row r="9" spans="1:46" x14ac:dyDescent="0.25">
      <c r="A9" s="321" t="s">
        <v>9</v>
      </c>
      <c r="B9" s="56" t="s">
        <v>10</v>
      </c>
      <c r="C9" s="56" t="s">
        <v>10</v>
      </c>
      <c r="D9" s="56" t="s">
        <v>10</v>
      </c>
      <c r="E9" s="56" t="s">
        <v>10</v>
      </c>
      <c r="F9" s="56" t="s">
        <v>10</v>
      </c>
      <c r="G9" s="1"/>
    </row>
    <row r="10" spans="1:46" x14ac:dyDescent="0.25">
      <c r="A10" s="321" t="s">
        <v>11</v>
      </c>
      <c r="B10" s="57">
        <f>+YEARFRAC(B7,B8)</f>
        <v>10</v>
      </c>
      <c r="C10" s="57">
        <f>+YEARFRAC(C7,C8)</f>
        <v>10</v>
      </c>
      <c r="D10" s="57">
        <f t="shared" ref="D10:F10" si="0">+YEARFRAC(D7,D8)</f>
        <v>15</v>
      </c>
      <c r="E10" s="57">
        <f t="shared" si="0"/>
        <v>18</v>
      </c>
      <c r="F10" s="57">
        <f t="shared" si="0"/>
        <v>21</v>
      </c>
      <c r="G10" s="1"/>
    </row>
    <row r="11" spans="1:46" hidden="1" x14ac:dyDescent="0.25">
      <c r="A11" s="321" t="s">
        <v>12</v>
      </c>
      <c r="B11" s="57">
        <f>+YEARFRAC(B7,B12)</f>
        <v>0</v>
      </c>
      <c r="C11" s="57">
        <f>+YEARFRAC(C7,C12)</f>
        <v>0</v>
      </c>
      <c r="D11" s="57">
        <f t="shared" ref="D11:F11" si="1">+YEARFRAC(D7,D12)</f>
        <v>0</v>
      </c>
      <c r="E11" s="57">
        <f t="shared" si="1"/>
        <v>0</v>
      </c>
      <c r="F11" s="57">
        <f t="shared" si="1"/>
        <v>0</v>
      </c>
      <c r="G11" s="1"/>
    </row>
    <row r="12" spans="1:46" hidden="1" x14ac:dyDescent="0.25">
      <c r="A12" s="321" t="s">
        <v>13</v>
      </c>
      <c r="B12" s="56">
        <v>44078</v>
      </c>
      <c r="C12" s="56">
        <v>44078</v>
      </c>
      <c r="D12" s="56">
        <v>44078</v>
      </c>
      <c r="E12" s="56">
        <v>44078</v>
      </c>
      <c r="F12" s="56">
        <v>44078</v>
      </c>
      <c r="G12" s="1"/>
    </row>
    <row r="13" spans="1:46" x14ac:dyDescent="0.25">
      <c r="A13" s="321" t="s">
        <v>14</v>
      </c>
      <c r="B13" s="56">
        <f>DATE(YEAR(B$12),MONTH(B$12)+VLOOKUP(B$15,$J$1:$L$4,3,0),DAY(B$12))</f>
        <v>44259</v>
      </c>
      <c r="C13" s="56">
        <v>44443</v>
      </c>
      <c r="D13" s="56">
        <v>44443</v>
      </c>
      <c r="E13" s="56">
        <v>44443</v>
      </c>
      <c r="F13" s="56">
        <v>44443</v>
      </c>
      <c r="G13" s="1"/>
    </row>
    <row r="14" spans="1:46" x14ac:dyDescent="0.25">
      <c r="A14" s="321" t="s">
        <v>15</v>
      </c>
      <c r="B14" s="58" t="s">
        <v>16</v>
      </c>
      <c r="C14" s="58" t="s">
        <v>16</v>
      </c>
      <c r="D14" s="58" t="s">
        <v>16</v>
      </c>
      <c r="E14" s="58" t="s">
        <v>16</v>
      </c>
      <c r="F14" s="58" t="s">
        <v>16</v>
      </c>
      <c r="G14" s="1"/>
    </row>
    <row r="15" spans="1:46" x14ac:dyDescent="0.25">
      <c r="A15" s="321" t="s">
        <v>17</v>
      </c>
      <c r="B15" s="56" t="s">
        <v>0</v>
      </c>
      <c r="C15" s="56" t="s">
        <v>0</v>
      </c>
      <c r="D15" s="56" t="s">
        <v>0</v>
      </c>
      <c r="E15" s="56" t="s">
        <v>0</v>
      </c>
      <c r="F15" s="56" t="s">
        <v>0</v>
      </c>
      <c r="G15" s="1"/>
    </row>
    <row r="16" spans="1:46" x14ac:dyDescent="0.25">
      <c r="A16" s="321" t="s">
        <v>135</v>
      </c>
      <c r="B16" s="59">
        <v>8</v>
      </c>
      <c r="C16" s="59">
        <v>12</v>
      </c>
      <c r="D16" s="59">
        <v>10</v>
      </c>
      <c r="E16" s="59">
        <v>22</v>
      </c>
      <c r="F16" s="59">
        <v>28</v>
      </c>
      <c r="G16" s="1"/>
    </row>
    <row r="17" spans="1:46" x14ac:dyDescent="0.25">
      <c r="A17" s="321" t="s">
        <v>18</v>
      </c>
      <c r="B17" s="56">
        <v>46450</v>
      </c>
      <c r="C17" s="56">
        <v>45720</v>
      </c>
      <c r="D17" s="56">
        <v>47911</v>
      </c>
      <c r="E17" s="56">
        <v>46816</v>
      </c>
      <c r="F17" s="56">
        <v>46816</v>
      </c>
      <c r="G17" s="1"/>
    </row>
    <row r="18" spans="1:46" x14ac:dyDescent="0.25">
      <c r="A18" s="322" t="s">
        <v>138</v>
      </c>
      <c r="B18" s="61">
        <f>+HLOOKUP(B6,'Eleccion de canje'!$E$8:$K$38,31,FALSE)</f>
        <v>2240.9757783951982</v>
      </c>
      <c r="C18" s="61">
        <f>+HLOOKUP(C6,'Eleccion de canje'!$E$8:$K$38,31,FALSE)</f>
        <v>19032.1886314564</v>
      </c>
      <c r="D18" s="61">
        <f>+HLOOKUP(D6,'Eleccion de canje'!$E$8:$K$38,31,FALSE)</f>
        <v>13053.830917589999</v>
      </c>
      <c r="E18" s="61">
        <f>+HLOOKUP(E6,'Eleccion de canje'!$E$8:$K$38,31,FALSE)</f>
        <v>7253.7452148299999</v>
      </c>
      <c r="F18" s="61">
        <f>+HLOOKUP(F6,'Eleccion de canje'!$E$8:$K$38,31,FALSE)</f>
        <v>1301.0025439999999</v>
      </c>
      <c r="G18" s="1"/>
    </row>
    <row r="19" spans="1:46" s="3" customFormat="1" ht="21" customHeight="1" x14ac:dyDescent="0.25">
      <c r="A19" s="1"/>
      <c r="B19" s="1"/>
      <c r="C19" s="1"/>
      <c r="D19" s="1"/>
      <c r="E19" s="1"/>
      <c r="F19" s="1"/>
      <c r="G19" s="1"/>
      <c r="H19" s="6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</row>
    <row r="20" spans="1:46" s="3" customFormat="1" ht="21" customHeight="1" x14ac:dyDescent="0.25">
      <c r="A20" s="1"/>
      <c r="B20" s="1"/>
      <c r="C20" s="1"/>
      <c r="D20" s="1"/>
      <c r="E20" s="1"/>
      <c r="F20" s="1"/>
      <c r="G20" s="1"/>
      <c r="H20" s="6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</row>
    <row r="21" spans="1:46" x14ac:dyDescent="0.25">
      <c r="A21" s="3"/>
      <c r="B21" s="3"/>
    </row>
    <row r="22" spans="1:46" s="103" customFormat="1" x14ac:dyDescent="0.25">
      <c r="A22" s="101"/>
      <c r="B22" s="101"/>
      <c r="C22" s="101"/>
      <c r="D22" s="102"/>
      <c r="E22" s="102"/>
      <c r="F22" s="102"/>
      <c r="I22" s="395" t="str">
        <f>B6</f>
        <v>USDI 2030 LA</v>
      </c>
      <c r="J22" s="391"/>
      <c r="K22" s="391"/>
      <c r="L22" s="392"/>
      <c r="M22" s="395" t="str">
        <f>C6</f>
        <v>USD 2030 LA</v>
      </c>
      <c r="N22" s="391"/>
      <c r="O22" s="391"/>
      <c r="P22" s="392"/>
      <c r="Q22" s="391" t="str">
        <f>D6</f>
        <v>USD 2035 LA</v>
      </c>
      <c r="R22" s="391"/>
      <c r="S22" s="391"/>
      <c r="T22" s="392"/>
      <c r="U22" s="391" t="str">
        <f>E6</f>
        <v>USD 2038 LA</v>
      </c>
      <c r="V22" s="391"/>
      <c r="W22" s="391"/>
      <c r="X22" s="392"/>
      <c r="Y22" s="395" t="str">
        <f>F6</f>
        <v>USD 2041 LA</v>
      </c>
      <c r="Z22" s="391"/>
      <c r="AA22" s="391"/>
      <c r="AB22" s="392"/>
      <c r="AC22" s="104"/>
      <c r="AD22" s="391" t="s">
        <v>140</v>
      </c>
      <c r="AE22" s="391"/>
      <c r="AF22" s="391"/>
    </row>
    <row r="23" spans="1:46" s="7" customFormat="1" ht="25.5" x14ac:dyDescent="0.25">
      <c r="A23" s="96" t="s">
        <v>20</v>
      </c>
      <c r="B23" s="393" t="s">
        <v>21</v>
      </c>
      <c r="C23" s="394"/>
      <c r="D23" s="394"/>
      <c r="E23" s="394"/>
      <c r="F23" s="394"/>
      <c r="G23" s="97" t="s">
        <v>36</v>
      </c>
      <c r="H23" s="97" t="s">
        <v>22</v>
      </c>
      <c r="I23" s="97" t="s">
        <v>23</v>
      </c>
      <c r="J23" s="98" t="s">
        <v>24</v>
      </c>
      <c r="K23" s="98" t="s">
        <v>25</v>
      </c>
      <c r="L23" s="99" t="s">
        <v>26</v>
      </c>
      <c r="M23" s="97" t="s">
        <v>23</v>
      </c>
      <c r="N23" s="98" t="s">
        <v>24</v>
      </c>
      <c r="O23" s="98" t="s">
        <v>25</v>
      </c>
      <c r="P23" s="99" t="s">
        <v>26</v>
      </c>
      <c r="Q23" s="97" t="s">
        <v>23</v>
      </c>
      <c r="R23" s="98" t="s">
        <v>24</v>
      </c>
      <c r="S23" s="98" t="s">
        <v>25</v>
      </c>
      <c r="T23" s="99" t="s">
        <v>26</v>
      </c>
      <c r="U23" s="97" t="s">
        <v>23</v>
      </c>
      <c r="V23" s="98" t="s">
        <v>24</v>
      </c>
      <c r="W23" s="98" t="s">
        <v>25</v>
      </c>
      <c r="X23" s="99" t="s">
        <v>26</v>
      </c>
      <c r="Y23" s="313" t="s">
        <v>23</v>
      </c>
      <c r="Z23" s="314" t="s">
        <v>24</v>
      </c>
      <c r="AA23" s="314" t="s">
        <v>25</v>
      </c>
      <c r="AB23" s="215" t="s">
        <v>26</v>
      </c>
      <c r="AC23" s="100"/>
      <c r="AD23" s="111" t="s">
        <v>28</v>
      </c>
      <c r="AE23" s="112" t="s">
        <v>29</v>
      </c>
      <c r="AF23" s="113" t="s">
        <v>30</v>
      </c>
    </row>
    <row r="24" spans="1:46" s="8" customFormat="1" x14ac:dyDescent="0.25">
      <c r="A24" s="80">
        <f>B7</f>
        <v>44078</v>
      </c>
      <c r="B24" s="81">
        <v>0</v>
      </c>
      <c r="C24" s="82">
        <v>0</v>
      </c>
      <c r="D24" s="82">
        <v>0</v>
      </c>
      <c r="E24" s="82">
        <v>0</v>
      </c>
      <c r="F24" s="82">
        <v>0</v>
      </c>
      <c r="G24" s="116">
        <f>+YEAR(H24)</f>
        <v>2020</v>
      </c>
      <c r="H24" s="83">
        <f>A24</f>
        <v>44078</v>
      </c>
      <c r="I24" s="105"/>
      <c r="J24" s="106"/>
      <c r="K24" s="107"/>
      <c r="L24" s="108"/>
      <c r="M24" s="105"/>
      <c r="N24" s="106"/>
      <c r="O24" s="107"/>
      <c r="P24" s="108"/>
      <c r="Q24" s="105"/>
      <c r="R24" s="106"/>
      <c r="S24" s="107"/>
      <c r="T24" s="108"/>
      <c r="U24" s="105"/>
      <c r="V24" s="106"/>
      <c r="W24" s="107"/>
      <c r="X24" s="108"/>
      <c r="Y24" s="105"/>
      <c r="Z24" s="323"/>
      <c r="AA24" s="107"/>
      <c r="AB24" s="108"/>
      <c r="AC24" s="79"/>
      <c r="AD24" s="155">
        <f>+SUM(I24,M24,Q24,U24,Y24)</f>
        <v>0</v>
      </c>
      <c r="AE24" s="156">
        <f>+SUM(J24,N24,R24,V24,Z24)</f>
        <v>0</v>
      </c>
      <c r="AF24" s="157">
        <f>+AD24+AE24</f>
        <v>0</v>
      </c>
    </row>
    <row r="25" spans="1:46" s="8" customFormat="1" x14ac:dyDescent="0.25">
      <c r="A25" s="80">
        <f t="shared" ref="A25:A66" si="2">DATE(YEAR(A24),MONTH(A24)+VLOOKUP($D$15,$J$1:$L$4,3,0),DAY(A24))</f>
        <v>44259</v>
      </c>
      <c r="B25" s="81">
        <v>0</v>
      </c>
      <c r="C25" s="82">
        <v>0</v>
      </c>
      <c r="D25" s="82">
        <v>0</v>
      </c>
      <c r="E25" s="82">
        <v>0</v>
      </c>
      <c r="F25" s="82">
        <v>0</v>
      </c>
      <c r="G25" s="117">
        <f t="shared" ref="G25:G66" si="3">+YEAR(H25)</f>
        <v>2021</v>
      </c>
      <c r="H25" s="83">
        <f>DATE(YEAR(A24),MONTH(A24)+VLOOKUP($D$15,$J$1:$L$4,3,0),DAY(A24))</f>
        <v>44259</v>
      </c>
      <c r="I25" s="119">
        <v>0</v>
      </c>
      <c r="J25" s="120">
        <f>+IF($M25&gt;$B$8,"FIN",IF($M25&lt;$B$17,0,$B$18/$B$16))</f>
        <v>0</v>
      </c>
      <c r="K25" s="121">
        <f t="shared" ref="K25:K44" si="4">+SUM(I25:J25)</f>
        <v>0</v>
      </c>
      <c r="L25" s="122">
        <f>K25/(1+$B$5)^(YEARFRAC($M$24,$M25))</f>
        <v>0</v>
      </c>
      <c r="M25" s="119">
        <v>0</v>
      </c>
      <c r="N25" s="120">
        <f>+IF($M25&gt;$C$8,"FIN",IF($M25&lt;$C$17,0,$C$18/$C$16))</f>
        <v>0</v>
      </c>
      <c r="O25" s="121">
        <f t="shared" ref="O25:O44" si="5">+SUM(M25:N25)</f>
        <v>0</v>
      </c>
      <c r="P25" s="122">
        <f>O25/(1+$B$5)^(YEARFRAC($M$24,$M25))</f>
        <v>0</v>
      </c>
      <c r="Q25" s="119">
        <v>0</v>
      </c>
      <c r="R25" s="120">
        <f>+IF($M25&gt;$D$8,"FIN",IF($M25&lt;$D$17,0,$D$18/$D$16))</f>
        <v>0</v>
      </c>
      <c r="S25" s="121">
        <f t="shared" ref="S25:S54" si="6">+SUM(Q25:R25)</f>
        <v>0</v>
      </c>
      <c r="T25" s="122">
        <f>S25/(1+$B$5)^(YEARFRAC($M$24,$M25))</f>
        <v>0</v>
      </c>
      <c r="U25" s="119">
        <v>0</v>
      </c>
      <c r="V25" s="121">
        <f>+IF($M25&gt;$E$8,"FIN",IF($M25&lt;$E$17,0,$E$18/$E$16))</f>
        <v>0</v>
      </c>
      <c r="W25" s="121">
        <f t="shared" ref="W25:W60" si="7">+SUM(U25:V25)</f>
        <v>0</v>
      </c>
      <c r="X25" s="122">
        <f>W25/(1+$B$5)^(YEARFRAC($M$24,$M25))</f>
        <v>0</v>
      </c>
      <c r="Y25" s="119">
        <v>0</v>
      </c>
      <c r="Z25" s="324">
        <f>+IF($M25&gt;$F$8,"FIN",IF($M25&lt;$F$17,0,$F$18/$F$16))</f>
        <v>0</v>
      </c>
      <c r="AA25" s="121">
        <f t="shared" ref="AA25:AA66" si="8">+SUM(Y25:Z25)</f>
        <v>0</v>
      </c>
      <c r="AB25" s="122">
        <f>AA25/(1+$B$5)^(YEARFRAC($M$24,$M25))</f>
        <v>0</v>
      </c>
      <c r="AC25" s="79"/>
      <c r="AD25" s="155">
        <f t="shared" ref="AD25:AD66" si="9">+SUM(I25,M25,Q25,U25,Y25)</f>
        <v>0</v>
      </c>
      <c r="AE25" s="156">
        <f t="shared" ref="AE25:AE66" si="10">+SUM(J25,N25,R25,V25,Z25)</f>
        <v>0</v>
      </c>
      <c r="AF25" s="157">
        <f t="shared" ref="AF25:AF66" si="11">+AD25+AE25</f>
        <v>0</v>
      </c>
    </row>
    <row r="26" spans="1:46" s="8" customFormat="1" x14ac:dyDescent="0.25">
      <c r="A26" s="80">
        <f t="shared" si="2"/>
        <v>44443</v>
      </c>
      <c r="B26" s="81">
        <v>0.01</v>
      </c>
      <c r="C26" s="84">
        <v>1.25E-3</v>
      </c>
      <c r="D26" s="82">
        <v>1.25E-3</v>
      </c>
      <c r="E26" s="84">
        <v>1.25E-3</v>
      </c>
      <c r="F26" s="82">
        <v>1.25E-3</v>
      </c>
      <c r="G26" s="117">
        <f t="shared" si="3"/>
        <v>2021</v>
      </c>
      <c r="H26" s="83">
        <f t="shared" ref="H26:H66" si="12">+DATE(YEAR(H25),MONTH(H25)+VLOOKUP(C$15,$J$1:$L$4,3,0),DAY(H25))</f>
        <v>44443</v>
      </c>
      <c r="I26" s="119">
        <f>+IF($H26&gt;B$8,"FIN",(B$18-SUM(J$24:J25))*VLOOKUP($H26,$A:$F,2,0)/VLOOKUP(B$15,$J$1:$L$4,2,0))*2</f>
        <v>22.409757783951981</v>
      </c>
      <c r="J26" s="120">
        <f>+IF($M26&gt;$B$8,"FIN",IF($M26&lt;$B$17,0,$B$18/$B$16))</f>
        <v>0</v>
      </c>
      <c r="K26" s="121">
        <f t="shared" si="4"/>
        <v>22.409757783951981</v>
      </c>
      <c r="L26" s="122">
        <f>K26/(1+$B$5)^(YEARFRAC($M$24,$M26))</f>
        <v>22.260838952743267</v>
      </c>
      <c r="M26" s="119">
        <f>+IF($H26&gt;C$8,"FIN",(C$18-SUM(N$24:N25))*VLOOKUP($H26,$A:$F,3,0)/VLOOKUP(C$15,$J$1:$L$4,2,0))*2</f>
        <v>23.790235789320501</v>
      </c>
      <c r="N26" s="120">
        <f>+IF($M26&gt;$C$8,"FIN",IF($M26&lt;$C$17,0,$C$18/$C$16))</f>
        <v>0</v>
      </c>
      <c r="O26" s="121">
        <f t="shared" si="5"/>
        <v>23.790235789320501</v>
      </c>
      <c r="P26" s="122">
        <f>O26/(1+$B$5)^(YEARFRAC($M$24,$M26))</f>
        <v>23.632143312727006</v>
      </c>
      <c r="Q26" s="119">
        <f>+IF($H26&gt;D$8,"FIN",(D$18-SUM(R$24:R25))*VLOOKUP($H26,$A:$F,4,0)/VLOOKUP(D$15,$J$1:$L$4,2,0))*2</f>
        <v>16.3172886469875</v>
      </c>
      <c r="R26" s="120">
        <f>+IF($M26&gt;$D$8,"FIN",IF($M26&lt;$D$17,0,$D$18/$D$16))</f>
        <v>0</v>
      </c>
      <c r="S26" s="121">
        <f t="shared" si="6"/>
        <v>16.3172886469875</v>
      </c>
      <c r="T26" s="122">
        <f>S26/(1+$B$5)^(YEARFRAC($M$24,$M26))</f>
        <v>16.208855901875694</v>
      </c>
      <c r="U26" s="119">
        <f>+IF($H26&gt;E$8,"FIN",(E$18-SUM(V$24:V25))*VLOOKUP($H26,$A$2:$F$1048576,5,0)/VLOOKUP(E$15,$J$1:$L$4,2,0))*2</f>
        <v>9.0671815185375007</v>
      </c>
      <c r="V26" s="121">
        <f>+IF($M26&gt;$E$8,"FIN",IF($M26&lt;$E$17,0,$E$18/$E$16))</f>
        <v>0</v>
      </c>
      <c r="W26" s="121">
        <f t="shared" si="7"/>
        <v>9.0671815185375007</v>
      </c>
      <c r="X26" s="122">
        <f>W26/(1+$B$5)^(YEARFRAC($M$24,$M26))</f>
        <v>9.0069276734439665</v>
      </c>
      <c r="Y26" s="119">
        <f>+IF($H26&gt;F$8,"FIN",(F$18-SUM(Z$24:Z25))*VLOOKUP($H26,$A:$F,6,0)/VLOOKUP(F$15,$J$1:$L$4,2,0))*2</f>
        <v>1.62625318</v>
      </c>
      <c r="Z26" s="324">
        <f>+IF($M26&gt;$F$8,"FIN",IF($M26&lt;$F$17,0,$F$18/$F$16))</f>
        <v>0</v>
      </c>
      <c r="AA26" s="121">
        <f t="shared" si="8"/>
        <v>1.62625318</v>
      </c>
      <c r="AB26" s="122">
        <f>AA26/(1+$B$5)^(YEARFRAC($M$24,$M26))</f>
        <v>1.6154462928774411</v>
      </c>
      <c r="AC26" s="79"/>
      <c r="AD26" s="155">
        <f t="shared" si="9"/>
        <v>73.210716918797488</v>
      </c>
      <c r="AE26" s="156">
        <f t="shared" si="10"/>
        <v>0</v>
      </c>
      <c r="AF26" s="157">
        <f t="shared" si="11"/>
        <v>73.210716918797488</v>
      </c>
    </row>
    <row r="27" spans="1:46" s="8" customFormat="1" x14ac:dyDescent="0.25">
      <c r="A27" s="80">
        <f t="shared" si="2"/>
        <v>44624</v>
      </c>
      <c r="B27" s="81">
        <v>0.01</v>
      </c>
      <c r="C27" s="84">
        <v>5.0000000000000001E-3</v>
      </c>
      <c r="D27" s="82">
        <v>1.125E-2</v>
      </c>
      <c r="E27" s="84">
        <v>0.02</v>
      </c>
      <c r="F27" s="82">
        <v>2.5000000000000001E-2</v>
      </c>
      <c r="G27" s="117">
        <f t="shared" si="3"/>
        <v>2022</v>
      </c>
      <c r="H27" s="83">
        <f t="shared" si="12"/>
        <v>44624</v>
      </c>
      <c r="I27" s="105">
        <f>+IF($H27&gt;B$8,"FIN",(B$18-SUM(J$24:J26))*VLOOKUP($H27,$A:$F,2,0)/VLOOKUP(B$15,$J$1:$L$4,2,0))</f>
        <v>11.204878891975991</v>
      </c>
      <c r="J27" s="109">
        <f t="shared" ref="J27:J44" si="13">+IF($H27&gt;B$8,"FIN",IF($H27&lt;B$17,0,B$18/B$16))</f>
        <v>0</v>
      </c>
      <c r="K27" s="109">
        <f t="shared" si="4"/>
        <v>11.204878891975991</v>
      </c>
      <c r="L27" s="108">
        <f t="shared" ref="L27:L44" si="14">K27/(1+$B$5)^(YEARFRAC($H$24,$H27))</f>
        <v>9.5812616141958653</v>
      </c>
      <c r="M27" s="105">
        <f>+IF($H27&gt;C$8,"FIN",(C$18-SUM(N$24:N26))*VLOOKUP($H27,$A:$F,3,0)/VLOOKUP(C$15,$J$1:$L$4,2,0))</f>
        <v>47.580471578641003</v>
      </c>
      <c r="N27" s="109">
        <f t="shared" ref="N27:N44" si="15">+IF($H27&gt;C$8,"FIN",IF($H27&lt;C$17,0,C$18/C$16))</f>
        <v>0</v>
      </c>
      <c r="O27" s="109">
        <f t="shared" si="5"/>
        <v>47.580471578641003</v>
      </c>
      <c r="P27" s="108">
        <f t="shared" ref="P27:P44" si="16">O27/(1+$B$5)^(YEARFRAC($H$24,$H27))</f>
        <v>40.685932468956423</v>
      </c>
      <c r="Q27" s="105">
        <f>+IF($H27&gt;D$8,"FIN",(D$18-SUM(R$24:R26))*VLOOKUP($H27,$A:$F,4,0)/VLOOKUP(D$15,$J$1:$L$4,2,0))</f>
        <v>73.427798911443745</v>
      </c>
      <c r="R27" s="109">
        <f t="shared" ref="R27:R54" si="17">+IF($H27&gt;D$8,"FIN",IF($H27&lt;D$17,0,D$18/D$16))</f>
        <v>0</v>
      </c>
      <c r="S27" s="109">
        <f t="shared" si="6"/>
        <v>73.427798911443745</v>
      </c>
      <c r="T27" s="108">
        <f t="shared" ref="T27:T54" si="18">S27/(1+$B$5)^(YEARFRAC($H$24,$H27))</f>
        <v>62.787912114687799</v>
      </c>
      <c r="U27" s="105">
        <f>+IF($H27&gt;E$8,"FIN",(E$18-SUM(V$24:V26))*VLOOKUP($H27,$A:$F,5,0)/VLOOKUP(E$15,$J$1:$L$4,2,0))</f>
        <v>72.537452148300005</v>
      </c>
      <c r="V27" s="109">
        <f t="shared" ref="V27:V60" si="19">+IF($H27&gt;E$8,"FIN",IF($H27&lt;E$17,0,E$18/E$16))</f>
        <v>0</v>
      </c>
      <c r="W27" s="107">
        <f t="shared" si="7"/>
        <v>72.537452148300005</v>
      </c>
      <c r="X27" s="108">
        <f t="shared" ref="X27:X60" si="20">W27/(1+$B$5)^(YEARFRAC($H$24,$H27))</f>
        <v>62.02657900727317</v>
      </c>
      <c r="Y27" s="105">
        <f>+IF($H27&gt;F$8,"FIN",(F$18-SUM(Z$24:Z26))*VLOOKUP($H27,$A:$F,6,0)/VLOOKUP(F$15,$J$1:$L$4,2,0))</f>
        <v>16.262531800000001</v>
      </c>
      <c r="Z27" s="109">
        <f t="shared" ref="Z27:Z66" si="21">+IF($H27&gt;F$8,"FIN",IF($H27&lt;F$17,0,F$18/F$16))</f>
        <v>0</v>
      </c>
      <c r="AA27" s="107">
        <f t="shared" si="8"/>
        <v>16.262531800000001</v>
      </c>
      <c r="AB27" s="108">
        <f t="shared" ref="AB27:AB66" si="22">AA27/(1+$B$5)^(YEARFRAC($H$24,$H27))</f>
        <v>13.906046927161512</v>
      </c>
      <c r="AC27" s="79"/>
      <c r="AD27" s="155">
        <f t="shared" si="9"/>
        <v>221.01313333036077</v>
      </c>
      <c r="AE27" s="156">
        <f t="shared" si="10"/>
        <v>0</v>
      </c>
      <c r="AF27" s="157">
        <f t="shared" si="11"/>
        <v>221.01313333036077</v>
      </c>
    </row>
    <row r="28" spans="1:46" s="8" customFormat="1" x14ac:dyDescent="0.25">
      <c r="A28" s="80">
        <f t="shared" si="2"/>
        <v>44808</v>
      </c>
      <c r="B28" s="84">
        <v>0.01</v>
      </c>
      <c r="C28" s="84">
        <v>5.0000000000000001E-3</v>
      </c>
      <c r="D28" s="82">
        <v>1.125E-2</v>
      </c>
      <c r="E28" s="85">
        <v>0.02</v>
      </c>
      <c r="F28" s="84">
        <v>2.5000000000000001E-2</v>
      </c>
      <c r="G28" s="117">
        <f t="shared" si="3"/>
        <v>2022</v>
      </c>
      <c r="H28" s="83">
        <f t="shared" si="12"/>
        <v>44808</v>
      </c>
      <c r="I28" s="105">
        <f>+IF($H28&gt;B$8,"FIN",(B$18-SUM(J$24:J27))*VLOOKUP($H28,$A:$G,2,0)/VLOOKUP(B$15,$J$1:$L$4,2,0))</f>
        <v>11.204878891975991</v>
      </c>
      <c r="J28" s="107">
        <f t="shared" si="13"/>
        <v>0</v>
      </c>
      <c r="K28" s="107">
        <f t="shared" si="4"/>
        <v>11.204878891975991</v>
      </c>
      <c r="L28" s="108">
        <f t="shared" si="14"/>
        <v>9.0941310705105014</v>
      </c>
      <c r="M28" s="105">
        <f>+IF($H28&gt;C$8,"FIN",(C$18-SUM(N$24:N27))*VLOOKUP($H28,$A:$G,3,0)/VLOOKUP(C$15,$J$1:$L$4,2,0))</f>
        <v>47.580471578641003</v>
      </c>
      <c r="N28" s="107">
        <f t="shared" si="15"/>
        <v>0</v>
      </c>
      <c r="O28" s="107">
        <f t="shared" si="5"/>
        <v>47.580471578641003</v>
      </c>
      <c r="P28" s="108">
        <f t="shared" si="16"/>
        <v>38.6173781175562</v>
      </c>
      <c r="Q28" s="105">
        <f>+IF($H28&gt;D$8,"FIN",(D$18-SUM(R$24:R27))*VLOOKUP($H28,$A:$F,4,0)/VLOOKUP(D$15,$J$1:$L$4,2,0))</f>
        <v>73.427798911443745</v>
      </c>
      <c r="R28" s="109">
        <f t="shared" si="17"/>
        <v>0</v>
      </c>
      <c r="S28" s="109">
        <f t="shared" si="6"/>
        <v>73.427798911443745</v>
      </c>
      <c r="T28" s="108">
        <f t="shared" si="18"/>
        <v>59.595648820261125</v>
      </c>
      <c r="U28" s="105">
        <f>+IF($H28&gt;E$8,"FIN",(E$18-SUM(V$24:V27))*VLOOKUP($H28,$A:$F,5,0)/VLOOKUP(E$15,$J$1:$L$4,2,0))</f>
        <v>72.537452148300005</v>
      </c>
      <c r="V28" s="107">
        <f t="shared" si="19"/>
        <v>0</v>
      </c>
      <c r="W28" s="107">
        <f t="shared" si="7"/>
        <v>72.537452148300005</v>
      </c>
      <c r="X28" s="108">
        <f t="shared" si="20"/>
        <v>58.873023413927434</v>
      </c>
      <c r="Y28" s="105">
        <f>+IF($H28&gt;F$8,"FIN",(F$18-SUM(Z$24:Z27))*VLOOKUP($H28,$A:$F,6,0)/VLOOKUP(F$15,$J$1:$L$4,2,0))</f>
        <v>16.262531800000001</v>
      </c>
      <c r="Z28" s="107">
        <f t="shared" si="21"/>
        <v>0</v>
      </c>
      <c r="AA28" s="107">
        <f t="shared" si="8"/>
        <v>16.262531800000001</v>
      </c>
      <c r="AB28" s="108">
        <f t="shared" si="22"/>
        <v>13.199035630224818</v>
      </c>
      <c r="AC28" s="79"/>
      <c r="AD28" s="155">
        <f t="shared" si="9"/>
        <v>221.01313333036077</v>
      </c>
      <c r="AE28" s="156">
        <f t="shared" si="10"/>
        <v>0</v>
      </c>
      <c r="AF28" s="157">
        <f t="shared" si="11"/>
        <v>221.01313333036077</v>
      </c>
    </row>
    <row r="29" spans="1:46" s="8" customFormat="1" x14ac:dyDescent="0.25">
      <c r="A29" s="80">
        <f t="shared" si="2"/>
        <v>44989</v>
      </c>
      <c r="B29" s="84">
        <v>0.01</v>
      </c>
      <c r="C29" s="84">
        <v>5.0000000000000001E-3</v>
      </c>
      <c r="D29" s="82">
        <v>1.4999999999999999E-2</v>
      </c>
      <c r="E29" s="85">
        <v>3.875E-2</v>
      </c>
      <c r="F29" s="84">
        <v>3.5000000000000003E-2</v>
      </c>
      <c r="G29" s="86">
        <f t="shared" si="3"/>
        <v>2023</v>
      </c>
      <c r="H29" s="83">
        <f t="shared" si="12"/>
        <v>44989</v>
      </c>
      <c r="I29" s="105">
        <f>+IF($H29&gt;B$8,"FIN",(B$18-SUM(J$24:J28))*VLOOKUP($H29,$A:$G,2,0)/VLOOKUP(B$15,$J$1:$L$4,2,0))</f>
        <v>11.204878891975991</v>
      </c>
      <c r="J29" s="107">
        <f t="shared" si="13"/>
        <v>0</v>
      </c>
      <c r="K29" s="107">
        <f t="shared" si="4"/>
        <v>11.204878891975991</v>
      </c>
      <c r="L29" s="108">
        <f t="shared" si="14"/>
        <v>8.6317672199962754</v>
      </c>
      <c r="M29" s="105">
        <f>+IF($H29&gt;C$8,"FIN",(C$18-SUM(N$24:N28))*VLOOKUP($H29,$A:$G,3,0)/VLOOKUP(C$15,$J$1:$L$4,2,0))</f>
        <v>47.580471578641003</v>
      </c>
      <c r="N29" s="107">
        <f t="shared" si="15"/>
        <v>0</v>
      </c>
      <c r="O29" s="107">
        <f t="shared" si="5"/>
        <v>47.580471578641003</v>
      </c>
      <c r="P29" s="108">
        <f t="shared" si="16"/>
        <v>36.653993215276053</v>
      </c>
      <c r="Q29" s="105">
        <f>+IF($H29&gt;D$8,"FIN",(D$18-SUM(R$24:R28))*VLOOKUP($H29,$A:$F,4,0)/VLOOKUP(D$15,$J$1:$L$4,2,0))</f>
        <v>97.903731881924998</v>
      </c>
      <c r="R29" s="109">
        <f t="shared" si="17"/>
        <v>0</v>
      </c>
      <c r="S29" s="109">
        <f t="shared" si="6"/>
        <v>97.903731881924998</v>
      </c>
      <c r="T29" s="108">
        <f t="shared" si="18"/>
        <v>75.42091545307845</v>
      </c>
      <c r="U29" s="105">
        <f>+IF($H29&gt;E$8,"FIN",(E$18-SUM(V$24:V28))*VLOOKUP($H29,$A:$F,5,0)/VLOOKUP(E$15,$J$1:$L$4,2,0))</f>
        <v>140.54131353733123</v>
      </c>
      <c r="V29" s="107">
        <f t="shared" si="19"/>
        <v>0</v>
      </c>
      <c r="W29" s="107">
        <f t="shared" si="7"/>
        <v>140.54131353733123</v>
      </c>
      <c r="X29" s="108">
        <f t="shared" si="20"/>
        <v>108.26711425819077</v>
      </c>
      <c r="Y29" s="105">
        <f>+IF($H29&gt;F$8,"FIN",(F$18-SUM(Z$24:Z28))*VLOOKUP($H29,$A:$F,6,0)/VLOOKUP(F$15,$J$1:$L$4,2,0))</f>
        <v>22.767544520000001</v>
      </c>
      <c r="Z29" s="107">
        <f t="shared" si="21"/>
        <v>0</v>
      </c>
      <c r="AA29" s="107">
        <f t="shared" si="8"/>
        <v>22.767544520000001</v>
      </c>
      <c r="AB29" s="108">
        <f t="shared" si="22"/>
        <v>17.539158286510016</v>
      </c>
      <c r="AC29" s="79"/>
      <c r="AD29" s="155">
        <f t="shared" si="9"/>
        <v>319.99794040987319</v>
      </c>
      <c r="AE29" s="156">
        <f t="shared" si="10"/>
        <v>0</v>
      </c>
      <c r="AF29" s="157">
        <f t="shared" si="11"/>
        <v>319.99794040987319</v>
      </c>
    </row>
    <row r="30" spans="1:46" s="8" customFormat="1" x14ac:dyDescent="0.25">
      <c r="A30" s="80">
        <f t="shared" si="2"/>
        <v>45173</v>
      </c>
      <c r="B30" s="84">
        <v>0.01</v>
      </c>
      <c r="C30" s="84">
        <v>5.0000000000000001E-3</v>
      </c>
      <c r="D30" s="82">
        <v>1.4999999999999999E-2</v>
      </c>
      <c r="E30" s="85">
        <v>3.875E-2</v>
      </c>
      <c r="F30" s="85">
        <v>3.5000000000000003E-2</v>
      </c>
      <c r="G30" s="86">
        <f t="shared" si="3"/>
        <v>2023</v>
      </c>
      <c r="H30" s="83">
        <f t="shared" si="12"/>
        <v>45173</v>
      </c>
      <c r="I30" s="105">
        <f>+IF($H30&gt;B$8,"FIN",(B$18-SUM(J$24:J29))*VLOOKUP($H30,$A:$G,2,0)/VLOOKUP(B$15,$J$1:$L$4,2,0))</f>
        <v>11.204878891975991</v>
      </c>
      <c r="J30" s="107">
        <f t="shared" si="13"/>
        <v>0</v>
      </c>
      <c r="K30" s="107">
        <f t="shared" si="4"/>
        <v>11.204878891975991</v>
      </c>
      <c r="L30" s="108">
        <f t="shared" si="14"/>
        <v>8.1929108743337853</v>
      </c>
      <c r="M30" s="105">
        <f>+IF($H30&gt;C$8,"FIN",(C$18-SUM(N$24:N29))*VLOOKUP($H30,$A:$G,3,0)/VLOOKUP(C$15,$J$1:$L$4,2,0))</f>
        <v>47.580471578641003</v>
      </c>
      <c r="N30" s="107">
        <f t="shared" si="15"/>
        <v>0</v>
      </c>
      <c r="O30" s="107">
        <f t="shared" si="5"/>
        <v>47.580471578641003</v>
      </c>
      <c r="P30" s="108">
        <f t="shared" si="16"/>
        <v>34.790430736537118</v>
      </c>
      <c r="Q30" s="105">
        <f>+IF($H30&gt;D$8,"FIN",(D$18-SUM(R$24:R29))*VLOOKUP($H30,$A:$F,4,0)/VLOOKUP(D$15,$J$1:$L$4,2,0))</f>
        <v>97.903731881924998</v>
      </c>
      <c r="R30" s="109">
        <f t="shared" si="17"/>
        <v>0</v>
      </c>
      <c r="S30" s="109">
        <f t="shared" si="6"/>
        <v>97.903731881924998</v>
      </c>
      <c r="T30" s="108">
        <f t="shared" si="18"/>
        <v>71.586364949262617</v>
      </c>
      <c r="U30" s="105">
        <f>+IF($H30&gt;E$8,"FIN",(E$18-SUM(V$24:V29))*VLOOKUP($H30,$A:$F,5,0)/VLOOKUP(E$15,$J$1:$L$4,2,0))</f>
        <v>140.54131353733123</v>
      </c>
      <c r="V30" s="107">
        <f t="shared" si="19"/>
        <v>0</v>
      </c>
      <c r="W30" s="107">
        <f t="shared" si="7"/>
        <v>140.54131353733123</v>
      </c>
      <c r="X30" s="108">
        <f t="shared" si="20"/>
        <v>102.76259717521116</v>
      </c>
      <c r="Y30" s="105">
        <f>+IF($H30&gt;F$8,"FIN",(F$18-SUM(Z$24:Z29))*VLOOKUP($H30,$A:$F,6,0)/VLOOKUP(F$15,$J$1:$L$4,2,0))</f>
        <v>22.767544520000001</v>
      </c>
      <c r="Z30" s="107">
        <f t="shared" si="21"/>
        <v>0</v>
      </c>
      <c r="AA30" s="107">
        <f t="shared" si="8"/>
        <v>22.767544520000001</v>
      </c>
      <c r="AB30" s="108">
        <f t="shared" si="22"/>
        <v>16.647432326409678</v>
      </c>
      <c r="AC30" s="79"/>
      <c r="AD30" s="155">
        <f t="shared" si="9"/>
        <v>319.99794040987319</v>
      </c>
      <c r="AE30" s="156">
        <f t="shared" si="10"/>
        <v>0</v>
      </c>
      <c r="AF30" s="157">
        <f t="shared" si="11"/>
        <v>319.99794040987319</v>
      </c>
    </row>
    <row r="31" spans="1:46" s="8" customFormat="1" x14ac:dyDescent="0.25">
      <c r="A31" s="80">
        <f t="shared" si="2"/>
        <v>45355</v>
      </c>
      <c r="B31" s="84">
        <v>0.01</v>
      </c>
      <c r="C31" s="84">
        <v>7.4999999999999997E-3</v>
      </c>
      <c r="D31" s="82">
        <v>3.6249999999999998E-2</v>
      </c>
      <c r="E31" s="85">
        <v>4.2500000000000003E-2</v>
      </c>
      <c r="F31" s="85">
        <v>3.5000000000000003E-2</v>
      </c>
      <c r="G31" s="86">
        <f t="shared" si="3"/>
        <v>2024</v>
      </c>
      <c r="H31" s="83">
        <f t="shared" si="12"/>
        <v>45355</v>
      </c>
      <c r="I31" s="105">
        <f>+IF($H31&gt;B$8,"FIN",(B$18-SUM(J$24:J30))*VLOOKUP($H31,$A:$G,2,0)/VLOOKUP(B$15,$J$1:$L$4,2,0))</f>
        <v>11.204878891975991</v>
      </c>
      <c r="J31" s="107">
        <f t="shared" si="13"/>
        <v>0</v>
      </c>
      <c r="K31" s="107">
        <f t="shared" si="4"/>
        <v>11.204878891975991</v>
      </c>
      <c r="L31" s="108">
        <f t="shared" si="14"/>
        <v>7.7763668648615081</v>
      </c>
      <c r="M31" s="105">
        <f>+IF($H31&gt;C$8,"FIN",(C$18-SUM(N$24:N30))*VLOOKUP($H31,$A:$G,3,0)/VLOOKUP(C$15,$J$1:$L$4,2,0))</f>
        <v>71.370707367961501</v>
      </c>
      <c r="N31" s="107">
        <f t="shared" si="15"/>
        <v>0</v>
      </c>
      <c r="O31" s="107">
        <f t="shared" si="5"/>
        <v>71.370707367961501</v>
      </c>
      <c r="P31" s="108">
        <f t="shared" si="16"/>
        <v>49.53242326388655</v>
      </c>
      <c r="Q31" s="105">
        <f>+IF($H31&gt;D$8,"FIN",(D$18-SUM(R$24:R30))*VLOOKUP($H31,$A:$F,4,0)/VLOOKUP(D$15,$J$1:$L$4,2,0))</f>
        <v>236.60068538131873</v>
      </c>
      <c r="R31" s="109">
        <f t="shared" si="17"/>
        <v>0</v>
      </c>
      <c r="S31" s="109">
        <f t="shared" si="6"/>
        <v>236.60068538131873</v>
      </c>
      <c r="T31" s="108">
        <f t="shared" si="18"/>
        <v>164.20469580625183</v>
      </c>
      <c r="U31" s="105">
        <f>+IF($H31&gt;E$8,"FIN",(E$18-SUM(V$24:V30))*VLOOKUP($H31,$A:$F,5,0)/VLOOKUP(E$15,$J$1:$L$4,2,0))</f>
        <v>154.14208581513751</v>
      </c>
      <c r="V31" s="107">
        <f t="shared" si="19"/>
        <v>0</v>
      </c>
      <c r="W31" s="107">
        <f t="shared" si="7"/>
        <v>154.14208581513751</v>
      </c>
      <c r="X31" s="108">
        <f t="shared" si="20"/>
        <v>106.97709633183626</v>
      </c>
      <c r="Y31" s="105">
        <f>+IF($H31&gt;F$8,"FIN",(F$18-SUM(Z$24:Z30))*VLOOKUP($H31,$A:$F,6,0)/VLOOKUP(F$15,$J$1:$L$4,2,0))</f>
        <v>22.767544520000001</v>
      </c>
      <c r="Z31" s="107">
        <f t="shared" si="21"/>
        <v>0</v>
      </c>
      <c r="AA31" s="107">
        <f t="shared" si="8"/>
        <v>22.767544520000001</v>
      </c>
      <c r="AB31" s="108">
        <f t="shared" si="22"/>
        <v>15.80104350136037</v>
      </c>
      <c r="AC31" s="79"/>
      <c r="AD31" s="155">
        <f t="shared" si="9"/>
        <v>496.08590197639376</v>
      </c>
      <c r="AE31" s="156">
        <f t="shared" si="10"/>
        <v>0</v>
      </c>
      <c r="AF31" s="157">
        <f t="shared" si="11"/>
        <v>496.08590197639376</v>
      </c>
    </row>
    <row r="32" spans="1:46" s="8" customFormat="1" x14ac:dyDescent="0.25">
      <c r="A32" s="80">
        <f t="shared" si="2"/>
        <v>45539</v>
      </c>
      <c r="B32" s="84">
        <v>0.01</v>
      </c>
      <c r="C32" s="84">
        <v>7.4999999999999997E-3</v>
      </c>
      <c r="D32" s="82">
        <v>3.6249999999999998E-2</v>
      </c>
      <c r="E32" s="85">
        <v>4.2500000000000003E-2</v>
      </c>
      <c r="F32" s="85">
        <v>3.5000000000000003E-2</v>
      </c>
      <c r="G32" s="86">
        <f t="shared" si="3"/>
        <v>2024</v>
      </c>
      <c r="H32" s="83">
        <f t="shared" si="12"/>
        <v>45539</v>
      </c>
      <c r="I32" s="105">
        <f>+IF($H32&gt;B$8,"FIN",(B$18-SUM(J$24:J31))*VLOOKUP($H32,$A:$G,2,0)/VLOOKUP(B$15,$J$1:$L$4,2,0))</f>
        <v>11.204878891975991</v>
      </c>
      <c r="J32" s="107">
        <f t="shared" si="13"/>
        <v>0</v>
      </c>
      <c r="K32" s="107">
        <f t="shared" si="4"/>
        <v>11.204878891975991</v>
      </c>
      <c r="L32" s="108">
        <f t="shared" si="14"/>
        <v>7.3810007876880936</v>
      </c>
      <c r="M32" s="105">
        <f>+IF($H32&gt;C$8,"FIN",(C$18-SUM(N$24:N31))*VLOOKUP($H32,$A:$G,3,0)/VLOOKUP(C$15,$J$1:$L$4,2,0))</f>
        <v>71.370707367961501</v>
      </c>
      <c r="N32" s="107">
        <f t="shared" si="15"/>
        <v>0</v>
      </c>
      <c r="O32" s="107">
        <f t="shared" si="5"/>
        <v>71.370707367961501</v>
      </c>
      <c r="P32" s="108">
        <f t="shared" si="16"/>
        <v>47.014095589915016</v>
      </c>
      <c r="Q32" s="105">
        <f>+IF($H32&gt;D$8,"FIN",(D$18-SUM(R$24:R31))*VLOOKUP($H32,$A:$F,4,0)/VLOOKUP(D$15,$J$1:$L$4,2,0))</f>
        <v>236.60068538131873</v>
      </c>
      <c r="R32" s="109">
        <f t="shared" si="17"/>
        <v>0</v>
      </c>
      <c r="S32" s="109">
        <f t="shared" si="6"/>
        <v>236.60068538131873</v>
      </c>
      <c r="T32" s="108">
        <f t="shared" si="18"/>
        <v>155.85619996461077</v>
      </c>
      <c r="U32" s="105">
        <f>+IF($H32&gt;E$8,"FIN",(E$18-SUM(V$24:V31))*VLOOKUP($H32,$A:$F,5,0)/VLOOKUP(E$15,$J$1:$L$4,2,0))</f>
        <v>154.14208581513751</v>
      </c>
      <c r="V32" s="107">
        <f t="shared" si="19"/>
        <v>0</v>
      </c>
      <c r="W32" s="107">
        <f t="shared" si="7"/>
        <v>154.14208581513751</v>
      </c>
      <c r="X32" s="108">
        <f t="shared" si="20"/>
        <v>101.53816634574773</v>
      </c>
      <c r="Y32" s="105">
        <f>+IF($H32&gt;F$8,"FIN",(F$18-SUM(Z$24:Z31))*VLOOKUP($H32,$A:$F,6,0)/VLOOKUP(F$15,$J$1:$L$4,2,0))</f>
        <v>22.767544520000001</v>
      </c>
      <c r="Z32" s="107">
        <f t="shared" si="21"/>
        <v>0</v>
      </c>
      <c r="AA32" s="107">
        <f t="shared" si="8"/>
        <v>22.767544520000001</v>
      </c>
      <c r="AB32" s="108">
        <f t="shared" si="22"/>
        <v>14.997686780549261</v>
      </c>
      <c r="AC32" s="79"/>
      <c r="AD32" s="155">
        <f t="shared" si="9"/>
        <v>496.08590197639376</v>
      </c>
      <c r="AE32" s="156">
        <f t="shared" si="10"/>
        <v>0</v>
      </c>
      <c r="AF32" s="157">
        <f t="shared" si="11"/>
        <v>496.08590197639376</v>
      </c>
    </row>
    <row r="33" spans="1:32" s="8" customFormat="1" x14ac:dyDescent="0.25">
      <c r="A33" s="80">
        <f t="shared" si="2"/>
        <v>45720</v>
      </c>
      <c r="B33" s="84">
        <v>0.01</v>
      </c>
      <c r="C33" s="84">
        <v>7.4999999999999997E-3</v>
      </c>
      <c r="D33" s="82">
        <v>4.1250000000000002E-2</v>
      </c>
      <c r="E33" s="85">
        <v>0.05</v>
      </c>
      <c r="F33" s="85">
        <v>3.5000000000000003E-2</v>
      </c>
      <c r="G33" s="86">
        <f t="shared" si="3"/>
        <v>2025</v>
      </c>
      <c r="H33" s="83">
        <f t="shared" si="12"/>
        <v>45720</v>
      </c>
      <c r="I33" s="105">
        <f>+IF($H33&gt;B$8,"FIN",(B$18-SUM(J$24:J32))*VLOOKUP($H33,$A:$G,2,0)/VLOOKUP(B$15,$J$1:$L$4,2,0))</f>
        <v>11.204878891975991</v>
      </c>
      <c r="J33" s="107">
        <f t="shared" si="13"/>
        <v>0</v>
      </c>
      <c r="K33" s="107">
        <f t="shared" si="4"/>
        <v>11.204878891975991</v>
      </c>
      <c r="L33" s="108">
        <f t="shared" si="14"/>
        <v>7.0057359142896471</v>
      </c>
      <c r="M33" s="105">
        <f>+IF($H33&gt;C$8,"FIN",(C$18-SUM(N$24:N32))*VLOOKUP($H33,$A:$G,3,0)/VLOOKUP(C$15,$J$1:$L$4,2,0))</f>
        <v>71.370707367961501</v>
      </c>
      <c r="N33" s="107">
        <f t="shared" si="15"/>
        <v>1586.0157192880333</v>
      </c>
      <c r="O33" s="107">
        <f t="shared" si="5"/>
        <v>1657.3864266559949</v>
      </c>
      <c r="P33" s="108">
        <f t="shared" si="16"/>
        <v>1036.2639101253542</v>
      </c>
      <c r="Q33" s="105">
        <f>+IF($H33&gt;D$8,"FIN",(D$18-SUM(R$24:R32))*VLOOKUP($H33,$A:$F,4,0)/VLOOKUP(D$15,$J$1:$L$4,2,0))</f>
        <v>269.23526267529377</v>
      </c>
      <c r="R33" s="109">
        <f t="shared" si="17"/>
        <v>0</v>
      </c>
      <c r="S33" s="109">
        <f t="shared" si="6"/>
        <v>269.23526267529377</v>
      </c>
      <c r="T33" s="108">
        <f t="shared" si="18"/>
        <v>168.33659402318457</v>
      </c>
      <c r="U33" s="105">
        <f>+IF($H33&gt;E$8,"FIN",(E$18-SUM(V$24:V32))*VLOOKUP($H33,$A:$F,5,0)/VLOOKUP(E$15,$J$1:$L$4,2,0))</f>
        <v>181.34363037075002</v>
      </c>
      <c r="V33" s="107">
        <f t="shared" si="19"/>
        <v>0</v>
      </c>
      <c r="W33" s="107">
        <f t="shared" si="7"/>
        <v>181.34363037075002</v>
      </c>
      <c r="X33" s="108">
        <f t="shared" si="20"/>
        <v>113.38324995425148</v>
      </c>
      <c r="Y33" s="105">
        <f>+IF($H33&gt;F$8,"FIN",(F$18-SUM(Z$24:Z32))*VLOOKUP($H33,$A:$F,6,0)/VLOOKUP(F$15,$J$1:$L$4,2,0))</f>
        <v>22.767544520000001</v>
      </c>
      <c r="Z33" s="107">
        <f t="shared" si="21"/>
        <v>0</v>
      </c>
      <c r="AA33" s="107">
        <f t="shared" si="8"/>
        <v>22.767544520000001</v>
      </c>
      <c r="AB33" s="108">
        <f t="shared" si="22"/>
        <v>14.235174325549883</v>
      </c>
      <c r="AC33" s="79"/>
      <c r="AD33" s="155">
        <f t="shared" si="9"/>
        <v>555.92202382598134</v>
      </c>
      <c r="AE33" s="156">
        <f t="shared" si="10"/>
        <v>1586.0157192880333</v>
      </c>
      <c r="AF33" s="157">
        <f t="shared" si="11"/>
        <v>2141.9377431140147</v>
      </c>
    </row>
    <row r="34" spans="1:32" s="8" customFormat="1" x14ac:dyDescent="0.25">
      <c r="A34" s="80">
        <f t="shared" si="2"/>
        <v>45904</v>
      </c>
      <c r="B34" s="84">
        <v>0.01</v>
      </c>
      <c r="C34" s="84">
        <v>7.4999999999999997E-3</v>
      </c>
      <c r="D34" s="82">
        <v>4.1250000000000002E-2</v>
      </c>
      <c r="E34" s="85">
        <v>0.05</v>
      </c>
      <c r="F34" s="85">
        <v>3.5000000000000003E-2</v>
      </c>
      <c r="G34" s="86">
        <f t="shared" si="3"/>
        <v>2025</v>
      </c>
      <c r="H34" s="83">
        <f t="shared" si="12"/>
        <v>45904</v>
      </c>
      <c r="I34" s="105">
        <f>+IF($H34&gt;B$8,"FIN",(B$18-SUM(J$24:J33))*VLOOKUP($H34,$A:$G,2,0)/VLOOKUP(B$15,$J$1:$L$4,2,0))</f>
        <v>11.204878891975991</v>
      </c>
      <c r="J34" s="107">
        <f t="shared" si="13"/>
        <v>0</v>
      </c>
      <c r="K34" s="107">
        <f t="shared" si="4"/>
        <v>11.204878891975991</v>
      </c>
      <c r="L34" s="108">
        <f t="shared" si="14"/>
        <v>6.6495502591784623</v>
      </c>
      <c r="M34" s="105">
        <f>+IF($H34&gt;C$8,"FIN",(C$18-SUM(N$24:N33))*VLOOKUP($H34,$A:$G,3,0)/VLOOKUP(C$15,$J$1:$L$4,2,0))</f>
        <v>65.423148420631378</v>
      </c>
      <c r="N34" s="107">
        <f t="shared" si="15"/>
        <v>1586.0157192880333</v>
      </c>
      <c r="O34" s="107">
        <f t="shared" si="5"/>
        <v>1651.4388677086647</v>
      </c>
      <c r="P34" s="108">
        <f t="shared" si="16"/>
        <v>980.04858924922939</v>
      </c>
      <c r="Q34" s="105">
        <f>+IF($H34&gt;D$8,"FIN",(D$18-SUM(R$24:R33))*VLOOKUP($H34,$A:$F,4,0)/VLOOKUP(D$15,$J$1:$L$4,2,0))</f>
        <v>269.23526267529377</v>
      </c>
      <c r="R34" s="109">
        <f t="shared" si="17"/>
        <v>0</v>
      </c>
      <c r="S34" s="109">
        <f t="shared" si="6"/>
        <v>269.23526267529377</v>
      </c>
      <c r="T34" s="108">
        <f t="shared" si="18"/>
        <v>159.77802419484797</v>
      </c>
      <c r="U34" s="105">
        <f>+IF($H34&gt;E$8,"FIN",(E$18-SUM(V$24:V33))*VLOOKUP($H34,$A:$F,5,0)/VLOOKUP(E$15,$J$1:$L$4,2,0))</f>
        <v>181.34363037075002</v>
      </c>
      <c r="V34" s="107">
        <f t="shared" si="19"/>
        <v>0</v>
      </c>
      <c r="W34" s="107">
        <f t="shared" si="7"/>
        <v>181.34363037075002</v>
      </c>
      <c r="X34" s="108">
        <f t="shared" si="20"/>
        <v>107.61861827848196</v>
      </c>
      <c r="Y34" s="105">
        <f>+IF($H34&gt;F$8,"FIN",(F$18-SUM(Z$24:Z33))*VLOOKUP($H34,$A:$F,6,0)/VLOOKUP(F$15,$J$1:$L$4,2,0))</f>
        <v>22.767544520000001</v>
      </c>
      <c r="Z34" s="107">
        <f t="shared" si="21"/>
        <v>0</v>
      </c>
      <c r="AA34" s="107">
        <f t="shared" si="8"/>
        <v>22.767544520000001</v>
      </c>
      <c r="AB34" s="108">
        <f t="shared" si="22"/>
        <v>13.511429532026359</v>
      </c>
      <c r="AC34" s="79"/>
      <c r="AD34" s="155">
        <f t="shared" si="9"/>
        <v>549.97446487865113</v>
      </c>
      <c r="AE34" s="156">
        <f t="shared" si="10"/>
        <v>1586.0157192880333</v>
      </c>
      <c r="AF34" s="157">
        <f t="shared" si="11"/>
        <v>2135.9901841666842</v>
      </c>
    </row>
    <row r="35" spans="1:32" s="8" customFormat="1" x14ac:dyDescent="0.25">
      <c r="A35" s="80">
        <f t="shared" si="2"/>
        <v>46085</v>
      </c>
      <c r="B35" s="84">
        <v>0.01</v>
      </c>
      <c r="C35" s="84">
        <v>7.4999999999999997E-3</v>
      </c>
      <c r="D35" s="82">
        <v>4.1250000000000002E-2</v>
      </c>
      <c r="E35" s="85">
        <v>0.05</v>
      </c>
      <c r="F35" s="85">
        <v>3.5000000000000003E-2</v>
      </c>
      <c r="G35" s="86">
        <f t="shared" si="3"/>
        <v>2026</v>
      </c>
      <c r="H35" s="83">
        <f t="shared" si="12"/>
        <v>46085</v>
      </c>
      <c r="I35" s="105">
        <f>+IF($H35&gt;B$8,"FIN",(B$18-SUM(J$24:J34))*VLOOKUP($H35,$A:$G,2,0)/VLOOKUP(B$15,$J$1:$L$4,2,0))</f>
        <v>11.204878891975991</v>
      </c>
      <c r="J35" s="107">
        <f t="shared" si="13"/>
        <v>0</v>
      </c>
      <c r="K35" s="107">
        <f t="shared" si="4"/>
        <v>11.204878891975991</v>
      </c>
      <c r="L35" s="108">
        <f t="shared" si="14"/>
        <v>6.3114737966573395</v>
      </c>
      <c r="M35" s="105">
        <f>+IF($H35&gt;C$8,"FIN",(C$18-SUM(N$24:N34))*VLOOKUP($H35,$A:$G,3,0)/VLOOKUP(C$15,$J$1:$L$4,2,0))</f>
        <v>59.475589473301248</v>
      </c>
      <c r="N35" s="107">
        <f t="shared" si="15"/>
        <v>1586.0157192880333</v>
      </c>
      <c r="O35" s="107">
        <f t="shared" si="5"/>
        <v>1645.4913087613345</v>
      </c>
      <c r="P35" s="108">
        <f t="shared" si="16"/>
        <v>926.87081922070342</v>
      </c>
      <c r="Q35" s="105">
        <f>+IF($H35&gt;D$8,"FIN",(D$18-SUM(R$24:R34))*VLOOKUP($H35,$A:$F,4,0)/VLOOKUP(D$15,$J$1:$L$4,2,0))</f>
        <v>269.23526267529377</v>
      </c>
      <c r="R35" s="109">
        <f t="shared" si="17"/>
        <v>0</v>
      </c>
      <c r="S35" s="109">
        <f t="shared" si="6"/>
        <v>269.23526267529377</v>
      </c>
      <c r="T35" s="108">
        <f t="shared" si="18"/>
        <v>151.65458921007618</v>
      </c>
      <c r="U35" s="105">
        <f>+IF($H35&gt;E$8,"FIN",(E$18-SUM(V$24:V34))*VLOOKUP($H35,$A:$F,5,0)/VLOOKUP(E$15,$J$1:$L$4,2,0))</f>
        <v>181.34363037075002</v>
      </c>
      <c r="V35" s="107">
        <f t="shared" si="19"/>
        <v>0</v>
      </c>
      <c r="W35" s="107">
        <f t="shared" si="7"/>
        <v>181.34363037075002</v>
      </c>
      <c r="X35" s="108">
        <f t="shared" si="20"/>
        <v>102.14707203085719</v>
      </c>
      <c r="Y35" s="105">
        <f>+IF($H35&gt;F$8,"FIN",(F$18-SUM(Z$24:Z34))*VLOOKUP($H35,$A:$F,6,0)/VLOOKUP(F$15,$J$1:$L$4,2,0))</f>
        <v>22.767544520000001</v>
      </c>
      <c r="Z35" s="107">
        <f t="shared" si="21"/>
        <v>0</v>
      </c>
      <c r="AA35" s="107">
        <f t="shared" si="8"/>
        <v>22.767544520000001</v>
      </c>
      <c r="AB35" s="108">
        <f t="shared" si="22"/>
        <v>12.824481374369263</v>
      </c>
      <c r="AC35" s="79"/>
      <c r="AD35" s="155">
        <f t="shared" si="9"/>
        <v>544.02690593132104</v>
      </c>
      <c r="AE35" s="156">
        <f t="shared" si="10"/>
        <v>1586.0157192880333</v>
      </c>
      <c r="AF35" s="157">
        <f t="shared" si="11"/>
        <v>2130.0426252193542</v>
      </c>
    </row>
    <row r="36" spans="1:32" s="8" customFormat="1" x14ac:dyDescent="0.25">
      <c r="A36" s="80">
        <f t="shared" si="2"/>
        <v>46269</v>
      </c>
      <c r="B36" s="84">
        <v>0.01</v>
      </c>
      <c r="C36" s="84">
        <v>7.4999999999999997E-3</v>
      </c>
      <c r="D36" s="82">
        <v>4.1250000000000002E-2</v>
      </c>
      <c r="E36" s="85">
        <v>0.05</v>
      </c>
      <c r="F36" s="85">
        <v>3.5000000000000003E-2</v>
      </c>
      <c r="G36" s="86">
        <f t="shared" si="3"/>
        <v>2026</v>
      </c>
      <c r="H36" s="83">
        <f t="shared" si="12"/>
        <v>46269</v>
      </c>
      <c r="I36" s="105">
        <f>+IF($H36&gt;B$8,"FIN",(B$18-SUM(J$24:J35))*VLOOKUP($H36,$A:$G,2,0)/VLOOKUP(B$15,$J$1:$L$4,2,0))</f>
        <v>11.204878891975991</v>
      </c>
      <c r="J36" s="107">
        <f t="shared" si="13"/>
        <v>0</v>
      </c>
      <c r="K36" s="107">
        <f t="shared" si="4"/>
        <v>11.204878891975991</v>
      </c>
      <c r="L36" s="108">
        <f t="shared" si="14"/>
        <v>5.9905858190796959</v>
      </c>
      <c r="M36" s="105">
        <f>+IF($H36&gt;C$8,"FIN",(C$18-SUM(N$24:N35))*VLOOKUP($H36,$A:$G,3,0)/VLOOKUP(C$15,$J$1:$L$4,2,0))</f>
        <v>53.528030525971118</v>
      </c>
      <c r="N36" s="107">
        <f t="shared" si="15"/>
        <v>1586.0157192880333</v>
      </c>
      <c r="O36" s="107">
        <f t="shared" si="5"/>
        <v>1639.5437498140045</v>
      </c>
      <c r="P36" s="108">
        <f t="shared" si="16"/>
        <v>876.56704120471181</v>
      </c>
      <c r="Q36" s="105">
        <f>+IF($H36&gt;D$8,"FIN",(D$18-SUM(R$24:R35))*VLOOKUP($H36,$A:$F,4,0)/VLOOKUP(D$15,$J$1:$L$4,2,0))</f>
        <v>269.23526267529377</v>
      </c>
      <c r="R36" s="109">
        <f t="shared" si="17"/>
        <v>0</v>
      </c>
      <c r="S36" s="109">
        <f t="shared" si="6"/>
        <v>269.23526267529377</v>
      </c>
      <c r="T36" s="108">
        <f t="shared" si="18"/>
        <v>143.94416594130448</v>
      </c>
      <c r="U36" s="105">
        <f>+IF($H36&gt;E$8,"FIN",(E$18-SUM(V$24:V35))*VLOOKUP($H36,$A:$F,5,0)/VLOOKUP(E$15,$J$1:$L$4,2,0))</f>
        <v>181.34363037075002</v>
      </c>
      <c r="V36" s="107">
        <f t="shared" si="19"/>
        <v>0</v>
      </c>
      <c r="W36" s="107">
        <f t="shared" si="7"/>
        <v>181.34363037075002</v>
      </c>
      <c r="X36" s="108">
        <f t="shared" si="20"/>
        <v>96.953710160794557</v>
      </c>
      <c r="Y36" s="105">
        <f>+IF($H36&gt;F$8,"FIN",(F$18-SUM(Z$24:Z35))*VLOOKUP($H36,$A:$F,6,0)/VLOOKUP(F$15,$J$1:$L$4,2,0))</f>
        <v>22.767544520000001</v>
      </c>
      <c r="Z36" s="107">
        <f t="shared" si="21"/>
        <v>0</v>
      </c>
      <c r="AA36" s="107">
        <f t="shared" si="8"/>
        <v>22.767544520000001</v>
      </c>
      <c r="AB36" s="108">
        <f t="shared" si="22"/>
        <v>12.172459037861584</v>
      </c>
      <c r="AC36" s="79"/>
      <c r="AD36" s="155">
        <f t="shared" si="9"/>
        <v>538.07934698399094</v>
      </c>
      <c r="AE36" s="156">
        <f t="shared" si="10"/>
        <v>1586.0157192880333</v>
      </c>
      <c r="AF36" s="157">
        <f t="shared" si="11"/>
        <v>2124.0950662720243</v>
      </c>
    </row>
    <row r="37" spans="1:32" s="8" customFormat="1" x14ac:dyDescent="0.25">
      <c r="A37" s="80">
        <f t="shared" si="2"/>
        <v>46450</v>
      </c>
      <c r="B37" s="84">
        <v>0.01</v>
      </c>
      <c r="C37" s="84">
        <v>7.4999999999999997E-3</v>
      </c>
      <c r="D37" s="82">
        <v>4.1250000000000002E-2</v>
      </c>
      <c r="E37" s="85">
        <v>0.05</v>
      </c>
      <c r="F37" s="85">
        <v>3.5000000000000003E-2</v>
      </c>
      <c r="G37" s="86">
        <f t="shared" si="3"/>
        <v>2027</v>
      </c>
      <c r="H37" s="83">
        <f t="shared" si="12"/>
        <v>46450</v>
      </c>
      <c r="I37" s="105">
        <f>+IF($H37&gt;B$8,"FIN",(B$18-SUM(J$24:J36))*VLOOKUP($H37,$A:$G,2,0)/VLOOKUP(B$15,$J$1:$L$4,2,0))</f>
        <v>11.204878891975991</v>
      </c>
      <c r="J37" s="107">
        <f t="shared" si="13"/>
        <v>280.12197229939977</v>
      </c>
      <c r="K37" s="107">
        <f t="shared" si="4"/>
        <v>291.32685119137574</v>
      </c>
      <c r="L37" s="108">
        <f t="shared" si="14"/>
        <v>147.83632316494663</v>
      </c>
      <c r="M37" s="105">
        <f>+IF($H37&gt;C$8,"FIN",(C$18-SUM(N$24:N36))*VLOOKUP($H37,$A:$G,3,0)/VLOOKUP(C$15,$J$1:$L$4,2,0))</f>
        <v>47.580471578640996</v>
      </c>
      <c r="N37" s="107">
        <f t="shared" si="15"/>
        <v>1586.0157192880333</v>
      </c>
      <c r="O37" s="107">
        <f t="shared" si="5"/>
        <v>1633.5961908666743</v>
      </c>
      <c r="P37" s="108">
        <f t="shared" si="16"/>
        <v>828.98247589043683</v>
      </c>
      <c r="Q37" s="105">
        <f>+IF($H37&gt;D$8,"FIN",(D$18-SUM(R$24:R36))*VLOOKUP($H37,$A:$F,4,0)/VLOOKUP(D$15,$J$1:$L$4,2,0))</f>
        <v>269.23526267529377</v>
      </c>
      <c r="R37" s="109">
        <f t="shared" si="17"/>
        <v>0</v>
      </c>
      <c r="S37" s="109">
        <f t="shared" si="6"/>
        <v>269.23526267529377</v>
      </c>
      <c r="T37" s="108">
        <f t="shared" si="18"/>
        <v>136.62575604511363</v>
      </c>
      <c r="U37" s="105">
        <f>+IF($H37&gt;E$8,"FIN",(E$18-SUM(V$24:V36))*VLOOKUP($H37,$A:$F,5,0)/VLOOKUP(E$15,$J$1:$L$4,2,0))</f>
        <v>181.34363037075002</v>
      </c>
      <c r="V37" s="107">
        <f t="shared" si="19"/>
        <v>0</v>
      </c>
      <c r="W37" s="107">
        <f t="shared" si="7"/>
        <v>181.34363037075002</v>
      </c>
      <c r="X37" s="108">
        <f t="shared" si="20"/>
        <v>92.024389216988439</v>
      </c>
      <c r="Y37" s="105">
        <f>+IF($H37&gt;F$8,"FIN",(F$18-SUM(Z$24:Z36))*VLOOKUP($H37,$A:$F,6,0)/VLOOKUP(F$15,$J$1:$L$4,2,0))</f>
        <v>22.767544520000001</v>
      </c>
      <c r="Z37" s="107">
        <f t="shared" si="21"/>
        <v>0</v>
      </c>
      <c r="AA37" s="107">
        <f t="shared" si="8"/>
        <v>22.767544520000001</v>
      </c>
      <c r="AB37" s="108">
        <f t="shared" si="22"/>
        <v>11.55358682375609</v>
      </c>
      <c r="AC37" s="79"/>
      <c r="AD37" s="155">
        <f t="shared" si="9"/>
        <v>532.13178803666074</v>
      </c>
      <c r="AE37" s="156">
        <f t="shared" si="10"/>
        <v>1866.137691587433</v>
      </c>
      <c r="AF37" s="157">
        <f t="shared" si="11"/>
        <v>2398.2694796240939</v>
      </c>
    </row>
    <row r="38" spans="1:32" s="8" customFormat="1" x14ac:dyDescent="0.25">
      <c r="A38" s="80">
        <f t="shared" si="2"/>
        <v>46634</v>
      </c>
      <c r="B38" s="84">
        <v>0.01</v>
      </c>
      <c r="C38" s="84">
        <v>7.4999999999999997E-3</v>
      </c>
      <c r="D38" s="82">
        <v>4.1250000000000002E-2</v>
      </c>
      <c r="E38" s="85">
        <v>0.05</v>
      </c>
      <c r="F38" s="85">
        <v>3.5000000000000003E-2</v>
      </c>
      <c r="G38" s="86">
        <f t="shared" si="3"/>
        <v>2027</v>
      </c>
      <c r="H38" s="83">
        <f t="shared" si="12"/>
        <v>46634</v>
      </c>
      <c r="I38" s="105">
        <f>+IF($H38&gt;B$8,"FIN",(B$18-SUM(J$24:J37))*VLOOKUP($H38,$A:$G,2,0)/VLOOKUP(B$15,$J$1:$L$4,2,0))</f>
        <v>9.8042690304789932</v>
      </c>
      <c r="J38" s="107">
        <f t="shared" si="13"/>
        <v>280.12197229939977</v>
      </c>
      <c r="K38" s="107">
        <f t="shared" si="4"/>
        <v>289.92624132987879</v>
      </c>
      <c r="L38" s="108">
        <f t="shared" si="14"/>
        <v>139.64541267449292</v>
      </c>
      <c r="M38" s="105">
        <f>+IF($H38&gt;C$8,"FIN",(C$18-SUM(N$24:N37))*VLOOKUP($H38,$A:$G,3,0)/VLOOKUP(C$15,$J$1:$L$4,2,0))</f>
        <v>41.63291263131088</v>
      </c>
      <c r="N38" s="107">
        <f t="shared" si="15"/>
        <v>1586.0157192880333</v>
      </c>
      <c r="O38" s="107">
        <f t="shared" si="5"/>
        <v>1627.6486319193441</v>
      </c>
      <c r="P38" s="108">
        <f t="shared" si="16"/>
        <v>783.97065353886114</v>
      </c>
      <c r="Q38" s="105">
        <f>+IF($H38&gt;D$8,"FIN",(D$18-SUM(R$24:R37))*VLOOKUP($H38,$A:$F,4,0)/VLOOKUP(D$15,$J$1:$L$4,2,0))</f>
        <v>269.23526267529377</v>
      </c>
      <c r="R38" s="109">
        <f t="shared" si="17"/>
        <v>0</v>
      </c>
      <c r="S38" s="109">
        <f t="shared" si="6"/>
        <v>269.23526267529377</v>
      </c>
      <c r="T38" s="108">
        <f t="shared" si="18"/>
        <v>129.67942877594996</v>
      </c>
      <c r="U38" s="105">
        <f>+IF($H38&gt;E$8,"FIN",(E$18-SUM(V$24:V37))*VLOOKUP($H38,$A:$F,5,0)/VLOOKUP(E$15,$J$1:$L$4,2,0))</f>
        <v>181.34363037075002</v>
      </c>
      <c r="V38" s="107">
        <f t="shared" si="19"/>
        <v>0</v>
      </c>
      <c r="W38" s="107">
        <f t="shared" si="7"/>
        <v>181.34363037075002</v>
      </c>
      <c r="X38" s="108">
        <f t="shared" si="20"/>
        <v>87.345684829544652</v>
      </c>
      <c r="Y38" s="105">
        <f>+IF($H38&gt;F$8,"FIN",(F$18-SUM(Z$24:Z37))*VLOOKUP($H38,$A:$F,6,0)/VLOOKUP(F$15,$J$1:$L$4,2,0))</f>
        <v>22.767544520000001</v>
      </c>
      <c r="Z38" s="107">
        <f t="shared" si="21"/>
        <v>0</v>
      </c>
      <c r="AA38" s="107">
        <f t="shared" si="8"/>
        <v>22.767544520000001</v>
      </c>
      <c r="AB38" s="108">
        <f t="shared" si="22"/>
        <v>10.966179313388816</v>
      </c>
      <c r="AC38" s="79"/>
      <c r="AD38" s="155">
        <f t="shared" si="9"/>
        <v>524.7836192278337</v>
      </c>
      <c r="AE38" s="156">
        <f t="shared" si="10"/>
        <v>1866.137691587433</v>
      </c>
      <c r="AF38" s="157">
        <f t="shared" si="11"/>
        <v>2390.9213108152667</v>
      </c>
    </row>
    <row r="39" spans="1:32" s="8" customFormat="1" x14ac:dyDescent="0.25">
      <c r="A39" s="80">
        <f t="shared" si="2"/>
        <v>46816</v>
      </c>
      <c r="B39" s="84">
        <v>0.01</v>
      </c>
      <c r="C39" s="84">
        <v>1.7500000000000002E-2</v>
      </c>
      <c r="D39" s="82">
        <v>4.7500000000000001E-2</v>
      </c>
      <c r="E39" s="85">
        <v>0.05</v>
      </c>
      <c r="F39" s="85">
        <v>3.5000000000000003E-2</v>
      </c>
      <c r="G39" s="86">
        <f t="shared" si="3"/>
        <v>2028</v>
      </c>
      <c r="H39" s="83">
        <f t="shared" si="12"/>
        <v>46816</v>
      </c>
      <c r="I39" s="105">
        <f>+IF($H39&gt;B$8,"FIN",(B$18-SUM(J$24:J38))*VLOOKUP($H39,$A:$G,2,0)/VLOOKUP(B$15,$J$1:$L$4,2,0))</f>
        <v>8.4036591689819939</v>
      </c>
      <c r="J39" s="107">
        <f t="shared" si="13"/>
        <v>280.12197229939977</v>
      </c>
      <c r="K39" s="107">
        <f t="shared" si="4"/>
        <v>288.52563146838179</v>
      </c>
      <c r="L39" s="108">
        <f t="shared" si="14"/>
        <v>131.90524329512738</v>
      </c>
      <c r="M39" s="105">
        <f>+IF($H39&gt;C$8,"FIN",(C$18-SUM(N$24:N38))*VLOOKUP($H39,$A:$G,3,0)/VLOOKUP(C$15,$J$1:$L$4,2,0))</f>
        <v>83.26582526262176</v>
      </c>
      <c r="N39" s="107">
        <f t="shared" si="15"/>
        <v>1586.0157192880333</v>
      </c>
      <c r="O39" s="107">
        <f t="shared" si="5"/>
        <v>1669.2815445506551</v>
      </c>
      <c r="P39" s="108">
        <f t="shared" si="16"/>
        <v>763.14533007494504</v>
      </c>
      <c r="Q39" s="105">
        <f>+IF($H39&gt;D$8,"FIN",(D$18-SUM(R$24:R38))*VLOOKUP($H39,$A:$F,4,0)/VLOOKUP(D$15,$J$1:$L$4,2,0))</f>
        <v>310.02848429276247</v>
      </c>
      <c r="R39" s="109">
        <f t="shared" si="17"/>
        <v>0</v>
      </c>
      <c r="S39" s="109">
        <f t="shared" si="6"/>
        <v>310.02848429276247</v>
      </c>
      <c r="T39" s="108">
        <f t="shared" si="18"/>
        <v>141.73570105690192</v>
      </c>
      <c r="U39" s="105">
        <f>+IF($H39&gt;E$8,"FIN",(E$18-SUM(V$24:V38))*VLOOKUP($H39,$A:$F,5,0)/VLOOKUP(E$15,$J$1:$L$4,2,0))</f>
        <v>181.34363037075002</v>
      </c>
      <c r="V39" s="107">
        <f t="shared" si="19"/>
        <v>329.71569158318181</v>
      </c>
      <c r="W39" s="107">
        <f t="shared" si="7"/>
        <v>511.05932195393183</v>
      </c>
      <c r="X39" s="108">
        <f t="shared" si="20"/>
        <v>233.64095542396731</v>
      </c>
      <c r="Y39" s="105">
        <f>+IF($H39&gt;F$8,"FIN",(F$18-SUM(Z$24:Z38))*VLOOKUP($H39,$A:$F,6,0)/VLOOKUP(F$15,$J$1:$L$4,2,0))</f>
        <v>22.767544520000001</v>
      </c>
      <c r="Z39" s="107">
        <f t="shared" si="21"/>
        <v>46.464376571428566</v>
      </c>
      <c r="AA39" s="107">
        <f t="shared" si="8"/>
        <v>69.231921091428575</v>
      </c>
      <c r="AB39" s="108">
        <f t="shared" si="22"/>
        <v>31.65075265195178</v>
      </c>
      <c r="AC39" s="79"/>
      <c r="AD39" s="155">
        <f t="shared" si="9"/>
        <v>605.80914361511623</v>
      </c>
      <c r="AE39" s="156">
        <f t="shared" si="10"/>
        <v>2242.3177597420436</v>
      </c>
      <c r="AF39" s="157">
        <f t="shared" si="11"/>
        <v>2848.1269033571598</v>
      </c>
    </row>
    <row r="40" spans="1:32" s="8" customFormat="1" x14ac:dyDescent="0.25">
      <c r="A40" s="80">
        <f t="shared" si="2"/>
        <v>47000</v>
      </c>
      <c r="B40" s="84">
        <v>0.01</v>
      </c>
      <c r="C40" s="84">
        <v>1.7500000000000002E-2</v>
      </c>
      <c r="D40" s="82">
        <v>4.7500000000000001E-2</v>
      </c>
      <c r="E40" s="85">
        <v>0.05</v>
      </c>
      <c r="F40" s="85">
        <v>3.5000000000000003E-2</v>
      </c>
      <c r="G40" s="86">
        <f t="shared" si="3"/>
        <v>2028</v>
      </c>
      <c r="H40" s="83">
        <f t="shared" si="12"/>
        <v>47000</v>
      </c>
      <c r="I40" s="105">
        <f>+IF($H40&gt;B$8,"FIN",(B$18-SUM(J$24:J39))*VLOOKUP($H40,$A:$G,2,0)/VLOOKUP(B$15,$J$1:$L$4,2,0))</f>
        <v>7.0030493074849938</v>
      </c>
      <c r="J40" s="107">
        <f t="shared" si="13"/>
        <v>280.12197229939977</v>
      </c>
      <c r="K40" s="107">
        <f t="shared" si="4"/>
        <v>287.12502160688479</v>
      </c>
      <c r="L40" s="108">
        <f t="shared" si="14"/>
        <v>124.59115462536903</v>
      </c>
      <c r="M40" s="105">
        <f>+IF($H40&gt;C$8,"FIN",(C$18-SUM(N$24:N39))*VLOOKUP($H40,$A:$G,3,0)/VLOOKUP(C$15,$J$1:$L$4,2,0))</f>
        <v>69.388187718851455</v>
      </c>
      <c r="N40" s="107">
        <f t="shared" si="15"/>
        <v>1586.0157192880333</v>
      </c>
      <c r="O40" s="107">
        <f t="shared" si="5"/>
        <v>1655.4039070068848</v>
      </c>
      <c r="P40" s="108">
        <f t="shared" si="16"/>
        <v>718.32361732555216</v>
      </c>
      <c r="Q40" s="105">
        <f>+IF($H40&gt;D$8,"FIN",(D$18-SUM(R$24:R39))*VLOOKUP($H40,$A:$F,4,0)/VLOOKUP(D$15,$J$1:$L$4,2,0))</f>
        <v>310.02848429276247</v>
      </c>
      <c r="R40" s="109">
        <f t="shared" si="17"/>
        <v>0</v>
      </c>
      <c r="S40" s="109">
        <f t="shared" si="6"/>
        <v>310.02848429276247</v>
      </c>
      <c r="T40" s="108">
        <f t="shared" si="18"/>
        <v>134.52957394174439</v>
      </c>
      <c r="U40" s="105">
        <f>+IF($H40&gt;E$8,"FIN",(E$18-SUM(V$24:V39))*VLOOKUP($H40,$A:$F,5,0)/VLOOKUP(E$15,$J$1:$L$4,2,0))</f>
        <v>173.10073808117045</v>
      </c>
      <c r="V40" s="107">
        <f t="shared" si="19"/>
        <v>329.71569158318181</v>
      </c>
      <c r="W40" s="107">
        <f t="shared" si="7"/>
        <v>502.81642966435226</v>
      </c>
      <c r="X40" s="108">
        <f t="shared" si="20"/>
        <v>218.18537160533256</v>
      </c>
      <c r="Y40" s="105">
        <f>+IF($H40&gt;F$8,"FIN",(F$18-SUM(Z$24:Z39))*VLOOKUP($H40,$A:$F,6,0)/VLOOKUP(F$15,$J$1:$L$4,2,0))</f>
        <v>21.954417930000002</v>
      </c>
      <c r="Z40" s="107">
        <f t="shared" si="21"/>
        <v>46.464376571428566</v>
      </c>
      <c r="AA40" s="107">
        <f t="shared" si="8"/>
        <v>68.418794501428565</v>
      </c>
      <c r="AB40" s="108">
        <f t="shared" si="22"/>
        <v>29.688727778939185</v>
      </c>
      <c r="AC40" s="79"/>
      <c r="AD40" s="155">
        <f t="shared" si="9"/>
        <v>581.47487733026935</v>
      </c>
      <c r="AE40" s="156">
        <f t="shared" si="10"/>
        <v>2242.3177597420436</v>
      </c>
      <c r="AF40" s="157">
        <f t="shared" si="11"/>
        <v>2823.792637072313</v>
      </c>
    </row>
    <row r="41" spans="1:32" s="8" customFormat="1" x14ac:dyDescent="0.25">
      <c r="A41" s="80">
        <f t="shared" si="2"/>
        <v>47181</v>
      </c>
      <c r="B41" s="84">
        <v>0.01</v>
      </c>
      <c r="C41" s="84">
        <v>1.7500000000000002E-2</v>
      </c>
      <c r="D41" s="82">
        <v>0.05</v>
      </c>
      <c r="E41" s="85">
        <v>0.05</v>
      </c>
      <c r="F41" s="85">
        <v>3.5000000000000003E-2</v>
      </c>
      <c r="G41" s="86">
        <f t="shared" si="3"/>
        <v>2029</v>
      </c>
      <c r="H41" s="83">
        <f t="shared" si="12"/>
        <v>47181</v>
      </c>
      <c r="I41" s="105">
        <f>+IF($H41&gt;B$8,"FIN",(B$18-SUM(J$24:J40))*VLOOKUP($H41,$A:$G,2,0)/VLOOKUP(B$15,$J$1:$L$4,2,0))</f>
        <v>5.6024394459879954</v>
      </c>
      <c r="J41" s="107">
        <f t="shared" si="13"/>
        <v>280.12197229939977</v>
      </c>
      <c r="K41" s="107">
        <f t="shared" si="4"/>
        <v>285.72441174538778</v>
      </c>
      <c r="L41" s="108">
        <f t="shared" si="14"/>
        <v>117.67982870727712</v>
      </c>
      <c r="M41" s="105">
        <f>+IF($H41&gt;C$8,"FIN",(C$18-SUM(N$24:N40))*VLOOKUP($H41,$A:$G,3,0)/VLOOKUP(C$15,$J$1:$L$4,2,0))</f>
        <v>55.510550175081171</v>
      </c>
      <c r="N41" s="107">
        <f t="shared" si="15"/>
        <v>1586.0157192880333</v>
      </c>
      <c r="O41" s="107">
        <f t="shared" si="5"/>
        <v>1641.5262694631144</v>
      </c>
      <c r="P41" s="108">
        <f t="shared" si="16"/>
        <v>676.08689446197877</v>
      </c>
      <c r="Q41" s="105">
        <f>+IF($H41&gt;D$8,"FIN",(D$18-SUM(R$24:R40))*VLOOKUP($H41,$A:$F,4,0)/VLOOKUP(D$15,$J$1:$L$4,2,0))</f>
        <v>326.34577293975002</v>
      </c>
      <c r="R41" s="109">
        <f t="shared" si="17"/>
        <v>0</v>
      </c>
      <c r="S41" s="109">
        <f t="shared" si="6"/>
        <v>326.34577293975002</v>
      </c>
      <c r="T41" s="108">
        <f t="shared" si="18"/>
        <v>134.41033765471971</v>
      </c>
      <c r="U41" s="105">
        <f>+IF($H41&gt;E$8,"FIN",(E$18-SUM(V$24:V40))*VLOOKUP($H41,$A:$F,5,0)/VLOOKUP(E$15,$J$1:$L$4,2,0))</f>
        <v>164.8578457915909</v>
      </c>
      <c r="V41" s="107">
        <f t="shared" si="19"/>
        <v>329.71569158318181</v>
      </c>
      <c r="W41" s="107">
        <f t="shared" si="7"/>
        <v>494.57353737477274</v>
      </c>
      <c r="X41" s="108">
        <f t="shared" si="20"/>
        <v>203.69743280206396</v>
      </c>
      <c r="Y41" s="105">
        <f>+IF($H41&gt;F$8,"FIN",(F$18-SUM(Z$24:Z40))*VLOOKUP($H41,$A:$F,6,0)/VLOOKUP(F$15,$J$1:$L$4,2,0))</f>
        <v>21.141291339999999</v>
      </c>
      <c r="Z41" s="107">
        <f t="shared" si="21"/>
        <v>46.464376571428566</v>
      </c>
      <c r="AA41" s="107">
        <f t="shared" si="8"/>
        <v>67.605667911428569</v>
      </c>
      <c r="AB41" s="108">
        <f t="shared" si="22"/>
        <v>27.844395131863983</v>
      </c>
      <c r="AC41" s="79"/>
      <c r="AD41" s="155">
        <f t="shared" si="9"/>
        <v>573.45789969241002</v>
      </c>
      <c r="AE41" s="156">
        <f t="shared" si="10"/>
        <v>2242.3177597420436</v>
      </c>
      <c r="AF41" s="157">
        <f t="shared" si="11"/>
        <v>2815.7756594344537</v>
      </c>
    </row>
    <row r="42" spans="1:32" s="8" customFormat="1" x14ac:dyDescent="0.25">
      <c r="A42" s="80">
        <f t="shared" si="2"/>
        <v>47365</v>
      </c>
      <c r="B42" s="84">
        <v>0.01</v>
      </c>
      <c r="C42" s="84">
        <v>1.7500000000000002E-2</v>
      </c>
      <c r="D42" s="82">
        <v>0.05</v>
      </c>
      <c r="E42" s="85">
        <v>0.05</v>
      </c>
      <c r="F42" s="85">
        <v>3.5000000000000003E-2</v>
      </c>
      <c r="G42" s="86">
        <f t="shared" si="3"/>
        <v>2029</v>
      </c>
      <c r="H42" s="83">
        <f t="shared" si="12"/>
        <v>47365</v>
      </c>
      <c r="I42" s="105">
        <f>+IF($H42&gt;B$8,"FIN",(B$18-SUM(J$24:J41))*VLOOKUP($H42,$A:$G,2,0)/VLOOKUP(B$15,$J$1:$L$4,2,0))</f>
        <v>4.201829584490997</v>
      </c>
      <c r="J42" s="107">
        <f t="shared" si="13"/>
        <v>280.12197229939977</v>
      </c>
      <c r="K42" s="107">
        <f t="shared" si="4"/>
        <v>284.32380188389078</v>
      </c>
      <c r="L42" s="108">
        <f t="shared" si="14"/>
        <v>111.14921726631469</v>
      </c>
      <c r="M42" s="105">
        <f>+IF($H42&gt;C$8,"FIN",(C$18-SUM(N$24:N41))*VLOOKUP($H42,$A:$G,3,0)/VLOOKUP(C$15,$J$1:$L$4,2,0))</f>
        <v>41.632912631310887</v>
      </c>
      <c r="N42" s="107">
        <f t="shared" si="15"/>
        <v>1586.0157192880333</v>
      </c>
      <c r="O42" s="107">
        <f t="shared" si="5"/>
        <v>1627.6486319193441</v>
      </c>
      <c r="P42" s="108">
        <f t="shared" si="16"/>
        <v>636.28816941714217</v>
      </c>
      <c r="Q42" s="105">
        <f>+IF($H42&gt;D$8,"FIN",(D$18-SUM(R$24:R41))*VLOOKUP($H42,$A:$F,4,0)/VLOOKUP(D$15,$J$1:$L$4,2,0))</f>
        <v>326.34577293975002</v>
      </c>
      <c r="R42" s="109">
        <f t="shared" si="17"/>
        <v>0</v>
      </c>
      <c r="S42" s="109">
        <f t="shared" si="6"/>
        <v>326.34577293975002</v>
      </c>
      <c r="T42" s="108">
        <f t="shared" si="18"/>
        <v>127.57664669677041</v>
      </c>
      <c r="U42" s="105">
        <f>+IF($H42&gt;E$8,"FIN",(E$18-SUM(V$24:V41))*VLOOKUP($H42,$A:$F,5,0)/VLOOKUP(E$15,$J$1:$L$4,2,0))</f>
        <v>156.61495350201136</v>
      </c>
      <c r="V42" s="107">
        <f t="shared" si="19"/>
        <v>329.71569158318181</v>
      </c>
      <c r="W42" s="107">
        <f t="shared" si="7"/>
        <v>486.33064508519317</v>
      </c>
      <c r="X42" s="108">
        <f t="shared" si="20"/>
        <v>190.11869627403073</v>
      </c>
      <c r="Y42" s="105">
        <f>+IF($H42&gt;F$8,"FIN",(F$18-SUM(Z$24:Z41))*VLOOKUP($H42,$A:$F,6,0)/VLOOKUP(F$15,$J$1:$L$4,2,0))</f>
        <v>20.328164749999999</v>
      </c>
      <c r="Z42" s="107">
        <f t="shared" si="21"/>
        <v>46.464376571428566</v>
      </c>
      <c r="AA42" s="107">
        <f t="shared" si="8"/>
        <v>66.792541321428558</v>
      </c>
      <c r="AB42" s="108">
        <f t="shared" si="22"/>
        <v>26.110858949953393</v>
      </c>
      <c r="AC42" s="79"/>
      <c r="AD42" s="155">
        <f t="shared" si="9"/>
        <v>549.12363340756337</v>
      </c>
      <c r="AE42" s="156">
        <f t="shared" si="10"/>
        <v>2242.3177597420436</v>
      </c>
      <c r="AF42" s="157">
        <f t="shared" si="11"/>
        <v>2791.4413931496069</v>
      </c>
    </row>
    <row r="43" spans="1:32" s="8" customFormat="1" x14ac:dyDescent="0.25">
      <c r="A43" s="80">
        <f t="shared" si="2"/>
        <v>47546</v>
      </c>
      <c r="B43" s="84">
        <v>0.01</v>
      </c>
      <c r="C43" s="84">
        <v>1.7500000000000002E-2</v>
      </c>
      <c r="D43" s="82">
        <v>0.05</v>
      </c>
      <c r="E43" s="85">
        <v>0.05</v>
      </c>
      <c r="F43" s="85">
        <v>4.8750000000000002E-2</v>
      </c>
      <c r="G43" s="86">
        <f t="shared" si="3"/>
        <v>2030</v>
      </c>
      <c r="H43" s="83">
        <f t="shared" si="12"/>
        <v>47546</v>
      </c>
      <c r="I43" s="105">
        <f>+IF($H43&gt;B$8,"FIN",(B$18-SUM(J$24:J42))*VLOOKUP($H43,$A:$G,2,0)/VLOOKUP(B$15,$J$1:$L$4,2,0))</f>
        <v>2.801219722993999</v>
      </c>
      <c r="J43" s="107">
        <f t="shared" si="13"/>
        <v>280.12197229939977</v>
      </c>
      <c r="K43" s="107">
        <f t="shared" si="4"/>
        <v>282.92319202239378</v>
      </c>
      <c r="L43" s="108">
        <f t="shared" si="14"/>
        <v>104.97847287965897</v>
      </c>
      <c r="M43" s="105">
        <f>+IF($H43&gt;C$8,"FIN",(C$18-SUM(N$24:N42))*VLOOKUP($H43,$A:$G,3,0)/VLOOKUP(C$15,$J$1:$L$4,2,0))</f>
        <v>27.755275087540603</v>
      </c>
      <c r="N43" s="107">
        <f t="shared" si="15"/>
        <v>1586.0157192880333</v>
      </c>
      <c r="O43" s="107">
        <f t="shared" si="5"/>
        <v>1613.770994375574</v>
      </c>
      <c r="P43" s="108">
        <f t="shared" si="16"/>
        <v>598.78871490191352</v>
      </c>
      <c r="Q43" s="105">
        <f>+IF($H43&gt;D$8,"FIN",(D$18-SUM(R$24:R42))*VLOOKUP($H43,$A:$F,4,0)/VLOOKUP(D$15,$J$1:$L$4,2,0))</f>
        <v>326.34577293975002</v>
      </c>
      <c r="R43" s="109">
        <f t="shared" si="17"/>
        <v>0</v>
      </c>
      <c r="S43" s="109">
        <f t="shared" si="6"/>
        <v>326.34577293975002</v>
      </c>
      <c r="T43" s="108">
        <f t="shared" si="18"/>
        <v>121.09039428353127</v>
      </c>
      <c r="U43" s="105">
        <f>+IF($H43&gt;E$8,"FIN",(E$18-SUM(V$24:V42))*VLOOKUP($H43,$A:$F,5,0)/VLOOKUP(E$15,$J$1:$L$4,2,0))</f>
        <v>148.37206121243182</v>
      </c>
      <c r="V43" s="107">
        <f t="shared" si="19"/>
        <v>329.71569158318181</v>
      </c>
      <c r="W43" s="107">
        <f t="shared" si="7"/>
        <v>478.0877527956136</v>
      </c>
      <c r="X43" s="108">
        <f t="shared" si="20"/>
        <v>177.39416069849409</v>
      </c>
      <c r="Y43" s="105">
        <f>+IF($H43&gt;F$8,"FIN",(F$18-SUM(Z$24:Z42))*VLOOKUP($H43,$A:$F,6,0)/VLOOKUP(F$15,$J$1:$L$4,2,0))</f>
        <v>27.181660294285717</v>
      </c>
      <c r="Z43" s="107">
        <f t="shared" si="21"/>
        <v>46.464376571428566</v>
      </c>
      <c r="AA43" s="107">
        <f t="shared" si="8"/>
        <v>73.646036865714279</v>
      </c>
      <c r="AB43" s="108">
        <f t="shared" si="22"/>
        <v>27.326315769793137</v>
      </c>
      <c r="AC43" s="79"/>
      <c r="AD43" s="155">
        <f t="shared" si="9"/>
        <v>532.45598925700222</v>
      </c>
      <c r="AE43" s="156">
        <f t="shared" si="10"/>
        <v>2242.3177597420436</v>
      </c>
      <c r="AF43" s="157">
        <f t="shared" si="11"/>
        <v>2774.7737489990459</v>
      </c>
    </row>
    <row r="44" spans="1:32" s="8" customFormat="1" x14ac:dyDescent="0.25">
      <c r="A44" s="80">
        <f t="shared" si="2"/>
        <v>47730</v>
      </c>
      <c r="B44" s="84">
        <v>0.01</v>
      </c>
      <c r="C44" s="84">
        <v>1.7500000000000002E-2</v>
      </c>
      <c r="D44" s="82">
        <v>0.05</v>
      </c>
      <c r="E44" s="85">
        <v>0.05</v>
      </c>
      <c r="F44" s="85">
        <v>4.8750000000000002E-2</v>
      </c>
      <c r="G44" s="86">
        <f t="shared" si="3"/>
        <v>2030</v>
      </c>
      <c r="H44" s="83">
        <f t="shared" si="12"/>
        <v>47730</v>
      </c>
      <c r="I44" s="105">
        <f>+IF($H44&gt;B$8,"FIN",(B$18-SUM(J$24:J43))*VLOOKUP($H44,$A:$G,2,0)/VLOOKUP(B$15,$J$1:$L$4,2,0))</f>
        <v>1.4006098614970006</v>
      </c>
      <c r="J44" s="107">
        <f t="shared" si="13"/>
        <v>280.12197229939977</v>
      </c>
      <c r="K44" s="107">
        <f t="shared" si="4"/>
        <v>281.52258216089677</v>
      </c>
      <c r="L44" s="108">
        <f t="shared" si="14"/>
        <v>99.147883861577469</v>
      </c>
      <c r="M44" s="105">
        <f>+IF($H44&gt;C$8,"FIN",(C$18-SUM(N$24:N43))*VLOOKUP($H44,$A:$G,3,0)/VLOOKUP(C$15,$J$1:$L$4,2,0))</f>
        <v>13.877637543770318</v>
      </c>
      <c r="N44" s="107">
        <f t="shared" si="15"/>
        <v>1586.0157192880333</v>
      </c>
      <c r="O44" s="107">
        <f t="shared" si="5"/>
        <v>1599.8933568318037</v>
      </c>
      <c r="P44" s="108">
        <f t="shared" si="16"/>
        <v>563.45760797054095</v>
      </c>
      <c r="Q44" s="105">
        <f>+IF($H44&gt;D$8,"FIN",(D$18-SUM(R$24:R43))*VLOOKUP($H44,$A:$F,4,0)/VLOOKUP(D$15,$J$1:$L$4,2,0))</f>
        <v>326.34577293975002</v>
      </c>
      <c r="R44" s="109">
        <f t="shared" si="17"/>
        <v>0</v>
      </c>
      <c r="S44" s="109">
        <f t="shared" si="6"/>
        <v>326.34577293975002</v>
      </c>
      <c r="T44" s="108">
        <f t="shared" si="18"/>
        <v>114.9339159430364</v>
      </c>
      <c r="U44" s="105">
        <f>+IF($H44&gt;E$8,"FIN",(E$18-SUM(V$24:V43))*VLOOKUP($H44,$A:$F,5,0)/VLOOKUP(E$15,$J$1:$L$4,2,0))</f>
        <v>140.12916892285227</v>
      </c>
      <c r="V44" s="107">
        <f t="shared" si="19"/>
        <v>329.71569158318181</v>
      </c>
      <c r="W44" s="107">
        <f t="shared" si="7"/>
        <v>469.84486050603408</v>
      </c>
      <c r="X44" s="108">
        <f t="shared" si="20"/>
        <v>165.47206730217974</v>
      </c>
      <c r="Y44" s="105">
        <f>+IF($H44&gt;F$8,"FIN",(F$18-SUM(Z$24:Z43))*VLOOKUP($H44,$A:$F,6,0)/VLOOKUP(F$15,$J$1:$L$4,2,0))</f>
        <v>26.049091115357143</v>
      </c>
      <c r="Z44" s="107">
        <f t="shared" si="21"/>
        <v>46.464376571428566</v>
      </c>
      <c r="AA44" s="107">
        <f t="shared" si="8"/>
        <v>72.513467686785702</v>
      </c>
      <c r="AB44" s="108">
        <f t="shared" si="22"/>
        <v>25.538117821399773</v>
      </c>
      <c r="AC44" s="79"/>
      <c r="AD44" s="155">
        <f t="shared" si="9"/>
        <v>507.80228038322679</v>
      </c>
      <c r="AE44" s="156">
        <f t="shared" si="10"/>
        <v>2242.3177597420436</v>
      </c>
      <c r="AF44" s="157">
        <f t="shared" si="11"/>
        <v>2750.1200401252704</v>
      </c>
    </row>
    <row r="45" spans="1:32" s="8" customFormat="1" x14ac:dyDescent="0.25">
      <c r="A45" s="80">
        <f t="shared" si="2"/>
        <v>47911</v>
      </c>
      <c r="B45" s="84"/>
      <c r="C45" s="84"/>
      <c r="D45" s="82">
        <v>0.05</v>
      </c>
      <c r="E45" s="85">
        <v>0.05</v>
      </c>
      <c r="F45" s="85">
        <v>4.8750000000000002E-2</v>
      </c>
      <c r="G45" s="86">
        <f t="shared" si="3"/>
        <v>2031</v>
      </c>
      <c r="H45" s="83">
        <f t="shared" si="12"/>
        <v>47911</v>
      </c>
      <c r="I45" s="105"/>
      <c r="J45" s="107"/>
      <c r="K45" s="107"/>
      <c r="L45" s="108"/>
      <c r="M45" s="105"/>
      <c r="N45" s="107"/>
      <c r="O45" s="107"/>
      <c r="P45" s="108"/>
      <c r="Q45" s="105">
        <f>+IF($H45&gt;D$8,"FIN",(D$18-SUM(R$24:R44))*VLOOKUP($H45,$A:$F,4,0)/VLOOKUP(D$15,$J$1:$L$4,2,0))</f>
        <v>326.34577293975002</v>
      </c>
      <c r="R45" s="109">
        <f t="shared" si="17"/>
        <v>1305.3830917589999</v>
      </c>
      <c r="S45" s="109">
        <f t="shared" si="6"/>
        <v>1631.7288646987499</v>
      </c>
      <c r="T45" s="108">
        <f t="shared" si="18"/>
        <v>545.45222650239305</v>
      </c>
      <c r="U45" s="105">
        <f>+IF($H45&gt;E$8,"FIN",(E$18-SUM(V$24:V44))*VLOOKUP($H45,$A:$F,5,0)/VLOOKUP(E$15,$J$1:$L$4,2,0))</f>
        <v>131.88627663327273</v>
      </c>
      <c r="V45" s="107">
        <f t="shared" si="19"/>
        <v>329.71569158318181</v>
      </c>
      <c r="W45" s="107">
        <f t="shared" si="7"/>
        <v>461.60196821645457</v>
      </c>
      <c r="X45" s="108">
        <f t="shared" si="20"/>
        <v>154.30371231928657</v>
      </c>
      <c r="Y45" s="105">
        <f>+IF($H45&gt;F$8,"FIN",(F$18-SUM(Z$24:Z44))*VLOOKUP($H45,$A:$F,6,0)/VLOOKUP(F$15,$J$1:$L$4,2,0))</f>
        <v>24.916521936428573</v>
      </c>
      <c r="Z45" s="107">
        <f t="shared" si="21"/>
        <v>46.464376571428566</v>
      </c>
      <c r="AA45" s="107">
        <f t="shared" si="8"/>
        <v>71.38089850785714</v>
      </c>
      <c r="AB45" s="108">
        <f t="shared" si="22"/>
        <v>23.861114957992839</v>
      </c>
      <c r="AC45" s="79"/>
      <c r="AD45" s="155">
        <f t="shared" si="9"/>
        <v>483.14857150945136</v>
      </c>
      <c r="AE45" s="156">
        <f t="shared" si="10"/>
        <v>1681.5631599136102</v>
      </c>
      <c r="AF45" s="157">
        <f t="shared" si="11"/>
        <v>2164.7117314230618</v>
      </c>
    </row>
    <row r="46" spans="1:32" s="8" customFormat="1" x14ac:dyDescent="0.25">
      <c r="A46" s="80">
        <f t="shared" si="2"/>
        <v>48095</v>
      </c>
      <c r="B46" s="84"/>
      <c r="C46" s="84"/>
      <c r="D46" s="84">
        <v>0.05</v>
      </c>
      <c r="E46" s="85">
        <v>0.05</v>
      </c>
      <c r="F46" s="85">
        <v>4.8750000000000002E-2</v>
      </c>
      <c r="G46" s="86">
        <f t="shared" si="3"/>
        <v>2031</v>
      </c>
      <c r="H46" s="83">
        <f t="shared" si="12"/>
        <v>48095</v>
      </c>
      <c r="I46" s="105"/>
      <c r="J46" s="107"/>
      <c r="K46" s="107"/>
      <c r="L46" s="108"/>
      <c r="M46" s="105"/>
      <c r="N46" s="107"/>
      <c r="O46" s="107"/>
      <c r="P46" s="108"/>
      <c r="Q46" s="105">
        <f>+IF($H46&gt;D$8,"FIN",(D$18-SUM(R$24:R45))*VLOOKUP($H46,$A:$F,4,0)/VLOOKUP(D$15,$J$1:$L$4,2,0))</f>
        <v>293.71119564577498</v>
      </c>
      <c r="R46" s="109">
        <f t="shared" si="17"/>
        <v>1305.3830917589999</v>
      </c>
      <c r="S46" s="109">
        <f t="shared" si="6"/>
        <v>1599.0942874047748</v>
      </c>
      <c r="T46" s="108">
        <f t="shared" si="18"/>
        <v>507.3659352440344</v>
      </c>
      <c r="U46" s="105">
        <f>+IF($H46&gt;E$8,"FIN",(E$18-SUM(V$24:V45))*VLOOKUP($H46,$A:$F,5,0)/VLOOKUP(E$15,$J$1:$L$4,2,0))</f>
        <v>123.6433843436932</v>
      </c>
      <c r="V46" s="107">
        <f t="shared" si="19"/>
        <v>329.71569158318181</v>
      </c>
      <c r="W46" s="107">
        <f t="shared" si="7"/>
        <v>453.35907592687499</v>
      </c>
      <c r="X46" s="108">
        <f t="shared" si="20"/>
        <v>143.84327013782021</v>
      </c>
      <c r="Y46" s="105">
        <f>+IF($H46&gt;F$8,"FIN",(F$18-SUM(Z$24:Z45))*VLOOKUP($H46,$A:$F,6,0)/VLOOKUP(F$15,$J$1:$L$4,2,0))</f>
        <v>23.7839527575</v>
      </c>
      <c r="Z46" s="107">
        <f t="shared" si="21"/>
        <v>46.464376571428566</v>
      </c>
      <c r="AA46" s="107">
        <f t="shared" si="8"/>
        <v>70.248329328928563</v>
      </c>
      <c r="AB46" s="108">
        <f t="shared" si="22"/>
        <v>22.288622747284506</v>
      </c>
      <c r="AC46" s="79"/>
      <c r="AD46" s="155">
        <f t="shared" si="9"/>
        <v>441.13853274696817</v>
      </c>
      <c r="AE46" s="156">
        <f t="shared" si="10"/>
        <v>1681.5631599136102</v>
      </c>
      <c r="AF46" s="157">
        <f t="shared" si="11"/>
        <v>2122.7016926605784</v>
      </c>
    </row>
    <row r="47" spans="1:32" s="8" customFormat="1" x14ac:dyDescent="0.25">
      <c r="A47" s="80">
        <f t="shared" si="2"/>
        <v>48277</v>
      </c>
      <c r="B47" s="84"/>
      <c r="C47" s="84"/>
      <c r="D47" s="84">
        <v>0.05</v>
      </c>
      <c r="E47" s="85">
        <v>0.05</v>
      </c>
      <c r="F47" s="85">
        <v>4.8750000000000002E-2</v>
      </c>
      <c r="G47" s="86">
        <f t="shared" si="3"/>
        <v>2032</v>
      </c>
      <c r="H47" s="83">
        <f t="shared" si="12"/>
        <v>48277</v>
      </c>
      <c r="I47" s="105"/>
      <c r="J47" s="107"/>
      <c r="K47" s="107"/>
      <c r="L47" s="108"/>
      <c r="M47" s="105"/>
      <c r="N47" s="107"/>
      <c r="O47" s="107"/>
      <c r="P47" s="108"/>
      <c r="Q47" s="105">
        <f>+IF($H47&gt;D$8,"FIN",(D$18-SUM(R$24:R46))*VLOOKUP($H47,$A:$F,4,0)/VLOOKUP(D$15,$J$1:$L$4,2,0))</f>
        <v>261.07661835179999</v>
      </c>
      <c r="R47" s="109">
        <f t="shared" si="17"/>
        <v>1305.3830917589999</v>
      </c>
      <c r="S47" s="109">
        <f t="shared" si="6"/>
        <v>1566.4597101107997</v>
      </c>
      <c r="T47" s="108">
        <f t="shared" si="18"/>
        <v>471.74246616423159</v>
      </c>
      <c r="U47" s="105">
        <f>+IF($H47&gt;E$8,"FIN",(E$18-SUM(V$24:V46))*VLOOKUP($H47,$A:$F,5,0)/VLOOKUP(E$15,$J$1:$L$4,2,0))</f>
        <v>115.40049205411366</v>
      </c>
      <c r="V47" s="107">
        <f t="shared" si="19"/>
        <v>329.71569158318181</v>
      </c>
      <c r="W47" s="107">
        <f t="shared" si="7"/>
        <v>445.11618363729548</v>
      </c>
      <c r="X47" s="108">
        <f t="shared" si="20"/>
        <v>134.04762653219873</v>
      </c>
      <c r="Y47" s="105">
        <f>+IF($H47&gt;F$8,"FIN",(F$18-SUM(Z$24:Z46))*VLOOKUP($H47,$A:$F,6,0)/VLOOKUP(F$15,$J$1:$L$4,2,0))</f>
        <v>22.65138357857143</v>
      </c>
      <c r="Z47" s="107">
        <f t="shared" si="21"/>
        <v>46.464376571428566</v>
      </c>
      <c r="AA47" s="107">
        <f t="shared" si="8"/>
        <v>69.11576015</v>
      </c>
      <c r="AB47" s="108">
        <f t="shared" si="22"/>
        <v>20.814349027636528</v>
      </c>
      <c r="AC47" s="79"/>
      <c r="AD47" s="155">
        <f t="shared" si="9"/>
        <v>399.12849398448509</v>
      </c>
      <c r="AE47" s="156">
        <f t="shared" si="10"/>
        <v>1681.5631599136102</v>
      </c>
      <c r="AF47" s="157">
        <f t="shared" si="11"/>
        <v>2080.6916538980954</v>
      </c>
    </row>
    <row r="48" spans="1:32" s="8" customFormat="1" x14ac:dyDescent="0.25">
      <c r="A48" s="80">
        <f t="shared" si="2"/>
        <v>48461</v>
      </c>
      <c r="B48" s="84"/>
      <c r="C48" s="84"/>
      <c r="D48" s="84">
        <v>0.05</v>
      </c>
      <c r="E48" s="85">
        <v>0.05</v>
      </c>
      <c r="F48" s="85">
        <v>4.8750000000000002E-2</v>
      </c>
      <c r="G48" s="86">
        <f t="shared" si="3"/>
        <v>2032</v>
      </c>
      <c r="H48" s="83">
        <f t="shared" si="12"/>
        <v>48461</v>
      </c>
      <c r="I48" s="105"/>
      <c r="J48" s="107"/>
      <c r="K48" s="107"/>
      <c r="L48" s="108"/>
      <c r="M48" s="105"/>
      <c r="N48" s="107"/>
      <c r="O48" s="107"/>
      <c r="P48" s="108"/>
      <c r="Q48" s="105">
        <f>+IF($H48&gt;D$8,"FIN",(D$18-SUM(R$24:R47))*VLOOKUP($H48,$A:$F,4,0)/VLOOKUP(D$15,$J$1:$L$4,2,0))</f>
        <v>228.44204105782501</v>
      </c>
      <c r="R48" s="109">
        <f t="shared" si="17"/>
        <v>1305.3830917589999</v>
      </c>
      <c r="S48" s="109">
        <f t="shared" si="6"/>
        <v>1533.8251328168249</v>
      </c>
      <c r="T48" s="108">
        <f t="shared" si="18"/>
        <v>438.42983924378774</v>
      </c>
      <c r="U48" s="105">
        <f>+IF($H48&gt;E$8,"FIN",(E$18-SUM(V$24:V47))*VLOOKUP($H48,$A:$F,5,0)/VLOOKUP(E$15,$J$1:$L$4,2,0))</f>
        <v>107.1575997645341</v>
      </c>
      <c r="V48" s="107">
        <f t="shared" si="19"/>
        <v>329.71569158318181</v>
      </c>
      <c r="W48" s="107">
        <f t="shared" si="7"/>
        <v>436.87329134771591</v>
      </c>
      <c r="X48" s="108">
        <f t="shared" si="20"/>
        <v>124.87622141366865</v>
      </c>
      <c r="Y48" s="105">
        <f>+IF($H48&gt;F$8,"FIN",(F$18-SUM(Z$24:Z47))*VLOOKUP($H48,$A:$F,6,0)/VLOOKUP(F$15,$J$1:$L$4,2,0))</f>
        <v>21.51881439964286</v>
      </c>
      <c r="Z48" s="107">
        <f t="shared" si="21"/>
        <v>46.464376571428566</v>
      </c>
      <c r="AA48" s="107">
        <f t="shared" si="8"/>
        <v>67.983190971071423</v>
      </c>
      <c r="AB48" s="108">
        <f t="shared" si="22"/>
        <v>19.432371299060005</v>
      </c>
      <c r="AC48" s="79"/>
      <c r="AD48" s="155">
        <f t="shared" si="9"/>
        <v>357.11845522200196</v>
      </c>
      <c r="AE48" s="156">
        <f t="shared" si="10"/>
        <v>1681.5631599136102</v>
      </c>
      <c r="AF48" s="157">
        <f t="shared" si="11"/>
        <v>2038.6816151356122</v>
      </c>
    </row>
    <row r="49" spans="1:32" s="8" customFormat="1" x14ac:dyDescent="0.25">
      <c r="A49" s="80">
        <f t="shared" si="2"/>
        <v>48642</v>
      </c>
      <c r="B49" s="84"/>
      <c r="C49" s="84"/>
      <c r="D49" s="84">
        <v>0.05</v>
      </c>
      <c r="E49" s="85">
        <v>0.05</v>
      </c>
      <c r="F49" s="85">
        <v>4.8750000000000002E-2</v>
      </c>
      <c r="G49" s="86">
        <f t="shared" si="3"/>
        <v>2033</v>
      </c>
      <c r="H49" s="83">
        <f t="shared" si="12"/>
        <v>48642</v>
      </c>
      <c r="I49" s="105"/>
      <c r="J49" s="107"/>
      <c r="K49" s="107"/>
      <c r="L49" s="108"/>
      <c r="M49" s="105"/>
      <c r="N49" s="107"/>
      <c r="O49" s="107"/>
      <c r="P49" s="108"/>
      <c r="Q49" s="105">
        <f>+IF($H49&gt;D$8,"FIN",(D$18-SUM(R$24:R48))*VLOOKUP($H49,$A:$F,4,0)/VLOOKUP(D$15,$J$1:$L$4,2,0))</f>
        <v>195.80746376385002</v>
      </c>
      <c r="R49" s="109">
        <f t="shared" si="17"/>
        <v>1305.3830917589999</v>
      </c>
      <c r="S49" s="109">
        <f t="shared" si="6"/>
        <v>1501.19055552285</v>
      </c>
      <c r="T49" s="108">
        <f t="shared" si="18"/>
        <v>407.28516222887868</v>
      </c>
      <c r="U49" s="105">
        <f>+IF($H49&gt;E$8,"FIN",(E$18-SUM(V$24:V48))*VLOOKUP($H49,$A:$F,5,0)/VLOOKUP(E$15,$J$1:$L$4,2,0))</f>
        <v>98.91470747495454</v>
      </c>
      <c r="V49" s="107">
        <f t="shared" si="19"/>
        <v>329.71569158318181</v>
      </c>
      <c r="W49" s="107">
        <f t="shared" si="7"/>
        <v>428.63039905813633</v>
      </c>
      <c r="X49" s="108">
        <f t="shared" si="20"/>
        <v>116.29090056180068</v>
      </c>
      <c r="Y49" s="105">
        <f>+IF($H49&gt;F$8,"FIN",(F$18-SUM(Z$24:Z48))*VLOOKUP($H49,$A:$F,6,0)/VLOOKUP(F$15,$J$1:$L$4,2,0))</f>
        <v>20.38624522071429</v>
      </c>
      <c r="Z49" s="107">
        <f t="shared" si="21"/>
        <v>46.464376571428566</v>
      </c>
      <c r="AA49" s="107">
        <f t="shared" si="8"/>
        <v>66.85062179214286</v>
      </c>
      <c r="AB49" s="108">
        <f t="shared" si="22"/>
        <v>18.137115399204816</v>
      </c>
      <c r="AC49" s="79"/>
      <c r="AD49" s="155">
        <f t="shared" si="9"/>
        <v>315.10841645951882</v>
      </c>
      <c r="AE49" s="156">
        <f t="shared" si="10"/>
        <v>1681.5631599136102</v>
      </c>
      <c r="AF49" s="157">
        <f t="shared" si="11"/>
        <v>1996.671576373129</v>
      </c>
    </row>
    <row r="50" spans="1:32" s="8" customFormat="1" x14ac:dyDescent="0.25">
      <c r="A50" s="80">
        <f t="shared" si="2"/>
        <v>48826</v>
      </c>
      <c r="B50" s="84"/>
      <c r="C50" s="84"/>
      <c r="D50" s="84">
        <v>0.05</v>
      </c>
      <c r="E50" s="85">
        <v>0.05</v>
      </c>
      <c r="F50" s="85">
        <v>4.8750000000000002E-2</v>
      </c>
      <c r="G50" s="86">
        <f t="shared" si="3"/>
        <v>2033</v>
      </c>
      <c r="H50" s="83">
        <f t="shared" si="12"/>
        <v>48826</v>
      </c>
      <c r="I50" s="105"/>
      <c r="J50" s="107"/>
      <c r="K50" s="107"/>
      <c r="L50" s="108"/>
      <c r="M50" s="110"/>
      <c r="N50" s="107"/>
      <c r="O50" s="107"/>
      <c r="P50" s="108"/>
      <c r="Q50" s="105">
        <f>+IF($H50&gt;D$8,"FIN",(D$18-SUM(R$24:R49))*VLOOKUP($H50,$A:$F,4,0)/VLOOKUP(D$15,$J$1:$L$4,2,0))</f>
        <v>163.17288646987501</v>
      </c>
      <c r="R50" s="109">
        <f t="shared" si="17"/>
        <v>1305.3830917589999</v>
      </c>
      <c r="S50" s="109">
        <f t="shared" si="6"/>
        <v>1468.5559782288749</v>
      </c>
      <c r="T50" s="108">
        <f t="shared" si="18"/>
        <v>378.17409940522231</v>
      </c>
      <c r="U50" s="105">
        <f>+IF($H50&gt;E$8,"FIN",(E$18-SUM(V$24:V49))*VLOOKUP($H50,$A:$F,5,0)/VLOOKUP(E$15,$J$1:$L$4,2,0))</f>
        <v>90.671815185374996</v>
      </c>
      <c r="V50" s="107">
        <f t="shared" si="19"/>
        <v>329.71569158318181</v>
      </c>
      <c r="W50" s="107">
        <f t="shared" si="7"/>
        <v>420.38750676855682</v>
      </c>
      <c r="X50" s="108">
        <f t="shared" si="20"/>
        <v>108.25577583030937</v>
      </c>
      <c r="Y50" s="105">
        <f>+IF($H50&gt;F$8,"FIN",(F$18-SUM(Z$24:Z49))*VLOOKUP($H50,$A:$F,6,0)/VLOOKUP(F$15,$J$1:$L$4,2,0))</f>
        <v>19.253676041785717</v>
      </c>
      <c r="Z50" s="107">
        <f t="shared" si="21"/>
        <v>46.464376571428566</v>
      </c>
      <c r="AA50" s="107">
        <f t="shared" si="8"/>
        <v>65.718052613214283</v>
      </c>
      <c r="AB50" s="108">
        <f t="shared" si="22"/>
        <v>16.923335392118094</v>
      </c>
      <c r="AC50" s="79"/>
      <c r="AD50" s="155">
        <f t="shared" si="9"/>
        <v>273.09837769703569</v>
      </c>
      <c r="AE50" s="156">
        <f t="shared" si="10"/>
        <v>1681.5631599136102</v>
      </c>
      <c r="AF50" s="157">
        <f t="shared" si="11"/>
        <v>1954.6615376106458</v>
      </c>
    </row>
    <row r="51" spans="1:32" s="8" customFormat="1" x14ac:dyDescent="0.25">
      <c r="A51" s="80">
        <f t="shared" si="2"/>
        <v>49007</v>
      </c>
      <c r="B51" s="84"/>
      <c r="C51" s="84"/>
      <c r="D51" s="84">
        <v>0.05</v>
      </c>
      <c r="E51" s="85">
        <v>0.05</v>
      </c>
      <c r="F51" s="85">
        <v>4.8750000000000002E-2</v>
      </c>
      <c r="G51" s="86">
        <f t="shared" si="3"/>
        <v>2034</v>
      </c>
      <c r="H51" s="83">
        <f t="shared" si="12"/>
        <v>49007</v>
      </c>
      <c r="I51" s="105"/>
      <c r="J51" s="107"/>
      <c r="K51" s="107"/>
      <c r="L51" s="108"/>
      <c r="M51" s="110"/>
      <c r="N51" s="107"/>
      <c r="O51" s="107"/>
      <c r="P51" s="108"/>
      <c r="Q51" s="105">
        <f>+IF($H51&gt;D$8,"FIN",(D$18-SUM(R$24:R50))*VLOOKUP($H51,$A:$F,4,0)/VLOOKUP(D$15,$J$1:$L$4,2,0))</f>
        <v>130.5383091759</v>
      </c>
      <c r="R51" s="109">
        <f t="shared" si="17"/>
        <v>1305.3830917589999</v>
      </c>
      <c r="S51" s="109">
        <f t="shared" si="6"/>
        <v>1435.9214009348998</v>
      </c>
      <c r="T51" s="108">
        <f t="shared" si="18"/>
        <v>350.97037089836778</v>
      </c>
      <c r="U51" s="105">
        <f>+IF($H51&gt;E$8,"FIN",(E$18-SUM(V$24:V50))*VLOOKUP($H51,$A:$F,5,0)/VLOOKUP(E$15,$J$1:$L$4,2,0))</f>
        <v>82.428922895795438</v>
      </c>
      <c r="V51" s="107">
        <f t="shared" si="19"/>
        <v>329.71569158318181</v>
      </c>
      <c r="W51" s="107">
        <f t="shared" si="7"/>
        <v>412.14461447897725</v>
      </c>
      <c r="X51" s="108">
        <f t="shared" si="20"/>
        <v>100.73709334875318</v>
      </c>
      <c r="Y51" s="105">
        <f>+IF($H51&gt;F$8,"FIN",(F$18-SUM(Z$24:Z50))*VLOOKUP($H51,$A:$F,6,0)/VLOOKUP(F$15,$J$1:$L$4,2,0))</f>
        <v>18.121106862857147</v>
      </c>
      <c r="Z51" s="107">
        <f t="shared" si="21"/>
        <v>46.464376571428566</v>
      </c>
      <c r="AA51" s="107">
        <f t="shared" si="8"/>
        <v>64.58548343428572</v>
      </c>
      <c r="AB51" s="108">
        <f t="shared" si="22"/>
        <v>15.78609460157306</v>
      </c>
      <c r="AC51" s="79"/>
      <c r="AD51" s="155">
        <f t="shared" si="9"/>
        <v>231.08833893455258</v>
      </c>
      <c r="AE51" s="156">
        <f t="shared" si="10"/>
        <v>1681.5631599136102</v>
      </c>
      <c r="AF51" s="157">
        <f t="shared" si="11"/>
        <v>1912.6514988481629</v>
      </c>
    </row>
    <row r="52" spans="1:32" s="8" customFormat="1" x14ac:dyDescent="0.25">
      <c r="A52" s="80">
        <f t="shared" si="2"/>
        <v>49191</v>
      </c>
      <c r="B52" s="84"/>
      <c r="C52" s="84"/>
      <c r="D52" s="84">
        <v>0.05</v>
      </c>
      <c r="E52" s="85">
        <v>0.05</v>
      </c>
      <c r="F52" s="85">
        <v>4.8750000000000002E-2</v>
      </c>
      <c r="G52" s="86">
        <f t="shared" si="3"/>
        <v>2034</v>
      </c>
      <c r="H52" s="83">
        <f t="shared" si="12"/>
        <v>49191</v>
      </c>
      <c r="I52" s="105"/>
      <c r="J52" s="107"/>
      <c r="K52" s="107"/>
      <c r="L52" s="108"/>
      <c r="M52" s="110"/>
      <c r="N52" s="107"/>
      <c r="O52" s="107"/>
      <c r="P52" s="108"/>
      <c r="Q52" s="105">
        <f>+IF($H52&gt;D$8,"FIN",(D$18-SUM(R$24:R51))*VLOOKUP($H52,$A:$F,4,0)/VLOOKUP(D$15,$J$1:$L$4,2,0))</f>
        <v>97.903731881924983</v>
      </c>
      <c r="R52" s="109">
        <f t="shared" si="17"/>
        <v>1305.3830917589999</v>
      </c>
      <c r="S52" s="109">
        <f t="shared" si="6"/>
        <v>1403.2868236409249</v>
      </c>
      <c r="T52" s="108">
        <f t="shared" si="18"/>
        <v>325.55528076926043</v>
      </c>
      <c r="U52" s="105">
        <f>+IF($H52&gt;E$8,"FIN",(E$18-SUM(V$24:V51))*VLOOKUP($H52,$A:$F,5,0)/VLOOKUP(E$15,$J$1:$L$4,2,0))</f>
        <v>74.186030606215908</v>
      </c>
      <c r="V52" s="107">
        <f t="shared" si="19"/>
        <v>329.71569158318181</v>
      </c>
      <c r="W52" s="107">
        <f t="shared" si="7"/>
        <v>403.90172218939773</v>
      </c>
      <c r="X52" s="108">
        <f t="shared" si="20"/>
        <v>93.703109268418288</v>
      </c>
      <c r="Y52" s="105">
        <f>+IF($H52&gt;F$8,"FIN",(F$18-SUM(Z$24:Z51))*VLOOKUP($H52,$A:$F,6,0)/VLOOKUP(F$15,$J$1:$L$4,2,0))</f>
        <v>16.988537683928573</v>
      </c>
      <c r="Z52" s="107">
        <f t="shared" si="21"/>
        <v>46.464376571428566</v>
      </c>
      <c r="AA52" s="107">
        <f t="shared" si="8"/>
        <v>63.452914255357143</v>
      </c>
      <c r="AB52" s="108">
        <f t="shared" si="22"/>
        <v>14.72074772456957</v>
      </c>
      <c r="AC52" s="79"/>
      <c r="AD52" s="155">
        <f t="shared" si="9"/>
        <v>189.07830017206945</v>
      </c>
      <c r="AE52" s="156">
        <f t="shared" si="10"/>
        <v>1681.5631599136102</v>
      </c>
      <c r="AF52" s="157">
        <f t="shared" si="11"/>
        <v>1870.6414600856797</v>
      </c>
    </row>
    <row r="53" spans="1:32" s="8" customFormat="1" x14ac:dyDescent="0.25">
      <c r="A53" s="80">
        <f t="shared" si="2"/>
        <v>49372</v>
      </c>
      <c r="B53" s="84"/>
      <c r="C53" s="84"/>
      <c r="D53" s="84">
        <v>0.05</v>
      </c>
      <c r="E53" s="85">
        <v>0.05</v>
      </c>
      <c r="F53" s="85">
        <v>4.8750000000000002E-2</v>
      </c>
      <c r="G53" s="86">
        <f t="shared" si="3"/>
        <v>2035</v>
      </c>
      <c r="H53" s="83">
        <f t="shared" si="12"/>
        <v>49372</v>
      </c>
      <c r="I53" s="105"/>
      <c r="J53" s="107"/>
      <c r="K53" s="107"/>
      <c r="L53" s="108"/>
      <c r="M53" s="110"/>
      <c r="N53" s="107"/>
      <c r="O53" s="107"/>
      <c r="P53" s="108"/>
      <c r="Q53" s="105">
        <f>+IF($H53&gt;D$8,"FIN",(D$18-SUM(R$24:R52))*VLOOKUP($H53,$A:$F,4,0)/VLOOKUP(D$15,$J$1:$L$4,2,0))</f>
        <v>65.26915458794997</v>
      </c>
      <c r="R53" s="109">
        <f t="shared" si="17"/>
        <v>1305.3830917589999</v>
      </c>
      <c r="S53" s="109">
        <f t="shared" si="6"/>
        <v>1370.6522463469498</v>
      </c>
      <c r="T53" s="108">
        <f t="shared" si="18"/>
        <v>301.81727227132365</v>
      </c>
      <c r="U53" s="105">
        <f>+IF($H53&gt;E$8,"FIN",(E$18-SUM(V$24:V52))*VLOOKUP($H53,$A:$F,5,0)/VLOOKUP(E$15,$J$1:$L$4,2,0))</f>
        <v>65.94313831663635</v>
      </c>
      <c r="V53" s="107">
        <f t="shared" si="19"/>
        <v>329.71569158318181</v>
      </c>
      <c r="W53" s="107">
        <f t="shared" si="7"/>
        <v>395.65882989981816</v>
      </c>
      <c r="X53" s="108">
        <f t="shared" si="20"/>
        <v>87.123972625948696</v>
      </c>
      <c r="Y53" s="105">
        <f>+IF($H53&gt;F$8,"FIN",(F$18-SUM(Z$24:Z52))*VLOOKUP($H53,$A:$F,6,0)/VLOOKUP(F$15,$J$1:$L$4,2,0))</f>
        <v>15.855968505000003</v>
      </c>
      <c r="Z53" s="107">
        <f t="shared" si="21"/>
        <v>46.464376571428566</v>
      </c>
      <c r="AA53" s="107">
        <f t="shared" si="8"/>
        <v>62.320345076428566</v>
      </c>
      <c r="AB53" s="108">
        <f t="shared" si="22"/>
        <v>13.722923964197202</v>
      </c>
      <c r="AC53" s="79"/>
      <c r="AD53" s="155">
        <f t="shared" si="9"/>
        <v>147.06826140958631</v>
      </c>
      <c r="AE53" s="156">
        <f t="shared" si="10"/>
        <v>1681.5631599136102</v>
      </c>
      <c r="AF53" s="157">
        <f t="shared" si="11"/>
        <v>1828.6314213231965</v>
      </c>
    </row>
    <row r="54" spans="1:32" s="8" customFormat="1" x14ac:dyDescent="0.25">
      <c r="A54" s="80">
        <f t="shared" si="2"/>
        <v>49556</v>
      </c>
      <c r="B54" s="82"/>
      <c r="C54" s="84"/>
      <c r="D54" s="84">
        <v>0.05</v>
      </c>
      <c r="E54" s="85">
        <v>0.05</v>
      </c>
      <c r="F54" s="85">
        <v>4.8750000000000002E-2</v>
      </c>
      <c r="G54" s="86">
        <f t="shared" si="3"/>
        <v>2035</v>
      </c>
      <c r="H54" s="83">
        <f t="shared" si="12"/>
        <v>49556</v>
      </c>
      <c r="I54" s="105"/>
      <c r="J54" s="107"/>
      <c r="K54" s="107"/>
      <c r="L54" s="108"/>
      <c r="M54" s="110"/>
      <c r="N54" s="107"/>
      <c r="O54" s="107"/>
      <c r="P54" s="108"/>
      <c r="Q54" s="105">
        <f>+IF($H54&gt;D$8,"FIN",(D$18-SUM(R$24:R53))*VLOOKUP($H54,$A:$F,4,0)/VLOOKUP(D$15,$J$1:$L$4,2,0))</f>
        <v>32.634577293974964</v>
      </c>
      <c r="R54" s="109">
        <f t="shared" si="17"/>
        <v>1305.3830917589999</v>
      </c>
      <c r="S54" s="109">
        <f t="shared" si="6"/>
        <v>1338.0176690529747</v>
      </c>
      <c r="T54" s="108">
        <f t="shared" si="18"/>
        <v>279.65150872699934</v>
      </c>
      <c r="U54" s="105">
        <f>+IF($H54&gt;E$8,"FIN",(E$18-SUM(V$24:V53))*VLOOKUP($H54,$A:$F,5,0)/VLOOKUP(E$15,$J$1:$L$4,2,0))</f>
        <v>57.700246027056806</v>
      </c>
      <c r="V54" s="107">
        <f t="shared" si="19"/>
        <v>329.71569158318181</v>
      </c>
      <c r="W54" s="107">
        <f t="shared" si="7"/>
        <v>387.41593761023864</v>
      </c>
      <c r="X54" s="108">
        <f t="shared" si="20"/>
        <v>80.971614922148561</v>
      </c>
      <c r="Y54" s="105">
        <f>+IF($H54&gt;F$8,"FIN",(F$18-SUM(Z$24:Z53))*VLOOKUP($H54,$A:$F,6,0)/VLOOKUP(F$15,$J$1:$L$4,2,0))</f>
        <v>14.72339932607143</v>
      </c>
      <c r="Z54" s="107">
        <f t="shared" si="21"/>
        <v>46.464376571428566</v>
      </c>
      <c r="AA54" s="107">
        <f t="shared" si="8"/>
        <v>61.187775897499996</v>
      </c>
      <c r="AB54" s="108">
        <f t="shared" si="22"/>
        <v>12.788511124443104</v>
      </c>
      <c r="AC54" s="79"/>
      <c r="AD54" s="155">
        <f t="shared" si="9"/>
        <v>105.05822264710319</v>
      </c>
      <c r="AE54" s="156">
        <f t="shared" si="10"/>
        <v>1681.5631599136102</v>
      </c>
      <c r="AF54" s="157">
        <f t="shared" si="11"/>
        <v>1786.6213825607133</v>
      </c>
    </row>
    <row r="55" spans="1:32" s="8" customFormat="1" x14ac:dyDescent="0.25">
      <c r="A55" s="80">
        <f t="shared" si="2"/>
        <v>49738</v>
      </c>
      <c r="B55" s="82"/>
      <c r="C55" s="84"/>
      <c r="D55" s="84"/>
      <c r="E55" s="85">
        <v>0.05</v>
      </c>
      <c r="F55" s="85">
        <v>4.8750000000000002E-2</v>
      </c>
      <c r="G55" s="86">
        <f t="shared" si="3"/>
        <v>2036</v>
      </c>
      <c r="H55" s="83">
        <f t="shared" si="12"/>
        <v>49738</v>
      </c>
      <c r="I55" s="110"/>
      <c r="J55" s="107"/>
      <c r="K55" s="107"/>
      <c r="L55" s="108"/>
      <c r="M55" s="110"/>
      <c r="N55" s="107"/>
      <c r="O55" s="107"/>
      <c r="P55" s="108"/>
      <c r="Q55" s="107"/>
      <c r="R55" s="107"/>
      <c r="S55" s="107"/>
      <c r="T55" s="108"/>
      <c r="U55" s="105">
        <f>+IF($H55&gt;E$8,"FIN",(E$18-SUM(V$24:V54))*VLOOKUP($H55,$A:$F,5,0)/VLOOKUP(E$15,$J$1:$L$4,2,0))</f>
        <v>49.457353737477256</v>
      </c>
      <c r="V55" s="107">
        <f t="shared" si="19"/>
        <v>329.71569158318181</v>
      </c>
      <c r="W55" s="107">
        <f t="shared" si="7"/>
        <v>379.17304532065907</v>
      </c>
      <c r="X55" s="108">
        <f t="shared" si="20"/>
        <v>75.219646035916668</v>
      </c>
      <c r="Y55" s="105">
        <f>+IF($H55&gt;F$8,"FIN",(F$18-SUM(Z$24:Z54))*VLOOKUP($H55,$A:$F,6,0)/VLOOKUP(F$15,$J$1:$L$4,2,0))</f>
        <v>13.590830147142858</v>
      </c>
      <c r="Z55" s="107">
        <f t="shared" si="21"/>
        <v>46.464376571428566</v>
      </c>
      <c r="AA55" s="107">
        <f t="shared" si="8"/>
        <v>60.055206718571426</v>
      </c>
      <c r="AB55" s="108">
        <f t="shared" si="22"/>
        <v>11.913640612730079</v>
      </c>
      <c r="AC55" s="79"/>
      <c r="AD55" s="155">
        <f t="shared" si="9"/>
        <v>63.048183884620116</v>
      </c>
      <c r="AE55" s="156">
        <f t="shared" si="10"/>
        <v>376.18006815461035</v>
      </c>
      <c r="AF55" s="157">
        <f t="shared" si="11"/>
        <v>439.22825203923048</v>
      </c>
    </row>
    <row r="56" spans="1:32" s="8" customFormat="1" x14ac:dyDescent="0.25">
      <c r="A56" s="80">
        <f t="shared" si="2"/>
        <v>49922</v>
      </c>
      <c r="B56" s="82"/>
      <c r="C56" s="84"/>
      <c r="D56" s="84"/>
      <c r="E56" s="84">
        <v>0.05</v>
      </c>
      <c r="F56" s="84">
        <v>4.8750000000000002E-2</v>
      </c>
      <c r="G56" s="86">
        <f t="shared" si="3"/>
        <v>2036</v>
      </c>
      <c r="H56" s="83">
        <f t="shared" si="12"/>
        <v>49922</v>
      </c>
      <c r="I56" s="110"/>
      <c r="J56" s="107"/>
      <c r="K56" s="107"/>
      <c r="L56" s="108"/>
      <c r="M56" s="110"/>
      <c r="N56" s="107"/>
      <c r="O56" s="107"/>
      <c r="P56" s="108"/>
      <c r="Q56" s="107"/>
      <c r="R56" s="107"/>
      <c r="S56" s="107"/>
      <c r="T56" s="108"/>
      <c r="U56" s="105">
        <f>+IF($H56&gt;E$8,"FIN",(E$18-SUM(V$24:V55))*VLOOKUP($H56,$A:$F,5,0)/VLOOKUP(E$15,$J$1:$L$4,2,0))</f>
        <v>41.214461447897705</v>
      </c>
      <c r="V56" s="107">
        <f t="shared" si="19"/>
        <v>329.71569158318181</v>
      </c>
      <c r="W56" s="107">
        <f t="shared" si="7"/>
        <v>370.9301530310795</v>
      </c>
      <c r="X56" s="108">
        <f t="shared" si="20"/>
        <v>69.843256114561697</v>
      </c>
      <c r="Y56" s="105">
        <f>+IF($H56&gt;F$8,"FIN",(F$18-SUM(Z$24:Z55))*VLOOKUP($H56,$A:$F,6,0)/VLOOKUP(F$15,$J$1:$L$4,2,0))</f>
        <v>12.458260968214287</v>
      </c>
      <c r="Z56" s="107">
        <f t="shared" si="21"/>
        <v>46.464376571428566</v>
      </c>
      <c r="AA56" s="107">
        <f t="shared" si="8"/>
        <v>58.922637539642849</v>
      </c>
      <c r="AB56" s="108">
        <f t="shared" si="22"/>
        <v>11.094673298996931</v>
      </c>
      <c r="AC56" s="79"/>
      <c r="AD56" s="155">
        <f t="shared" si="9"/>
        <v>53.672722416111995</v>
      </c>
      <c r="AE56" s="156">
        <f t="shared" si="10"/>
        <v>376.18006815461035</v>
      </c>
      <c r="AF56" s="157">
        <f t="shared" si="11"/>
        <v>429.85279057072233</v>
      </c>
    </row>
    <row r="57" spans="1:32" s="8" customFormat="1" x14ac:dyDescent="0.25">
      <c r="A57" s="80">
        <f t="shared" si="2"/>
        <v>50103</v>
      </c>
      <c r="B57" s="82"/>
      <c r="C57" s="84"/>
      <c r="D57" s="84"/>
      <c r="E57" s="84">
        <v>0.05</v>
      </c>
      <c r="F57" s="84">
        <v>4.8750000000000002E-2</v>
      </c>
      <c r="G57" s="86">
        <f t="shared" si="3"/>
        <v>2037</v>
      </c>
      <c r="H57" s="83">
        <f t="shared" si="12"/>
        <v>50103</v>
      </c>
      <c r="I57" s="110"/>
      <c r="J57" s="107"/>
      <c r="K57" s="107"/>
      <c r="L57" s="108"/>
      <c r="M57" s="110"/>
      <c r="N57" s="107"/>
      <c r="O57" s="107"/>
      <c r="P57" s="108"/>
      <c r="Q57" s="107"/>
      <c r="R57" s="107"/>
      <c r="S57" s="107"/>
      <c r="T57" s="108"/>
      <c r="U57" s="105">
        <f>+IF($H57&gt;E$8,"FIN",(E$18-SUM(V$24:V56))*VLOOKUP($H57,$A:$F,5,0)/VLOOKUP(E$15,$J$1:$L$4,2,0))</f>
        <v>32.971569158318154</v>
      </c>
      <c r="V57" s="107">
        <f t="shared" si="19"/>
        <v>329.71569158318181</v>
      </c>
      <c r="W57" s="107">
        <f t="shared" si="7"/>
        <v>362.68726074149998</v>
      </c>
      <c r="X57" s="108">
        <f t="shared" si="20"/>
        <v>64.819123101847481</v>
      </c>
      <c r="Y57" s="105">
        <f>+IF($H57&gt;F$8,"FIN",(F$18-SUM(Z$24:Z56))*VLOOKUP($H57,$A:$F,6,0)/VLOOKUP(F$15,$J$1:$L$4,2,0))</f>
        <v>11.325691789285713</v>
      </c>
      <c r="Z57" s="107">
        <f t="shared" si="21"/>
        <v>46.464376571428566</v>
      </c>
      <c r="AA57" s="107">
        <f t="shared" si="8"/>
        <v>57.79006836071428</v>
      </c>
      <c r="AB57" s="108">
        <f t="shared" si="22"/>
        <v>10.328186182991292</v>
      </c>
      <c r="AC57" s="79"/>
      <c r="AD57" s="155">
        <f t="shared" si="9"/>
        <v>44.297260947603867</v>
      </c>
      <c r="AE57" s="156">
        <f t="shared" si="10"/>
        <v>376.18006815461035</v>
      </c>
      <c r="AF57" s="157">
        <f t="shared" si="11"/>
        <v>420.47732910221424</v>
      </c>
    </row>
    <row r="58" spans="1:32" s="8" customFormat="1" x14ac:dyDescent="0.25">
      <c r="A58" s="80">
        <f t="shared" si="2"/>
        <v>50287</v>
      </c>
      <c r="B58" s="82"/>
      <c r="C58" s="84"/>
      <c r="D58" s="84"/>
      <c r="E58" s="84">
        <v>0.05</v>
      </c>
      <c r="F58" s="84">
        <v>4.8750000000000002E-2</v>
      </c>
      <c r="G58" s="86">
        <f t="shared" si="3"/>
        <v>2037</v>
      </c>
      <c r="H58" s="83">
        <f t="shared" si="12"/>
        <v>50287</v>
      </c>
      <c r="I58" s="110"/>
      <c r="J58" s="107"/>
      <c r="K58" s="107"/>
      <c r="L58" s="108"/>
      <c r="M58" s="110"/>
      <c r="N58" s="107"/>
      <c r="O58" s="107"/>
      <c r="P58" s="108"/>
      <c r="Q58" s="107"/>
      <c r="R58" s="107"/>
      <c r="S58" s="107"/>
      <c r="T58" s="108"/>
      <c r="U58" s="105">
        <f>+IF($H58&gt;E$8,"FIN",(E$18-SUM(V$24:V57))*VLOOKUP($H58,$A:$F,5,0)/VLOOKUP(E$15,$J$1:$L$4,2,0))</f>
        <v>24.728676868738603</v>
      </c>
      <c r="V58" s="107">
        <f t="shared" si="19"/>
        <v>329.71569158318181</v>
      </c>
      <c r="W58" s="107">
        <f t="shared" si="7"/>
        <v>354.44436845192041</v>
      </c>
      <c r="X58" s="108">
        <f t="shared" si="20"/>
        <v>60.125325584107159</v>
      </c>
      <c r="Y58" s="105">
        <f>+IF($H58&gt;F$8,"FIN",(F$18-SUM(Z$24:Z57))*VLOOKUP($H58,$A:$F,6,0)/VLOOKUP(F$15,$J$1:$L$4,2,0))</f>
        <v>10.193122610357142</v>
      </c>
      <c r="Z58" s="107">
        <f t="shared" si="21"/>
        <v>46.464376571428566</v>
      </c>
      <c r="AA58" s="107">
        <f t="shared" si="8"/>
        <v>56.65749918178571</v>
      </c>
      <c r="AB58" s="108">
        <f t="shared" si="22"/>
        <v>9.6109598241458354</v>
      </c>
      <c r="AC58" s="79"/>
      <c r="AD58" s="155">
        <f t="shared" si="9"/>
        <v>34.921799479095746</v>
      </c>
      <c r="AE58" s="156">
        <f t="shared" si="10"/>
        <v>376.18006815461035</v>
      </c>
      <c r="AF58" s="157">
        <f t="shared" si="11"/>
        <v>411.10186763370609</v>
      </c>
    </row>
    <row r="59" spans="1:32" s="8" customFormat="1" x14ac:dyDescent="0.25">
      <c r="A59" s="80">
        <f t="shared" si="2"/>
        <v>50468</v>
      </c>
      <c r="B59" s="82"/>
      <c r="C59" s="84"/>
      <c r="D59" s="84"/>
      <c r="E59" s="84">
        <v>0.05</v>
      </c>
      <c r="F59" s="84">
        <v>4.8750000000000002E-2</v>
      </c>
      <c r="G59" s="86">
        <f t="shared" si="3"/>
        <v>2038</v>
      </c>
      <c r="H59" s="83">
        <f t="shared" si="12"/>
        <v>50468</v>
      </c>
      <c r="I59" s="110"/>
      <c r="J59" s="107"/>
      <c r="K59" s="107"/>
      <c r="L59" s="108"/>
      <c r="M59" s="110"/>
      <c r="N59" s="107"/>
      <c r="O59" s="107"/>
      <c r="P59" s="108"/>
      <c r="Q59" s="107"/>
      <c r="R59" s="107"/>
      <c r="S59" s="107"/>
      <c r="T59" s="108"/>
      <c r="U59" s="105">
        <f>+IF($H59&gt;E$8,"FIN",(E$18-SUM(V$24:V58))*VLOOKUP($H59,$A:$F,5,0)/VLOOKUP(E$15,$J$1:$L$4,2,0))</f>
        <v>16.485784579159056</v>
      </c>
      <c r="V59" s="107">
        <f t="shared" si="19"/>
        <v>329.71569158318181</v>
      </c>
      <c r="W59" s="107">
        <f t="shared" si="7"/>
        <v>346.20147616234084</v>
      </c>
      <c r="X59" s="108">
        <f t="shared" si="20"/>
        <v>55.741260652694386</v>
      </c>
      <c r="Y59" s="105">
        <f>+IF($H59&gt;F$8,"FIN",(F$18-SUM(Z$24:Z58))*VLOOKUP($H59,$A:$F,6,0)/VLOOKUP(F$15,$J$1:$L$4,2,0))</f>
        <v>9.0605534314285698</v>
      </c>
      <c r="Z59" s="107">
        <f t="shared" si="21"/>
        <v>46.464376571428566</v>
      </c>
      <c r="AA59" s="107">
        <f t="shared" si="8"/>
        <v>55.524930002857133</v>
      </c>
      <c r="AB59" s="108">
        <f t="shared" si="22"/>
        <v>8.9399664909590069</v>
      </c>
      <c r="AC59" s="79"/>
      <c r="AD59" s="155">
        <f t="shared" si="9"/>
        <v>25.546338010587625</v>
      </c>
      <c r="AE59" s="156">
        <f t="shared" si="10"/>
        <v>376.18006815461035</v>
      </c>
      <c r="AF59" s="157">
        <f t="shared" si="11"/>
        <v>401.726406165198</v>
      </c>
    </row>
    <row r="60" spans="1:32" s="8" customFormat="1" x14ac:dyDescent="0.25">
      <c r="A60" s="80">
        <f t="shared" si="2"/>
        <v>50652</v>
      </c>
      <c r="B60" s="82"/>
      <c r="C60" s="84"/>
      <c r="D60" s="84"/>
      <c r="E60" s="84">
        <v>0.05</v>
      </c>
      <c r="F60" s="84">
        <v>4.8750000000000002E-2</v>
      </c>
      <c r="G60" s="86">
        <f t="shared" si="3"/>
        <v>2038</v>
      </c>
      <c r="H60" s="83">
        <f t="shared" si="12"/>
        <v>50652</v>
      </c>
      <c r="I60" s="110"/>
      <c r="J60" s="107"/>
      <c r="K60" s="107"/>
      <c r="L60" s="108"/>
      <c r="M60" s="110"/>
      <c r="N60" s="107"/>
      <c r="O60" s="107"/>
      <c r="P60" s="108"/>
      <c r="Q60" s="107"/>
      <c r="R60" s="107"/>
      <c r="S60" s="107"/>
      <c r="T60" s="108"/>
      <c r="U60" s="105">
        <f>+IF($H60&gt;E$8,"FIN",(E$18-SUM(V$24:V59))*VLOOKUP($H60,$A:$F,5,0)/VLOOKUP(E$15,$J$1:$L$4,2,0))</f>
        <v>8.2428922895795047</v>
      </c>
      <c r="V60" s="107">
        <f t="shared" si="19"/>
        <v>329.71569158318181</v>
      </c>
      <c r="W60" s="107">
        <f t="shared" si="7"/>
        <v>337.95858387276132</v>
      </c>
      <c r="X60" s="108">
        <f t="shared" si="20"/>
        <v>51.64756649797598</v>
      </c>
      <c r="Y60" s="105">
        <f>+IF($H60&gt;F$8,"FIN",(F$18-SUM(Z$24:Z59))*VLOOKUP($H60,$A:$F,6,0)/VLOOKUP(F$15,$J$1:$L$4,2,0))</f>
        <v>7.9279842524999973</v>
      </c>
      <c r="Z60" s="107">
        <f t="shared" si="21"/>
        <v>46.464376571428566</v>
      </c>
      <c r="AA60" s="107">
        <f t="shared" si="8"/>
        <v>54.392360823928563</v>
      </c>
      <c r="AB60" s="108">
        <f t="shared" si="22"/>
        <v>8.3123589892109599</v>
      </c>
      <c r="AC60" s="87"/>
      <c r="AD60" s="155">
        <f t="shared" si="9"/>
        <v>16.170876542079501</v>
      </c>
      <c r="AE60" s="156">
        <f t="shared" si="10"/>
        <v>376.18006815461035</v>
      </c>
      <c r="AF60" s="157">
        <f t="shared" si="11"/>
        <v>392.35094469668985</v>
      </c>
    </row>
    <row r="61" spans="1:32" s="8" customFormat="1" x14ac:dyDescent="0.25">
      <c r="A61" s="80">
        <f t="shared" si="2"/>
        <v>50833</v>
      </c>
      <c r="B61" s="82"/>
      <c r="C61" s="88"/>
      <c r="D61" s="88"/>
      <c r="E61" s="88"/>
      <c r="F61" s="85">
        <v>4.8750000000000002E-2</v>
      </c>
      <c r="G61" s="86">
        <f t="shared" si="3"/>
        <v>2039</v>
      </c>
      <c r="H61" s="83">
        <f t="shared" si="12"/>
        <v>50833</v>
      </c>
      <c r="I61" s="110"/>
      <c r="J61" s="107"/>
      <c r="K61" s="107"/>
      <c r="L61" s="108"/>
      <c r="M61" s="110"/>
      <c r="N61" s="107"/>
      <c r="O61" s="107"/>
      <c r="P61" s="108"/>
      <c r="Q61" s="107"/>
      <c r="R61" s="107"/>
      <c r="S61" s="107"/>
      <c r="T61" s="108"/>
      <c r="U61" s="107"/>
      <c r="V61" s="107"/>
      <c r="W61" s="107"/>
      <c r="X61" s="108"/>
      <c r="Y61" s="105">
        <f>+IF($H61&gt;F$8,"FIN",(F$18-SUM(Z$24:Z60))*VLOOKUP($H61,$A:$F,6,0)/VLOOKUP(F$15,$J$1:$L$4,2,0))</f>
        <v>6.7954150735714247</v>
      </c>
      <c r="Z61" s="107">
        <f t="shared" si="21"/>
        <v>46.464376571428566</v>
      </c>
      <c r="AA61" s="107">
        <f t="shared" si="8"/>
        <v>53.259791644999993</v>
      </c>
      <c r="AB61" s="108">
        <f t="shared" si="22"/>
        <v>7.7254601306206494</v>
      </c>
      <c r="AC61" s="79"/>
      <c r="AD61" s="155">
        <f t="shared" si="9"/>
        <v>6.7954150735714247</v>
      </c>
      <c r="AE61" s="156">
        <f t="shared" si="10"/>
        <v>46.464376571428566</v>
      </c>
      <c r="AF61" s="157">
        <f t="shared" si="11"/>
        <v>53.259791644999993</v>
      </c>
    </row>
    <row r="62" spans="1:32" s="8" customFormat="1" x14ac:dyDescent="0.25">
      <c r="A62" s="80">
        <f t="shared" si="2"/>
        <v>51017</v>
      </c>
      <c r="B62" s="82"/>
      <c r="C62" s="88"/>
      <c r="D62" s="88"/>
      <c r="E62" s="88"/>
      <c r="F62" s="84">
        <v>4.8750000000000002E-2</v>
      </c>
      <c r="G62" s="86">
        <f t="shared" si="3"/>
        <v>2039</v>
      </c>
      <c r="H62" s="83">
        <f t="shared" si="12"/>
        <v>51017</v>
      </c>
      <c r="I62" s="110"/>
      <c r="J62" s="107"/>
      <c r="K62" s="107"/>
      <c r="L62" s="108"/>
      <c r="M62" s="110"/>
      <c r="N62" s="107"/>
      <c r="O62" s="107"/>
      <c r="P62" s="108"/>
      <c r="Q62" s="107"/>
      <c r="R62" s="107"/>
      <c r="S62" s="107"/>
      <c r="T62" s="108"/>
      <c r="U62" s="107"/>
      <c r="V62" s="107"/>
      <c r="W62" s="107"/>
      <c r="X62" s="108"/>
      <c r="Y62" s="105">
        <f>+IF($H62&gt;F$8,"FIN",(F$18-SUM(Z$24:Z61))*VLOOKUP($H62,$A:$F,6,0)/VLOOKUP(F$15,$J$1:$L$4,2,0))</f>
        <v>5.6628458946428557</v>
      </c>
      <c r="Z62" s="107">
        <f t="shared" si="21"/>
        <v>46.464376571428566</v>
      </c>
      <c r="AA62" s="107">
        <f t="shared" si="8"/>
        <v>52.127222466071423</v>
      </c>
      <c r="AB62" s="108">
        <f t="shared" si="22"/>
        <v>7.1767528056996168</v>
      </c>
      <c r="AC62" s="79"/>
      <c r="AD62" s="155">
        <f t="shared" si="9"/>
        <v>5.6628458946428557</v>
      </c>
      <c r="AE62" s="156">
        <f t="shared" si="10"/>
        <v>46.464376571428566</v>
      </c>
      <c r="AF62" s="157">
        <f t="shared" si="11"/>
        <v>52.127222466071423</v>
      </c>
    </row>
    <row r="63" spans="1:32" s="8" customFormat="1" x14ac:dyDescent="0.25">
      <c r="A63" s="80">
        <f t="shared" si="2"/>
        <v>51199</v>
      </c>
      <c r="B63" s="82"/>
      <c r="C63" s="88"/>
      <c r="D63" s="88"/>
      <c r="E63" s="88"/>
      <c r="F63" s="84">
        <v>4.8750000000000002E-2</v>
      </c>
      <c r="G63" s="86">
        <f t="shared" si="3"/>
        <v>2040</v>
      </c>
      <c r="H63" s="83">
        <f t="shared" si="12"/>
        <v>51199</v>
      </c>
      <c r="I63" s="110"/>
      <c r="J63" s="107"/>
      <c r="K63" s="107"/>
      <c r="L63" s="108"/>
      <c r="M63" s="110"/>
      <c r="N63" s="107"/>
      <c r="O63" s="107"/>
      <c r="P63" s="108"/>
      <c r="Q63" s="107"/>
      <c r="R63" s="107"/>
      <c r="S63" s="107"/>
      <c r="T63" s="108"/>
      <c r="U63" s="107"/>
      <c r="V63" s="107"/>
      <c r="W63" s="107"/>
      <c r="X63" s="108"/>
      <c r="Y63" s="105">
        <f>+IF($H63&gt;F$8,"FIN",(F$18-SUM(Z$24:Z62))*VLOOKUP($H63,$A:$F,6,0)/VLOOKUP(F$15,$J$1:$L$4,2,0))</f>
        <v>4.5302767157142831</v>
      </c>
      <c r="Z63" s="107">
        <f t="shared" si="21"/>
        <v>46.464376571428566</v>
      </c>
      <c r="AA63" s="107">
        <f t="shared" si="8"/>
        <v>50.994653287142853</v>
      </c>
      <c r="AB63" s="108">
        <f t="shared" si="22"/>
        <v>6.6638706265878049</v>
      </c>
      <c r="AC63" s="79"/>
      <c r="AD63" s="155">
        <f t="shared" si="9"/>
        <v>4.5302767157142831</v>
      </c>
      <c r="AE63" s="156">
        <f t="shared" si="10"/>
        <v>46.464376571428566</v>
      </c>
      <c r="AF63" s="157">
        <f t="shared" si="11"/>
        <v>50.994653287142853</v>
      </c>
    </row>
    <row r="64" spans="1:32" s="8" customFormat="1" x14ac:dyDescent="0.25">
      <c r="A64" s="80">
        <f t="shared" si="2"/>
        <v>51383</v>
      </c>
      <c r="B64" s="82"/>
      <c r="C64" s="158"/>
      <c r="D64" s="158"/>
      <c r="E64" s="158"/>
      <c r="F64" s="82">
        <v>4.8750000000000002E-2</v>
      </c>
      <c r="G64" s="117">
        <f t="shared" si="3"/>
        <v>2040</v>
      </c>
      <c r="H64" s="83">
        <f t="shared" si="12"/>
        <v>51383</v>
      </c>
      <c r="I64" s="110"/>
      <c r="J64" s="107"/>
      <c r="K64" s="107"/>
      <c r="L64" s="108"/>
      <c r="M64" s="110"/>
      <c r="N64" s="107"/>
      <c r="O64" s="107"/>
      <c r="P64" s="108"/>
      <c r="Q64" s="107"/>
      <c r="R64" s="107"/>
      <c r="S64" s="107"/>
      <c r="T64" s="108"/>
      <c r="U64" s="107"/>
      <c r="V64" s="107"/>
      <c r="W64" s="107"/>
      <c r="X64" s="108"/>
      <c r="Y64" s="105">
        <f>+IF($H64&gt;F$8,"FIN",(F$18-SUM(Z$24:Z63))*VLOOKUP($H64,$A:$F,6,0)/VLOOKUP(F$15,$J$1:$L$4,2,0))</f>
        <v>3.397707536785711</v>
      </c>
      <c r="Z64" s="107">
        <f t="shared" si="21"/>
        <v>46.464376571428566</v>
      </c>
      <c r="AA64" s="107">
        <f t="shared" si="8"/>
        <v>49.862084108214276</v>
      </c>
      <c r="AB64" s="108">
        <f t="shared" si="22"/>
        <v>6.1845891075742125</v>
      </c>
      <c r="AC64" s="79"/>
      <c r="AD64" s="155">
        <f t="shared" si="9"/>
        <v>3.397707536785711</v>
      </c>
      <c r="AE64" s="156">
        <f t="shared" si="10"/>
        <v>46.464376571428566</v>
      </c>
      <c r="AF64" s="157">
        <f t="shared" si="11"/>
        <v>49.862084108214276</v>
      </c>
    </row>
    <row r="65" spans="1:32" s="8" customFormat="1" x14ac:dyDescent="0.25">
      <c r="A65" s="80">
        <f t="shared" si="2"/>
        <v>51564</v>
      </c>
      <c r="B65" s="82"/>
      <c r="C65" s="158"/>
      <c r="D65" s="158"/>
      <c r="E65" s="158"/>
      <c r="F65" s="159">
        <v>4.8750000000000002E-2</v>
      </c>
      <c r="G65" s="117">
        <f t="shared" si="3"/>
        <v>2041</v>
      </c>
      <c r="H65" s="83">
        <f t="shared" si="12"/>
        <v>51564</v>
      </c>
      <c r="I65" s="110"/>
      <c r="J65" s="107"/>
      <c r="K65" s="107"/>
      <c r="L65" s="108"/>
      <c r="M65" s="110"/>
      <c r="N65" s="107"/>
      <c r="O65" s="107"/>
      <c r="P65" s="108"/>
      <c r="Q65" s="107"/>
      <c r="R65" s="107"/>
      <c r="S65" s="107"/>
      <c r="T65" s="108"/>
      <c r="U65" s="107"/>
      <c r="V65" s="107"/>
      <c r="W65" s="107"/>
      <c r="X65" s="108"/>
      <c r="Y65" s="105">
        <f>+IF($H65&gt;F$8,"FIN",(F$18-SUM(Z$24:Z64))*VLOOKUP($H65,$A:$F,6,0)/VLOOKUP(F$15,$J$1:$L$4,2,0))</f>
        <v>2.2651383578571389</v>
      </c>
      <c r="Z65" s="107">
        <f t="shared" si="21"/>
        <v>46.464376571428566</v>
      </c>
      <c r="AA65" s="107">
        <f t="shared" si="8"/>
        <v>48.729514929285706</v>
      </c>
      <c r="AB65" s="108">
        <f t="shared" si="22"/>
        <v>5.7368173528157431</v>
      </c>
      <c r="AC65" s="79"/>
      <c r="AD65" s="155">
        <f t="shared" si="9"/>
        <v>2.2651383578571389</v>
      </c>
      <c r="AE65" s="156">
        <f t="shared" si="10"/>
        <v>46.464376571428566</v>
      </c>
      <c r="AF65" s="157">
        <f t="shared" si="11"/>
        <v>48.729514929285706</v>
      </c>
    </row>
    <row r="66" spans="1:32" s="8" customFormat="1" x14ac:dyDescent="0.25">
      <c r="A66" s="115">
        <f t="shared" si="2"/>
        <v>51748</v>
      </c>
      <c r="B66" s="91"/>
      <c r="C66" s="90"/>
      <c r="D66" s="90"/>
      <c r="E66" s="90"/>
      <c r="F66" s="91">
        <v>4.8750000000000002E-2</v>
      </c>
      <c r="G66" s="118">
        <f t="shared" si="3"/>
        <v>2041</v>
      </c>
      <c r="H66" s="83">
        <f t="shared" si="12"/>
        <v>51748</v>
      </c>
      <c r="I66" s="110"/>
      <c r="J66" s="107"/>
      <c r="K66" s="107"/>
      <c r="L66" s="108"/>
      <c r="M66" s="110"/>
      <c r="N66" s="107"/>
      <c r="O66" s="107"/>
      <c r="P66" s="108"/>
      <c r="Q66" s="107"/>
      <c r="R66" s="107"/>
      <c r="S66" s="107"/>
      <c r="T66" s="108"/>
      <c r="U66" s="107"/>
      <c r="V66" s="107"/>
      <c r="W66" s="107"/>
      <c r="X66" s="108"/>
      <c r="Y66" s="105">
        <f>+IF($H66&gt;F$8,"FIN",(F$18-SUM(Z$24:Z65))*VLOOKUP($H66,$A:$F,6,0)/VLOOKUP(F$15,$J$1:$L$4,2,0))</f>
        <v>1.1325691789285666</v>
      </c>
      <c r="Z66" s="107">
        <f t="shared" si="21"/>
        <v>46.464376571428566</v>
      </c>
      <c r="AA66" s="107">
        <f t="shared" si="8"/>
        <v>47.596945750357136</v>
      </c>
      <c r="AB66" s="108">
        <f t="shared" si="22"/>
        <v>5.3185902224779937</v>
      </c>
      <c r="AC66" s="79"/>
      <c r="AD66" s="160">
        <f t="shared" si="9"/>
        <v>1.1325691789285666</v>
      </c>
      <c r="AE66" s="161">
        <f t="shared" si="10"/>
        <v>46.464376571428566</v>
      </c>
      <c r="AF66" s="162">
        <f t="shared" si="11"/>
        <v>47.596945750357136</v>
      </c>
    </row>
    <row r="67" spans="1:32" s="8" customFormat="1" x14ac:dyDescent="0.25">
      <c r="H67" s="111" t="s">
        <v>27</v>
      </c>
      <c r="I67" s="93">
        <f>+SUM(I24:I66)</f>
        <v>184.88050171760386</v>
      </c>
      <c r="J67" s="94">
        <f>+SUM(J24:J66)</f>
        <v>2240.9757783951977</v>
      </c>
      <c r="K67" s="94"/>
      <c r="L67" s="95">
        <f>+SUM(L24:L66)</f>
        <v>1075.8091596482986</v>
      </c>
      <c r="M67" s="93">
        <f>+SUM(M24:M66)</f>
        <v>987.29478525680076</v>
      </c>
      <c r="N67" s="94">
        <f>+SUM(N24:N66)</f>
        <v>19032.188631456396</v>
      </c>
      <c r="O67" s="94"/>
      <c r="P67" s="95">
        <f>+SUM(P24:P66)</f>
        <v>9659.720220086223</v>
      </c>
      <c r="Q67" s="94">
        <f>+SUM(Q24:Q66)</f>
        <v>6167.9351085612743</v>
      </c>
      <c r="R67" s="94">
        <f>+SUM(R24:R66)</f>
        <v>13053.830917590001</v>
      </c>
      <c r="S67" s="94"/>
      <c r="T67" s="95">
        <f>+SUM(T24:T66)</f>
        <v>6276.399882231708</v>
      </c>
      <c r="U67" s="94">
        <f>+SUM(U24:U66)</f>
        <v>3917.0224160081993</v>
      </c>
      <c r="V67" s="94">
        <f>+SUM(V24:V66)</f>
        <v>7253.7452148300017</v>
      </c>
      <c r="W67" s="94"/>
      <c r="X67" s="95">
        <f>+SUM(X24:X66)</f>
        <v>3858.9823877300742</v>
      </c>
      <c r="Y67" s="93">
        <f>+SUM(Y24:Y66)</f>
        <v>687.78893419857138</v>
      </c>
      <c r="Z67" s="94">
        <f>+SUM(Z24:Z66)</f>
        <v>1301.0025440000002</v>
      </c>
      <c r="AA67" s="94"/>
      <c r="AB67" s="95">
        <f>+SUM(AB24:AB66)</f>
        <v>614.60938013883606</v>
      </c>
      <c r="AC67" s="79"/>
      <c r="AD67" s="163">
        <f>+SUM(AD24:AD66)</f>
        <v>11944.921745742451</v>
      </c>
      <c r="AE67" s="164">
        <f t="shared" ref="AE67:AF67" si="23">+SUM(AE24:AE66)</f>
        <v>42881.743086271585</v>
      </c>
      <c r="AF67" s="165">
        <f t="shared" si="23"/>
        <v>54826.664832014059</v>
      </c>
    </row>
    <row r="68" spans="1:32" s="8" customFormat="1" x14ac:dyDescent="0.25"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</row>
    <row r="69" spans="1:32" s="8" customFormat="1" x14ac:dyDescent="0.25"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</row>
    <row r="70" spans="1:32" s="8" customFormat="1" x14ac:dyDescent="0.25"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</row>
    <row r="71" spans="1:32" s="8" customFormat="1" x14ac:dyDescent="0.25"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</row>
    <row r="72" spans="1:32" s="8" customFormat="1" x14ac:dyDescent="0.25"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</row>
    <row r="73" spans="1:32" s="8" customFormat="1" x14ac:dyDescent="0.25"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</row>
    <row r="74" spans="1:32" s="8" customFormat="1" x14ac:dyDescent="0.25"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</row>
    <row r="75" spans="1:32" s="8" customFormat="1" x14ac:dyDescent="0.25"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</row>
    <row r="76" spans="1:32" s="8" customFormat="1" x14ac:dyDescent="0.25"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</row>
    <row r="77" spans="1:32" s="8" customFormat="1" x14ac:dyDescent="0.25"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</row>
    <row r="78" spans="1:32" s="8" customFormat="1" x14ac:dyDescent="0.25"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</row>
    <row r="79" spans="1:32" s="8" customFormat="1" x14ac:dyDescent="0.25"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</row>
    <row r="80" spans="1:32" s="8" customFormat="1" x14ac:dyDescent="0.25"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</row>
    <row r="81" spans="9:28" s="8" customFormat="1" x14ac:dyDescent="0.25"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</row>
    <row r="82" spans="9:28" s="8" customFormat="1" x14ac:dyDescent="0.25"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</row>
    <row r="83" spans="9:28" s="8" customFormat="1" x14ac:dyDescent="0.25"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</row>
    <row r="84" spans="9:28" s="8" customFormat="1" x14ac:dyDescent="0.25"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</row>
    <row r="85" spans="9:28" s="8" customFormat="1" x14ac:dyDescent="0.25"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</row>
    <row r="86" spans="9:28" s="8" customFormat="1" x14ac:dyDescent="0.25"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</row>
    <row r="87" spans="9:28" s="8" customFormat="1" x14ac:dyDescent="0.25"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</row>
    <row r="88" spans="9:28" s="8" customFormat="1" x14ac:dyDescent="0.25"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</row>
    <row r="89" spans="9:28" s="8" customFormat="1" x14ac:dyDescent="0.25"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9:28" s="8" customFormat="1" x14ac:dyDescent="0.25"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</row>
    <row r="91" spans="9:28" s="8" customFormat="1" x14ac:dyDescent="0.25"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</row>
    <row r="92" spans="9:28" s="8" customFormat="1" x14ac:dyDescent="0.25"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</row>
    <row r="93" spans="9:28" s="8" customFormat="1" x14ac:dyDescent="0.25"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</row>
    <row r="94" spans="9:28" s="8" customFormat="1" x14ac:dyDescent="0.25"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</row>
    <row r="95" spans="9:28" s="8" customFormat="1" x14ac:dyDescent="0.25"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</row>
    <row r="96" spans="9:28" s="8" customFormat="1" x14ac:dyDescent="0.25"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</row>
    <row r="97" spans="9:28" s="8" customFormat="1" x14ac:dyDescent="0.25"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9:28" s="8" customFormat="1" x14ac:dyDescent="0.25"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9:28" s="8" customFormat="1" x14ac:dyDescent="0.25"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</row>
    <row r="100" spans="9:28" s="8" customFormat="1" x14ac:dyDescent="0.25"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9:28" s="8" customFormat="1" x14ac:dyDescent="0.25"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9:28" s="8" customFormat="1" x14ac:dyDescent="0.25"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9:28" s="8" customFormat="1" x14ac:dyDescent="0.25"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9:28" s="8" customFormat="1" x14ac:dyDescent="0.25"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9:28" s="8" customFormat="1" x14ac:dyDescent="0.25"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9:28" s="8" customFormat="1" x14ac:dyDescent="0.25"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9:28" s="8" customFormat="1" x14ac:dyDescent="0.25"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9:28" s="8" customFormat="1" x14ac:dyDescent="0.25"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9:28" s="8" customFormat="1" x14ac:dyDescent="0.25"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9:28" s="8" customFormat="1" x14ac:dyDescent="0.25"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9:28" s="8" customFormat="1" x14ac:dyDescent="0.25"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9:28" s="8" customFormat="1" x14ac:dyDescent="0.25"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9:28" s="8" customFormat="1" x14ac:dyDescent="0.25"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9:28" s="8" customFormat="1" x14ac:dyDescent="0.25"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  <row r="115" spans="9:28" s="8" customFormat="1" x14ac:dyDescent="0.25"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9:28" s="8" customFormat="1" x14ac:dyDescent="0.25"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</row>
    <row r="117" spans="9:28" s="8" customFormat="1" x14ac:dyDescent="0.25"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</row>
    <row r="118" spans="9:28" s="8" customFormat="1" x14ac:dyDescent="0.25"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</row>
    <row r="119" spans="9:28" s="8" customFormat="1" x14ac:dyDescent="0.25"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</row>
    <row r="120" spans="9:28" s="8" customFormat="1" x14ac:dyDescent="0.25"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</row>
    <row r="121" spans="9:28" s="8" customFormat="1" x14ac:dyDescent="0.25"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</row>
    <row r="122" spans="9:28" s="8" customFormat="1" x14ac:dyDescent="0.25"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</row>
    <row r="123" spans="9:28" s="8" customFormat="1" x14ac:dyDescent="0.25"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</row>
    <row r="124" spans="9:28" s="8" customFormat="1" x14ac:dyDescent="0.25"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</row>
    <row r="125" spans="9:28" s="8" customFormat="1" x14ac:dyDescent="0.25"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</row>
    <row r="126" spans="9:28" s="8" customFormat="1" x14ac:dyDescent="0.25"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</row>
    <row r="127" spans="9:28" s="8" customFormat="1" x14ac:dyDescent="0.25"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</row>
    <row r="128" spans="9:28" s="8" customFormat="1" x14ac:dyDescent="0.25"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</row>
    <row r="129" spans="9:28" s="8" customFormat="1" x14ac:dyDescent="0.25"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</row>
    <row r="130" spans="9:28" s="8" customFormat="1" x14ac:dyDescent="0.25"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</row>
    <row r="131" spans="9:28" s="8" customFormat="1" x14ac:dyDescent="0.25"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</row>
    <row r="132" spans="9:28" s="8" customFormat="1" x14ac:dyDescent="0.25"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</row>
    <row r="133" spans="9:28" s="8" customFormat="1" x14ac:dyDescent="0.25"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</row>
    <row r="134" spans="9:28" s="8" customFormat="1" x14ac:dyDescent="0.25"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</row>
    <row r="135" spans="9:28" s="8" customFormat="1" x14ac:dyDescent="0.25"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</row>
    <row r="136" spans="9:28" s="8" customFormat="1" x14ac:dyDescent="0.25"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</row>
    <row r="137" spans="9:28" s="8" customFormat="1" x14ac:dyDescent="0.25"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</row>
    <row r="138" spans="9:28" s="8" customFormat="1" x14ac:dyDescent="0.25"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</row>
    <row r="139" spans="9:28" s="8" customFormat="1" x14ac:dyDescent="0.25"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</row>
    <row r="140" spans="9:28" s="8" customFormat="1" x14ac:dyDescent="0.25"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</row>
    <row r="141" spans="9:28" s="8" customFormat="1" x14ac:dyDescent="0.25"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</row>
    <row r="142" spans="9:28" s="8" customFormat="1" x14ac:dyDescent="0.25"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</row>
    <row r="143" spans="9:28" s="8" customFormat="1" x14ac:dyDescent="0.25"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</row>
    <row r="144" spans="9:28" s="8" customFormat="1" x14ac:dyDescent="0.25"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</row>
    <row r="145" spans="9:28" s="8" customFormat="1" x14ac:dyDescent="0.25"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9:28" s="8" customFormat="1" x14ac:dyDescent="0.25"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9:28" s="8" customFormat="1" x14ac:dyDescent="0.25"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9:28" s="8" customFormat="1" x14ac:dyDescent="0.25"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9:28" s="8" customFormat="1" x14ac:dyDescent="0.25"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9:28" s="8" customFormat="1" x14ac:dyDescent="0.25"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9:28" s="8" customFormat="1" x14ac:dyDescent="0.25"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9:28" s="8" customFormat="1" x14ac:dyDescent="0.25"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9:28" s="8" customFormat="1" x14ac:dyDescent="0.25"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9:28" s="8" customFormat="1" x14ac:dyDescent="0.25"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9:28" s="8" customFormat="1" x14ac:dyDescent="0.25"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9:28" s="8" customFormat="1" x14ac:dyDescent="0.25"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9:28" s="8" customFormat="1" x14ac:dyDescent="0.25"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9:28" s="8" customFormat="1" x14ac:dyDescent="0.25"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9:28" s="8" customFormat="1" x14ac:dyDescent="0.25"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9:28" s="8" customFormat="1" x14ac:dyDescent="0.25"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9:28" s="8" customFormat="1" x14ac:dyDescent="0.25"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9:28" s="8" customFormat="1" x14ac:dyDescent="0.25"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9:28" s="8" customFormat="1" x14ac:dyDescent="0.25"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9:28" s="8" customFormat="1" x14ac:dyDescent="0.25"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9:28" s="8" customFormat="1" x14ac:dyDescent="0.25"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9:28" s="8" customFormat="1" x14ac:dyDescent="0.25"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9:28" s="8" customFormat="1" x14ac:dyDescent="0.25"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9:28" s="8" customFormat="1" x14ac:dyDescent="0.25"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9:28" s="8" customFormat="1" x14ac:dyDescent="0.25"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9:28" s="8" customFormat="1" x14ac:dyDescent="0.25"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</row>
    <row r="171" spans="9:28" s="8" customFormat="1" x14ac:dyDescent="0.25"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9:28" s="8" customFormat="1" x14ac:dyDescent="0.25"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9:28" s="8" customFormat="1" x14ac:dyDescent="0.25"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9:28" s="8" customFormat="1" x14ac:dyDescent="0.25"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9:28" s="8" customFormat="1" x14ac:dyDescent="0.25"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9:28" s="8" customFormat="1" x14ac:dyDescent="0.25"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9:28" s="8" customFormat="1" x14ac:dyDescent="0.25"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9:28" s="8" customFormat="1" x14ac:dyDescent="0.25"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9:28" s="8" customFormat="1" x14ac:dyDescent="0.25"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9:28" s="8" customFormat="1" x14ac:dyDescent="0.25"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9:28" s="8" customFormat="1" x14ac:dyDescent="0.25"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9:28" s="8" customFormat="1" x14ac:dyDescent="0.25"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9:28" s="8" customFormat="1" x14ac:dyDescent="0.25"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9:28" s="8" customFormat="1" x14ac:dyDescent="0.25"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9:28" s="8" customFormat="1" x14ac:dyDescent="0.25"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9:28" s="8" customFormat="1" x14ac:dyDescent="0.25"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9:28" s="8" customFormat="1" x14ac:dyDescent="0.25"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9:28" s="8" customFormat="1" x14ac:dyDescent="0.25"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9:28" s="8" customFormat="1" x14ac:dyDescent="0.25"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9:28" s="8" customFormat="1" x14ac:dyDescent="0.25"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9:28" s="8" customFormat="1" x14ac:dyDescent="0.25"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9:28" s="8" customFormat="1" x14ac:dyDescent="0.25"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9:28" s="8" customFormat="1" x14ac:dyDescent="0.25"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9:28" s="8" customFormat="1" x14ac:dyDescent="0.25"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9:28" s="8" customFormat="1" x14ac:dyDescent="0.25"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9:28" s="8" customFormat="1" x14ac:dyDescent="0.25"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</row>
    <row r="197" spans="9:28" s="8" customFormat="1" x14ac:dyDescent="0.25"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9:28" s="8" customFormat="1" x14ac:dyDescent="0.25"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9:28" s="8" customFormat="1" x14ac:dyDescent="0.25"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9:28" s="8" customFormat="1" x14ac:dyDescent="0.25"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9:28" s="8" customFormat="1" x14ac:dyDescent="0.25"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9:28" s="8" customFormat="1" x14ac:dyDescent="0.25"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9:28" s="8" customFormat="1" x14ac:dyDescent="0.25"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9:28" s="8" customFormat="1" x14ac:dyDescent="0.25"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9:28" s="8" customFormat="1" x14ac:dyDescent="0.25"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9:28" s="8" customFormat="1" x14ac:dyDescent="0.25"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9:28" s="8" customFormat="1" x14ac:dyDescent="0.25"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9:28" s="8" customFormat="1" x14ac:dyDescent="0.25"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9:28" s="8" customFormat="1" x14ac:dyDescent="0.25"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9:28" s="8" customFormat="1" x14ac:dyDescent="0.25"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9:28" s="8" customFormat="1" x14ac:dyDescent="0.25"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9:28" s="8" customFormat="1" x14ac:dyDescent="0.25"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9:28" s="8" customFormat="1" x14ac:dyDescent="0.25"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9:28" s="8" customFormat="1" x14ac:dyDescent="0.25"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9:28" s="8" customFormat="1" x14ac:dyDescent="0.25"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9:28" s="8" customFormat="1" x14ac:dyDescent="0.25"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9:28" s="8" customFormat="1" x14ac:dyDescent="0.25"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9:28" s="8" customFormat="1" x14ac:dyDescent="0.25"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9:28" s="8" customFormat="1" x14ac:dyDescent="0.25"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9:28" s="8" customFormat="1" x14ac:dyDescent="0.25"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9:28" s="8" customFormat="1" x14ac:dyDescent="0.25"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</row>
    <row r="222" spans="9:28" s="8" customFormat="1" x14ac:dyDescent="0.25"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</row>
    <row r="223" spans="9:28" s="8" customFormat="1" x14ac:dyDescent="0.25"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</row>
    <row r="224" spans="9:28" s="8" customFormat="1" x14ac:dyDescent="0.25"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</row>
    <row r="225" spans="9:32" s="8" customFormat="1" x14ac:dyDescent="0.25"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</row>
    <row r="226" spans="9:32" s="8" customFormat="1" x14ac:dyDescent="0.25"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</row>
    <row r="227" spans="9:32" s="8" customFormat="1" x14ac:dyDescent="0.25"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D227" s="6"/>
      <c r="AE227" s="6"/>
      <c r="AF227" s="6"/>
    </row>
    <row r="228" spans="9:32" s="8" customFormat="1" x14ac:dyDescent="0.25"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D228" s="6"/>
      <c r="AE228" s="6"/>
      <c r="AF228" s="6"/>
    </row>
  </sheetData>
  <mergeCells count="7">
    <mergeCell ref="B23:F23"/>
    <mergeCell ref="AD22:AF22"/>
    <mergeCell ref="I22:L22"/>
    <mergeCell ref="M22:P22"/>
    <mergeCell ref="Q22:T22"/>
    <mergeCell ref="U22:X22"/>
    <mergeCell ref="Y22:AB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32F5-2CCF-4DE7-B3BD-7089304BE9B5}">
  <dimension ref="A1:X242"/>
  <sheetViews>
    <sheetView showGridLines="0" zoomScaleNormal="100" workbookViewId="0"/>
  </sheetViews>
  <sheetFormatPr baseColWidth="10" defaultColWidth="11.42578125" defaultRowHeight="15" x14ac:dyDescent="0.25"/>
  <cols>
    <col min="1" max="1" width="35.42578125" style="6" customWidth="1"/>
    <col min="2" max="2" width="14.42578125" style="6" bestFit="1" customWidth="1"/>
    <col min="3" max="3" width="14.7109375" style="6" bestFit="1" customWidth="1"/>
    <col min="4" max="4" width="14.7109375" style="6" customWidth="1"/>
    <col min="5" max="5" width="10.85546875" style="6" bestFit="1" customWidth="1"/>
    <col min="6" max="6" width="12.28515625" style="6" bestFit="1" customWidth="1"/>
    <col min="7" max="7" width="9" style="6" bestFit="1" customWidth="1"/>
    <col min="8" max="8" width="11.5703125" style="6" bestFit="1" customWidth="1"/>
    <col min="9" max="9" width="11" style="6" customWidth="1"/>
    <col min="10" max="10" width="12.7109375" style="3" hidden="1" customWidth="1"/>
    <col min="11" max="11" width="6.7109375" style="3" bestFit="1" customWidth="1"/>
    <col min="12" max="12" width="11.5703125" style="3" bestFit="1" customWidth="1"/>
    <col min="13" max="13" width="8.7109375" bestFit="1" customWidth="1"/>
    <col min="14" max="14" width="12.7109375" style="3" hidden="1" customWidth="1"/>
    <col min="15" max="15" width="3.7109375" style="6" customWidth="1"/>
    <col min="16" max="16384" width="11.42578125" style="6"/>
  </cols>
  <sheetData>
    <row r="1" spans="1:24" s="23" customFormat="1" ht="15.75" x14ac:dyDescent="0.25">
      <c r="A1" s="15" t="s">
        <v>143</v>
      </c>
      <c r="B1" s="27"/>
      <c r="J1" s="173"/>
      <c r="K1" s="174"/>
      <c r="L1" s="50"/>
      <c r="N1" s="50"/>
    </row>
    <row r="2" spans="1:24" s="23" customFormat="1" x14ac:dyDescent="0.25">
      <c r="A2" s="23" t="s">
        <v>82</v>
      </c>
      <c r="C2" s="27"/>
      <c r="D2" s="27"/>
      <c r="J2" s="173"/>
      <c r="K2" s="175"/>
      <c r="L2" s="50"/>
      <c r="M2" s="309"/>
      <c r="N2" s="50"/>
    </row>
    <row r="3" spans="1:24" x14ac:dyDescent="0.25">
      <c r="A3" s="23" t="s">
        <v>4</v>
      </c>
      <c r="D3" s="27"/>
      <c r="E3" s="23"/>
      <c r="F3" s="23"/>
      <c r="G3" s="23"/>
      <c r="J3" s="173"/>
      <c r="K3" s="175"/>
    </row>
    <row r="4" spans="1:24" x14ac:dyDescent="0.25">
      <c r="D4" s="27"/>
      <c r="E4" s="23"/>
      <c r="F4" s="23"/>
      <c r="G4" s="23"/>
    </row>
    <row r="5" spans="1:24" x14ac:dyDescent="0.25">
      <c r="A5" s="52" t="s">
        <v>144</v>
      </c>
      <c r="B5" s="176">
        <v>0.09</v>
      </c>
      <c r="C5" s="177"/>
      <c r="D5" s="27"/>
      <c r="F5" s="23"/>
      <c r="G5" s="23" t="s">
        <v>146</v>
      </c>
      <c r="H5" s="23"/>
      <c r="O5" s="50"/>
      <c r="P5" s="303" t="s">
        <v>147</v>
      </c>
      <c r="Q5" s="304"/>
      <c r="R5" s="304"/>
      <c r="S5" s="304"/>
      <c r="T5" s="304"/>
      <c r="U5" s="304"/>
      <c r="V5" s="304"/>
      <c r="W5" s="304"/>
      <c r="X5" s="304"/>
    </row>
    <row r="6" spans="1:24" s="16" customFormat="1" ht="25.5" customHeight="1" x14ac:dyDescent="0.25">
      <c r="A6" s="75" t="s">
        <v>6</v>
      </c>
      <c r="B6" s="75" t="s">
        <v>43</v>
      </c>
      <c r="C6" s="77" t="s">
        <v>44</v>
      </c>
      <c r="D6" s="27"/>
      <c r="E6" s="178"/>
      <c r="F6" s="103"/>
      <c r="G6" s="395" t="s">
        <v>43</v>
      </c>
      <c r="H6" s="391"/>
      <c r="I6" s="391"/>
      <c r="J6" s="392"/>
      <c r="K6" s="395" t="s">
        <v>44</v>
      </c>
      <c r="L6" s="391"/>
      <c r="M6" s="391"/>
      <c r="N6" s="392"/>
      <c r="O6" s="338"/>
      <c r="P6" s="400" t="s">
        <v>43</v>
      </c>
      <c r="Q6" s="401"/>
      <c r="R6" s="402"/>
      <c r="S6" s="400" t="s">
        <v>44</v>
      </c>
      <c r="T6" s="401"/>
      <c r="U6" s="402"/>
      <c r="V6" s="400" t="s">
        <v>84</v>
      </c>
      <c r="W6" s="401"/>
      <c r="X6" s="401"/>
    </row>
    <row r="7" spans="1:24" ht="12.75" x14ac:dyDescent="0.25">
      <c r="A7" s="55" t="s">
        <v>7</v>
      </c>
      <c r="B7" s="179">
        <v>44078</v>
      </c>
      <c r="C7" s="179">
        <f>$B$7</f>
        <v>44078</v>
      </c>
      <c r="D7" s="27"/>
      <c r="E7" s="256" t="s">
        <v>36</v>
      </c>
      <c r="F7" s="232" t="s">
        <v>22</v>
      </c>
      <c r="G7" s="97" t="s">
        <v>23</v>
      </c>
      <c r="H7" s="98" t="s">
        <v>76</v>
      </c>
      <c r="I7" s="98" t="s">
        <v>25</v>
      </c>
      <c r="J7" s="99" t="s">
        <v>26</v>
      </c>
      <c r="K7" s="316" t="s">
        <v>23</v>
      </c>
      <c r="L7" s="317" t="s">
        <v>76</v>
      </c>
      <c r="M7" s="317" t="s">
        <v>25</v>
      </c>
      <c r="N7" s="215" t="s">
        <v>26</v>
      </c>
      <c r="O7" s="339"/>
      <c r="P7" s="213" t="s">
        <v>23</v>
      </c>
      <c r="Q7" s="214" t="s">
        <v>76</v>
      </c>
      <c r="R7" s="215" t="s">
        <v>25</v>
      </c>
      <c r="S7" s="213" t="s">
        <v>23</v>
      </c>
      <c r="T7" s="214" t="s">
        <v>76</v>
      </c>
      <c r="U7" s="215" t="s">
        <v>25</v>
      </c>
      <c r="V7" s="213" t="s">
        <v>23</v>
      </c>
      <c r="W7" s="214" t="s">
        <v>76</v>
      </c>
      <c r="X7" s="215" t="s">
        <v>25</v>
      </c>
    </row>
    <row r="8" spans="1:24" ht="12.75" x14ac:dyDescent="0.25">
      <c r="A8" s="55" t="s">
        <v>8</v>
      </c>
      <c r="B8" s="179">
        <v>46330</v>
      </c>
      <c r="C8" s="179">
        <v>47061</v>
      </c>
      <c r="D8" s="27"/>
      <c r="E8" s="253">
        <f>+YEAR(F8)</f>
        <v>2020</v>
      </c>
      <c r="F8" s="83">
        <f>+B7</f>
        <v>44078</v>
      </c>
      <c r="G8" s="181"/>
      <c r="H8" s="182"/>
      <c r="I8" s="182"/>
      <c r="J8" s="183"/>
      <c r="K8" s="181"/>
      <c r="L8" s="182"/>
      <c r="M8" s="182"/>
      <c r="N8" s="183"/>
      <c r="O8" s="339"/>
      <c r="P8" s="184"/>
      <c r="Q8" s="185"/>
      <c r="R8" s="183"/>
      <c r="S8" s="184"/>
      <c r="T8" s="185"/>
      <c r="U8" s="183"/>
      <c r="V8" s="184">
        <f>+P8+Q8</f>
        <v>0</v>
      </c>
      <c r="W8" s="185">
        <f>+Q8+R8</f>
        <v>0</v>
      </c>
      <c r="X8" s="183">
        <f>+V8+W8</f>
        <v>0</v>
      </c>
    </row>
    <row r="9" spans="1:24" ht="12.75" x14ac:dyDescent="0.25">
      <c r="A9" s="55" t="s">
        <v>9</v>
      </c>
      <c r="B9" s="179" t="s">
        <v>77</v>
      </c>
      <c r="C9" s="179" t="s">
        <v>77</v>
      </c>
      <c r="D9" s="27"/>
      <c r="E9" s="254">
        <f t="shared" ref="E9:E24" si="0">+YEAR(F9)</f>
        <v>2021</v>
      </c>
      <c r="F9" s="83">
        <v>44320</v>
      </c>
      <c r="G9" s="187">
        <f>+$B$11/360*DAYS360($F8,$F9)*($B$19-SUM(H$8:H8))</f>
        <v>79.509664176061221</v>
      </c>
      <c r="H9" s="188">
        <f t="shared" ref="H9:H20" si="1">+IF($F9&gt;$B$8,"FIN",IF($F9&lt;$B$18,0,$B$19/$B$16))</f>
        <v>0</v>
      </c>
      <c r="I9" s="188">
        <f>+SUM(G9:H9)</f>
        <v>79.509664176061221</v>
      </c>
      <c r="J9" s="189">
        <f t="shared" ref="J9:J20" si="2">I9/(1+$B$5)^(YEARFRAC($F$8,$F9))</f>
        <v>75.070432941673204</v>
      </c>
      <c r="K9" s="187">
        <f>+$C$11/360*DAYS360($F8,$F9)*($C$19-SUM(L$8:L8))</f>
        <v>0</v>
      </c>
      <c r="L9" s="188">
        <f t="shared" ref="L9:L24" si="3">+IF($F9&gt;$C$8,"FIN",IF($F9&lt;$C$18,0,$C$19/$C$16))</f>
        <v>0</v>
      </c>
      <c r="M9" s="188">
        <f>+SUM(K9:L9)</f>
        <v>0</v>
      </c>
      <c r="N9" s="189">
        <f t="shared" ref="N9:N24" si="4">M9/(1+$B$5)^(YEARFRAC($F$8,$F9))</f>
        <v>0</v>
      </c>
      <c r="O9" s="339"/>
      <c r="P9" s="187">
        <v>0.75631491626609626</v>
      </c>
      <c r="Q9" s="188">
        <v>0</v>
      </c>
      <c r="R9" s="189">
        <v>0.75631491626609626</v>
      </c>
      <c r="S9" s="187">
        <v>0</v>
      </c>
      <c r="T9" s="188">
        <v>0</v>
      </c>
      <c r="U9" s="189">
        <v>0</v>
      </c>
      <c r="V9" s="187">
        <f t="shared" ref="V9:V24" si="5">+P9+Q9</f>
        <v>0.75631491626609626</v>
      </c>
      <c r="W9" s="188">
        <f t="shared" ref="W9:W24" si="6">+Q9+R9</f>
        <v>0.75631491626609626</v>
      </c>
      <c r="X9" s="189">
        <f t="shared" ref="X9:X24" si="7">+V9+W9</f>
        <v>1.5126298325321925</v>
      </c>
    </row>
    <row r="10" spans="1:24" ht="12.75" x14ac:dyDescent="0.25">
      <c r="A10" s="55" t="s">
        <v>11</v>
      </c>
      <c r="B10" s="186">
        <f>+YEARFRAC(B7,B8)</f>
        <v>6.166666666666667</v>
      </c>
      <c r="C10" s="186">
        <f>+YEARFRAC(C7,C8)</f>
        <v>8.1666666666666661</v>
      </c>
      <c r="D10" s="27"/>
      <c r="E10" s="254">
        <f t="shared" si="0"/>
        <v>2021</v>
      </c>
      <c r="F10" s="83">
        <v>44504</v>
      </c>
      <c r="G10" s="187">
        <f>+$B$11/360*DAYS360($F9,$F10)*($B$19-SUM(H$8:H9))</f>
        <v>59.632248132045916</v>
      </c>
      <c r="H10" s="188">
        <f t="shared" si="1"/>
        <v>0</v>
      </c>
      <c r="I10" s="188">
        <f t="shared" ref="I10:I20" si="8">+SUM(G10:H10)</f>
        <v>59.632248132045916</v>
      </c>
      <c r="J10" s="189">
        <f t="shared" si="2"/>
        <v>53.928325435849793</v>
      </c>
      <c r="K10" s="187">
        <f>+$C$11/360*DAYS360($F9,$F10)*($C$19-SUM(L$8:L9))</f>
        <v>0</v>
      </c>
      <c r="L10" s="188">
        <f t="shared" si="3"/>
        <v>0</v>
      </c>
      <c r="M10" s="188">
        <f t="shared" ref="M10:M24" si="9">+SUM(K10:L10)</f>
        <v>0</v>
      </c>
      <c r="N10" s="189">
        <f t="shared" si="4"/>
        <v>0</v>
      </c>
      <c r="O10" s="339"/>
      <c r="P10" s="187">
        <v>0.60501392377058705</v>
      </c>
      <c r="Q10" s="188">
        <v>0</v>
      </c>
      <c r="R10" s="189">
        <v>0.60501392377058705</v>
      </c>
      <c r="S10" s="187">
        <v>0</v>
      </c>
      <c r="T10" s="188">
        <v>0</v>
      </c>
      <c r="U10" s="189">
        <v>0</v>
      </c>
      <c r="V10" s="187">
        <f t="shared" si="5"/>
        <v>0.60501392377058705</v>
      </c>
      <c r="W10" s="188">
        <f t="shared" si="6"/>
        <v>0.60501392377058705</v>
      </c>
      <c r="X10" s="189">
        <f t="shared" si="7"/>
        <v>1.2100278475411741</v>
      </c>
    </row>
    <row r="11" spans="1:24" ht="12.75" x14ac:dyDescent="0.25">
      <c r="A11" s="55" t="s">
        <v>134</v>
      </c>
      <c r="B11" s="191">
        <v>0.02</v>
      </c>
      <c r="C11" s="192">
        <v>2.2499999999999999E-2</v>
      </c>
      <c r="D11" s="27"/>
      <c r="E11" s="254">
        <f t="shared" si="0"/>
        <v>2022</v>
      </c>
      <c r="F11" s="83">
        <v>44685</v>
      </c>
      <c r="G11" s="187">
        <f>+$B$11/360*DAYS360($F10,$F11)*($B$19-SUM(H$8:H10))</f>
        <v>59.632248132045916</v>
      </c>
      <c r="H11" s="188">
        <f t="shared" si="1"/>
        <v>0</v>
      </c>
      <c r="I11" s="188">
        <f t="shared" si="8"/>
        <v>59.632248132045916</v>
      </c>
      <c r="J11" s="189">
        <f t="shared" si="2"/>
        <v>51.653967620417333</v>
      </c>
      <c r="K11" s="187">
        <f>+$C$11/360*DAYS360($F10,$F11)*($C$19-SUM(L$8:L10))</f>
        <v>0</v>
      </c>
      <c r="L11" s="188">
        <f t="shared" si="3"/>
        <v>0</v>
      </c>
      <c r="M11" s="188">
        <f t="shared" si="9"/>
        <v>0</v>
      </c>
      <c r="N11" s="189">
        <f t="shared" si="4"/>
        <v>0</v>
      </c>
      <c r="O11" s="339"/>
      <c r="P11" s="187">
        <v>0.61172387874158929</v>
      </c>
      <c r="Q11" s="188">
        <v>0</v>
      </c>
      <c r="R11" s="189">
        <v>0.61172387874158929</v>
      </c>
      <c r="S11" s="187">
        <v>0</v>
      </c>
      <c r="T11" s="188">
        <v>0</v>
      </c>
      <c r="U11" s="189">
        <v>0</v>
      </c>
      <c r="V11" s="187">
        <f t="shared" si="5"/>
        <v>0.61172387874158929</v>
      </c>
      <c r="W11" s="188">
        <f t="shared" si="6"/>
        <v>0.61172387874158929</v>
      </c>
      <c r="X11" s="189">
        <f t="shared" si="7"/>
        <v>1.2234477574831786</v>
      </c>
    </row>
    <row r="12" spans="1:24" ht="12.75" x14ac:dyDescent="0.25">
      <c r="A12" s="55" t="s">
        <v>13</v>
      </c>
      <c r="B12" s="179">
        <f>B7</f>
        <v>44078</v>
      </c>
      <c r="C12" s="179">
        <f>C7</f>
        <v>44078</v>
      </c>
      <c r="D12" s="27"/>
      <c r="E12" s="254">
        <f t="shared" si="0"/>
        <v>2022</v>
      </c>
      <c r="F12" s="83">
        <v>44869</v>
      </c>
      <c r="G12" s="187">
        <f>+$B$11/360*DAYS360($F11,$F12)*($B$19-SUM(H$8:H11))</f>
        <v>59.632248132045916</v>
      </c>
      <c r="H12" s="188">
        <f t="shared" si="1"/>
        <v>0</v>
      </c>
      <c r="I12" s="188">
        <f t="shared" si="8"/>
        <v>59.632248132045916</v>
      </c>
      <c r="J12" s="189">
        <f t="shared" si="2"/>
        <v>49.475527922797973</v>
      </c>
      <c r="K12" s="187">
        <f>+$C$11/360*DAYS360($F11,$F12)*($C$19-SUM(L$8:L11))</f>
        <v>0</v>
      </c>
      <c r="L12" s="188">
        <f t="shared" si="3"/>
        <v>0</v>
      </c>
      <c r="M12" s="188">
        <f t="shared" si="9"/>
        <v>0</v>
      </c>
      <c r="N12" s="189">
        <f t="shared" si="4"/>
        <v>0</v>
      </c>
      <c r="O12" s="339"/>
      <c r="P12" s="187">
        <v>0.61425079216531775</v>
      </c>
      <c r="Q12" s="188">
        <v>0</v>
      </c>
      <c r="R12" s="189">
        <v>0.61425079216531775</v>
      </c>
      <c r="S12" s="187">
        <v>0</v>
      </c>
      <c r="T12" s="188">
        <v>0</v>
      </c>
      <c r="U12" s="189">
        <v>0</v>
      </c>
      <c r="V12" s="187">
        <f t="shared" si="5"/>
        <v>0.61425079216531775</v>
      </c>
      <c r="W12" s="188">
        <f t="shared" si="6"/>
        <v>0.61425079216531775</v>
      </c>
      <c r="X12" s="189">
        <f t="shared" si="7"/>
        <v>1.2285015843306355</v>
      </c>
    </row>
    <row r="13" spans="1:24" ht="12.75" x14ac:dyDescent="0.25">
      <c r="A13" s="55" t="s">
        <v>14</v>
      </c>
      <c r="B13" s="179">
        <v>44320</v>
      </c>
      <c r="C13" s="179">
        <v>44320</v>
      </c>
      <c r="D13" s="27"/>
      <c r="E13" s="254">
        <f t="shared" si="0"/>
        <v>2023</v>
      </c>
      <c r="F13" s="83">
        <v>45050</v>
      </c>
      <c r="G13" s="187">
        <f>+$B$11/360*DAYS360($F12,$F13)*($B$19-SUM(H$8:H12))</f>
        <v>59.632248132045916</v>
      </c>
      <c r="H13" s="188">
        <f t="shared" si="1"/>
        <v>0</v>
      </c>
      <c r="I13" s="188">
        <f t="shared" si="8"/>
        <v>59.632248132045916</v>
      </c>
      <c r="J13" s="189">
        <f t="shared" si="2"/>
        <v>47.388961119648926</v>
      </c>
      <c r="K13" s="187">
        <f>+$C$11/360*DAYS360($F12,$F13)*($C$19-SUM(L$8:L12))</f>
        <v>0</v>
      </c>
      <c r="L13" s="188">
        <f t="shared" si="3"/>
        <v>0</v>
      </c>
      <c r="M13" s="188">
        <f t="shared" si="9"/>
        <v>0</v>
      </c>
      <c r="N13" s="189">
        <f t="shared" si="4"/>
        <v>0</v>
      </c>
      <c r="O13" s="339"/>
      <c r="P13" s="187">
        <v>0.62540285700590015</v>
      </c>
      <c r="Q13" s="188">
        <v>0</v>
      </c>
      <c r="R13" s="189">
        <v>0.62540285700590015</v>
      </c>
      <c r="S13" s="187">
        <v>0</v>
      </c>
      <c r="T13" s="188">
        <v>0</v>
      </c>
      <c r="U13" s="189">
        <v>0</v>
      </c>
      <c r="V13" s="187">
        <f t="shared" si="5"/>
        <v>0.62540285700590015</v>
      </c>
      <c r="W13" s="188">
        <f t="shared" si="6"/>
        <v>0.62540285700590015</v>
      </c>
      <c r="X13" s="189">
        <f t="shared" si="7"/>
        <v>1.2508057140118003</v>
      </c>
    </row>
    <row r="14" spans="1:24" ht="12.75" x14ac:dyDescent="0.25">
      <c r="A14" s="55" t="s">
        <v>78</v>
      </c>
      <c r="B14" s="194" t="s">
        <v>16</v>
      </c>
      <c r="C14" s="194" t="s">
        <v>16</v>
      </c>
      <c r="D14" s="27"/>
      <c r="E14" s="254">
        <f t="shared" si="0"/>
        <v>2023</v>
      </c>
      <c r="F14" s="83">
        <v>45234</v>
      </c>
      <c r="G14" s="187">
        <f>+$B$11/360*DAYS360($F13,$F14)*($B$19-SUM(H$8:H13))</f>
        <v>59.632248132045916</v>
      </c>
      <c r="H14" s="188">
        <f t="shared" si="1"/>
        <v>0</v>
      </c>
      <c r="I14" s="188">
        <f t="shared" si="8"/>
        <v>59.632248132045916</v>
      </c>
      <c r="J14" s="189">
        <f t="shared" si="2"/>
        <v>45.390392589722907</v>
      </c>
      <c r="K14" s="187">
        <f>+$C$11/360*DAYS360($F13,$F14)*($C$19-SUM(L$8:L13))</f>
        <v>0</v>
      </c>
      <c r="L14" s="188">
        <f t="shared" si="3"/>
        <v>0</v>
      </c>
      <c r="M14" s="188">
        <f t="shared" si="9"/>
        <v>0</v>
      </c>
      <c r="N14" s="189">
        <f t="shared" si="4"/>
        <v>0</v>
      </c>
      <c r="O14" s="339"/>
      <c r="P14" s="187">
        <v>0.64072568769986415</v>
      </c>
      <c r="Q14" s="188">
        <v>0</v>
      </c>
      <c r="R14" s="189">
        <v>0.64072568769986415</v>
      </c>
      <c r="S14" s="187">
        <v>0</v>
      </c>
      <c r="T14" s="188">
        <v>0</v>
      </c>
      <c r="U14" s="189">
        <v>0</v>
      </c>
      <c r="V14" s="187">
        <f t="shared" si="5"/>
        <v>0.64072568769986415</v>
      </c>
      <c r="W14" s="188">
        <f t="shared" si="6"/>
        <v>0.64072568769986415</v>
      </c>
      <c r="X14" s="189">
        <f t="shared" si="7"/>
        <v>1.2814513753997283</v>
      </c>
    </row>
    <row r="15" spans="1:24" ht="12.75" x14ac:dyDescent="0.25">
      <c r="A15" s="190" t="s">
        <v>79</v>
      </c>
      <c r="B15" s="195" t="s">
        <v>0</v>
      </c>
      <c r="C15" s="195" t="s">
        <v>0</v>
      </c>
      <c r="D15" s="27"/>
      <c r="E15" s="254">
        <f t="shared" si="0"/>
        <v>2024</v>
      </c>
      <c r="F15" s="83">
        <v>45416</v>
      </c>
      <c r="G15" s="187">
        <f>+$B$11/360*DAYS360($F14,$F15)*($B$19-SUM(H$8:H14))</f>
        <v>59.632248132045916</v>
      </c>
      <c r="H15" s="188">
        <f t="shared" si="1"/>
        <v>0</v>
      </c>
      <c r="I15" s="188">
        <f t="shared" si="8"/>
        <v>59.632248132045916</v>
      </c>
      <c r="J15" s="189">
        <f t="shared" si="2"/>
        <v>43.476111118943962</v>
      </c>
      <c r="K15" s="187">
        <f>+$C$11/360*DAYS360($F14,$F15)*($C$19-SUM(L$8:L14))</f>
        <v>0</v>
      </c>
      <c r="L15" s="188">
        <f t="shared" si="3"/>
        <v>0</v>
      </c>
      <c r="M15" s="188">
        <f t="shared" si="9"/>
        <v>0</v>
      </c>
      <c r="N15" s="189">
        <f t="shared" si="4"/>
        <v>0</v>
      </c>
      <c r="O15" s="339"/>
      <c r="P15" s="187">
        <v>0.64351444981372041</v>
      </c>
      <c r="Q15" s="188">
        <v>0</v>
      </c>
      <c r="R15" s="189">
        <v>0.64351444981372041</v>
      </c>
      <c r="S15" s="187">
        <v>0</v>
      </c>
      <c r="T15" s="188">
        <v>0</v>
      </c>
      <c r="U15" s="189">
        <v>0</v>
      </c>
      <c r="V15" s="187">
        <f t="shared" si="5"/>
        <v>0.64351444981372041</v>
      </c>
      <c r="W15" s="188">
        <f t="shared" si="6"/>
        <v>0.64351444981372041</v>
      </c>
      <c r="X15" s="189">
        <f t="shared" si="7"/>
        <v>1.2870288996274408</v>
      </c>
    </row>
    <row r="16" spans="1:24" ht="12.75" x14ac:dyDescent="0.25">
      <c r="A16" s="55" t="s">
        <v>135</v>
      </c>
      <c r="B16" s="193">
        <v>4</v>
      </c>
      <c r="C16" s="193">
        <v>8</v>
      </c>
      <c r="D16" s="27"/>
      <c r="E16" s="254">
        <f t="shared" si="0"/>
        <v>2024</v>
      </c>
      <c r="F16" s="83">
        <v>45600</v>
      </c>
      <c r="G16" s="187">
        <f>+$B$11/360*DAYS360($F15,$F16)*($B$19-SUM(H$8:H15))</f>
        <v>59.632248132045916</v>
      </c>
      <c r="H16" s="188">
        <f t="shared" si="1"/>
        <v>0</v>
      </c>
      <c r="I16" s="188">
        <f t="shared" si="8"/>
        <v>59.632248132045916</v>
      </c>
      <c r="J16" s="189">
        <f t="shared" si="2"/>
        <v>41.642562008920095</v>
      </c>
      <c r="K16" s="187">
        <f>+$C$11/360*DAYS360($F15,$F16)*($C$19-SUM(L$8:L15))</f>
        <v>0</v>
      </c>
      <c r="L16" s="188">
        <f t="shared" si="3"/>
        <v>0</v>
      </c>
      <c r="M16" s="188">
        <f t="shared" si="9"/>
        <v>0</v>
      </c>
      <c r="N16" s="189">
        <f t="shared" si="4"/>
        <v>0</v>
      </c>
      <c r="O16" s="339"/>
      <c r="P16" s="187">
        <v>0.64859670817037729</v>
      </c>
      <c r="Q16" s="188">
        <v>0</v>
      </c>
      <c r="R16" s="189">
        <v>0.64859670817037729</v>
      </c>
      <c r="S16" s="187">
        <v>0</v>
      </c>
      <c r="T16" s="188">
        <v>0</v>
      </c>
      <c r="U16" s="189">
        <v>0</v>
      </c>
      <c r="V16" s="187">
        <f t="shared" si="5"/>
        <v>0.64859670817037729</v>
      </c>
      <c r="W16" s="188">
        <f t="shared" si="6"/>
        <v>0.64859670817037729</v>
      </c>
      <c r="X16" s="189">
        <f t="shared" si="7"/>
        <v>1.2971934163407546</v>
      </c>
    </row>
    <row r="17" spans="1:24" ht="12.75" x14ac:dyDescent="0.25">
      <c r="A17" s="55" t="s">
        <v>80</v>
      </c>
      <c r="B17" s="193" t="s">
        <v>81</v>
      </c>
      <c r="C17" s="193" t="s">
        <v>81</v>
      </c>
      <c r="D17" s="27"/>
      <c r="E17" s="254">
        <f t="shared" si="0"/>
        <v>2025</v>
      </c>
      <c r="F17" s="83">
        <v>45781</v>
      </c>
      <c r="G17" s="187">
        <f>+$B$11/360*DAYS360($F16,$F17)*($B$19-SUM(H$8:H16))</f>
        <v>59.632248132045916</v>
      </c>
      <c r="H17" s="188">
        <f t="shared" si="1"/>
        <v>1490.8062033011479</v>
      </c>
      <c r="I17" s="188">
        <f t="shared" si="8"/>
        <v>1550.4384514331939</v>
      </c>
      <c r="J17" s="189">
        <f t="shared" si="2"/>
        <v>1037.0448523784798</v>
      </c>
      <c r="K17" s="187">
        <f>+$C$11/360*DAYS360($F16,$F17)*($C$19-SUM(L$8:L16))</f>
        <v>0</v>
      </c>
      <c r="L17" s="188">
        <f t="shared" si="3"/>
        <v>0</v>
      </c>
      <c r="M17" s="188">
        <f t="shared" si="9"/>
        <v>0</v>
      </c>
      <c r="N17" s="189">
        <f t="shared" si="4"/>
        <v>0</v>
      </c>
      <c r="O17" s="339"/>
      <c r="P17" s="187">
        <v>0.64982313717508566</v>
      </c>
      <c r="Q17" s="188">
        <v>16.24557842937714</v>
      </c>
      <c r="R17" s="189">
        <v>16.895401566552227</v>
      </c>
      <c r="S17" s="187">
        <v>0</v>
      </c>
      <c r="T17" s="188">
        <v>0</v>
      </c>
      <c r="U17" s="189">
        <v>0</v>
      </c>
      <c r="V17" s="187">
        <f t="shared" si="5"/>
        <v>16.895401566552227</v>
      </c>
      <c r="W17" s="188">
        <f t="shared" si="6"/>
        <v>33.140979995929371</v>
      </c>
      <c r="X17" s="189">
        <f t="shared" si="7"/>
        <v>50.036381562481594</v>
      </c>
    </row>
    <row r="18" spans="1:24" ht="12.75" x14ac:dyDescent="0.25">
      <c r="A18" s="190" t="s">
        <v>18</v>
      </c>
      <c r="B18" s="195">
        <v>45781</v>
      </c>
      <c r="C18" s="195">
        <v>45781</v>
      </c>
      <c r="D18" s="27"/>
      <c r="E18" s="254">
        <f t="shared" si="0"/>
        <v>2025</v>
      </c>
      <c r="F18" s="83">
        <v>45965</v>
      </c>
      <c r="G18" s="187">
        <f>+$B$11/360*DAYS360($F17,$F18)*($B$19-SUM(H$8:H17))</f>
        <v>44.724186099034434</v>
      </c>
      <c r="H18" s="188">
        <f t="shared" si="1"/>
        <v>1490.8062033011479</v>
      </c>
      <c r="I18" s="188">
        <f t="shared" si="8"/>
        <v>1535.5303894001822</v>
      </c>
      <c r="J18" s="189">
        <f t="shared" si="2"/>
        <v>983.75777222907539</v>
      </c>
      <c r="K18" s="187">
        <f>+$C$11/360*DAYS360($F17,$F18)*($C$19-SUM(L$8:L17))</f>
        <v>0</v>
      </c>
      <c r="L18" s="188">
        <f t="shared" si="3"/>
        <v>0</v>
      </c>
      <c r="M18" s="188">
        <f t="shared" si="9"/>
        <v>0</v>
      </c>
      <c r="N18" s="189">
        <f t="shared" si="4"/>
        <v>0</v>
      </c>
      <c r="O18" s="339"/>
      <c r="P18" s="187">
        <v>0.48736739363516834</v>
      </c>
      <c r="Q18" s="188">
        <v>16.245579787838945</v>
      </c>
      <c r="R18" s="189">
        <v>16.732947181474113</v>
      </c>
      <c r="S18" s="187">
        <v>0</v>
      </c>
      <c r="T18" s="188">
        <v>0</v>
      </c>
      <c r="U18" s="189">
        <v>0</v>
      </c>
      <c r="V18" s="187">
        <f t="shared" si="5"/>
        <v>16.732947181474113</v>
      </c>
      <c r="W18" s="188">
        <f t="shared" si="6"/>
        <v>32.978526969313059</v>
      </c>
      <c r="X18" s="189">
        <f t="shared" si="7"/>
        <v>49.711474150787168</v>
      </c>
    </row>
    <row r="19" spans="1:24" ht="12.75" x14ac:dyDescent="0.25">
      <c r="A19" s="325" t="s">
        <v>138</v>
      </c>
      <c r="B19" s="326">
        <f>+HLOOKUP(B6,'Eleccion de canje'!$J$8:$K$38,31,FALSE)</f>
        <v>5963.2248132045916</v>
      </c>
      <c r="C19" s="326">
        <f>+HLOOKUP(C6,'Eleccion de canje'!$J$8:$K$38,31,FALSE)</f>
        <v>0</v>
      </c>
      <c r="D19" s="27"/>
      <c r="E19" s="254">
        <f t="shared" si="0"/>
        <v>2026</v>
      </c>
      <c r="F19" s="83">
        <v>46146</v>
      </c>
      <c r="G19" s="187">
        <f>+$B$11/360*DAYS360($F18,$F19)*($B$19-SUM(H$8:H18))</f>
        <v>29.816124066022958</v>
      </c>
      <c r="H19" s="188">
        <f t="shared" si="1"/>
        <v>1490.8062033011479</v>
      </c>
      <c r="I19" s="188">
        <f t="shared" si="8"/>
        <v>1520.6223273671708</v>
      </c>
      <c r="J19" s="189">
        <f t="shared" si="2"/>
        <v>933.12080930314869</v>
      </c>
      <c r="K19" s="187">
        <f>+$C$11/360*DAYS360($F18,$F19)*($C$19-SUM(L$8:L18))</f>
        <v>0</v>
      </c>
      <c r="L19" s="188">
        <f t="shared" si="3"/>
        <v>0</v>
      </c>
      <c r="M19" s="188">
        <f t="shared" si="9"/>
        <v>0</v>
      </c>
      <c r="N19" s="189">
        <f t="shared" si="4"/>
        <v>0</v>
      </c>
      <c r="O19" s="339"/>
      <c r="P19" s="187">
        <v>0.32491141830534859</v>
      </c>
      <c r="Q19" s="188">
        <v>16.245570915267432</v>
      </c>
      <c r="R19" s="189">
        <v>16.57048233357278</v>
      </c>
      <c r="S19" s="187">
        <v>0</v>
      </c>
      <c r="T19" s="188">
        <v>0</v>
      </c>
      <c r="U19" s="189">
        <v>0</v>
      </c>
      <c r="V19" s="187">
        <f t="shared" si="5"/>
        <v>16.57048233357278</v>
      </c>
      <c r="W19" s="188">
        <f t="shared" si="6"/>
        <v>32.816053248840213</v>
      </c>
      <c r="X19" s="189">
        <f t="shared" si="7"/>
        <v>49.386535582412989</v>
      </c>
    </row>
    <row r="20" spans="1:24" ht="12.75" x14ac:dyDescent="0.25">
      <c r="A20" s="27"/>
      <c r="B20" s="27"/>
      <c r="C20" s="27"/>
      <c r="D20" s="27"/>
      <c r="E20" s="254">
        <f t="shared" si="0"/>
        <v>2026</v>
      </c>
      <c r="F20" s="83">
        <v>46330</v>
      </c>
      <c r="G20" s="187">
        <f>+$B$11/360*DAYS360($F19,$F20)*($B$19-SUM(H$8:H19))</f>
        <v>14.908062033011484</v>
      </c>
      <c r="H20" s="188">
        <f t="shared" si="1"/>
        <v>1490.8062033011479</v>
      </c>
      <c r="I20" s="188">
        <f t="shared" si="8"/>
        <v>1505.7142653341593</v>
      </c>
      <c r="J20" s="189">
        <f t="shared" si="2"/>
        <v>885.00521060957169</v>
      </c>
      <c r="K20" s="187">
        <f>+$C$11/360*DAYS360($F19,$F20)*($C$19-SUM(L$8:L19))</f>
        <v>0</v>
      </c>
      <c r="L20" s="188">
        <f t="shared" si="3"/>
        <v>0</v>
      </c>
      <c r="M20" s="188">
        <f t="shared" si="9"/>
        <v>0</v>
      </c>
      <c r="N20" s="189">
        <f t="shared" si="4"/>
        <v>0</v>
      </c>
      <c r="O20" s="339"/>
      <c r="P20" s="187">
        <v>0.16245575307449917</v>
      </c>
      <c r="Q20" s="188">
        <v>16.245575307449911</v>
      </c>
      <c r="R20" s="189">
        <v>16.408031060524412</v>
      </c>
      <c r="S20" s="187">
        <v>0</v>
      </c>
      <c r="T20" s="188">
        <v>0</v>
      </c>
      <c r="U20" s="189">
        <v>0</v>
      </c>
      <c r="V20" s="187">
        <f t="shared" si="5"/>
        <v>16.408031060524412</v>
      </c>
      <c r="W20" s="188">
        <f t="shared" si="6"/>
        <v>32.653606367974319</v>
      </c>
      <c r="X20" s="189">
        <f t="shared" si="7"/>
        <v>49.061637428498727</v>
      </c>
    </row>
    <row r="21" spans="1:24" ht="12.75" x14ac:dyDescent="0.25">
      <c r="A21" s="7"/>
      <c r="B21" s="7"/>
      <c r="C21" s="104"/>
      <c r="D21" s="27"/>
      <c r="E21" s="254">
        <f t="shared" si="0"/>
        <v>2027</v>
      </c>
      <c r="F21" s="83">
        <v>46511</v>
      </c>
      <c r="G21" s="187"/>
      <c r="H21" s="188"/>
      <c r="I21" s="188"/>
      <c r="J21" s="189"/>
      <c r="K21" s="187">
        <f>+$C$11/360*DAYS360($F20,$F21)*($C$19-SUM(L$8:L20))</f>
        <v>0</v>
      </c>
      <c r="L21" s="188">
        <f t="shared" si="3"/>
        <v>0</v>
      </c>
      <c r="M21" s="188">
        <f t="shared" si="9"/>
        <v>0</v>
      </c>
      <c r="N21" s="189">
        <f t="shared" si="4"/>
        <v>0</v>
      </c>
      <c r="O21" s="339"/>
      <c r="P21" s="187"/>
      <c r="Q21" s="188"/>
      <c r="R21" s="189"/>
      <c r="S21" s="187">
        <v>0</v>
      </c>
      <c r="T21" s="188">
        <v>0</v>
      </c>
      <c r="U21" s="189">
        <v>0</v>
      </c>
      <c r="V21" s="187">
        <f t="shared" si="5"/>
        <v>0</v>
      </c>
      <c r="W21" s="188">
        <f t="shared" si="6"/>
        <v>0</v>
      </c>
      <c r="X21" s="189">
        <f t="shared" si="7"/>
        <v>0</v>
      </c>
    </row>
    <row r="22" spans="1:24" ht="12.75" x14ac:dyDescent="0.25">
      <c r="A22" s="7"/>
      <c r="B22" s="7"/>
      <c r="C22" s="104"/>
      <c r="D22" s="27"/>
      <c r="E22" s="254">
        <f t="shared" si="0"/>
        <v>2027</v>
      </c>
      <c r="F22" s="83">
        <v>46695</v>
      </c>
      <c r="G22" s="187"/>
      <c r="H22" s="188"/>
      <c r="I22" s="188"/>
      <c r="J22" s="189"/>
      <c r="K22" s="187">
        <f>+$C$11/360*DAYS360($F21,$F22)*($C$19-SUM(L$8:L21))</f>
        <v>0</v>
      </c>
      <c r="L22" s="188">
        <f t="shared" si="3"/>
        <v>0</v>
      </c>
      <c r="M22" s="188">
        <f t="shared" si="9"/>
        <v>0</v>
      </c>
      <c r="N22" s="189">
        <f t="shared" si="4"/>
        <v>0</v>
      </c>
      <c r="O22" s="339"/>
      <c r="P22" s="187"/>
      <c r="Q22" s="188"/>
      <c r="R22" s="189"/>
      <c r="S22" s="187">
        <v>0</v>
      </c>
      <c r="T22" s="188">
        <v>0</v>
      </c>
      <c r="U22" s="189">
        <v>0</v>
      </c>
      <c r="V22" s="187">
        <f t="shared" si="5"/>
        <v>0</v>
      </c>
      <c r="W22" s="188">
        <f t="shared" si="6"/>
        <v>0</v>
      </c>
      <c r="X22" s="189">
        <f t="shared" si="7"/>
        <v>0</v>
      </c>
    </row>
    <row r="23" spans="1:24" ht="12.75" x14ac:dyDescent="0.25">
      <c r="A23" s="7"/>
      <c r="B23" s="7"/>
      <c r="C23" s="104"/>
      <c r="D23" s="27"/>
      <c r="E23" s="254">
        <f t="shared" si="0"/>
        <v>2028</v>
      </c>
      <c r="F23" s="83">
        <v>46877</v>
      </c>
      <c r="G23" s="187"/>
      <c r="H23" s="188"/>
      <c r="I23" s="188"/>
      <c r="J23" s="189"/>
      <c r="K23" s="187">
        <f>+$C$11/360*DAYS360($F22,$F23)*($C$19-SUM(L$8:L22))</f>
        <v>0</v>
      </c>
      <c r="L23" s="188">
        <f t="shared" si="3"/>
        <v>0</v>
      </c>
      <c r="M23" s="188">
        <f t="shared" si="9"/>
        <v>0</v>
      </c>
      <c r="N23" s="189">
        <f t="shared" si="4"/>
        <v>0</v>
      </c>
      <c r="O23" s="340"/>
      <c r="P23" s="187"/>
      <c r="Q23" s="188"/>
      <c r="R23" s="189"/>
      <c r="S23" s="187">
        <v>0</v>
      </c>
      <c r="T23" s="188">
        <v>0</v>
      </c>
      <c r="U23" s="189">
        <v>0</v>
      </c>
      <c r="V23" s="187">
        <f t="shared" si="5"/>
        <v>0</v>
      </c>
      <c r="W23" s="188">
        <f t="shared" si="6"/>
        <v>0</v>
      </c>
      <c r="X23" s="189">
        <f t="shared" si="7"/>
        <v>0</v>
      </c>
    </row>
    <row r="24" spans="1:24" s="3" customFormat="1" ht="12.75" x14ac:dyDescent="0.25">
      <c r="A24" s="7"/>
      <c r="B24" s="7"/>
      <c r="C24" s="104"/>
      <c r="D24" s="27"/>
      <c r="E24" s="255">
        <f t="shared" si="0"/>
        <v>2028</v>
      </c>
      <c r="F24" s="83">
        <v>47061</v>
      </c>
      <c r="G24" s="199"/>
      <c r="H24" s="200"/>
      <c r="I24" s="188"/>
      <c r="J24" s="189"/>
      <c r="K24" s="187">
        <f>+$C$11/360*DAYS360($F23,$F24)*($C$19-SUM(L$8:L23))</f>
        <v>0</v>
      </c>
      <c r="L24" s="188">
        <f t="shared" si="3"/>
        <v>0</v>
      </c>
      <c r="M24" s="188">
        <f t="shared" si="9"/>
        <v>0</v>
      </c>
      <c r="N24" s="189">
        <f t="shared" si="4"/>
        <v>0</v>
      </c>
      <c r="O24" s="340"/>
      <c r="P24" s="199"/>
      <c r="Q24" s="188"/>
      <c r="R24" s="189"/>
      <c r="S24" s="199">
        <v>0</v>
      </c>
      <c r="T24" s="188">
        <v>0</v>
      </c>
      <c r="U24" s="189">
        <v>0</v>
      </c>
      <c r="V24" s="199">
        <f t="shared" si="5"/>
        <v>0</v>
      </c>
      <c r="W24" s="188">
        <f t="shared" si="6"/>
        <v>0</v>
      </c>
      <c r="X24" s="189">
        <f t="shared" si="7"/>
        <v>0</v>
      </c>
    </row>
    <row r="25" spans="1:24" s="3" customFormat="1" ht="12.75" x14ac:dyDescent="0.25">
      <c r="A25" s="7"/>
      <c r="B25" s="7"/>
      <c r="C25" s="104"/>
      <c r="D25" s="27"/>
      <c r="E25" s="79"/>
      <c r="F25" s="132" t="s">
        <v>27</v>
      </c>
      <c r="G25" s="201">
        <f>+SUM(G8:G24)</f>
        <v>646.0160214304974</v>
      </c>
      <c r="H25" s="202">
        <f>+SUM(H8:H24)</f>
        <v>5963.2248132045916</v>
      </c>
      <c r="I25" s="202"/>
      <c r="J25" s="203">
        <f>+SUM(J8:J24)</f>
        <v>4246.9549252782499</v>
      </c>
      <c r="K25" s="201">
        <f>+SUM(K8:K24)</f>
        <v>0</v>
      </c>
      <c r="L25" s="202">
        <f>+SUM(L8:L24)</f>
        <v>0</v>
      </c>
      <c r="M25" s="202">
        <f>+SUM(M8:M24)</f>
        <v>0</v>
      </c>
      <c r="N25" s="203">
        <f t="shared" ref="N25" si="10">+SUM(N8:N24)</f>
        <v>0</v>
      </c>
      <c r="O25" s="340"/>
      <c r="P25" s="201">
        <v>6.7701009158235532</v>
      </c>
      <c r="Q25" s="202">
        <v>64.982304439933429</v>
      </c>
      <c r="R25" s="203">
        <v>71.752405355756977</v>
      </c>
      <c r="S25" s="201">
        <v>0</v>
      </c>
      <c r="T25" s="202">
        <v>0</v>
      </c>
      <c r="U25" s="203">
        <v>0</v>
      </c>
      <c r="V25" s="201">
        <f>+SUM(V8:V24)</f>
        <v>71.752405355756977</v>
      </c>
      <c r="W25" s="202">
        <f t="shared" ref="W25:X25" si="11">+SUM(W8:W24)</f>
        <v>136.73470979569043</v>
      </c>
      <c r="X25" s="203">
        <f t="shared" si="11"/>
        <v>208.48711515144737</v>
      </c>
    </row>
    <row r="26" spans="1:24" ht="12.75" x14ac:dyDescent="0.25">
      <c r="A26" s="8"/>
      <c r="B26" s="8"/>
      <c r="C26" s="79"/>
      <c r="D26" s="27"/>
      <c r="E26" s="79"/>
      <c r="F26" s="8"/>
      <c r="G26" s="79"/>
      <c r="H26" s="79"/>
      <c r="I26" s="79"/>
      <c r="J26" s="79"/>
      <c r="K26" s="79"/>
      <c r="L26" s="79"/>
      <c r="M26" s="103"/>
      <c r="N26" s="79"/>
      <c r="O26" s="8"/>
      <c r="P26" s="103"/>
      <c r="Q26" s="103"/>
    </row>
    <row r="27" spans="1:24" s="103" customFormat="1" ht="12.75" x14ac:dyDescent="0.25">
      <c r="A27" s="8"/>
      <c r="B27" s="8"/>
      <c r="C27" s="79"/>
      <c r="D27" s="27"/>
      <c r="E27" s="79"/>
      <c r="F27" s="8"/>
      <c r="G27" s="79"/>
      <c r="H27" s="79"/>
      <c r="I27" s="79"/>
      <c r="J27" s="79"/>
      <c r="K27" s="79"/>
      <c r="L27" s="79"/>
      <c r="M27" s="7"/>
      <c r="N27" s="79"/>
      <c r="O27" s="8"/>
      <c r="P27" s="8" t="s">
        <v>148</v>
      </c>
      <c r="Q27" s="7"/>
    </row>
    <row r="28" spans="1:24" s="7" customFormat="1" ht="12.75" x14ac:dyDescent="0.25">
      <c r="A28" s="8"/>
      <c r="B28" s="8"/>
      <c r="C28" s="79"/>
      <c r="D28" s="104"/>
      <c r="E28" s="79"/>
      <c r="F28" s="8"/>
      <c r="G28" s="79"/>
      <c r="H28" s="79"/>
      <c r="I28" s="79"/>
      <c r="J28" s="79"/>
      <c r="K28" s="79"/>
      <c r="L28" s="79"/>
      <c r="M28" s="8"/>
      <c r="N28" s="79"/>
      <c r="O28" s="8"/>
      <c r="P28" s="8"/>
      <c r="Q28" s="8"/>
    </row>
    <row r="29" spans="1:24" s="8" customFormat="1" ht="12.75" x14ac:dyDescent="0.25">
      <c r="C29" s="79"/>
      <c r="D29" s="79"/>
      <c r="E29" s="79"/>
      <c r="G29" s="79"/>
      <c r="H29" s="79"/>
      <c r="I29" s="79"/>
      <c r="J29" s="79"/>
      <c r="K29" s="79"/>
      <c r="L29" s="79"/>
      <c r="N29" s="79"/>
    </row>
    <row r="30" spans="1:24" s="8" customFormat="1" ht="12.75" x14ac:dyDescent="0.25">
      <c r="C30" s="79"/>
      <c r="D30" s="79"/>
      <c r="E30" s="79"/>
      <c r="G30" s="79"/>
      <c r="H30" s="79"/>
      <c r="I30" s="79"/>
      <c r="J30" s="79"/>
      <c r="K30" s="79"/>
      <c r="L30" s="79"/>
      <c r="N30" s="79"/>
    </row>
    <row r="31" spans="1:24" s="8" customFormat="1" ht="12.75" x14ac:dyDescent="0.25">
      <c r="C31" s="79"/>
      <c r="D31" s="79"/>
      <c r="E31" s="79"/>
      <c r="G31" s="79"/>
      <c r="H31" s="79"/>
      <c r="I31" s="79"/>
      <c r="J31" s="79"/>
      <c r="K31" s="79"/>
      <c r="L31" s="79"/>
      <c r="N31" s="79"/>
    </row>
    <row r="32" spans="1:24" s="8" customFormat="1" ht="12.75" x14ac:dyDescent="0.25">
      <c r="C32" s="79"/>
      <c r="D32" s="79"/>
      <c r="E32" s="79"/>
      <c r="G32" s="79"/>
      <c r="H32" s="79"/>
      <c r="I32" s="79"/>
      <c r="J32" s="79"/>
      <c r="K32" s="79"/>
      <c r="L32" s="79"/>
      <c r="N32" s="79"/>
    </row>
    <row r="33" spans="1:14" s="8" customFormat="1" ht="12.75" x14ac:dyDescent="0.25">
      <c r="C33" s="79"/>
      <c r="D33" s="79"/>
      <c r="E33" s="79"/>
      <c r="G33" s="79"/>
      <c r="H33" s="79"/>
      <c r="I33" s="79"/>
      <c r="J33" s="79"/>
      <c r="K33" s="79"/>
      <c r="L33" s="79"/>
      <c r="N33" s="79"/>
    </row>
    <row r="34" spans="1:14" s="8" customFormat="1" ht="12.75" x14ac:dyDescent="0.25">
      <c r="A34" s="79"/>
      <c r="B34" s="79"/>
      <c r="C34" s="79"/>
      <c r="D34" s="79"/>
      <c r="E34" s="79"/>
      <c r="G34" s="79"/>
      <c r="H34" s="79"/>
      <c r="I34" s="79"/>
      <c r="J34" s="79"/>
      <c r="K34" s="79"/>
      <c r="L34" s="79"/>
      <c r="N34" s="79"/>
    </row>
    <row r="35" spans="1:14" s="8" customFormat="1" ht="12.75" x14ac:dyDescent="0.25">
      <c r="A35" s="79"/>
      <c r="B35" s="79"/>
      <c r="C35" s="79"/>
      <c r="D35" s="79"/>
      <c r="E35" s="79"/>
      <c r="G35" s="79"/>
      <c r="H35" s="79"/>
      <c r="I35" s="79"/>
      <c r="J35" s="79"/>
      <c r="K35" s="79"/>
      <c r="L35" s="79"/>
      <c r="N35" s="79"/>
    </row>
    <row r="36" spans="1:14" s="8" customFormat="1" ht="12.75" x14ac:dyDescent="0.25">
      <c r="A36" s="79"/>
      <c r="B36" s="79"/>
      <c r="C36" s="79"/>
      <c r="D36" s="79"/>
      <c r="E36" s="79"/>
      <c r="G36" s="79"/>
      <c r="H36" s="79"/>
      <c r="I36" s="79"/>
      <c r="J36" s="79"/>
      <c r="K36" s="79"/>
      <c r="L36" s="79"/>
      <c r="N36" s="79"/>
    </row>
    <row r="37" spans="1:14" s="8" customFormat="1" ht="12.75" x14ac:dyDescent="0.25">
      <c r="A37" s="79"/>
      <c r="B37" s="79"/>
      <c r="C37" s="79"/>
      <c r="D37" s="79"/>
      <c r="E37" s="79"/>
      <c r="G37" s="79"/>
      <c r="H37" s="79"/>
      <c r="I37" s="79"/>
      <c r="J37" s="79"/>
      <c r="K37" s="79"/>
      <c r="L37" s="79"/>
      <c r="N37" s="79"/>
    </row>
    <row r="38" spans="1:14" s="8" customFormat="1" ht="12.75" x14ac:dyDescent="0.25">
      <c r="A38" s="79"/>
      <c r="B38" s="79"/>
      <c r="C38" s="79"/>
      <c r="D38" s="79"/>
      <c r="E38" s="79"/>
      <c r="G38" s="79"/>
      <c r="H38" s="79"/>
      <c r="I38" s="79"/>
      <c r="J38" s="79"/>
      <c r="K38" s="79"/>
      <c r="L38" s="79"/>
      <c r="N38" s="79"/>
    </row>
    <row r="39" spans="1:14" s="8" customFormat="1" ht="12.75" x14ac:dyDescent="0.25">
      <c r="A39" s="79"/>
      <c r="B39" s="79"/>
      <c r="C39" s="79"/>
      <c r="D39" s="79"/>
      <c r="E39" s="79"/>
      <c r="G39" s="79"/>
      <c r="H39" s="79"/>
      <c r="I39" s="79"/>
      <c r="J39" s="79"/>
      <c r="K39" s="79"/>
      <c r="L39" s="79"/>
      <c r="N39" s="79"/>
    </row>
    <row r="40" spans="1:14" s="8" customFormat="1" ht="12.75" x14ac:dyDescent="0.25">
      <c r="A40" s="79"/>
      <c r="B40" s="79"/>
      <c r="C40" s="79"/>
      <c r="D40" s="79"/>
      <c r="E40" s="79"/>
      <c r="G40" s="79"/>
      <c r="H40" s="79"/>
      <c r="I40" s="79"/>
      <c r="J40" s="79"/>
      <c r="K40" s="79"/>
      <c r="L40" s="79"/>
      <c r="N40" s="79"/>
    </row>
    <row r="41" spans="1:14" s="8" customFormat="1" ht="12.75" x14ac:dyDescent="0.25">
      <c r="A41" s="79"/>
      <c r="B41" s="79"/>
      <c r="C41" s="79"/>
      <c r="D41" s="79"/>
      <c r="E41" s="79"/>
      <c r="G41" s="79"/>
      <c r="H41" s="79"/>
      <c r="I41" s="79"/>
      <c r="J41" s="79"/>
      <c r="K41" s="79"/>
      <c r="L41" s="79"/>
      <c r="N41" s="79"/>
    </row>
    <row r="42" spans="1:14" s="8" customFormat="1" ht="12.75" x14ac:dyDescent="0.25">
      <c r="A42" s="79"/>
      <c r="B42" s="79"/>
      <c r="C42" s="79"/>
      <c r="D42" s="79"/>
      <c r="E42" s="79"/>
      <c r="G42" s="79"/>
      <c r="H42" s="79"/>
      <c r="I42" s="79"/>
      <c r="J42" s="79"/>
      <c r="K42" s="79"/>
      <c r="L42" s="79"/>
      <c r="N42" s="79"/>
    </row>
    <row r="43" spans="1:14" s="8" customFormat="1" ht="12.75" x14ac:dyDescent="0.25">
      <c r="A43" s="104"/>
      <c r="B43" s="104"/>
      <c r="C43" s="104"/>
      <c r="D43" s="79"/>
      <c r="E43" s="79"/>
      <c r="G43" s="79"/>
      <c r="H43" s="79"/>
      <c r="I43" s="79"/>
      <c r="J43" s="79"/>
      <c r="K43" s="79"/>
      <c r="L43" s="79"/>
      <c r="N43" s="79"/>
    </row>
    <row r="44" spans="1:14" s="8" customFormat="1" ht="12.75" x14ac:dyDescent="0.25">
      <c r="A44" s="104"/>
      <c r="B44" s="104"/>
      <c r="C44" s="104"/>
      <c r="D44" s="79"/>
      <c r="E44" s="79"/>
      <c r="G44" s="79"/>
      <c r="H44" s="79"/>
      <c r="I44" s="79"/>
      <c r="J44" s="79"/>
      <c r="K44" s="79"/>
      <c r="L44" s="79"/>
      <c r="N44" s="79"/>
    </row>
    <row r="45" spans="1:14" s="8" customFormat="1" ht="12.75" x14ac:dyDescent="0.25">
      <c r="A45" s="104"/>
      <c r="B45" s="104"/>
      <c r="C45" s="104"/>
      <c r="D45" s="79"/>
      <c r="G45" s="79"/>
      <c r="H45" s="79"/>
      <c r="I45" s="79"/>
      <c r="J45" s="79"/>
      <c r="K45" s="79"/>
      <c r="L45" s="79"/>
      <c r="N45" s="79"/>
    </row>
    <row r="46" spans="1:14" s="8" customFormat="1" ht="12.75" x14ac:dyDescent="0.25">
      <c r="A46" s="104"/>
      <c r="B46" s="104"/>
      <c r="C46" s="104"/>
      <c r="D46" s="104"/>
      <c r="G46" s="79"/>
      <c r="H46" s="79"/>
      <c r="I46" s="79"/>
      <c r="J46" s="79"/>
      <c r="K46" s="79"/>
      <c r="L46" s="79"/>
      <c r="N46" s="79"/>
    </row>
    <row r="47" spans="1:14" s="8" customFormat="1" ht="12.75" x14ac:dyDescent="0.25">
      <c r="A47" s="104"/>
      <c r="B47" s="104"/>
      <c r="C47" s="104"/>
      <c r="D47" s="104"/>
      <c r="G47" s="79"/>
      <c r="H47" s="79"/>
      <c r="I47" s="79"/>
      <c r="J47" s="79"/>
      <c r="K47" s="79"/>
      <c r="L47" s="79"/>
      <c r="N47" s="79"/>
    </row>
    <row r="48" spans="1:14" s="8" customFormat="1" ht="12.75" x14ac:dyDescent="0.25">
      <c r="A48" s="104"/>
      <c r="B48" s="104"/>
      <c r="C48" s="104"/>
      <c r="D48" s="104"/>
      <c r="G48" s="79"/>
      <c r="H48" s="79"/>
      <c r="I48" s="79"/>
      <c r="J48" s="79"/>
      <c r="K48" s="79"/>
      <c r="L48" s="79"/>
      <c r="N48" s="79"/>
    </row>
    <row r="49" spans="1:14" s="8" customFormat="1" ht="12.75" x14ac:dyDescent="0.25">
      <c r="A49" s="104"/>
      <c r="B49" s="104"/>
      <c r="C49" s="104"/>
      <c r="D49" s="104"/>
      <c r="G49" s="79"/>
      <c r="H49" s="79"/>
      <c r="I49" s="79"/>
      <c r="J49" s="79"/>
      <c r="K49" s="79"/>
      <c r="L49" s="79"/>
      <c r="N49" s="79"/>
    </row>
    <row r="50" spans="1:14" s="8" customFormat="1" ht="12.75" x14ac:dyDescent="0.25">
      <c r="A50" s="104"/>
      <c r="B50" s="104"/>
      <c r="C50" s="104"/>
      <c r="D50" s="104"/>
      <c r="G50" s="79"/>
      <c r="H50" s="79"/>
      <c r="I50" s="79"/>
      <c r="J50" s="79"/>
      <c r="K50" s="79"/>
      <c r="L50" s="79"/>
      <c r="N50" s="79"/>
    </row>
    <row r="51" spans="1:14" s="8" customFormat="1" ht="12.75" x14ac:dyDescent="0.25">
      <c r="A51" s="104"/>
      <c r="B51" s="104"/>
      <c r="C51" s="104"/>
      <c r="D51" s="104"/>
      <c r="G51" s="79"/>
      <c r="H51" s="79"/>
      <c r="I51" s="79"/>
      <c r="J51" s="79"/>
      <c r="K51" s="79"/>
      <c r="L51" s="79"/>
      <c r="N51" s="79"/>
    </row>
    <row r="52" spans="1:14" s="8" customFormat="1" ht="12.75" x14ac:dyDescent="0.25">
      <c r="A52" s="104"/>
      <c r="B52" s="104"/>
      <c r="C52" s="104"/>
      <c r="D52" s="104"/>
      <c r="G52" s="79"/>
      <c r="H52" s="79"/>
      <c r="I52" s="79"/>
      <c r="J52" s="79"/>
      <c r="K52" s="79"/>
      <c r="L52" s="79"/>
      <c r="N52" s="79"/>
    </row>
    <row r="53" spans="1:14" s="8" customFormat="1" ht="12.75" x14ac:dyDescent="0.25">
      <c r="A53" s="104"/>
      <c r="B53" s="104"/>
      <c r="C53" s="104"/>
      <c r="D53" s="104"/>
      <c r="G53" s="79"/>
      <c r="H53" s="79"/>
      <c r="I53" s="79"/>
      <c r="J53" s="79"/>
      <c r="K53" s="79"/>
      <c r="L53" s="79"/>
      <c r="N53" s="79"/>
    </row>
    <row r="54" spans="1:14" s="8" customFormat="1" ht="12.75" x14ac:dyDescent="0.25">
      <c r="A54" s="104"/>
      <c r="B54" s="104"/>
      <c r="C54" s="104"/>
      <c r="D54" s="104"/>
      <c r="G54" s="79"/>
      <c r="H54" s="79"/>
      <c r="I54" s="79"/>
      <c r="J54" s="79"/>
      <c r="K54" s="79"/>
      <c r="L54" s="79"/>
      <c r="N54" s="79"/>
    </row>
    <row r="55" spans="1:14" s="8" customFormat="1" ht="12.75" x14ac:dyDescent="0.25">
      <c r="A55" s="104"/>
      <c r="B55" s="104"/>
      <c r="C55" s="104"/>
      <c r="D55" s="104"/>
      <c r="G55" s="79"/>
      <c r="H55" s="79"/>
      <c r="I55" s="79"/>
      <c r="J55" s="79"/>
      <c r="K55" s="79"/>
      <c r="L55" s="79"/>
      <c r="N55" s="79"/>
    </row>
    <row r="56" spans="1:14" s="8" customFormat="1" ht="12.75" x14ac:dyDescent="0.25">
      <c r="A56" s="104"/>
      <c r="B56" s="104"/>
      <c r="C56" s="104"/>
      <c r="D56" s="104"/>
      <c r="G56" s="79"/>
      <c r="H56" s="79"/>
      <c r="I56" s="79"/>
      <c r="J56" s="79"/>
      <c r="K56" s="79"/>
      <c r="L56" s="79"/>
      <c r="N56" s="79"/>
    </row>
    <row r="57" spans="1:14" s="8" customFormat="1" ht="12.75" x14ac:dyDescent="0.25">
      <c r="A57" s="104"/>
      <c r="B57" s="104"/>
      <c r="C57" s="104"/>
      <c r="D57" s="104"/>
      <c r="G57" s="79"/>
      <c r="H57" s="79"/>
      <c r="I57" s="79"/>
      <c r="J57" s="79"/>
      <c r="K57" s="79"/>
      <c r="L57" s="79"/>
      <c r="N57" s="79"/>
    </row>
    <row r="58" spans="1:14" s="8" customFormat="1" ht="12.75" x14ac:dyDescent="0.25">
      <c r="A58" s="104"/>
      <c r="B58" s="104"/>
      <c r="C58" s="104"/>
      <c r="D58" s="104"/>
      <c r="G58" s="79"/>
      <c r="H58" s="79"/>
      <c r="I58" s="79"/>
      <c r="J58" s="79"/>
      <c r="K58" s="79"/>
      <c r="L58" s="79"/>
      <c r="N58" s="79"/>
    </row>
    <row r="59" spans="1:14" s="8" customFormat="1" ht="12.75" x14ac:dyDescent="0.25">
      <c r="A59" s="104"/>
      <c r="B59" s="104"/>
      <c r="C59" s="104"/>
      <c r="D59" s="104"/>
      <c r="G59" s="79"/>
      <c r="H59" s="79"/>
      <c r="I59" s="79"/>
      <c r="J59" s="79"/>
      <c r="K59" s="79"/>
      <c r="L59" s="79"/>
      <c r="N59" s="79"/>
    </row>
    <row r="60" spans="1:14" s="8" customFormat="1" ht="12.75" x14ac:dyDescent="0.25">
      <c r="A60" s="104"/>
      <c r="B60" s="104"/>
      <c r="C60" s="104"/>
      <c r="D60" s="104"/>
      <c r="G60" s="79"/>
      <c r="H60" s="79"/>
      <c r="I60" s="79"/>
      <c r="J60" s="79"/>
      <c r="K60" s="79"/>
      <c r="L60" s="79"/>
      <c r="N60" s="79"/>
    </row>
    <row r="61" spans="1:14" s="8" customFormat="1" ht="12.75" x14ac:dyDescent="0.25">
      <c r="A61" s="104"/>
      <c r="B61" s="104"/>
      <c r="C61" s="104"/>
      <c r="D61" s="104"/>
      <c r="G61" s="79"/>
      <c r="H61" s="79"/>
      <c r="I61" s="79"/>
      <c r="J61" s="79"/>
      <c r="K61" s="79"/>
      <c r="L61" s="79"/>
      <c r="N61" s="79"/>
    </row>
    <row r="62" spans="1:14" s="8" customFormat="1" ht="12.75" x14ac:dyDescent="0.25">
      <c r="A62" s="104"/>
      <c r="B62" s="104"/>
      <c r="C62" s="104"/>
      <c r="D62" s="104"/>
      <c r="G62" s="79"/>
      <c r="H62" s="79"/>
      <c r="I62" s="79"/>
      <c r="J62" s="79"/>
      <c r="K62" s="79"/>
      <c r="L62" s="79"/>
      <c r="N62" s="79"/>
    </row>
    <row r="63" spans="1:14" s="8" customFormat="1" ht="12.75" x14ac:dyDescent="0.25">
      <c r="A63" s="104"/>
      <c r="B63" s="104"/>
      <c r="C63" s="104"/>
      <c r="D63" s="104"/>
      <c r="G63" s="79"/>
      <c r="H63" s="79"/>
      <c r="I63" s="79"/>
      <c r="J63" s="79"/>
      <c r="K63" s="79"/>
      <c r="L63" s="79"/>
      <c r="N63" s="79"/>
    </row>
    <row r="64" spans="1:14" s="8" customFormat="1" ht="12.75" x14ac:dyDescent="0.25">
      <c r="A64" s="104"/>
      <c r="B64" s="104"/>
      <c r="C64" s="104"/>
      <c r="D64" s="104"/>
      <c r="G64" s="79"/>
      <c r="H64" s="79"/>
      <c r="I64" s="79"/>
      <c r="J64" s="79"/>
      <c r="K64" s="79"/>
      <c r="L64" s="79"/>
      <c r="N64" s="79"/>
    </row>
    <row r="65" spans="1:14" s="8" customFormat="1" ht="12.75" x14ac:dyDescent="0.25">
      <c r="A65" s="104"/>
      <c r="B65" s="104"/>
      <c r="C65" s="104"/>
      <c r="D65" s="104"/>
      <c r="J65" s="79"/>
      <c r="K65" s="79"/>
      <c r="L65" s="79"/>
      <c r="N65" s="79"/>
    </row>
    <row r="66" spans="1:14" s="8" customFormat="1" ht="12.75" x14ac:dyDescent="0.25">
      <c r="A66" s="104"/>
      <c r="B66" s="104"/>
      <c r="C66" s="104"/>
      <c r="D66" s="104"/>
      <c r="J66" s="79"/>
      <c r="K66" s="79"/>
      <c r="L66" s="79"/>
      <c r="N66" s="79"/>
    </row>
    <row r="67" spans="1:14" s="8" customFormat="1" ht="12.75" x14ac:dyDescent="0.25">
      <c r="A67" s="104"/>
      <c r="B67" s="104"/>
      <c r="C67" s="104"/>
      <c r="D67" s="104"/>
      <c r="J67" s="79"/>
      <c r="K67" s="79"/>
      <c r="L67" s="79"/>
      <c r="N67" s="79"/>
    </row>
    <row r="68" spans="1:14" s="8" customFormat="1" ht="12.75" x14ac:dyDescent="0.25">
      <c r="A68" s="104"/>
      <c r="B68" s="104"/>
      <c r="C68" s="104"/>
      <c r="D68" s="104"/>
      <c r="J68" s="79"/>
      <c r="K68" s="79"/>
      <c r="L68" s="79"/>
      <c r="N68" s="79"/>
    </row>
    <row r="69" spans="1:14" s="8" customFormat="1" ht="12.75" x14ac:dyDescent="0.25">
      <c r="A69" s="104"/>
      <c r="B69" s="104"/>
      <c r="C69" s="104"/>
      <c r="D69" s="104"/>
      <c r="J69" s="79"/>
      <c r="K69" s="79"/>
      <c r="L69" s="79"/>
      <c r="N69" s="79"/>
    </row>
    <row r="70" spans="1:14" s="8" customFormat="1" ht="12.75" x14ac:dyDescent="0.25">
      <c r="A70" s="104"/>
      <c r="B70" s="104"/>
      <c r="C70" s="104"/>
      <c r="D70" s="104"/>
      <c r="J70" s="79"/>
      <c r="K70" s="79"/>
      <c r="L70" s="79"/>
      <c r="N70" s="79"/>
    </row>
    <row r="71" spans="1:14" s="8" customFormat="1" ht="12.75" x14ac:dyDescent="0.25">
      <c r="A71" s="104"/>
      <c r="B71" s="104"/>
      <c r="C71" s="104"/>
      <c r="D71" s="104"/>
      <c r="J71" s="79"/>
      <c r="K71" s="79"/>
      <c r="L71" s="79"/>
      <c r="N71" s="79"/>
    </row>
    <row r="72" spans="1:14" s="8" customFormat="1" ht="12.75" x14ac:dyDescent="0.25">
      <c r="A72" s="104"/>
      <c r="B72" s="104"/>
      <c r="C72" s="104"/>
      <c r="D72" s="104"/>
      <c r="J72" s="79"/>
      <c r="K72" s="79"/>
      <c r="L72" s="79"/>
      <c r="N72" s="79"/>
    </row>
    <row r="73" spans="1:14" s="8" customFormat="1" ht="12.75" x14ac:dyDescent="0.25">
      <c r="A73" s="104"/>
      <c r="B73" s="104"/>
      <c r="C73" s="104"/>
      <c r="D73" s="104"/>
      <c r="J73" s="79"/>
      <c r="K73" s="79"/>
      <c r="L73" s="79"/>
      <c r="N73" s="79"/>
    </row>
    <row r="74" spans="1:14" s="8" customFormat="1" ht="12.75" x14ac:dyDescent="0.25">
      <c r="A74" s="104"/>
      <c r="B74" s="104"/>
      <c r="C74" s="104"/>
      <c r="D74" s="104"/>
      <c r="J74" s="79"/>
      <c r="K74" s="79"/>
      <c r="L74" s="79"/>
      <c r="N74" s="79"/>
    </row>
    <row r="75" spans="1:14" s="8" customFormat="1" ht="12.75" x14ac:dyDescent="0.25">
      <c r="A75" s="104"/>
      <c r="B75" s="104"/>
      <c r="C75" s="104"/>
      <c r="D75" s="104"/>
      <c r="J75" s="79"/>
      <c r="K75" s="79"/>
      <c r="L75" s="79"/>
      <c r="N75" s="79"/>
    </row>
    <row r="76" spans="1:14" s="8" customFormat="1" ht="12.75" x14ac:dyDescent="0.25">
      <c r="A76" s="104"/>
      <c r="B76" s="104"/>
      <c r="C76" s="104"/>
      <c r="D76" s="104"/>
      <c r="J76" s="79"/>
      <c r="K76" s="79"/>
      <c r="L76" s="79"/>
      <c r="N76" s="79"/>
    </row>
    <row r="77" spans="1:14" s="8" customFormat="1" ht="12.75" x14ac:dyDescent="0.25">
      <c r="A77" s="104"/>
      <c r="B77" s="104"/>
      <c r="C77" s="104"/>
      <c r="D77" s="104"/>
      <c r="J77" s="79"/>
      <c r="K77" s="79"/>
      <c r="L77" s="79"/>
      <c r="N77" s="79"/>
    </row>
    <row r="78" spans="1:14" s="8" customFormat="1" ht="12.75" x14ac:dyDescent="0.25">
      <c r="A78" s="104"/>
      <c r="B78" s="104"/>
      <c r="C78" s="104"/>
      <c r="D78" s="104"/>
      <c r="J78" s="79"/>
      <c r="K78" s="79"/>
      <c r="L78" s="79"/>
      <c r="N78" s="79"/>
    </row>
    <row r="79" spans="1:14" s="8" customFormat="1" ht="12.75" x14ac:dyDescent="0.25">
      <c r="D79" s="104"/>
      <c r="J79" s="79"/>
      <c r="K79" s="79"/>
      <c r="L79" s="79"/>
      <c r="N79" s="79"/>
    </row>
    <row r="80" spans="1:14" s="8" customFormat="1" ht="12.75" x14ac:dyDescent="0.25">
      <c r="D80" s="104"/>
      <c r="J80" s="79"/>
      <c r="K80" s="79"/>
      <c r="L80" s="79"/>
      <c r="N80" s="79"/>
    </row>
    <row r="81" spans="4:14" s="8" customFormat="1" ht="12.75" x14ac:dyDescent="0.25">
      <c r="D81" s="104"/>
      <c r="J81" s="79"/>
      <c r="K81" s="79"/>
      <c r="L81" s="79"/>
      <c r="N81" s="79"/>
    </row>
    <row r="82" spans="4:14" s="8" customFormat="1" ht="12.75" x14ac:dyDescent="0.25">
      <c r="J82" s="79"/>
      <c r="K82" s="79"/>
      <c r="L82" s="79"/>
      <c r="N82" s="79"/>
    </row>
    <row r="83" spans="4:14" s="8" customFormat="1" ht="12.75" x14ac:dyDescent="0.25">
      <c r="J83" s="79"/>
      <c r="K83" s="79"/>
      <c r="L83" s="79"/>
      <c r="N83" s="79"/>
    </row>
    <row r="84" spans="4:14" s="8" customFormat="1" ht="12.75" x14ac:dyDescent="0.25">
      <c r="J84" s="79"/>
      <c r="K84" s="79"/>
      <c r="L84" s="79"/>
      <c r="N84" s="79"/>
    </row>
    <row r="85" spans="4:14" s="8" customFormat="1" ht="12.75" x14ac:dyDescent="0.25">
      <c r="J85" s="79"/>
      <c r="K85" s="79"/>
      <c r="L85" s="79"/>
      <c r="N85" s="79"/>
    </row>
    <row r="86" spans="4:14" s="8" customFormat="1" ht="12.75" x14ac:dyDescent="0.25">
      <c r="J86" s="79"/>
      <c r="K86" s="79"/>
      <c r="L86" s="79"/>
      <c r="N86" s="79"/>
    </row>
    <row r="87" spans="4:14" s="8" customFormat="1" ht="12.75" x14ac:dyDescent="0.25">
      <c r="J87" s="79"/>
      <c r="K87" s="79"/>
      <c r="L87" s="79"/>
      <c r="N87" s="79"/>
    </row>
    <row r="88" spans="4:14" s="8" customFormat="1" ht="12.75" x14ac:dyDescent="0.25">
      <c r="J88" s="79"/>
      <c r="K88" s="79"/>
      <c r="L88" s="79"/>
      <c r="N88" s="79"/>
    </row>
    <row r="89" spans="4:14" s="8" customFormat="1" ht="12.75" x14ac:dyDescent="0.25">
      <c r="J89" s="79"/>
      <c r="K89" s="79"/>
      <c r="L89" s="79"/>
      <c r="N89" s="79"/>
    </row>
    <row r="90" spans="4:14" s="8" customFormat="1" ht="12.75" x14ac:dyDescent="0.25">
      <c r="J90" s="79"/>
      <c r="K90" s="79"/>
      <c r="L90" s="79"/>
      <c r="N90" s="79"/>
    </row>
    <row r="91" spans="4:14" s="8" customFormat="1" ht="12.75" x14ac:dyDescent="0.25">
      <c r="J91" s="79"/>
      <c r="K91" s="79"/>
      <c r="L91" s="79"/>
      <c r="N91" s="79"/>
    </row>
    <row r="92" spans="4:14" s="8" customFormat="1" ht="12.75" x14ac:dyDescent="0.25">
      <c r="J92" s="79"/>
      <c r="K92" s="79"/>
      <c r="L92" s="79"/>
      <c r="N92" s="79"/>
    </row>
    <row r="93" spans="4:14" s="8" customFormat="1" ht="12.75" x14ac:dyDescent="0.25">
      <c r="J93" s="79"/>
      <c r="K93" s="79"/>
      <c r="L93" s="79"/>
      <c r="N93" s="79"/>
    </row>
    <row r="94" spans="4:14" s="8" customFormat="1" ht="12.75" x14ac:dyDescent="0.25">
      <c r="J94" s="79"/>
      <c r="K94" s="79"/>
      <c r="L94" s="79"/>
      <c r="N94" s="79"/>
    </row>
    <row r="95" spans="4:14" s="8" customFormat="1" ht="12.75" x14ac:dyDescent="0.25">
      <c r="J95" s="79"/>
      <c r="K95" s="79"/>
      <c r="L95" s="79"/>
      <c r="N95" s="79"/>
    </row>
    <row r="96" spans="4:14" s="8" customFormat="1" ht="12.75" x14ac:dyDescent="0.25">
      <c r="J96" s="79"/>
      <c r="K96" s="79"/>
      <c r="L96" s="79"/>
      <c r="N96" s="79"/>
    </row>
    <row r="97" spans="10:14" s="8" customFormat="1" ht="12.75" x14ac:dyDescent="0.25">
      <c r="J97" s="79"/>
      <c r="K97" s="79"/>
      <c r="L97" s="79"/>
      <c r="N97" s="79"/>
    </row>
    <row r="98" spans="10:14" s="8" customFormat="1" ht="12.75" x14ac:dyDescent="0.25">
      <c r="J98" s="79"/>
      <c r="K98" s="79"/>
      <c r="L98" s="79"/>
      <c r="N98" s="79"/>
    </row>
    <row r="99" spans="10:14" s="8" customFormat="1" ht="12.75" x14ac:dyDescent="0.25">
      <c r="J99" s="79"/>
      <c r="K99" s="79"/>
      <c r="L99" s="79"/>
      <c r="N99" s="79"/>
    </row>
    <row r="100" spans="10:14" s="8" customFormat="1" ht="12.75" x14ac:dyDescent="0.25">
      <c r="J100" s="79"/>
      <c r="K100" s="79"/>
      <c r="L100" s="79"/>
      <c r="N100" s="79"/>
    </row>
    <row r="101" spans="10:14" s="8" customFormat="1" ht="12.75" x14ac:dyDescent="0.25">
      <c r="J101" s="79"/>
      <c r="K101" s="79"/>
      <c r="L101" s="79"/>
      <c r="N101" s="79"/>
    </row>
    <row r="102" spans="10:14" s="8" customFormat="1" ht="12.75" x14ac:dyDescent="0.25">
      <c r="J102" s="79"/>
      <c r="K102" s="79"/>
      <c r="L102" s="79"/>
      <c r="N102" s="79"/>
    </row>
    <row r="103" spans="10:14" s="8" customFormat="1" ht="12.75" x14ac:dyDescent="0.25">
      <c r="J103" s="79"/>
      <c r="K103" s="79"/>
      <c r="L103" s="79"/>
      <c r="N103" s="79"/>
    </row>
    <row r="104" spans="10:14" s="8" customFormat="1" ht="12.75" x14ac:dyDescent="0.25">
      <c r="J104" s="79"/>
      <c r="K104" s="79"/>
      <c r="L104" s="79"/>
      <c r="N104" s="79"/>
    </row>
    <row r="105" spans="10:14" s="8" customFormat="1" ht="12.75" x14ac:dyDescent="0.25">
      <c r="J105" s="79"/>
      <c r="K105" s="79"/>
      <c r="L105" s="79"/>
      <c r="N105" s="79"/>
    </row>
    <row r="106" spans="10:14" s="8" customFormat="1" ht="12.75" x14ac:dyDescent="0.25">
      <c r="J106" s="79"/>
      <c r="K106" s="79"/>
      <c r="L106" s="79"/>
      <c r="N106" s="79"/>
    </row>
    <row r="107" spans="10:14" s="8" customFormat="1" ht="12.75" x14ac:dyDescent="0.25">
      <c r="J107" s="79"/>
      <c r="K107" s="79"/>
      <c r="L107" s="79"/>
      <c r="N107" s="79"/>
    </row>
    <row r="108" spans="10:14" s="8" customFormat="1" ht="12.75" x14ac:dyDescent="0.25">
      <c r="J108" s="79"/>
      <c r="K108" s="79"/>
      <c r="L108" s="79"/>
      <c r="N108" s="79"/>
    </row>
    <row r="109" spans="10:14" s="8" customFormat="1" ht="12.75" x14ac:dyDescent="0.25">
      <c r="J109" s="79"/>
      <c r="K109" s="79"/>
      <c r="L109" s="79"/>
      <c r="N109" s="79"/>
    </row>
    <row r="110" spans="10:14" s="8" customFormat="1" ht="12.75" x14ac:dyDescent="0.25">
      <c r="J110" s="79"/>
      <c r="K110" s="79"/>
      <c r="L110" s="79"/>
      <c r="N110" s="79"/>
    </row>
    <row r="111" spans="10:14" s="8" customFormat="1" ht="12.75" x14ac:dyDescent="0.25">
      <c r="J111" s="79"/>
      <c r="K111" s="79"/>
      <c r="L111" s="79"/>
      <c r="N111" s="79"/>
    </row>
    <row r="112" spans="10:14" s="8" customFormat="1" ht="12.75" x14ac:dyDescent="0.25">
      <c r="J112" s="79"/>
      <c r="K112" s="79"/>
      <c r="L112" s="79"/>
      <c r="N112" s="79"/>
    </row>
    <row r="113" spans="10:14" s="8" customFormat="1" ht="12.75" x14ac:dyDescent="0.25">
      <c r="J113" s="79"/>
      <c r="K113" s="79"/>
      <c r="L113" s="79"/>
      <c r="N113" s="79"/>
    </row>
    <row r="114" spans="10:14" s="8" customFormat="1" ht="12.75" x14ac:dyDescent="0.25">
      <c r="J114" s="79"/>
      <c r="K114" s="79"/>
      <c r="L114" s="79"/>
      <c r="N114" s="79"/>
    </row>
    <row r="115" spans="10:14" s="8" customFormat="1" ht="12.75" x14ac:dyDescent="0.25">
      <c r="J115" s="79"/>
      <c r="K115" s="79"/>
      <c r="L115" s="79"/>
      <c r="N115" s="79"/>
    </row>
    <row r="116" spans="10:14" s="8" customFormat="1" ht="12.75" x14ac:dyDescent="0.25">
      <c r="J116" s="79"/>
      <c r="K116" s="79"/>
      <c r="L116" s="79"/>
      <c r="N116" s="79"/>
    </row>
    <row r="117" spans="10:14" s="8" customFormat="1" ht="12.75" x14ac:dyDescent="0.25">
      <c r="J117" s="79"/>
      <c r="K117" s="79"/>
      <c r="L117" s="79"/>
      <c r="N117" s="79"/>
    </row>
    <row r="118" spans="10:14" s="8" customFormat="1" ht="12.75" x14ac:dyDescent="0.25">
      <c r="J118" s="79"/>
      <c r="K118" s="79"/>
      <c r="L118" s="79"/>
      <c r="N118" s="79"/>
    </row>
    <row r="119" spans="10:14" s="8" customFormat="1" ht="12.75" x14ac:dyDescent="0.25">
      <c r="J119" s="79"/>
      <c r="K119" s="79"/>
      <c r="L119" s="79"/>
      <c r="N119" s="79"/>
    </row>
    <row r="120" spans="10:14" s="8" customFormat="1" ht="12.75" x14ac:dyDescent="0.25">
      <c r="J120" s="79"/>
      <c r="K120" s="79"/>
      <c r="L120" s="79"/>
      <c r="N120" s="79"/>
    </row>
    <row r="121" spans="10:14" s="8" customFormat="1" ht="12.75" x14ac:dyDescent="0.25">
      <c r="J121" s="79"/>
      <c r="K121" s="79"/>
      <c r="L121" s="79"/>
      <c r="N121" s="79"/>
    </row>
    <row r="122" spans="10:14" s="8" customFormat="1" ht="12.75" x14ac:dyDescent="0.25">
      <c r="J122" s="79"/>
      <c r="K122" s="79"/>
      <c r="L122" s="79"/>
      <c r="N122" s="79"/>
    </row>
    <row r="123" spans="10:14" s="8" customFormat="1" ht="12.75" x14ac:dyDescent="0.25">
      <c r="J123" s="79"/>
      <c r="K123" s="79"/>
      <c r="L123" s="79"/>
      <c r="N123" s="79"/>
    </row>
    <row r="124" spans="10:14" s="8" customFormat="1" ht="12.75" x14ac:dyDescent="0.25">
      <c r="J124" s="79"/>
      <c r="K124" s="79"/>
      <c r="L124" s="79"/>
      <c r="N124" s="79"/>
    </row>
    <row r="125" spans="10:14" s="8" customFormat="1" ht="12.75" x14ac:dyDescent="0.25">
      <c r="J125" s="79"/>
      <c r="K125" s="79"/>
      <c r="L125" s="79"/>
      <c r="N125" s="79"/>
    </row>
    <row r="126" spans="10:14" s="8" customFormat="1" ht="12.75" x14ac:dyDescent="0.25">
      <c r="J126" s="79"/>
      <c r="K126" s="79"/>
      <c r="L126" s="79"/>
      <c r="N126" s="79"/>
    </row>
    <row r="127" spans="10:14" s="8" customFormat="1" ht="12.75" x14ac:dyDescent="0.25">
      <c r="J127" s="79"/>
      <c r="K127" s="79"/>
      <c r="L127" s="79"/>
      <c r="N127" s="79"/>
    </row>
    <row r="128" spans="10:14" s="8" customFormat="1" ht="12.75" x14ac:dyDescent="0.25">
      <c r="J128" s="79"/>
      <c r="K128" s="79"/>
      <c r="L128" s="79"/>
      <c r="N128" s="79"/>
    </row>
    <row r="129" spans="10:14" s="8" customFormat="1" ht="12.75" x14ac:dyDescent="0.25">
      <c r="J129" s="79"/>
      <c r="K129" s="79"/>
      <c r="L129" s="79"/>
      <c r="N129" s="79"/>
    </row>
    <row r="130" spans="10:14" s="8" customFormat="1" ht="12.75" x14ac:dyDescent="0.25">
      <c r="J130" s="79"/>
      <c r="K130" s="79"/>
      <c r="L130" s="79"/>
      <c r="N130" s="79"/>
    </row>
    <row r="131" spans="10:14" s="8" customFormat="1" ht="12.75" x14ac:dyDescent="0.25">
      <c r="J131" s="79"/>
      <c r="K131" s="79"/>
      <c r="L131" s="79"/>
      <c r="N131" s="79"/>
    </row>
    <row r="132" spans="10:14" s="8" customFormat="1" ht="12.75" x14ac:dyDescent="0.25">
      <c r="J132" s="79"/>
      <c r="K132" s="79"/>
      <c r="L132" s="79"/>
      <c r="N132" s="79"/>
    </row>
    <row r="133" spans="10:14" s="8" customFormat="1" ht="12.75" x14ac:dyDescent="0.25">
      <c r="J133" s="79"/>
      <c r="K133" s="79"/>
      <c r="L133" s="79"/>
      <c r="N133" s="79"/>
    </row>
    <row r="134" spans="10:14" s="8" customFormat="1" ht="12.75" x14ac:dyDescent="0.25">
      <c r="J134" s="79"/>
      <c r="K134" s="79"/>
      <c r="L134" s="79"/>
      <c r="N134" s="79"/>
    </row>
    <row r="135" spans="10:14" s="8" customFormat="1" ht="12.75" x14ac:dyDescent="0.25">
      <c r="J135" s="79"/>
      <c r="K135" s="79"/>
      <c r="L135" s="79"/>
      <c r="N135" s="79"/>
    </row>
    <row r="136" spans="10:14" s="8" customFormat="1" ht="12.75" x14ac:dyDescent="0.25">
      <c r="J136" s="79"/>
      <c r="K136" s="79"/>
      <c r="L136" s="79"/>
      <c r="N136" s="79"/>
    </row>
    <row r="137" spans="10:14" s="8" customFormat="1" ht="12.75" x14ac:dyDescent="0.25">
      <c r="J137" s="79"/>
      <c r="K137" s="79"/>
      <c r="L137" s="79"/>
      <c r="N137" s="79"/>
    </row>
    <row r="138" spans="10:14" s="8" customFormat="1" ht="12.75" x14ac:dyDescent="0.25">
      <c r="J138" s="79"/>
      <c r="K138" s="79"/>
      <c r="L138" s="79"/>
      <c r="N138" s="79"/>
    </row>
    <row r="139" spans="10:14" s="8" customFormat="1" ht="12.75" x14ac:dyDescent="0.25">
      <c r="J139" s="79"/>
      <c r="K139" s="79"/>
      <c r="L139" s="79"/>
      <c r="N139" s="79"/>
    </row>
    <row r="140" spans="10:14" s="8" customFormat="1" ht="12.75" x14ac:dyDescent="0.25">
      <c r="J140" s="79"/>
      <c r="K140" s="79"/>
      <c r="L140" s="79"/>
      <c r="N140" s="79"/>
    </row>
    <row r="141" spans="10:14" s="8" customFormat="1" ht="12.75" x14ac:dyDescent="0.25">
      <c r="J141" s="79"/>
      <c r="K141" s="79"/>
      <c r="L141" s="79"/>
      <c r="N141" s="79"/>
    </row>
    <row r="142" spans="10:14" s="8" customFormat="1" ht="12.75" x14ac:dyDescent="0.25">
      <c r="J142" s="79"/>
      <c r="K142" s="79"/>
      <c r="L142" s="79"/>
      <c r="N142" s="79"/>
    </row>
    <row r="143" spans="10:14" s="8" customFormat="1" ht="12.75" x14ac:dyDescent="0.25">
      <c r="J143" s="79"/>
      <c r="K143" s="79"/>
      <c r="L143" s="79"/>
      <c r="N143" s="79"/>
    </row>
    <row r="144" spans="10:14" s="8" customFormat="1" ht="12.75" x14ac:dyDescent="0.25">
      <c r="J144" s="79"/>
      <c r="K144" s="79"/>
      <c r="L144" s="79"/>
      <c r="N144" s="79"/>
    </row>
    <row r="145" spans="10:14" s="8" customFormat="1" ht="12.75" x14ac:dyDescent="0.25">
      <c r="J145" s="79"/>
      <c r="K145" s="79"/>
      <c r="L145" s="79"/>
      <c r="N145" s="79"/>
    </row>
    <row r="146" spans="10:14" s="8" customFormat="1" ht="12.75" x14ac:dyDescent="0.25">
      <c r="J146" s="79"/>
      <c r="K146" s="79"/>
      <c r="L146" s="79"/>
      <c r="N146" s="79"/>
    </row>
    <row r="147" spans="10:14" s="8" customFormat="1" ht="12.75" x14ac:dyDescent="0.25">
      <c r="J147" s="79"/>
      <c r="K147" s="79"/>
      <c r="L147" s="79"/>
      <c r="N147" s="79"/>
    </row>
    <row r="148" spans="10:14" s="8" customFormat="1" ht="12.75" x14ac:dyDescent="0.25">
      <c r="J148" s="79"/>
      <c r="K148" s="79"/>
      <c r="L148" s="79"/>
      <c r="N148" s="79"/>
    </row>
    <row r="149" spans="10:14" s="8" customFormat="1" ht="12.75" x14ac:dyDescent="0.25">
      <c r="J149" s="79"/>
      <c r="K149" s="79"/>
      <c r="L149" s="79"/>
      <c r="N149" s="79"/>
    </row>
    <row r="150" spans="10:14" s="8" customFormat="1" ht="12.75" x14ac:dyDescent="0.25">
      <c r="J150" s="79"/>
      <c r="K150" s="79"/>
      <c r="L150" s="79"/>
      <c r="N150" s="79"/>
    </row>
    <row r="151" spans="10:14" s="8" customFormat="1" ht="12.75" x14ac:dyDescent="0.25">
      <c r="J151" s="79"/>
      <c r="K151" s="79"/>
      <c r="L151" s="79"/>
      <c r="N151" s="79"/>
    </row>
    <row r="152" spans="10:14" s="8" customFormat="1" ht="12.75" x14ac:dyDescent="0.25">
      <c r="J152" s="79"/>
      <c r="K152" s="79"/>
      <c r="L152" s="79"/>
      <c r="N152" s="79"/>
    </row>
    <row r="153" spans="10:14" s="8" customFormat="1" ht="12.75" x14ac:dyDescent="0.25">
      <c r="J153" s="79"/>
      <c r="K153" s="79"/>
      <c r="L153" s="79"/>
      <c r="N153" s="79"/>
    </row>
    <row r="154" spans="10:14" s="8" customFormat="1" ht="12.75" x14ac:dyDescent="0.25">
      <c r="J154" s="79"/>
      <c r="K154" s="79"/>
      <c r="L154" s="79"/>
      <c r="N154" s="79"/>
    </row>
    <row r="155" spans="10:14" s="8" customFormat="1" ht="12.75" x14ac:dyDescent="0.25">
      <c r="J155" s="79"/>
      <c r="K155" s="79"/>
      <c r="L155" s="79"/>
      <c r="N155" s="79"/>
    </row>
    <row r="156" spans="10:14" s="8" customFormat="1" ht="12.75" x14ac:dyDescent="0.25">
      <c r="J156" s="79"/>
      <c r="K156" s="79"/>
      <c r="L156" s="79"/>
      <c r="N156" s="79"/>
    </row>
    <row r="157" spans="10:14" s="8" customFormat="1" ht="12.75" x14ac:dyDescent="0.25">
      <c r="J157" s="79"/>
      <c r="K157" s="79"/>
      <c r="L157" s="79"/>
      <c r="N157" s="79"/>
    </row>
    <row r="158" spans="10:14" s="8" customFormat="1" ht="12.75" x14ac:dyDescent="0.25">
      <c r="J158" s="79"/>
      <c r="K158" s="79"/>
      <c r="L158" s="79"/>
      <c r="N158" s="79"/>
    </row>
    <row r="159" spans="10:14" s="8" customFormat="1" ht="12.75" x14ac:dyDescent="0.25">
      <c r="J159" s="79"/>
      <c r="K159" s="79"/>
      <c r="L159" s="79"/>
      <c r="N159" s="79"/>
    </row>
    <row r="160" spans="10:14" s="8" customFormat="1" ht="12.75" x14ac:dyDescent="0.25">
      <c r="J160" s="79"/>
      <c r="K160" s="79"/>
      <c r="L160" s="79"/>
      <c r="N160" s="79"/>
    </row>
    <row r="161" spans="10:14" s="8" customFormat="1" ht="12.75" x14ac:dyDescent="0.25">
      <c r="J161" s="79"/>
      <c r="K161" s="79"/>
      <c r="L161" s="79"/>
      <c r="N161" s="79"/>
    </row>
    <row r="162" spans="10:14" s="8" customFormat="1" ht="12.75" x14ac:dyDescent="0.25">
      <c r="J162" s="79"/>
      <c r="K162" s="79"/>
      <c r="L162" s="79"/>
      <c r="N162" s="79"/>
    </row>
    <row r="163" spans="10:14" s="8" customFormat="1" ht="12.75" x14ac:dyDescent="0.25">
      <c r="J163" s="79"/>
      <c r="K163" s="79"/>
      <c r="L163" s="79"/>
      <c r="N163" s="79"/>
    </row>
    <row r="164" spans="10:14" s="8" customFormat="1" ht="12.75" x14ac:dyDescent="0.25">
      <c r="J164" s="79"/>
      <c r="K164" s="79"/>
      <c r="L164" s="79"/>
      <c r="N164" s="79"/>
    </row>
    <row r="165" spans="10:14" s="8" customFormat="1" ht="12.75" x14ac:dyDescent="0.25">
      <c r="J165" s="79"/>
      <c r="K165" s="79"/>
      <c r="L165" s="79"/>
      <c r="N165" s="79"/>
    </row>
    <row r="166" spans="10:14" s="8" customFormat="1" ht="12.75" x14ac:dyDescent="0.25">
      <c r="J166" s="79"/>
      <c r="K166" s="79"/>
      <c r="L166" s="79"/>
      <c r="N166" s="79"/>
    </row>
    <row r="167" spans="10:14" s="8" customFormat="1" ht="12.75" x14ac:dyDescent="0.25">
      <c r="J167" s="79"/>
      <c r="K167" s="79"/>
      <c r="L167" s="79"/>
      <c r="N167" s="79"/>
    </row>
    <row r="168" spans="10:14" s="8" customFormat="1" ht="12.75" x14ac:dyDescent="0.25">
      <c r="J168" s="79"/>
      <c r="K168" s="79"/>
      <c r="L168" s="79"/>
      <c r="N168" s="79"/>
    </row>
    <row r="169" spans="10:14" s="8" customFormat="1" ht="12.75" x14ac:dyDescent="0.25">
      <c r="J169" s="79"/>
      <c r="K169" s="79"/>
      <c r="L169" s="79"/>
      <c r="N169" s="79"/>
    </row>
    <row r="170" spans="10:14" s="8" customFormat="1" ht="12.75" x14ac:dyDescent="0.25">
      <c r="J170" s="79"/>
      <c r="K170" s="79"/>
      <c r="L170" s="79"/>
      <c r="N170" s="79"/>
    </row>
    <row r="171" spans="10:14" s="8" customFormat="1" ht="12.75" x14ac:dyDescent="0.25">
      <c r="J171" s="79"/>
      <c r="K171" s="79"/>
      <c r="L171" s="79"/>
      <c r="N171" s="79"/>
    </row>
    <row r="172" spans="10:14" s="8" customFormat="1" ht="12.75" x14ac:dyDescent="0.25">
      <c r="J172" s="79"/>
      <c r="K172" s="79"/>
      <c r="L172" s="79"/>
      <c r="N172" s="79"/>
    </row>
    <row r="173" spans="10:14" s="8" customFormat="1" ht="12.75" x14ac:dyDescent="0.25">
      <c r="J173" s="79"/>
      <c r="K173" s="79"/>
      <c r="L173" s="79"/>
      <c r="N173" s="79"/>
    </row>
    <row r="174" spans="10:14" s="8" customFormat="1" ht="12.75" x14ac:dyDescent="0.25">
      <c r="J174" s="79"/>
      <c r="K174" s="79"/>
      <c r="L174" s="79"/>
      <c r="N174" s="79"/>
    </row>
    <row r="175" spans="10:14" s="8" customFormat="1" ht="12.75" x14ac:dyDescent="0.25">
      <c r="J175" s="79"/>
      <c r="K175" s="79"/>
      <c r="L175" s="79"/>
      <c r="N175" s="79"/>
    </row>
    <row r="176" spans="10:14" s="8" customFormat="1" ht="12.75" x14ac:dyDescent="0.25">
      <c r="J176" s="79"/>
      <c r="K176" s="79"/>
      <c r="L176" s="79"/>
      <c r="N176" s="79"/>
    </row>
    <row r="177" spans="6:14" s="8" customFormat="1" ht="12.75" x14ac:dyDescent="0.25">
      <c r="J177" s="79"/>
      <c r="K177" s="79"/>
      <c r="L177" s="79"/>
      <c r="N177" s="79"/>
    </row>
    <row r="178" spans="6:14" s="8" customFormat="1" ht="12.75" x14ac:dyDescent="0.25">
      <c r="J178" s="79"/>
      <c r="K178" s="79"/>
      <c r="L178" s="79"/>
      <c r="N178" s="79"/>
    </row>
    <row r="179" spans="6:14" s="8" customFormat="1" ht="12.75" x14ac:dyDescent="0.25">
      <c r="J179" s="79"/>
      <c r="K179" s="79"/>
      <c r="L179" s="79"/>
      <c r="N179" s="79"/>
    </row>
    <row r="180" spans="6:14" s="8" customFormat="1" ht="12.75" x14ac:dyDescent="0.25">
      <c r="J180" s="79"/>
      <c r="K180" s="79"/>
      <c r="L180" s="79"/>
      <c r="N180" s="79"/>
    </row>
    <row r="181" spans="6:14" s="8" customFormat="1" ht="12.75" x14ac:dyDescent="0.25">
      <c r="J181" s="79"/>
      <c r="K181" s="79"/>
      <c r="L181" s="79"/>
      <c r="N181" s="79"/>
    </row>
    <row r="182" spans="6:14" s="8" customFormat="1" ht="12.75" x14ac:dyDescent="0.25">
      <c r="J182" s="79"/>
      <c r="K182" s="79"/>
      <c r="L182" s="79"/>
      <c r="N182" s="79"/>
    </row>
    <row r="183" spans="6:14" s="8" customFormat="1" ht="12.75" x14ac:dyDescent="0.25">
      <c r="J183" s="79"/>
      <c r="K183" s="79"/>
      <c r="L183" s="79"/>
      <c r="N183" s="79"/>
    </row>
    <row r="184" spans="6:14" s="8" customFormat="1" ht="12.75" x14ac:dyDescent="0.25">
      <c r="J184" s="79"/>
      <c r="K184" s="79"/>
      <c r="L184" s="79"/>
      <c r="N184" s="79"/>
    </row>
    <row r="185" spans="6:14" s="8" customFormat="1" ht="12.75" x14ac:dyDescent="0.25">
      <c r="J185" s="79"/>
      <c r="K185" s="79"/>
      <c r="L185" s="79"/>
      <c r="N185" s="79"/>
    </row>
    <row r="186" spans="6:14" s="8" customFormat="1" ht="12.75" x14ac:dyDescent="0.25">
      <c r="F186" s="6"/>
      <c r="G186" s="6"/>
      <c r="H186" s="6"/>
      <c r="I186" s="6"/>
      <c r="J186" s="3"/>
      <c r="K186" s="3"/>
      <c r="L186" s="3"/>
      <c r="N186" s="3"/>
    </row>
    <row r="187" spans="6:14" s="8" customFormat="1" ht="12.75" x14ac:dyDescent="0.25">
      <c r="F187" s="6"/>
      <c r="G187" s="6"/>
      <c r="H187" s="6"/>
      <c r="I187" s="6"/>
      <c r="J187" s="3"/>
      <c r="K187" s="3"/>
      <c r="L187" s="3"/>
      <c r="N187" s="3"/>
    </row>
    <row r="188" spans="6:14" s="8" customFormat="1" ht="12.75" x14ac:dyDescent="0.25">
      <c r="F188" s="6"/>
      <c r="G188" s="6"/>
      <c r="H188" s="6"/>
      <c r="I188" s="6"/>
      <c r="J188" s="3"/>
      <c r="K188" s="3"/>
      <c r="L188" s="3"/>
      <c r="N188" s="3"/>
    </row>
    <row r="189" spans="6:14" s="8" customFormat="1" ht="12.75" x14ac:dyDescent="0.25">
      <c r="F189" s="6"/>
      <c r="G189" s="6"/>
      <c r="H189" s="6"/>
      <c r="I189" s="6"/>
      <c r="J189" s="3"/>
      <c r="K189" s="3"/>
      <c r="L189" s="3"/>
      <c r="N189" s="3"/>
    </row>
    <row r="190" spans="6:14" s="8" customFormat="1" ht="12.75" x14ac:dyDescent="0.25">
      <c r="F190" s="6"/>
      <c r="G190" s="6"/>
      <c r="H190" s="6"/>
      <c r="I190" s="6"/>
      <c r="J190" s="3"/>
      <c r="K190" s="3"/>
      <c r="L190" s="3"/>
      <c r="N190" s="3"/>
    </row>
    <row r="191" spans="6:14" s="8" customFormat="1" ht="12.75" x14ac:dyDescent="0.25">
      <c r="F191" s="6"/>
      <c r="G191" s="6"/>
      <c r="H191" s="6"/>
      <c r="I191" s="6"/>
      <c r="J191" s="3"/>
      <c r="K191" s="3"/>
      <c r="L191" s="3"/>
      <c r="N191" s="3"/>
    </row>
    <row r="192" spans="6:14" s="8" customFormat="1" ht="12.75" x14ac:dyDescent="0.25">
      <c r="F192" s="6"/>
      <c r="G192" s="6"/>
      <c r="H192" s="6"/>
      <c r="I192" s="6"/>
      <c r="J192" s="3"/>
      <c r="K192" s="3"/>
      <c r="L192" s="3"/>
      <c r="N192" s="3"/>
    </row>
    <row r="193" spans="5:15" s="8" customFormat="1" ht="12.75" x14ac:dyDescent="0.25">
      <c r="F193" s="6"/>
      <c r="G193" s="6"/>
      <c r="H193" s="6"/>
      <c r="I193" s="6"/>
      <c r="J193" s="3"/>
      <c r="K193" s="3"/>
      <c r="L193" s="3"/>
      <c r="N193" s="3"/>
    </row>
    <row r="194" spans="5:15" s="8" customFormat="1" ht="12.75" x14ac:dyDescent="0.25">
      <c r="F194" s="6"/>
      <c r="G194" s="6"/>
      <c r="H194" s="6"/>
      <c r="I194" s="6"/>
      <c r="J194" s="3"/>
      <c r="K194" s="3"/>
      <c r="L194" s="3"/>
      <c r="N194" s="3"/>
    </row>
    <row r="195" spans="5:15" s="8" customFormat="1" ht="12.75" x14ac:dyDescent="0.25">
      <c r="F195" s="6"/>
      <c r="G195" s="6"/>
      <c r="H195" s="6"/>
      <c r="I195" s="6"/>
      <c r="J195" s="3"/>
      <c r="K195" s="3"/>
      <c r="L195" s="3"/>
      <c r="N195" s="3"/>
    </row>
    <row r="196" spans="5:15" s="8" customFormat="1" ht="12.75" x14ac:dyDescent="0.25">
      <c r="F196" s="6"/>
      <c r="G196" s="6"/>
      <c r="H196" s="6"/>
      <c r="I196" s="6"/>
      <c r="J196" s="3"/>
      <c r="K196" s="3"/>
      <c r="L196" s="3"/>
      <c r="N196" s="3"/>
    </row>
    <row r="197" spans="5:15" s="8" customFormat="1" ht="12.75" x14ac:dyDescent="0.25">
      <c r="F197" s="6"/>
      <c r="G197" s="6"/>
      <c r="H197" s="6"/>
      <c r="I197" s="6"/>
      <c r="J197" s="3"/>
      <c r="K197" s="3"/>
      <c r="L197" s="3"/>
      <c r="N197" s="3"/>
    </row>
    <row r="198" spans="5:15" s="8" customFormat="1" ht="12.75" x14ac:dyDescent="0.25">
      <c r="F198" s="6"/>
      <c r="G198" s="6"/>
      <c r="H198" s="6"/>
      <c r="I198" s="6"/>
      <c r="J198" s="3"/>
      <c r="K198" s="3"/>
      <c r="L198" s="3"/>
      <c r="N198" s="3"/>
    </row>
    <row r="199" spans="5:15" s="8" customFormat="1" ht="12.75" x14ac:dyDescent="0.25">
      <c r="F199" s="6"/>
      <c r="G199" s="6"/>
      <c r="H199" s="6"/>
      <c r="I199" s="6"/>
      <c r="J199" s="3"/>
      <c r="K199" s="3"/>
      <c r="L199" s="3"/>
      <c r="N199" s="3"/>
    </row>
    <row r="200" spans="5:15" s="8" customFormat="1" ht="12.75" x14ac:dyDescent="0.25">
      <c r="F200" s="6"/>
      <c r="G200" s="6"/>
      <c r="H200" s="6"/>
      <c r="I200" s="6"/>
      <c r="J200" s="3"/>
      <c r="K200" s="3"/>
      <c r="L200" s="3"/>
      <c r="N200" s="3"/>
    </row>
    <row r="201" spans="5:15" s="8" customFormat="1" ht="12.75" x14ac:dyDescent="0.25">
      <c r="F201" s="6"/>
      <c r="G201" s="6"/>
      <c r="H201" s="6"/>
      <c r="I201" s="6"/>
      <c r="J201" s="3"/>
      <c r="K201" s="3"/>
      <c r="L201" s="3"/>
      <c r="N201" s="3"/>
    </row>
    <row r="202" spans="5:15" s="8" customFormat="1" ht="12.75" x14ac:dyDescent="0.25">
      <c r="F202" s="6"/>
      <c r="G202" s="6"/>
      <c r="H202" s="6"/>
      <c r="I202" s="6"/>
      <c r="J202" s="3"/>
      <c r="K202" s="3"/>
      <c r="L202" s="3"/>
      <c r="N202" s="3"/>
    </row>
    <row r="203" spans="5:15" s="8" customFormat="1" ht="12.75" x14ac:dyDescent="0.25">
      <c r="F203" s="6"/>
      <c r="G203" s="6"/>
      <c r="H203" s="6"/>
      <c r="I203" s="6"/>
      <c r="J203" s="3"/>
      <c r="K203" s="3"/>
      <c r="L203" s="3"/>
      <c r="N203" s="3"/>
    </row>
    <row r="204" spans="5:15" s="8" customFormat="1" ht="12.75" x14ac:dyDescent="0.25">
      <c r="F204" s="6"/>
      <c r="G204" s="6"/>
      <c r="H204" s="6"/>
      <c r="I204" s="6"/>
      <c r="J204" s="3"/>
      <c r="K204" s="3"/>
      <c r="L204" s="3"/>
      <c r="N204" s="3"/>
    </row>
    <row r="205" spans="5:15" s="8" customFormat="1" ht="12.75" x14ac:dyDescent="0.25">
      <c r="F205" s="6"/>
      <c r="G205" s="6"/>
      <c r="H205" s="6"/>
      <c r="I205" s="6"/>
      <c r="J205" s="3"/>
      <c r="K205" s="3"/>
      <c r="L205" s="3"/>
      <c r="N205" s="3"/>
    </row>
    <row r="206" spans="5:15" s="8" customFormat="1" ht="12.75" x14ac:dyDescent="0.25">
      <c r="E206" s="6"/>
      <c r="F206" s="6"/>
      <c r="G206" s="6"/>
      <c r="H206" s="6"/>
      <c r="I206" s="6"/>
      <c r="J206" s="3"/>
      <c r="K206" s="3"/>
      <c r="L206" s="3"/>
      <c r="N206" s="3"/>
      <c r="O206" s="6"/>
    </row>
    <row r="207" spans="5:15" s="8" customFormat="1" ht="12.75" x14ac:dyDescent="0.25">
      <c r="E207" s="6"/>
      <c r="F207" s="6"/>
      <c r="G207" s="6"/>
      <c r="H207" s="6"/>
      <c r="I207" s="6"/>
      <c r="J207" s="3"/>
      <c r="K207" s="3"/>
      <c r="L207" s="3"/>
      <c r="N207" s="3"/>
      <c r="O207" s="6"/>
    </row>
    <row r="208" spans="5:15" s="8" customFormat="1" ht="12.75" x14ac:dyDescent="0.25">
      <c r="E208" s="6"/>
      <c r="F208" s="6"/>
      <c r="G208" s="6"/>
      <c r="H208" s="6"/>
      <c r="I208" s="6"/>
      <c r="J208" s="3"/>
      <c r="K208" s="3"/>
      <c r="L208" s="3"/>
      <c r="N208" s="3"/>
      <c r="O208" s="6"/>
    </row>
    <row r="209" spans="5:15" s="8" customFormat="1" ht="12.75" x14ac:dyDescent="0.25">
      <c r="E209" s="6"/>
      <c r="F209" s="6"/>
      <c r="G209" s="6"/>
      <c r="H209" s="6"/>
      <c r="I209" s="6"/>
      <c r="J209" s="3"/>
      <c r="K209" s="3"/>
      <c r="L209" s="3"/>
      <c r="N209" s="3"/>
      <c r="O209" s="6"/>
    </row>
    <row r="210" spans="5:15" s="8" customFormat="1" ht="12.75" x14ac:dyDescent="0.25">
      <c r="E210" s="6"/>
      <c r="F210" s="6"/>
      <c r="G210" s="6"/>
      <c r="H210" s="6"/>
      <c r="I210" s="6"/>
      <c r="J210" s="3"/>
      <c r="K210" s="3"/>
      <c r="L210" s="3"/>
      <c r="N210" s="3"/>
      <c r="O210" s="6"/>
    </row>
    <row r="211" spans="5:15" s="8" customFormat="1" ht="12.75" x14ac:dyDescent="0.25">
      <c r="E211" s="6"/>
      <c r="F211" s="6"/>
      <c r="G211" s="6"/>
      <c r="H211" s="6"/>
      <c r="I211" s="6"/>
      <c r="J211" s="3"/>
      <c r="K211" s="3"/>
      <c r="L211" s="3"/>
      <c r="N211" s="3"/>
      <c r="O211" s="6"/>
    </row>
    <row r="212" spans="5:15" s="8" customFormat="1" ht="12.75" x14ac:dyDescent="0.25">
      <c r="E212" s="6"/>
      <c r="F212" s="6"/>
      <c r="G212" s="6"/>
      <c r="H212" s="6"/>
      <c r="I212" s="6"/>
      <c r="J212" s="3"/>
      <c r="K212" s="3"/>
      <c r="L212" s="3"/>
      <c r="N212" s="3"/>
      <c r="O212" s="6"/>
    </row>
    <row r="213" spans="5:15" s="8" customFormat="1" ht="12.75" x14ac:dyDescent="0.25">
      <c r="E213" s="6"/>
      <c r="F213" s="6"/>
      <c r="G213" s="6"/>
      <c r="H213" s="6"/>
      <c r="I213" s="6"/>
      <c r="J213" s="3"/>
      <c r="K213" s="3"/>
      <c r="L213" s="3"/>
      <c r="N213" s="3"/>
      <c r="O213" s="6"/>
    </row>
    <row r="214" spans="5:15" s="8" customFormat="1" ht="12.75" x14ac:dyDescent="0.25">
      <c r="E214" s="6"/>
      <c r="F214" s="6"/>
      <c r="G214" s="6"/>
      <c r="H214" s="6"/>
      <c r="I214" s="6"/>
      <c r="J214" s="3"/>
      <c r="K214" s="3"/>
      <c r="L214" s="3"/>
      <c r="N214" s="3"/>
      <c r="O214" s="6"/>
    </row>
    <row r="215" spans="5:15" s="8" customFormat="1" ht="12.75" x14ac:dyDescent="0.25">
      <c r="E215" s="6"/>
      <c r="F215" s="6"/>
      <c r="G215" s="6"/>
      <c r="H215" s="6"/>
      <c r="I215" s="6"/>
      <c r="J215" s="3"/>
      <c r="K215" s="3"/>
      <c r="L215" s="3"/>
      <c r="N215" s="3"/>
      <c r="O215" s="6"/>
    </row>
    <row r="216" spans="5:15" s="8" customFormat="1" ht="12.75" x14ac:dyDescent="0.25">
      <c r="E216" s="6"/>
      <c r="F216" s="6"/>
      <c r="G216" s="6"/>
      <c r="H216" s="6"/>
      <c r="I216" s="6"/>
      <c r="J216" s="3"/>
      <c r="K216" s="3"/>
      <c r="L216" s="3"/>
      <c r="N216" s="3"/>
      <c r="O216" s="6"/>
    </row>
    <row r="217" spans="5:15" s="8" customFormat="1" ht="12.75" x14ac:dyDescent="0.25">
      <c r="E217" s="6"/>
      <c r="F217" s="6"/>
      <c r="G217" s="6"/>
      <c r="H217" s="6"/>
      <c r="I217" s="6"/>
      <c r="J217" s="3"/>
      <c r="K217" s="3"/>
      <c r="L217" s="3"/>
      <c r="N217" s="3"/>
      <c r="O217" s="6"/>
    </row>
    <row r="218" spans="5:15" s="8" customFormat="1" ht="12.75" x14ac:dyDescent="0.25">
      <c r="E218" s="6"/>
      <c r="F218" s="6"/>
      <c r="G218" s="6"/>
      <c r="H218" s="6"/>
      <c r="I218" s="6"/>
      <c r="J218" s="3"/>
      <c r="K218" s="3"/>
      <c r="L218" s="3"/>
      <c r="N218" s="3"/>
      <c r="O218" s="6"/>
    </row>
    <row r="219" spans="5:15" s="8" customFormat="1" ht="12.75" x14ac:dyDescent="0.25">
      <c r="E219" s="6"/>
      <c r="F219" s="6"/>
      <c r="G219" s="6"/>
      <c r="H219" s="6"/>
      <c r="I219" s="6"/>
      <c r="J219" s="3"/>
      <c r="K219" s="3"/>
      <c r="L219" s="3"/>
      <c r="N219" s="3"/>
      <c r="O219" s="6"/>
    </row>
    <row r="220" spans="5:15" s="8" customFormat="1" ht="12.75" x14ac:dyDescent="0.25">
      <c r="E220" s="6"/>
      <c r="F220" s="6"/>
      <c r="G220" s="6"/>
      <c r="H220" s="6"/>
      <c r="I220" s="6"/>
      <c r="J220" s="3"/>
      <c r="K220" s="3"/>
      <c r="L220" s="3"/>
      <c r="N220" s="3"/>
      <c r="O220" s="6"/>
    </row>
    <row r="221" spans="5:15" s="8" customFormat="1" ht="12.75" x14ac:dyDescent="0.25">
      <c r="E221" s="6"/>
      <c r="F221" s="6"/>
      <c r="G221" s="6"/>
      <c r="H221" s="6"/>
      <c r="I221" s="6"/>
      <c r="J221" s="3"/>
      <c r="K221" s="3"/>
      <c r="L221" s="3"/>
      <c r="N221" s="3"/>
      <c r="O221" s="6"/>
    </row>
    <row r="222" spans="5:15" s="8" customFormat="1" ht="12.75" x14ac:dyDescent="0.25">
      <c r="E222" s="6"/>
      <c r="F222" s="6"/>
      <c r="G222" s="6"/>
      <c r="H222" s="6"/>
      <c r="I222" s="6"/>
      <c r="J222" s="3"/>
      <c r="K222" s="3"/>
      <c r="L222" s="3"/>
      <c r="N222" s="3"/>
      <c r="O222" s="6"/>
    </row>
    <row r="223" spans="5:15" s="8" customFormat="1" ht="12.75" x14ac:dyDescent="0.25">
      <c r="E223" s="6"/>
      <c r="F223" s="6"/>
      <c r="G223" s="6"/>
      <c r="H223" s="6"/>
      <c r="I223" s="6"/>
      <c r="J223" s="3"/>
      <c r="K223" s="3"/>
      <c r="L223" s="3"/>
      <c r="N223" s="3"/>
      <c r="O223" s="6"/>
    </row>
    <row r="224" spans="5:15" s="8" customFormat="1" ht="12.75" x14ac:dyDescent="0.25">
      <c r="E224" s="6"/>
      <c r="F224" s="6"/>
      <c r="G224" s="6"/>
      <c r="H224" s="6"/>
      <c r="I224" s="6"/>
      <c r="J224" s="3"/>
      <c r="K224" s="3"/>
      <c r="L224" s="3"/>
      <c r="N224" s="3"/>
      <c r="O224" s="6"/>
    </row>
    <row r="225" spans="1:15" s="8" customFormat="1" ht="12.75" x14ac:dyDescent="0.25">
      <c r="E225" s="6"/>
      <c r="F225" s="6"/>
      <c r="G225" s="6"/>
      <c r="H225" s="6"/>
      <c r="I225" s="6"/>
      <c r="J225" s="3"/>
      <c r="K225" s="3"/>
      <c r="L225" s="3"/>
      <c r="N225" s="3"/>
      <c r="O225" s="6"/>
    </row>
    <row r="226" spans="1:15" s="8" customFormat="1" ht="12.75" x14ac:dyDescent="0.25">
      <c r="E226" s="6"/>
      <c r="F226" s="6"/>
      <c r="G226" s="6"/>
      <c r="H226" s="6"/>
      <c r="I226" s="6"/>
      <c r="J226" s="3"/>
      <c r="K226" s="3"/>
      <c r="L226" s="3"/>
      <c r="N226" s="3"/>
      <c r="O226" s="6"/>
    </row>
    <row r="227" spans="1:15" s="8" customFormat="1" ht="12.75" x14ac:dyDescent="0.25">
      <c r="E227" s="6"/>
      <c r="F227" s="6"/>
      <c r="G227" s="6"/>
      <c r="H227" s="6"/>
      <c r="I227" s="6"/>
      <c r="J227" s="3"/>
      <c r="K227" s="3"/>
      <c r="L227" s="3"/>
      <c r="N227" s="3"/>
      <c r="O227" s="6"/>
    </row>
    <row r="228" spans="1:15" s="8" customFormat="1" ht="12.75" x14ac:dyDescent="0.25">
      <c r="E228" s="6"/>
      <c r="F228" s="6"/>
      <c r="G228" s="6"/>
      <c r="H228" s="6"/>
      <c r="I228" s="6"/>
      <c r="J228" s="3"/>
      <c r="K228" s="3"/>
      <c r="L228" s="3"/>
      <c r="N228" s="3"/>
      <c r="O228" s="6"/>
    </row>
    <row r="229" spans="1:15" s="8" customFormat="1" ht="12.75" x14ac:dyDescent="0.25">
      <c r="E229" s="6"/>
      <c r="F229" s="6"/>
      <c r="G229" s="6"/>
      <c r="H229" s="6"/>
      <c r="I229" s="6"/>
      <c r="J229" s="3"/>
      <c r="K229" s="3"/>
      <c r="L229" s="3"/>
      <c r="N229" s="3"/>
      <c r="O229" s="6"/>
    </row>
    <row r="230" spans="1:15" s="8" customFormat="1" ht="12.75" x14ac:dyDescent="0.25">
      <c r="E230" s="6"/>
      <c r="F230" s="6"/>
      <c r="G230" s="6"/>
      <c r="H230" s="6"/>
      <c r="I230" s="6"/>
      <c r="J230" s="3"/>
      <c r="K230" s="3"/>
      <c r="L230" s="3"/>
      <c r="N230" s="3"/>
      <c r="O230" s="6"/>
    </row>
    <row r="231" spans="1:15" s="8" customFormat="1" ht="12.75" x14ac:dyDescent="0.25">
      <c r="E231" s="6"/>
      <c r="F231" s="6"/>
      <c r="G231" s="6"/>
      <c r="H231" s="6"/>
      <c r="I231" s="6"/>
      <c r="J231" s="3"/>
      <c r="K231" s="3"/>
      <c r="L231" s="3"/>
      <c r="N231" s="3"/>
      <c r="O231" s="6"/>
    </row>
    <row r="232" spans="1:15" s="8" customFormat="1" ht="12.75" x14ac:dyDescent="0.25">
      <c r="E232" s="6"/>
      <c r="F232" s="6"/>
      <c r="G232" s="6"/>
      <c r="H232" s="6"/>
      <c r="I232" s="6"/>
      <c r="J232" s="3"/>
      <c r="K232" s="3"/>
      <c r="L232" s="3"/>
      <c r="N232" s="3"/>
      <c r="O232" s="6"/>
    </row>
    <row r="233" spans="1:15" s="8" customFormat="1" ht="12.75" x14ac:dyDescent="0.25">
      <c r="E233" s="6"/>
      <c r="F233" s="6"/>
      <c r="G233" s="6"/>
      <c r="H233" s="6"/>
      <c r="I233" s="6"/>
      <c r="J233" s="3"/>
      <c r="K233" s="3"/>
      <c r="L233" s="3"/>
      <c r="N233" s="3"/>
      <c r="O233" s="6"/>
    </row>
    <row r="234" spans="1:15" s="8" customFormat="1" ht="12.75" x14ac:dyDescent="0.25">
      <c r="E234" s="6"/>
      <c r="F234" s="6"/>
      <c r="G234" s="6"/>
      <c r="H234" s="6"/>
      <c r="I234" s="6"/>
      <c r="J234" s="3"/>
      <c r="K234" s="3"/>
      <c r="L234" s="3"/>
      <c r="N234" s="3"/>
      <c r="O234" s="6"/>
    </row>
    <row r="235" spans="1:15" s="8" customFormat="1" ht="12.75" x14ac:dyDescent="0.25">
      <c r="E235" s="6"/>
      <c r="F235" s="6"/>
      <c r="G235" s="6"/>
      <c r="H235" s="6"/>
      <c r="I235" s="6"/>
      <c r="J235" s="3"/>
      <c r="K235" s="3"/>
      <c r="L235" s="3"/>
      <c r="N235" s="3"/>
      <c r="O235" s="6"/>
    </row>
    <row r="236" spans="1:15" s="8" customFormat="1" ht="12.75" x14ac:dyDescent="0.25">
      <c r="E236" s="6"/>
      <c r="F236" s="6"/>
      <c r="G236" s="6"/>
      <c r="H236" s="6"/>
      <c r="I236" s="6"/>
      <c r="J236" s="3"/>
      <c r="K236" s="3"/>
      <c r="L236" s="3"/>
      <c r="N236" s="3"/>
      <c r="O236" s="6"/>
    </row>
    <row r="237" spans="1:15" s="8" customFormat="1" ht="12.75" x14ac:dyDescent="0.25">
      <c r="E237" s="6"/>
      <c r="F237" s="6"/>
      <c r="G237" s="6"/>
      <c r="H237" s="6"/>
      <c r="I237" s="6"/>
      <c r="J237" s="3"/>
      <c r="K237" s="3"/>
      <c r="L237" s="3"/>
      <c r="N237" s="3"/>
      <c r="O237" s="6"/>
    </row>
    <row r="238" spans="1:15" s="8" customFormat="1" ht="12.75" x14ac:dyDescent="0.25">
      <c r="E238" s="6"/>
      <c r="F238" s="6"/>
      <c r="G238" s="6"/>
      <c r="H238" s="6"/>
      <c r="I238" s="6"/>
      <c r="J238" s="3"/>
      <c r="K238" s="3"/>
      <c r="L238" s="3"/>
      <c r="N238" s="3"/>
      <c r="O238" s="6"/>
    </row>
    <row r="239" spans="1:15" s="8" customFormat="1" ht="12.75" x14ac:dyDescent="0.25">
      <c r="A239" s="6"/>
      <c r="B239" s="6"/>
      <c r="C239" s="6"/>
      <c r="E239" s="6"/>
      <c r="F239" s="6"/>
      <c r="G239" s="6"/>
      <c r="H239" s="6"/>
      <c r="I239" s="6"/>
      <c r="J239" s="3"/>
      <c r="K239" s="3"/>
      <c r="L239" s="3"/>
      <c r="N239" s="3"/>
      <c r="O239" s="6"/>
    </row>
    <row r="240" spans="1:15" s="8" customFormat="1" ht="12.75" x14ac:dyDescent="0.25">
      <c r="A240" s="6"/>
      <c r="B240" s="6"/>
      <c r="C240" s="6"/>
      <c r="E240" s="6"/>
      <c r="F240" s="6"/>
      <c r="G240" s="6"/>
      <c r="H240" s="6"/>
      <c r="I240" s="6"/>
      <c r="J240" s="3"/>
      <c r="K240" s="3"/>
      <c r="L240" s="3"/>
      <c r="N240" s="3"/>
      <c r="O240" s="6"/>
    </row>
    <row r="241" spans="1:17" s="8" customFormat="1" ht="12.75" x14ac:dyDescent="0.25">
      <c r="A241" s="6"/>
      <c r="B241" s="6"/>
      <c r="C241" s="6"/>
      <c r="E241" s="6"/>
      <c r="F241" s="6"/>
      <c r="G241" s="6"/>
      <c r="H241" s="6"/>
      <c r="I241" s="6"/>
      <c r="J241" s="3"/>
      <c r="K241" s="3"/>
      <c r="L241" s="3"/>
      <c r="N241" s="3"/>
      <c r="O241" s="6"/>
    </row>
    <row r="242" spans="1:17" s="8" customForma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3"/>
      <c r="K242" s="3"/>
      <c r="L242" s="3"/>
      <c r="M242"/>
      <c r="N242" s="3"/>
      <c r="O242" s="6"/>
      <c r="P242" s="6"/>
      <c r="Q242" s="6"/>
    </row>
  </sheetData>
  <mergeCells count="5">
    <mergeCell ref="S6:U6"/>
    <mergeCell ref="V6:X6"/>
    <mergeCell ref="G6:J6"/>
    <mergeCell ref="K6:N6"/>
    <mergeCell ref="P6:R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73F5-0C3D-4430-A4D6-AFCFC66C7D4E}">
  <sheetPr codeName="Hoja3"/>
  <dimension ref="A1:L35"/>
  <sheetViews>
    <sheetView showGridLines="0" workbookViewId="0"/>
  </sheetViews>
  <sheetFormatPr baseColWidth="10" defaultColWidth="11.42578125" defaultRowHeight="12.75" x14ac:dyDescent="0.25"/>
  <cols>
    <col min="1" max="1" width="24.5703125" style="67" customWidth="1"/>
    <col min="2" max="2" width="11.28515625" style="74" customWidth="1"/>
    <col min="3" max="4" width="12.28515625" style="1" customWidth="1"/>
    <col min="5" max="7" width="12.5703125" style="67" customWidth="1"/>
    <col min="8" max="8" width="14.5703125" style="67" customWidth="1"/>
    <col min="9" max="11" width="12.5703125" style="67" customWidth="1"/>
    <col min="12" max="16384" width="11.42578125" style="67"/>
  </cols>
  <sheetData>
    <row r="1" spans="1:12" s="66" customFormat="1" ht="15.75" x14ac:dyDescent="0.25">
      <c r="A1" s="15" t="s">
        <v>153</v>
      </c>
      <c r="B1" s="65"/>
      <c r="C1" s="65"/>
      <c r="D1" s="65"/>
      <c r="E1" s="170"/>
      <c r="F1" s="170"/>
      <c r="G1" s="170"/>
      <c r="H1" s="171"/>
      <c r="I1" s="170"/>
      <c r="J1" s="170"/>
      <c r="K1" s="170"/>
    </row>
    <row r="2" spans="1:12" s="66" customFormat="1" x14ac:dyDescent="0.25">
      <c r="A2" s="65"/>
      <c r="B2" s="65"/>
      <c r="C2" s="65"/>
      <c r="D2" s="65"/>
      <c r="E2" s="170"/>
      <c r="F2" s="170"/>
      <c r="G2" s="170"/>
      <c r="H2" s="170"/>
      <c r="I2" s="170"/>
      <c r="J2" s="170"/>
      <c r="K2" s="170"/>
    </row>
    <row r="3" spans="1:12" ht="21" customHeight="1" x14ac:dyDescent="0.25">
      <c r="A3" s="6"/>
      <c r="B3" s="1"/>
      <c r="E3" s="172"/>
      <c r="F3" s="172"/>
      <c r="G3" s="172"/>
      <c r="H3" s="172"/>
      <c r="I3" s="403" t="s">
        <v>152</v>
      </c>
      <c r="J3" s="404"/>
      <c r="K3" s="405"/>
      <c r="L3" s="172"/>
    </row>
    <row r="4" spans="1:12" ht="38.25" customHeight="1" x14ac:dyDescent="0.25">
      <c r="A4" s="374" t="s">
        <v>31</v>
      </c>
      <c r="B4" s="374" t="s">
        <v>149</v>
      </c>
      <c r="C4" s="374" t="s">
        <v>32</v>
      </c>
      <c r="D4" s="374" t="s">
        <v>136</v>
      </c>
      <c r="E4" s="406" t="s">
        <v>33</v>
      </c>
      <c r="F4" s="406"/>
      <c r="G4" s="406"/>
      <c r="H4" s="374" t="s">
        <v>150</v>
      </c>
      <c r="I4" s="406" t="s">
        <v>151</v>
      </c>
      <c r="J4" s="406"/>
      <c r="K4" s="406"/>
      <c r="L4" s="172"/>
    </row>
    <row r="5" spans="1:12" ht="30" customHeight="1" x14ac:dyDescent="0.25">
      <c r="A5" s="375"/>
      <c r="B5" s="375"/>
      <c r="C5" s="375"/>
      <c r="D5" s="375"/>
      <c r="E5" s="169" t="s">
        <v>87</v>
      </c>
      <c r="F5" s="169" t="s">
        <v>88</v>
      </c>
      <c r="G5" s="169" t="s">
        <v>89</v>
      </c>
      <c r="H5" s="375"/>
      <c r="I5" s="169" t="s">
        <v>87</v>
      </c>
      <c r="J5" s="169" t="s">
        <v>88</v>
      </c>
      <c r="K5" s="169" t="s">
        <v>89</v>
      </c>
      <c r="L5" s="172"/>
    </row>
    <row r="6" spans="1:12" x14ac:dyDescent="0.2">
      <c r="A6" s="38" t="s">
        <v>46</v>
      </c>
      <c r="B6" s="48">
        <v>105.70243645000004</v>
      </c>
      <c r="C6" s="68" t="s">
        <v>75</v>
      </c>
      <c r="D6" s="69"/>
      <c r="E6" s="69"/>
      <c r="F6" s="68"/>
      <c r="G6" s="68"/>
      <c r="H6" s="70"/>
      <c r="I6" s="69"/>
      <c r="J6" s="68"/>
      <c r="K6" s="68"/>
    </row>
    <row r="7" spans="1:12" x14ac:dyDescent="0.2">
      <c r="A7" s="38" t="s">
        <v>47</v>
      </c>
      <c r="B7" s="48">
        <v>148.28371760000005</v>
      </c>
      <c r="C7" s="68" t="s">
        <v>75</v>
      </c>
      <c r="D7" s="69"/>
      <c r="E7" s="69"/>
      <c r="F7" s="68"/>
      <c r="G7" s="68"/>
      <c r="H7" s="70"/>
      <c r="I7" s="69"/>
      <c r="J7" s="68"/>
      <c r="K7" s="68"/>
    </row>
    <row r="8" spans="1:12" x14ac:dyDescent="0.2">
      <c r="A8" s="38" t="s">
        <v>48</v>
      </c>
      <c r="B8" s="48">
        <v>501.26266979999991</v>
      </c>
      <c r="C8" s="68" t="s">
        <v>75</v>
      </c>
      <c r="D8" s="69"/>
      <c r="E8" s="69"/>
      <c r="F8" s="68"/>
      <c r="G8" s="68"/>
      <c r="H8" s="70"/>
      <c r="I8" s="69"/>
      <c r="J8" s="68"/>
      <c r="K8" s="68"/>
    </row>
    <row r="9" spans="1:12" x14ac:dyDescent="0.2">
      <c r="A9" s="38" t="s">
        <v>49</v>
      </c>
      <c r="B9" s="48">
        <v>303.57470669999998</v>
      </c>
      <c r="C9" s="68" t="s">
        <v>75</v>
      </c>
      <c r="D9" s="69"/>
      <c r="E9" s="69"/>
      <c r="F9" s="68"/>
      <c r="G9" s="68"/>
      <c r="H9" s="70"/>
      <c r="I9" s="69"/>
      <c r="J9" s="68"/>
      <c r="K9" s="68"/>
    </row>
    <row r="10" spans="1:12" x14ac:dyDescent="0.2">
      <c r="A10" s="38" t="s">
        <v>50</v>
      </c>
      <c r="B10" s="48">
        <v>236.48884824999996</v>
      </c>
      <c r="C10" s="68" t="s">
        <v>75</v>
      </c>
      <c r="D10" s="69"/>
      <c r="E10" s="69"/>
      <c r="F10" s="68"/>
      <c r="G10" s="68"/>
      <c r="H10" s="70"/>
      <c r="I10" s="69"/>
      <c r="J10" s="68"/>
      <c r="K10" s="68"/>
    </row>
    <row r="11" spans="1:12" x14ac:dyDescent="0.2">
      <c r="A11" s="38" t="s">
        <v>51</v>
      </c>
      <c r="B11" s="48">
        <v>374.09587810000005</v>
      </c>
      <c r="C11" s="68" t="s">
        <v>75</v>
      </c>
      <c r="D11" s="69"/>
      <c r="E11" s="69"/>
      <c r="F11" s="68"/>
      <c r="G11" s="68"/>
      <c r="H11" s="70"/>
      <c r="I11" s="69"/>
      <c r="J11" s="68"/>
      <c r="K11" s="68"/>
    </row>
    <row r="12" spans="1:12" x14ac:dyDescent="0.2">
      <c r="A12" s="38" t="s">
        <v>52</v>
      </c>
      <c r="B12" s="48">
        <v>294.7779136499999</v>
      </c>
      <c r="C12" s="68" t="s">
        <v>75</v>
      </c>
      <c r="D12" s="69"/>
      <c r="E12" s="69"/>
      <c r="F12" s="68"/>
      <c r="G12" s="68"/>
      <c r="H12" s="70"/>
      <c r="I12" s="69"/>
      <c r="J12" s="68"/>
      <c r="K12" s="68"/>
    </row>
    <row r="13" spans="1:12" x14ac:dyDescent="0.2">
      <c r="A13" s="38" t="s">
        <v>53</v>
      </c>
      <c r="B13" s="48">
        <v>145.06805600000001</v>
      </c>
      <c r="C13" s="68" t="s">
        <v>75</v>
      </c>
      <c r="D13" s="69"/>
      <c r="E13" s="69"/>
      <c r="F13" s="68"/>
      <c r="G13" s="68"/>
      <c r="H13" s="70"/>
      <c r="I13" s="69"/>
      <c r="J13" s="68"/>
      <c r="K13" s="68"/>
    </row>
    <row r="14" spans="1:12" x14ac:dyDescent="0.2">
      <c r="A14" s="38" t="s">
        <v>54</v>
      </c>
      <c r="B14" s="48">
        <v>107.81312000000003</v>
      </c>
      <c r="C14" s="68" t="s">
        <v>75</v>
      </c>
      <c r="D14" s="69"/>
      <c r="E14" s="69"/>
      <c r="F14" s="68"/>
      <c r="G14" s="68"/>
      <c r="H14" s="70"/>
      <c r="I14" s="69"/>
      <c r="J14" s="68"/>
      <c r="K14" s="68"/>
    </row>
    <row r="15" spans="1:12" x14ac:dyDescent="0.2">
      <c r="A15" s="38" t="s">
        <v>55</v>
      </c>
      <c r="B15" s="48">
        <v>208.27296100000007</v>
      </c>
      <c r="C15" s="68" t="s">
        <v>75</v>
      </c>
      <c r="D15" s="69"/>
      <c r="E15" s="69"/>
      <c r="F15" s="68"/>
      <c r="G15" s="68"/>
      <c r="H15" s="70"/>
      <c r="I15" s="69"/>
      <c r="J15" s="68"/>
      <c r="K15" s="68"/>
    </row>
    <row r="16" spans="1:12" x14ac:dyDescent="0.2">
      <c r="A16" s="38" t="s">
        <v>56</v>
      </c>
      <c r="B16" s="48">
        <v>18.804008</v>
      </c>
      <c r="C16" s="68" t="s">
        <v>75</v>
      </c>
      <c r="D16" s="69"/>
      <c r="E16" s="69"/>
      <c r="F16" s="68"/>
      <c r="G16" s="68"/>
      <c r="H16" s="70"/>
      <c r="I16" s="69"/>
      <c r="J16" s="68"/>
      <c r="K16" s="68"/>
    </row>
    <row r="17" spans="1:11" x14ac:dyDescent="0.2">
      <c r="A17" s="38" t="s">
        <v>57</v>
      </c>
      <c r="B17" s="48">
        <v>282.16980100000001</v>
      </c>
      <c r="C17" s="68" t="s">
        <v>75</v>
      </c>
      <c r="D17" s="69"/>
      <c r="E17" s="69"/>
      <c r="F17" s="68"/>
      <c r="G17" s="68"/>
      <c r="H17" s="70"/>
      <c r="I17" s="69"/>
      <c r="J17" s="68"/>
      <c r="K17" s="68"/>
    </row>
    <row r="18" spans="1:11" x14ac:dyDescent="0.2">
      <c r="A18" s="32" t="s">
        <v>61</v>
      </c>
      <c r="B18" s="166">
        <v>2947.5606670000002</v>
      </c>
      <c r="C18" s="167">
        <v>0.08</v>
      </c>
      <c r="D18" s="168">
        <v>43746</v>
      </c>
      <c r="E18" s="327">
        <v>7.2444444444444454</v>
      </c>
      <c r="F18" s="327">
        <v>3.9555555555555557</v>
      </c>
      <c r="G18" s="327">
        <v>3.2888888888888892</v>
      </c>
      <c r="H18" s="286">
        <v>213.53439498711114</v>
      </c>
      <c r="I18" s="285">
        <v>513.01533333333339</v>
      </c>
      <c r="J18" s="285">
        <v>280.11266666666666</v>
      </c>
      <c r="K18" s="285">
        <v>232.90266666666668</v>
      </c>
    </row>
    <row r="19" spans="1:11" x14ac:dyDescent="0.2">
      <c r="A19" s="38" t="s">
        <v>60</v>
      </c>
      <c r="B19" s="48">
        <v>2120.2848490000001</v>
      </c>
      <c r="C19" s="68">
        <v>0.08</v>
      </c>
      <c r="D19" s="69">
        <v>43798</v>
      </c>
      <c r="E19" s="328">
        <v>6.1111111111111107</v>
      </c>
      <c r="F19" s="328">
        <v>2.8222222222222224</v>
      </c>
      <c r="G19" s="328">
        <v>3.2888888888888892</v>
      </c>
      <c r="H19" s="288">
        <v>129.57296299444445</v>
      </c>
      <c r="I19" s="287">
        <v>432.75833333333327</v>
      </c>
      <c r="J19" s="287">
        <v>199.85566666666668</v>
      </c>
      <c r="K19" s="287">
        <v>232.90266666666668</v>
      </c>
    </row>
    <row r="20" spans="1:11" x14ac:dyDescent="0.2">
      <c r="A20" s="38" t="s">
        <v>63</v>
      </c>
      <c r="B20" s="48">
        <v>4497.7534109999997</v>
      </c>
      <c r="C20" s="68">
        <v>7.7499999999999999E-2</v>
      </c>
      <c r="D20" s="69">
        <v>43829</v>
      </c>
      <c r="E20" s="328">
        <v>5.2527777777777773</v>
      </c>
      <c r="F20" s="328">
        <v>2.0666666666666664</v>
      </c>
      <c r="G20" s="328">
        <v>3.1861111111111109</v>
      </c>
      <c r="H20" s="288">
        <v>236.25699167224997</v>
      </c>
      <c r="I20" s="287">
        <v>371.97545833333328</v>
      </c>
      <c r="J20" s="287">
        <v>146.35099999999997</v>
      </c>
      <c r="K20" s="287">
        <v>225.62445833333331</v>
      </c>
    </row>
    <row r="21" spans="1:11" x14ac:dyDescent="0.2">
      <c r="A21" s="205" t="s">
        <v>64</v>
      </c>
      <c r="B21" s="48">
        <v>694.68719399999998</v>
      </c>
      <c r="C21" s="68">
        <v>0.01</v>
      </c>
      <c r="D21" s="69">
        <v>43866</v>
      </c>
      <c r="E21" s="328">
        <v>0.5805555555555556</v>
      </c>
      <c r="F21" s="328">
        <v>0.16944444444444445</v>
      </c>
      <c r="G21" s="328">
        <v>0.41111111111111115</v>
      </c>
      <c r="H21" s="288">
        <v>4.0330450985000006</v>
      </c>
      <c r="I21" s="287">
        <v>41.11204166666667</v>
      </c>
      <c r="J21" s="287">
        <v>11.999208333333334</v>
      </c>
      <c r="K21" s="287">
        <v>29.112833333333334</v>
      </c>
    </row>
    <row r="22" spans="1:11" x14ac:dyDescent="0.2">
      <c r="A22" s="38" t="s">
        <v>65</v>
      </c>
      <c r="B22" s="48">
        <v>6634.2127845699997</v>
      </c>
      <c r="C22" s="68">
        <v>8.7499999999999994E-2</v>
      </c>
      <c r="D22" s="69">
        <v>43776</v>
      </c>
      <c r="E22" s="328">
        <v>7.2187499999999991</v>
      </c>
      <c r="F22" s="328">
        <v>3.6215277777777768</v>
      </c>
      <c r="G22" s="328">
        <v>3.5972222222222219</v>
      </c>
      <c r="H22" s="288">
        <v>478.90723538614679</v>
      </c>
      <c r="I22" s="287">
        <v>511.19578124999992</v>
      </c>
      <c r="J22" s="287">
        <v>256.45848958333323</v>
      </c>
      <c r="K22" s="287">
        <v>254.73729166666664</v>
      </c>
    </row>
    <row r="23" spans="1:11" x14ac:dyDescent="0.2">
      <c r="A23" s="38" t="s">
        <v>66</v>
      </c>
      <c r="B23" s="48">
        <v>4510.4625749999996</v>
      </c>
      <c r="C23" s="68">
        <v>7.8750000000000001E-2</v>
      </c>
      <c r="D23" s="69">
        <v>43829</v>
      </c>
      <c r="E23" s="328">
        <v>5.3375000000000004</v>
      </c>
      <c r="F23" s="328">
        <v>2.1</v>
      </c>
      <c r="G23" s="328">
        <v>3.2375000000000003</v>
      </c>
      <c r="H23" s="288">
        <v>240.74593994062499</v>
      </c>
      <c r="I23" s="287"/>
      <c r="J23" s="287"/>
      <c r="K23" s="287"/>
    </row>
    <row r="24" spans="1:11" x14ac:dyDescent="0.2">
      <c r="A24" s="38" t="s">
        <v>67</v>
      </c>
      <c r="B24" s="48">
        <v>1535.8139940000001</v>
      </c>
      <c r="C24" s="68">
        <v>5.7500000000000002E-2</v>
      </c>
      <c r="D24" s="69">
        <v>43756</v>
      </c>
      <c r="E24" s="328">
        <v>5.0472222222222225</v>
      </c>
      <c r="F24" s="328">
        <v>2.6833333333333336</v>
      </c>
      <c r="G24" s="328">
        <v>2.3638888888888889</v>
      </c>
      <c r="H24" s="288">
        <v>77.515945197166673</v>
      </c>
      <c r="I24" s="287"/>
      <c r="J24" s="287"/>
      <c r="K24" s="287"/>
    </row>
    <row r="25" spans="1:11" x14ac:dyDescent="0.2">
      <c r="A25" s="38" t="s">
        <v>68</v>
      </c>
      <c r="B25" s="48">
        <v>4690.4995630000003</v>
      </c>
      <c r="C25" s="68">
        <v>7.8750000000000001E-2</v>
      </c>
      <c r="D25" s="69">
        <v>43829</v>
      </c>
      <c r="E25" s="328">
        <v>5.3375000000000004</v>
      </c>
      <c r="F25" s="328">
        <v>2.1</v>
      </c>
      <c r="G25" s="328">
        <v>3.2375000000000003</v>
      </c>
      <c r="H25" s="288">
        <v>250.35541417512505</v>
      </c>
      <c r="I25" s="287"/>
      <c r="J25" s="287"/>
      <c r="K25" s="287"/>
    </row>
    <row r="26" spans="1:11" x14ac:dyDescent="0.2">
      <c r="A26" s="38" t="s">
        <v>69</v>
      </c>
      <c r="B26" s="48">
        <v>2720.7815150000001</v>
      </c>
      <c r="C26" s="68">
        <v>7.6249999999999998E-2</v>
      </c>
      <c r="D26" s="69">
        <v>43756</v>
      </c>
      <c r="E26" s="328">
        <v>6.6930555555555546</v>
      </c>
      <c r="F26" s="328">
        <v>3.5583333333333336</v>
      </c>
      <c r="G26" s="328">
        <v>3.134722222222222</v>
      </c>
      <c r="H26" s="288">
        <v>182.10341834423608</v>
      </c>
      <c r="I26" s="287"/>
      <c r="J26" s="287"/>
      <c r="K26" s="287"/>
    </row>
    <row r="27" spans="1:11" x14ac:dyDescent="0.2">
      <c r="A27" s="38" t="s">
        <v>70</v>
      </c>
      <c r="B27" s="48">
        <v>7069.4110490100002</v>
      </c>
      <c r="C27" s="68">
        <v>8.2799999999999999E-2</v>
      </c>
      <c r="D27" s="69">
        <v>43830</v>
      </c>
      <c r="E27" s="328">
        <v>5.6120000000000001</v>
      </c>
      <c r="F27" s="328">
        <v>2.2079999999999997</v>
      </c>
      <c r="G27" s="328">
        <v>3.4039999999999999</v>
      </c>
      <c r="H27" s="288">
        <v>396.73534807044126</v>
      </c>
      <c r="I27" s="287"/>
      <c r="J27" s="287"/>
      <c r="K27" s="287"/>
    </row>
    <row r="28" spans="1:11" x14ac:dyDescent="0.2">
      <c r="A28" s="38" t="s">
        <v>71</v>
      </c>
      <c r="B28" s="48">
        <v>184.33416581999998</v>
      </c>
      <c r="C28" s="68">
        <v>8.2799999999999999E-2</v>
      </c>
      <c r="D28" s="69">
        <v>43830</v>
      </c>
      <c r="E28" s="328">
        <v>5.6120000000000001</v>
      </c>
      <c r="F28" s="328">
        <v>2.2079999999999997</v>
      </c>
      <c r="G28" s="328">
        <v>3.4039999999999999</v>
      </c>
      <c r="H28" s="288">
        <v>10.344833385818399</v>
      </c>
      <c r="I28" s="287"/>
      <c r="J28" s="287"/>
      <c r="K28" s="287"/>
    </row>
    <row r="29" spans="1:11" x14ac:dyDescent="0.2">
      <c r="A29" s="38" t="s">
        <v>72</v>
      </c>
      <c r="B29" s="48">
        <v>1229.562842</v>
      </c>
      <c r="C29" s="68">
        <v>3.7499999999999999E-2</v>
      </c>
      <c r="D29" s="69">
        <v>43921</v>
      </c>
      <c r="E29" s="328">
        <v>1.6041666666666665</v>
      </c>
      <c r="F29" s="328">
        <v>6.25E-2</v>
      </c>
      <c r="G29" s="328">
        <v>1.5416666666666665</v>
      </c>
      <c r="H29" s="288">
        <v>19.724237257083331</v>
      </c>
      <c r="I29" s="287"/>
      <c r="J29" s="287"/>
      <c r="K29" s="287"/>
    </row>
    <row r="30" spans="1:11" x14ac:dyDescent="0.2">
      <c r="A30" s="43" t="s">
        <v>73</v>
      </c>
      <c r="B30" s="71">
        <v>71.439701999999997</v>
      </c>
      <c r="C30" s="72">
        <v>3.7499999999999999E-2</v>
      </c>
      <c r="D30" s="73">
        <v>43921</v>
      </c>
      <c r="E30" s="329">
        <v>1.6041666666666665</v>
      </c>
      <c r="F30" s="329">
        <v>6.25E-2</v>
      </c>
      <c r="G30" s="329">
        <v>1.5416666666666665</v>
      </c>
      <c r="H30" s="290">
        <v>1.1460118862499997</v>
      </c>
      <c r="I30" s="289"/>
      <c r="J30" s="289"/>
      <c r="K30" s="289"/>
    </row>
    <row r="31" spans="1:11" x14ac:dyDescent="0.2">
      <c r="A31" s="205" t="s">
        <v>85</v>
      </c>
      <c r="B31" s="48">
        <v>0.60119460000000224</v>
      </c>
      <c r="C31" s="68">
        <v>4.2500000000000003E-2</v>
      </c>
      <c r="D31" s="69"/>
      <c r="E31" s="330"/>
      <c r="F31" s="328"/>
      <c r="G31" s="328"/>
      <c r="H31" s="288"/>
      <c r="I31" s="291"/>
      <c r="J31" s="287"/>
      <c r="K31" s="287"/>
    </row>
    <row r="32" spans="1:11" x14ac:dyDescent="0.2">
      <c r="A32" s="38" t="s">
        <v>58</v>
      </c>
      <c r="B32" s="48">
        <v>1.7632638000000156</v>
      </c>
      <c r="C32" s="68">
        <v>4.2500000000000003E-2</v>
      </c>
      <c r="D32" s="69"/>
      <c r="E32" s="330"/>
      <c r="F32" s="328"/>
      <c r="G32" s="328"/>
      <c r="H32" s="288"/>
      <c r="I32" s="291"/>
      <c r="J32" s="287"/>
      <c r="K32" s="287"/>
    </row>
    <row r="33" spans="1:11" x14ac:dyDescent="0.2">
      <c r="A33" s="32" t="s">
        <v>59</v>
      </c>
      <c r="B33" s="166">
        <v>73.248783000000003</v>
      </c>
      <c r="C33" s="167">
        <v>4.4999999999999998E-2</v>
      </c>
      <c r="D33" s="168"/>
      <c r="E33" s="331"/>
      <c r="F33" s="327"/>
      <c r="G33" s="327"/>
      <c r="H33" s="286"/>
      <c r="I33" s="292"/>
      <c r="J33" s="285"/>
      <c r="K33" s="285"/>
    </row>
    <row r="34" spans="1:11" x14ac:dyDescent="0.2">
      <c r="A34" s="43" t="s">
        <v>62</v>
      </c>
      <c r="B34" s="71">
        <v>8.4001859999999997</v>
      </c>
      <c r="C34" s="72">
        <v>0.04</v>
      </c>
      <c r="D34" s="73">
        <v>43866</v>
      </c>
      <c r="E34" s="329">
        <v>2.3222222222222224</v>
      </c>
      <c r="F34" s="329">
        <v>0.67777777777777781</v>
      </c>
      <c r="G34" s="329">
        <v>1.6444444444444446</v>
      </c>
      <c r="H34" s="290">
        <v>0.19507098600000003</v>
      </c>
      <c r="I34" s="289">
        <v>164.44816666666668</v>
      </c>
      <c r="J34" s="289">
        <v>47.996833333333335</v>
      </c>
      <c r="K34" s="289">
        <v>116.45133333333334</v>
      </c>
    </row>
    <row r="35" spans="1:11" x14ac:dyDescent="0.25">
      <c r="G35" s="315" t="s">
        <v>27</v>
      </c>
      <c r="H35" s="332">
        <f>+SUM(H6:H34)</f>
        <v>2241.170849381198</v>
      </c>
    </row>
  </sheetData>
  <mergeCells count="8">
    <mergeCell ref="I3:K3"/>
    <mergeCell ref="I4:K4"/>
    <mergeCell ref="H4:H5"/>
    <mergeCell ref="A4:A5"/>
    <mergeCell ref="B4:B5"/>
    <mergeCell ref="C4:C5"/>
    <mergeCell ref="D4:D5"/>
    <mergeCell ref="E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 Resumen Perfil</vt:lpstr>
      <vt:lpstr>Valor de la propuesta</vt:lpstr>
      <vt:lpstr>Cupón promedio</vt:lpstr>
      <vt:lpstr>Perfil de vencimientos</vt:lpstr>
      <vt:lpstr>Valuación Nuevos Bonos USD</vt:lpstr>
      <vt:lpstr>Valuación Nuevos BONCER</vt:lpstr>
      <vt:lpstr>Nuevos Bonos USD</vt:lpstr>
      <vt:lpstr>Nuevos BONCER</vt:lpstr>
      <vt:lpstr>Intereses corridos</vt:lpstr>
      <vt:lpstr>Eleccion de canje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</dc:creator>
  <cp:lastModifiedBy>efere</cp:lastModifiedBy>
  <cp:lastPrinted>2020-06-24T18:43:27Z</cp:lastPrinted>
  <dcterms:created xsi:type="dcterms:W3CDTF">2015-06-05T18:19:34Z</dcterms:created>
  <dcterms:modified xsi:type="dcterms:W3CDTF">2020-07-23T12:29:06Z</dcterms:modified>
</cp:coreProperties>
</file>